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12.xml" ContentType="application/vnd.openxmlformats-officedocument.spreadsheetml.comments+xml"/>
  <Override PartName="/xl/comments1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외화예금일일가이드라인" sheetId="1" state="visible" r:id="rId3"/>
    <sheet name="승인절차" sheetId="2" state="visible" r:id="rId4"/>
    <sheet name="(1)규정" sheetId="3" state="visible" r:id="rId5"/>
    <sheet name="(1)예금승인내역" sheetId="4" state="visible" r:id="rId6"/>
    <sheet name="예금만기도래" sheetId="5" state="visible" r:id="rId7"/>
    <sheet name="★예금금리상담" sheetId="6" state="visible" r:id="rId8"/>
    <sheet name="결재용" sheetId="7" state="visible" r:id="rId9"/>
    <sheet name="FXSWAP계산기" sheetId="8" state="visible" r:id="rId10"/>
    <sheet name="결재용(2)" sheetId="9" state="visible" r:id="rId11"/>
    <sheet name="(2)규정" sheetId="10" state="visible" r:id="rId12"/>
    <sheet name="대출결재용" sheetId="11" state="visible" r:id="rId13"/>
    <sheet name="(2)대출한도,금리" sheetId="12" state="visible" r:id="rId14"/>
    <sheet name="(3)규정" sheetId="13" state="visible" r:id="rId15"/>
    <sheet name="(3)통화전환" sheetId="14" state="visible" r:id="rId16"/>
    <sheet name="외화예금승인현황(2015년이전)" sheetId="15" state="hidden" r:id="rId17"/>
    <sheet name="외화예금실행현황" sheetId="16" state="visible" r:id="rId18"/>
    <sheet name="상해지점" sheetId="17" state="visible" r:id="rId19"/>
    <sheet name="DSB" sheetId="18" state="visible" r:id="rId20"/>
  </sheets>
  <definedNames>
    <definedName function="false" hidden="false" localSheetId="11" name="_xlnm.Print_Area" vbProcedure="false">'(2)대출한도,금리'!$Q$781:$W$792</definedName>
    <definedName function="false" hidden="true" localSheetId="11" name="_xlnm._FilterDatabase" vbProcedure="false">'(2)대출한도,금리'!$A$1:$W$4271</definedName>
    <definedName function="false" hidden="false" localSheetId="6" name="_xlnm.Print_Area" vbProcedure="false">결재용!$A$1:$Q$14</definedName>
    <definedName function="false" hidden="false" localSheetId="8" name="_xlnm.Print_Area" vbProcedure="false">'결재용(2)'!$A$1:$N$10</definedName>
    <definedName function="false" hidden="false" localSheetId="10" name="_xlnm.Print_Area" vbProcedure="false">대출결재용!$A$1:$L$10</definedName>
    <definedName function="false" hidden="true" localSheetId="16" name="_xlnm._FilterDatabase" vbProcedure="false">상해지점!$A$9:$AO$272</definedName>
    <definedName function="false" hidden="false" name="Database1" vbProcedure="false">#REF!</definedName>
    <definedName function="false" hidden="false" name="_xlnm.Database" vbProcedure="false">#REF!</definedName>
    <definedName function="false" hidden="false" name="금융" vbProcedure="false">'(1)예금승인내역'!$AM$149:$AM$150</definedName>
    <definedName function="false" hidden="false" localSheetId="7" name="금융" vbProcedure="false">#REF!</definedName>
    <definedName function="false" hidden="false" localSheetId="8" name="Database1" vbProcedure="false">#REF!</definedName>
    <definedName function="false" hidden="false" localSheetId="8" name="_xlnm.Database" vbProcedure="false">#REF!</definedName>
    <definedName function="false" hidden="false" localSheetId="12" name="_xlnm.Database" vbProcedure="false">#REF!</definedName>
    <definedName function="false" hidden="false" localSheetId="13" name="_xlnm.Database" vbProcedure="false">#REF!</definedName>
    <definedName function="false" hidden="false" localSheetId="14" name="_xlnm.Database" vbProcedure="false">#REF!</definedName>
    <definedName function="false" hidden="false" localSheetId="16" name="_xlnm.Database" vbProcedure="false">#REF!</definedName>
    <definedName function="false" hidden="false" localSheetId="16" name="금융" vbProcedure="false">상해지점!$AN$149:$AN$150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66" authorId="0">
      <text>
        <r>
          <rPr>
            <sz val="10"/>
            <rFont val="Arial"/>
            <family val="2"/>
          </rPr>
          <t xml:space="preserve">40</t>
        </r>
        <r>
          <rPr>
            <sz val="10"/>
            <rFont val="Noto Sans CJK SC"/>
            <family val="2"/>
          </rPr>
          <t xml:space="preserve">번 부터 신종수시스템 </t>
        </r>
      </text>
    </comment>
    <comment ref="A883" authorId="0">
      <text>
        <r>
          <rPr>
            <sz val="10"/>
            <rFont val="Arial"/>
            <family val="2"/>
          </rPr>
          <t xml:space="preserve">23</t>
        </r>
        <r>
          <rPr>
            <sz val="10"/>
            <rFont val="Noto Sans CJK SC"/>
            <family val="2"/>
          </rPr>
          <t xml:space="preserve">일 신규 예정 </t>
        </r>
      </text>
    </comment>
    <comment ref="F286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1.95%, 2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2.1% 3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2.3% 6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:2.6%</t>
        </r>
      </text>
    </comment>
    <comment ref="F451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453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462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572" authorId="0">
      <text>
        <r>
          <rPr>
            <sz val="10"/>
            <rFont val="Noto Sans CJK SC"/>
            <family val="2"/>
          </rPr>
          <t xml:space="preserve">넥스피아 승인내역 조회시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 실행완료로 나오지만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실제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건만 신규됨</t>
        </r>
        <r>
          <rPr>
            <sz val="10"/>
            <rFont val="Arial"/>
            <family val="2"/>
          </rPr>
          <t xml:space="preserve">.
 (</t>
        </r>
        <r>
          <rPr>
            <sz val="10"/>
            <rFont val="Noto Sans CJK SC"/>
            <family val="2"/>
          </rPr>
          <t xml:space="preserve">영업점 실행거래 취소 후 재실행</t>
        </r>
        <r>
          <rPr>
            <sz val="10"/>
            <rFont val="Arial"/>
            <family val="2"/>
          </rPr>
          <t xml:space="preserve">)</t>
        </r>
      </text>
    </comment>
    <comment ref="F688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백만불 </t>
        </r>
      </text>
    </comment>
    <comment ref="F722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</t>
        </r>
        <r>
          <rPr>
            <sz val="10"/>
            <rFont val="Arial"/>
            <family val="2"/>
          </rPr>
          <t xml:space="preserve">11/11</t>
        </r>
        <r>
          <rPr>
            <sz val="10"/>
            <rFont val="Noto Sans CJK SC"/>
            <family val="2"/>
          </rPr>
          <t xml:space="preserve">일 </t>
        </r>
        <r>
          <rPr>
            <sz val="10"/>
            <rFont val="Arial"/>
            <family val="2"/>
          </rPr>
          <t xml:space="preserve">mmda </t>
        </r>
        <r>
          <rPr>
            <sz val="10"/>
            <rFont val="Noto Sans CJK SC"/>
            <family val="2"/>
          </rPr>
          <t xml:space="preserve">금리 
제시하였으나</t>
        </r>
        <r>
          <rPr>
            <sz val="10"/>
            <rFont val="Arial"/>
            <family val="2"/>
          </rPr>
          <t xml:space="preserve">,
</t>
        </r>
        <r>
          <rPr>
            <sz val="10"/>
            <rFont val="Noto Sans CJK SC"/>
            <family val="2"/>
          </rPr>
          <t xml:space="preserve">타행과 금리 차 있어 
해지하기로 결정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</t>
        </r>
      </text>
    </comment>
    <comment ref="F734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
</t>
        </r>
        <r>
          <rPr>
            <sz val="10"/>
            <rFont val="Noto Sans CJK SC"/>
            <family val="2"/>
          </rPr>
          <t xml:space="preserve">금리차 있으나</t>
        </r>
        <r>
          <rPr>
            <sz val="10"/>
            <rFont val="Arial"/>
            <family val="2"/>
          </rPr>
          <t xml:space="preserve">, 4%</t>
        </r>
        <r>
          <rPr>
            <sz val="10"/>
            <rFont val="Noto Sans CJK SC"/>
            <family val="2"/>
          </rPr>
          <t xml:space="preserve">에 만기 연장키로 함</t>
        </r>
        <r>
          <rPr>
            <sz val="10"/>
            <rFont val="Arial"/>
            <family val="2"/>
          </rPr>
          <t xml:space="preserve">. </t>
        </r>
      </text>
    </comment>
    <comment ref="F751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
</t>
        </r>
        <r>
          <rPr>
            <sz val="10"/>
            <rFont val="Noto Sans CJK SC"/>
            <family val="2"/>
          </rPr>
          <t xml:space="preserve">금리차 있으나</t>
        </r>
        <r>
          <rPr>
            <sz val="10"/>
            <rFont val="Arial"/>
            <family val="2"/>
          </rPr>
          <t xml:space="preserve">, 4%</t>
        </r>
        <r>
          <rPr>
            <sz val="10"/>
            <rFont val="Noto Sans CJK SC"/>
            <family val="2"/>
          </rPr>
          <t xml:space="preserve">에 만기 연장키로 함</t>
        </r>
        <r>
          <rPr>
            <sz val="10"/>
            <rFont val="Arial"/>
            <family val="2"/>
          </rPr>
          <t xml:space="preserve">. </t>
        </r>
      </text>
    </comment>
    <comment ref="F772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794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10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15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83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85" authorId="0">
      <text>
        <r>
          <rPr>
            <sz val="10"/>
            <rFont val="Arial"/>
            <family val="2"/>
          </rPr>
          <t xml:space="preserve">113444759
</t>
        </r>
      </text>
    </comment>
    <comment ref="F888" authorId="0">
      <text>
        <r>
          <rPr>
            <sz val="10"/>
            <rFont val="Arial"/>
            <family val="2"/>
          </rPr>
          <t xml:space="preserve">7/11 </t>
        </r>
        <r>
          <rPr>
            <sz val="10"/>
            <rFont val="Noto Sans CJK SC"/>
            <family val="2"/>
          </rPr>
          <t xml:space="preserve">전액인출 </t>
        </r>
      </text>
    </comment>
    <comment ref="F895" authorId="0">
      <text>
        <r>
          <rPr>
            <sz val="10"/>
            <rFont val="Arial"/>
            <family val="2"/>
          </rPr>
          <t xml:space="preserve">113444759
</t>
        </r>
      </text>
    </comment>
    <comment ref="F899" authorId="0">
      <text>
        <r>
          <rPr>
            <sz val="10"/>
            <rFont val="Arial"/>
            <family val="2"/>
          </rPr>
          <t xml:space="preserve">113444759
</t>
        </r>
      </text>
    </comment>
    <comment ref="F908" authorId="0">
      <text>
        <r>
          <rPr>
            <sz val="10"/>
            <rFont val="Arial"/>
            <family val="2"/>
          </rPr>
          <t xml:space="preserve">113444759
</t>
        </r>
      </text>
    </comment>
    <comment ref="F912" authorId="0">
      <text>
        <r>
          <rPr>
            <sz val="10"/>
            <rFont val="Arial"/>
            <family val="2"/>
          </rPr>
          <t xml:space="preserve">113444759
7/25 </t>
        </r>
        <r>
          <rPr>
            <sz val="10"/>
            <rFont val="Noto Sans CJK SC"/>
            <family val="2"/>
          </rPr>
          <t xml:space="preserve">중도해지완료 
</t>
        </r>
      </text>
    </comment>
    <comment ref="F913" authorId="0">
      <text>
        <r>
          <rPr>
            <sz val="10"/>
            <rFont val="Arial"/>
            <family val="2"/>
          </rPr>
          <t xml:space="preserve">113444759
</t>
        </r>
      </text>
    </comment>
    <comment ref="F1206" authorId="0">
      <text>
        <r>
          <rPr>
            <sz val="10"/>
            <rFont val="Noto Sans CJK SC"/>
            <family val="2"/>
          </rPr>
          <t xml:space="preserve">추가 입금 시</t>
        </r>
        <r>
          <rPr>
            <sz val="10"/>
            <rFont val="Arial"/>
            <family val="2"/>
          </rPr>
          <t xml:space="preserve">, 3.25% </t>
        </r>
        <r>
          <rPr>
            <sz val="10"/>
            <rFont val="Noto Sans CJK SC"/>
            <family val="2"/>
          </rPr>
          <t xml:space="preserve">우대 승인키로 함</t>
        </r>
        <r>
          <rPr>
            <sz val="10"/>
            <rFont val="Arial"/>
            <family val="2"/>
          </rPr>
          <t xml:space="preserve">. 
(</t>
        </r>
        <r>
          <rPr>
            <sz val="10"/>
            <rFont val="Noto Sans CJK SC"/>
            <family val="2"/>
          </rPr>
          <t xml:space="preserve">장윤정 과장 통화필</t>
        </r>
        <r>
          <rPr>
            <sz val="10"/>
            <rFont val="Arial"/>
            <family val="2"/>
          </rPr>
          <t xml:space="preserve">) 
(5/14) 
</t>
        </r>
      </text>
    </comment>
    <comment ref="F1224" authorId="0">
      <text>
        <r>
          <rPr>
            <sz val="10"/>
            <rFont val="Noto Sans CJK SC"/>
            <family val="2"/>
          </rPr>
          <t xml:space="preserve">추가 입금 시</t>
        </r>
        <r>
          <rPr>
            <sz val="10"/>
            <rFont val="Arial"/>
            <family val="2"/>
          </rPr>
          <t xml:space="preserve">, 3.25% </t>
        </r>
        <r>
          <rPr>
            <sz val="10"/>
            <rFont val="Noto Sans CJK SC"/>
            <family val="2"/>
          </rPr>
          <t xml:space="preserve">우대 승인키로 함</t>
        </r>
        <r>
          <rPr>
            <sz val="10"/>
            <rFont val="Arial"/>
            <family val="2"/>
          </rPr>
          <t xml:space="preserve">. 
(</t>
        </r>
        <r>
          <rPr>
            <sz val="10"/>
            <rFont val="Noto Sans CJK SC"/>
            <family val="2"/>
          </rPr>
          <t xml:space="preserve">장윤정 과장 통화필</t>
        </r>
        <r>
          <rPr>
            <sz val="10"/>
            <rFont val="Arial"/>
            <family val="2"/>
          </rPr>
          <t xml:space="preserve">) 
(5/14) 
</t>
        </r>
      </text>
    </comment>
    <comment ref="G622" authorId="0">
      <text>
        <r>
          <rPr>
            <sz val="10"/>
            <rFont val="Arial"/>
            <family val="2"/>
          </rPr>
          <t xml:space="preserve">nexpia </t>
        </r>
        <r>
          <rPr>
            <sz val="10"/>
            <rFont val="Noto Sans CJK SC"/>
            <family val="2"/>
          </rPr>
          <t xml:space="preserve">조회시
실행완료도 뜨지만
기간 오입력으로 실제 실행건 아님</t>
        </r>
        <r>
          <rPr>
            <sz val="10"/>
            <rFont val="Arial"/>
            <family val="2"/>
          </rPr>
          <t xml:space="preserve">.
-</t>
        </r>
        <r>
          <rPr>
            <sz val="10"/>
            <rFont val="Noto Sans CJK SC"/>
            <family val="2"/>
          </rPr>
          <t xml:space="preserve">오류 </t>
        </r>
        <r>
          <rPr>
            <sz val="10"/>
            <rFont val="Arial"/>
            <family val="2"/>
          </rPr>
          <t xml:space="preserve">96</t>
        </r>
        <r>
          <rPr>
            <sz val="10"/>
            <rFont val="Noto Sans CJK SC"/>
            <family val="2"/>
          </rPr>
          <t xml:space="preserve">행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정상 </t>
        </r>
        <r>
          <rPr>
            <sz val="10"/>
            <rFont val="Arial"/>
            <family val="2"/>
          </rPr>
          <t xml:space="preserve">95</t>
        </r>
        <r>
          <rPr>
            <sz val="10"/>
            <rFont val="Noto Sans CJK SC"/>
            <family val="2"/>
          </rPr>
          <t xml:space="preserve">행</t>
        </r>
      </text>
    </comment>
    <comment ref="G700" authorId="0">
      <text>
        <r>
          <rPr>
            <sz val="10"/>
            <rFont val="Arial"/>
            <family val="2"/>
          </rPr>
          <t xml:space="preserve">8/28</t>
        </r>
        <r>
          <rPr>
            <sz val="10"/>
            <rFont val="Noto Sans CJK SC"/>
            <family val="2"/>
          </rPr>
          <t xml:space="preserve">일자 </t>
        </r>
        <r>
          <rPr>
            <sz val="10"/>
            <rFont val="Arial"/>
            <family val="2"/>
          </rPr>
          <t xml:space="preserve">4.30% </t>
        </r>
        <r>
          <rPr>
            <sz val="10"/>
            <rFont val="Noto Sans CJK SC"/>
            <family val="2"/>
          </rPr>
          <t xml:space="preserve">에서 </t>
        </r>
        <r>
          <rPr>
            <sz val="10"/>
            <rFont val="Arial"/>
            <family val="2"/>
          </rPr>
          <t xml:space="preserve">4.40% </t>
        </r>
        <r>
          <rPr>
            <sz val="10"/>
            <rFont val="Noto Sans CJK SC"/>
            <family val="2"/>
          </rPr>
          <t xml:space="preserve">으로 기산일 처리함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기존 </t>
        </r>
        <r>
          <rPr>
            <sz val="10"/>
            <rFont val="Arial"/>
            <family val="2"/>
          </rPr>
          <t xml:space="preserve">4.40% </t>
        </r>
        <r>
          <rPr>
            <sz val="10"/>
            <rFont val="Noto Sans CJK SC"/>
            <family val="2"/>
          </rPr>
          <t xml:space="preserve">적용받았음 </t>
        </r>
      </text>
    </comment>
    <comment ref="G888" authorId="0">
      <text>
        <r>
          <rPr>
            <sz val="10"/>
            <rFont val="Noto Sans CJK SC"/>
            <family val="2"/>
          </rPr>
          <t xml:space="preserve">기산일 신청
</t>
        </r>
      </text>
    </comment>
    <comment ref="H278" authorId="0">
      <text>
        <r>
          <rPr>
            <sz val="10"/>
            <rFont val="Noto Sans CJK SC"/>
            <family val="2"/>
          </rPr>
          <t xml:space="preserve">만기일자 잔액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으로 
우대금리 신청 불가하여
입금 후 처리예정</t>
        </r>
      </text>
    </comment>
    <comment ref="H890" authorId="0">
      <text>
        <r>
          <rPr>
            <sz val="10"/>
            <rFont val="Noto Sans CJK SC"/>
            <family val="2"/>
          </rPr>
          <t xml:space="preserve">상환예정
</t>
        </r>
      </text>
    </comment>
    <comment ref="L718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11/1</t>
        </r>
        <r>
          <rPr>
            <sz val="10"/>
            <rFont val="Noto Sans CJK SC"/>
            <family val="2"/>
          </rPr>
          <t xml:space="preserve">일 신규 예정 
</t>
        </r>
        <r>
          <rPr>
            <sz val="10"/>
            <rFont val="Arial"/>
            <family val="2"/>
          </rPr>
          <t xml:space="preserve">4.67%</t>
        </r>
      </text>
    </comment>
    <comment ref="L730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42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43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50" authorId="0">
      <text>
        <r>
          <rPr>
            <sz val="10"/>
            <rFont val="Noto Sans CJK SC"/>
            <family val="2"/>
          </rPr>
          <t xml:space="preserve">타발실적 총 실적액 
</t>
        </r>
        <r>
          <rPr>
            <sz val="10"/>
            <rFont val="Arial"/>
            <family val="2"/>
          </rPr>
          <t xml:space="preserve">USD 78,639 </t>
        </r>
        <r>
          <rPr>
            <sz val="10"/>
            <rFont val="Noto Sans CJK SC"/>
            <family val="2"/>
          </rPr>
          <t xml:space="preserve">천미불
종합수익금액 
</t>
        </r>
        <r>
          <rPr>
            <sz val="10"/>
            <rFont val="Arial"/>
            <family val="2"/>
          </rPr>
          <t xml:space="preserve">172,799 </t>
        </r>
        <r>
          <rPr>
            <sz val="10"/>
            <rFont val="Noto Sans CJK SC"/>
            <family val="2"/>
          </rPr>
          <t xml:space="preserve">천원 
</t>
        </r>
      </text>
    </comment>
    <comment ref="L7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5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5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6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6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1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8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8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1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1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2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2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1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6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6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7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7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6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6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0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0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1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1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2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3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6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0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5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9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14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21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M7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: 2231</t>
        </r>
        <r>
          <rPr>
            <sz val="10"/>
            <rFont val="Noto Sans CJK SC"/>
            <family val="2"/>
          </rPr>
          <t xml:space="preserve">화면</t>
        </r>
      </text>
    </comment>
    <comment ref="M285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290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293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446" authorId="0">
      <text>
        <r>
          <rPr>
            <sz val="10"/>
            <rFont val="Arial"/>
            <family val="2"/>
          </rPr>
          <t xml:space="preserve">~1W &amp; </t>
        </r>
        <r>
          <rPr>
            <sz val="10"/>
            <rFont val="Noto Sans CJK SC"/>
            <family val="2"/>
          </rPr>
          <t xml:space="preserve">통지예금
평균</t>
        </r>
      </text>
    </comment>
    <comment ref="M50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17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28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3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6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7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63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71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76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N213" authorId="0">
      <text>
        <r>
          <rPr>
            <sz val="10"/>
            <rFont val="Arial"/>
            <family val="2"/>
          </rPr>
          <t xml:space="preserve">SC
</t>
        </r>
      </text>
    </comment>
    <comment ref="N231" authorId="0">
      <text>
        <r>
          <rPr>
            <sz val="10"/>
            <rFont val="Arial"/>
            <family val="2"/>
          </rPr>
          <t xml:space="preserve">SC
</t>
        </r>
      </text>
    </comment>
    <comment ref="N233" authorId="0">
      <text>
        <r>
          <rPr>
            <sz val="10"/>
            <rFont val="Arial"/>
            <family val="2"/>
          </rPr>
          <t xml:space="preserve">SC
</t>
        </r>
      </text>
    </comment>
    <comment ref="N446" authorId="0">
      <text>
        <r>
          <rPr>
            <sz val="10"/>
            <rFont val="Arial"/>
            <family val="2"/>
          </rPr>
          <t xml:space="preserve">~1W &amp; </t>
        </r>
        <r>
          <rPr>
            <sz val="10"/>
            <rFont val="Noto Sans CJK SC"/>
            <family val="2"/>
          </rPr>
          <t xml:space="preserve">통지예금 전체중 최고금리</t>
        </r>
      </text>
    </comment>
    <comment ref="Q203" authorId="0">
      <text>
        <r>
          <rPr>
            <sz val="10"/>
            <rFont val="Arial"/>
            <family val="2"/>
          </rPr>
          <t xml:space="preserve">WIN7:
1M USD</t>
        </r>
      </text>
    </comment>
    <comment ref="Q208" authorId="0">
      <text>
        <r>
          <rPr>
            <sz val="10"/>
            <rFont val="Arial"/>
            <family val="2"/>
          </rPr>
          <t xml:space="preserve">WIN7:
1M USD</t>
        </r>
      </text>
    </comment>
    <comment ref="S239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2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S244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8" authorId="0">
      <text>
        <r>
          <rPr>
            <sz val="10"/>
            <rFont val="Noto Sans CJK SC"/>
            <family val="2"/>
          </rPr>
          <t xml:space="preserve">미즈호 서울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주</t>
        </r>
      </text>
    </comment>
    <comment ref="S249" authorId="0">
      <text>
        <r>
          <rPr>
            <sz val="10"/>
            <rFont val="Noto Sans CJK SC"/>
            <family val="2"/>
          </rPr>
          <t xml:space="preserve">중국계 해외지점 평균
</t>
        </r>
        <r>
          <rPr>
            <sz val="10"/>
            <rFont val="Arial"/>
            <family val="2"/>
          </rPr>
          <t xml:space="preserve">2.50 ~ 2.70</t>
        </r>
      </text>
    </comment>
    <comment ref="S257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S272" authorId="0">
      <text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
</t>
        </r>
      </text>
    </comment>
    <comment ref="S273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4" authorId="0">
      <text>
        <r>
          <rPr>
            <sz val="10"/>
            <rFont val="Noto Sans CJK SC"/>
            <family val="2"/>
          </rPr>
          <t xml:space="preserve">중국교통은행 상해</t>
        </r>
        <r>
          <rPr>
            <sz val="10"/>
            <rFont val="Arial"/>
            <family val="2"/>
          </rPr>
          <t xml:space="preserve">OBU
6/27 ~ 8/03 @2.65%
10M </t>
        </r>
        <r>
          <rPr>
            <sz val="10"/>
            <rFont val="Noto Sans CJK SC"/>
            <family val="2"/>
          </rPr>
          <t xml:space="preserve">부분운용</t>
        </r>
      </text>
    </comment>
    <comment ref="S275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7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8" authorId="0">
      <text>
        <r>
          <rPr>
            <sz val="10"/>
            <rFont val="Noto Sans CJK SC"/>
            <family val="2"/>
          </rPr>
          <t xml:space="preserve">미즈호 동경지점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
</t>
        </r>
      </text>
    </comment>
    <comment ref="S279" authorId="0">
      <text>
        <r>
          <rPr>
            <sz val="10"/>
            <rFont val="Noto Sans CJK SC"/>
            <family val="2"/>
          </rPr>
          <t xml:space="preserve">미즈호 동경지점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
</t>
        </r>
      </text>
    </comment>
    <comment ref="S282" authorId="0">
      <text>
        <r>
          <rPr>
            <sz val="10"/>
            <rFont val="Arial"/>
            <family val="2"/>
          </rPr>
          <t xml:space="preserve">SMBS </t>
        </r>
        <r>
          <rPr>
            <sz val="10"/>
            <rFont val="Noto Sans CJK SC"/>
            <family val="2"/>
          </rPr>
          <t xml:space="preserve">비중국계 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2.13 ~ 2.17
2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2.30</t>
        </r>
      </text>
    </comment>
    <comment ref="S28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</t>
        </r>
      </text>
    </comment>
    <comment ref="S284" authorId="0">
      <text>
        <r>
          <rPr>
            <sz val="10"/>
            <rFont val="Arial"/>
            <family val="2"/>
          </rPr>
          <t xml:space="preserve">CCB_SL
</t>
        </r>
        <r>
          <rPr>
            <sz val="10"/>
            <rFont val="Noto Sans CJK SC"/>
            <family val="2"/>
          </rPr>
          <t xml:space="preserve">운용가능</t>
        </r>
      </text>
    </comment>
    <comment ref="S285" authorId="0">
      <text>
        <r>
          <rPr>
            <sz val="10"/>
            <rFont val="Arial"/>
            <family val="2"/>
          </rPr>
          <t xml:space="preserve">SMBC </t>
        </r>
        <r>
          <rPr>
            <sz val="10"/>
            <rFont val="Noto Sans CJK SC"/>
            <family val="2"/>
          </rPr>
          <t xml:space="preserve">도쿄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</t>
        </r>
      </text>
    </comment>
    <comment ref="S286" authorId="0">
      <text>
        <r>
          <rPr>
            <sz val="10"/>
            <rFont val="Noto Sans CJK SC"/>
            <family val="2"/>
          </rPr>
          <t xml:space="preserve">교통은행 서울</t>
        </r>
      </text>
    </comment>
    <comment ref="S287" authorId="0">
      <text>
        <r>
          <rPr>
            <sz val="10"/>
            <rFont val="Noto Sans CJK SC"/>
            <family val="2"/>
          </rPr>
          <t xml:space="preserve">교통은행 서울</t>
        </r>
      </text>
    </comment>
    <comment ref="S288" authorId="0">
      <text>
        <r>
          <rPr>
            <sz val="10"/>
            <rFont val="Noto Sans CJK SC"/>
            <family val="2"/>
          </rPr>
          <t xml:space="preserve">현재 운용가능한 은행 없음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자금시장에서 체결되는 금리 수준 감안</t>
        </r>
      </text>
    </comment>
    <comment ref="S292" authorId="0">
      <text>
        <r>
          <rPr>
            <sz val="10"/>
            <rFont val="Noto Sans CJK SC"/>
            <family val="2"/>
          </rPr>
          <t xml:space="preserve">미즈호 서울</t>
        </r>
      </text>
    </comment>
    <comment ref="S294" authorId="0">
      <text>
        <r>
          <rPr>
            <sz val="10"/>
            <rFont val="Noto Sans CJK SC"/>
            <family val="2"/>
          </rPr>
          <t xml:space="preserve">미즈호 서울</t>
        </r>
      </text>
    </comment>
    <comment ref="S325" authorId="0">
      <text>
        <r>
          <rPr>
            <sz val="10"/>
            <rFont val="Noto Sans CJK SC"/>
            <family val="2"/>
          </rPr>
          <t xml:space="preserve">수협</t>
        </r>
      </text>
    </comment>
    <comment ref="S452" authorId="0">
      <text>
        <r>
          <rPr>
            <sz val="10"/>
            <rFont val="Noto Sans CJK SC"/>
            <family val="2"/>
          </rPr>
          <t xml:space="preserve">중국계 기준
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실제 운용없음</t>
        </r>
        <r>
          <rPr>
            <sz val="10"/>
            <rFont val="Arial"/>
            <family val="2"/>
          </rPr>
          <t xml:space="preserve">)</t>
        </r>
      </text>
    </comment>
    <comment ref="U239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2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3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U244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7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57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U259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26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261" authorId="0">
      <text>
        <r>
          <rPr>
            <sz val="10"/>
            <rFont val="Arial"/>
            <family val="2"/>
          </rPr>
          <t xml:space="preserve">EUR/USD  5/25 ~ 1</t>
        </r>
        <r>
          <rPr>
            <sz val="10"/>
            <rFont val="Noto Sans CJK SC"/>
            <family val="2"/>
          </rPr>
          <t xml:space="preserve">년
</t>
        </r>
        <r>
          <rPr>
            <sz val="10"/>
            <rFont val="Arial"/>
            <family val="2"/>
          </rPr>
          <t xml:space="preserve">+ 365.47
3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2.6243%
6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2.7018%
</t>
        </r>
      </text>
    </comment>
    <comment ref="U264" authorId="0">
      <text>
        <r>
          <rPr>
            <sz val="10"/>
            <rFont val="Arial"/>
            <family val="2"/>
          </rPr>
          <t xml:space="preserve">EUR/USD  5/30 ~ 8/30
+ 83.41</t>
        </r>
      </text>
    </comment>
    <comment ref="U266" authorId="0">
      <text>
        <r>
          <rPr>
            <sz val="10"/>
            <rFont val="Arial"/>
            <family val="2"/>
          </rPr>
          <t xml:space="preserve">EUR/USD  6/04 ~ 9/04
+ 80.732</t>
        </r>
      </text>
    </comment>
    <comment ref="U272" authorId="0">
      <text>
        <r>
          <rPr>
            <sz val="10"/>
            <rFont val="Arial"/>
            <family val="2"/>
          </rPr>
          <t xml:space="preserve">EUR/USD  1m +28.885</t>
        </r>
      </text>
    </comment>
    <comment ref="U273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74" authorId="0">
      <text>
        <r>
          <rPr>
            <sz val="10"/>
            <rFont val="Arial"/>
            <family val="2"/>
          </rPr>
          <t xml:space="preserve">EUR/USD  6/25 ~ 8/23
+ 50.754</t>
        </r>
      </text>
    </comment>
    <comment ref="U275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76" authorId="0">
      <text>
        <r>
          <rPr>
            <sz val="10"/>
            <rFont val="Arial"/>
            <family val="2"/>
          </rPr>
          <t xml:space="preserve">EUR/USD  7/13 ~10/13
+ 80.70</t>
        </r>
      </text>
    </comment>
    <comment ref="U277" authorId="0">
      <text>
        <r>
          <rPr>
            <sz val="10"/>
            <rFont val="Arial"/>
            <family val="2"/>
          </rPr>
          <t xml:space="preserve">EUR/USD  7/05 ~ 8/05
+ 26.65</t>
        </r>
      </text>
    </comment>
    <comment ref="U278" authorId="0">
      <text>
        <r>
          <rPr>
            <sz val="10"/>
            <rFont val="Arial"/>
            <family val="2"/>
          </rPr>
          <t xml:space="preserve">EUR/USD  7/05 ~ 7/12
+ 5.64</t>
        </r>
      </text>
    </comment>
    <comment ref="U279" authorId="0">
      <text>
        <r>
          <rPr>
            <sz val="10"/>
            <rFont val="Arial"/>
            <family val="2"/>
          </rPr>
          <t xml:space="preserve">EUR/USD  7/05 ~ 7/12
+ 5.64</t>
        </r>
      </text>
    </comment>
    <comment ref="U281" authorId="0">
      <text>
        <r>
          <rPr>
            <sz val="10"/>
            <rFont val="Arial"/>
            <family val="2"/>
          </rPr>
          <t xml:space="preserve">EUR/USD 
1month +25.79  2.4346%
3month +79.08  2.5432%
</t>
        </r>
      </text>
    </comment>
    <comment ref="U282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83" authorId="0">
      <text>
        <r>
          <rPr>
            <sz val="10"/>
            <rFont val="Arial"/>
            <family val="2"/>
          </rPr>
          <t xml:space="preserve">EUR/USD
3month +80.344  2.5556%
</t>
        </r>
      </text>
    </comment>
    <comment ref="U284" authorId="0">
      <text>
        <r>
          <rPr>
            <sz val="10"/>
            <rFont val="Arial"/>
            <family val="2"/>
          </rPr>
          <t xml:space="preserve">EUR/USD  8/8 ~ 9/6
+ 23.70</t>
        </r>
      </text>
    </comment>
    <comment ref="U285" authorId="0">
      <text>
        <r>
          <rPr>
            <sz val="10"/>
            <rFont val="Arial"/>
            <family val="2"/>
          </rPr>
          <t xml:space="preserve">EUR/USD  8/6 ~ 8/13
+ 5.47</t>
        </r>
      </text>
    </comment>
    <comment ref="U286" authorId="0">
      <text>
        <r>
          <rPr>
            <sz val="10"/>
            <rFont val="Arial"/>
            <family val="2"/>
          </rPr>
          <t xml:space="preserve">EUR/USD  8/27 ~ 9/27
+ 25.124</t>
        </r>
      </text>
    </comment>
    <comment ref="U287" authorId="0">
      <text>
        <r>
          <rPr>
            <sz val="10"/>
            <rFont val="Arial"/>
            <family val="2"/>
          </rPr>
          <t xml:space="preserve">EUR/USD  8/27 ~ 9/27
+ 25.124</t>
        </r>
      </text>
    </comment>
    <comment ref="U289" authorId="0">
      <text>
        <r>
          <rPr>
            <sz val="10"/>
            <rFont val="Arial"/>
            <family val="2"/>
          </rPr>
          <t xml:space="preserve">EUR/USD 
08-30~11-30
+81.26</t>
        </r>
      </text>
    </comment>
    <comment ref="U290" authorId="0">
      <text>
        <r>
          <rPr>
            <sz val="10"/>
            <rFont val="Arial"/>
            <family val="2"/>
          </rPr>
          <t xml:space="preserve">EUR/USD  8/30 ~ 9/6
+ 5.8</t>
        </r>
      </text>
    </comment>
    <comment ref="U291" authorId="0">
      <text>
        <r>
          <rPr>
            <sz val="10"/>
            <rFont val="Arial"/>
            <family val="2"/>
          </rPr>
          <t xml:space="preserve">EUR/USD 
18.09.04~18.12.04
+82</t>
        </r>
      </text>
    </comment>
    <comment ref="U292" authorId="0">
      <text>
        <r>
          <rPr>
            <sz val="10"/>
            <rFont val="Arial"/>
            <family val="2"/>
          </rPr>
          <t xml:space="preserve">EUR/USD 
18.09.06~18.10.06
+27</t>
        </r>
      </text>
    </comment>
    <comment ref="U293" authorId="0">
      <text>
        <r>
          <rPr>
            <sz val="10"/>
            <rFont val="Arial"/>
            <family val="2"/>
          </rPr>
          <t xml:space="preserve">EUR/USD 
18.09.06~18.09.13
+5.5</t>
        </r>
      </text>
    </comment>
    <comment ref="U294" authorId="0">
      <text>
        <r>
          <rPr>
            <sz val="10"/>
            <rFont val="Arial"/>
            <family val="2"/>
          </rPr>
          <t xml:space="preserve">EUR/USD 
18.09.06~18.10.06
+27</t>
        </r>
      </text>
    </comment>
    <comment ref="U295" authorId="0">
      <text>
        <r>
          <rPr>
            <sz val="10"/>
            <rFont val="Arial"/>
            <family val="2"/>
          </rPr>
          <t xml:space="preserve">EUR/USD 
18.09.17~18.10.18
+26.7
</t>
        </r>
      </text>
    </comment>
    <comment ref="U297" authorId="0">
      <text>
        <r>
          <rPr>
            <sz val="10"/>
            <rFont val="Arial"/>
            <family val="2"/>
          </rPr>
          <t xml:space="preserve">EUR/USD 
18.09.28~18.12.28
+81.8
</t>
        </r>
      </text>
    </comment>
    <comment ref="U298" authorId="0">
      <text>
        <r>
          <rPr>
            <sz val="10"/>
            <rFont val="Arial"/>
            <family val="2"/>
          </rPr>
          <t xml:space="preserve">EUR/USD 
18.09.28~18.12.28
+81.8
</t>
        </r>
      </text>
    </comment>
    <comment ref="U299" authorId="0">
      <text>
        <r>
          <rPr>
            <sz val="10"/>
            <rFont val="Arial"/>
            <family val="2"/>
          </rPr>
          <t xml:space="preserve">EUR/USD 
18.10.01~18.10.09
+7.2
</t>
        </r>
      </text>
    </comment>
    <comment ref="U304" authorId="0">
      <text>
        <r>
          <rPr>
            <sz val="10"/>
            <rFont val="Arial"/>
            <family val="2"/>
          </rPr>
          <t xml:space="preserve">EUR/USD 
18.10.18~18.10.22
+30
</t>
        </r>
      </text>
    </comment>
    <comment ref="U305" authorId="0">
      <text>
        <r>
          <rPr>
            <sz val="10"/>
            <rFont val="Arial"/>
            <family val="2"/>
          </rPr>
          <t xml:space="preserve">EUR/USD 
18.10.18~18.12.06
+43.6
</t>
        </r>
      </text>
    </comment>
    <comment ref="U310" authorId="0">
      <text>
        <r>
          <rPr>
            <sz val="10"/>
            <rFont val="Noto Sans CJK SC"/>
            <family val="2"/>
          </rPr>
          <t xml:space="preserve">유로 스왑 불가능 </t>
        </r>
        <r>
          <rPr>
            <sz val="10"/>
            <rFont val="Arial"/>
            <family val="2"/>
          </rPr>
          <t xml:space="preserve">(11</t>
        </r>
        <r>
          <rPr>
            <sz val="10"/>
            <rFont val="Noto Sans CJK SC"/>
            <family val="2"/>
          </rPr>
          <t xml:space="preserve">월말 잔액 ↓</t>
        </r>
      </text>
    </comment>
    <comment ref="U322" authorId="0">
      <text>
        <r>
          <rPr>
            <sz val="10"/>
            <rFont val="Arial"/>
            <family val="2"/>
          </rPr>
          <t xml:space="preserve">EUR/USD 
18.12.20~19.01.18
+32.38</t>
        </r>
      </text>
    </comment>
    <comment ref="U327" authorId="0">
      <text>
        <r>
          <rPr>
            <sz val="10"/>
            <rFont val="Arial"/>
            <family val="2"/>
          </rPr>
          <t xml:space="preserve">EUR/USD
1M +32.2450
</t>
        </r>
      </text>
    </comment>
    <comment ref="U338" authorId="0">
      <text>
        <r>
          <rPr>
            <sz val="10"/>
            <rFont val="Arial"/>
            <family val="2"/>
          </rPr>
          <t xml:space="preserve">EUR/USD
3M +87.264
</t>
        </r>
      </text>
    </comment>
    <comment ref="U339" authorId="0">
      <text>
        <r>
          <rPr>
            <sz val="10"/>
            <rFont val="Arial"/>
            <family val="2"/>
          </rPr>
          <t xml:space="preserve">EUR/USD 
</t>
        </r>
        <r>
          <rPr>
            <sz val="10"/>
            <rFont val="Noto Sans CJK SC"/>
            <family val="2"/>
          </rPr>
          <t xml:space="preserve">예치한도 여유 없음
거래불가
</t>
        </r>
      </text>
    </comment>
    <comment ref="U344" authorId="0">
      <text>
        <r>
          <rPr>
            <sz val="10"/>
            <rFont val="Arial"/>
            <family val="2"/>
          </rPr>
          <t xml:space="preserve">EUR/USD
12M +341.175
</t>
        </r>
      </text>
    </comment>
    <comment ref="U386" authorId="0">
      <text>
        <r>
          <rPr>
            <sz val="10"/>
            <rFont val="Arial"/>
            <family val="2"/>
          </rPr>
          <t xml:space="preserve">EUR/USD
3M +87.264
</t>
        </r>
      </text>
    </comment>
    <comment ref="U432" authorId="0">
      <text>
        <r>
          <rPr>
            <sz val="10"/>
            <rFont val="Arial"/>
            <family val="2"/>
          </rPr>
          <t xml:space="preserve">EUR/USD
1M +21.2</t>
        </r>
      </text>
    </comment>
    <comment ref="U438" authorId="0">
      <text>
        <r>
          <rPr>
            <sz val="10"/>
            <rFont val="Arial"/>
            <family val="2"/>
          </rPr>
          <t xml:space="preserve">EUR/USD 
1M + 18.38</t>
        </r>
      </text>
    </comment>
    <comment ref="U471" authorId="0">
      <text>
        <r>
          <rPr>
            <sz val="10"/>
            <rFont val="Arial"/>
            <family val="2"/>
          </rPr>
          <t xml:space="preserve">EUR/USD 
3M + 21.7</t>
        </r>
      </text>
    </comment>
    <comment ref="U473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4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5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6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7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8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9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83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84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85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97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98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01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02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513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21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35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582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583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592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62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V285" authorId="0">
      <text>
        <r>
          <rPr>
            <sz val="10"/>
            <rFont val="Noto Sans CJK SC"/>
            <family val="2"/>
          </rPr>
          <t xml:space="preserve">외화</t>
        </r>
        <r>
          <rPr>
            <sz val="10"/>
            <rFont val="Arial"/>
            <family val="2"/>
          </rPr>
          <t xml:space="preserve">MMDA</t>
        </r>
      </text>
    </comment>
    <comment ref="W566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W567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W568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X566" authorId="0">
      <text>
        <r>
          <rPr>
            <sz val="10"/>
            <rFont val="Noto Sans CJK SC"/>
            <family val="2"/>
          </rPr>
          <t xml:space="preserve">신종수시스템
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수기차감</t>
        </r>
      </text>
    </comment>
    <comment ref="X567" authorId="0">
      <text>
        <r>
          <rPr>
            <sz val="10"/>
            <rFont val="Noto Sans CJK SC"/>
            <family val="2"/>
          </rPr>
          <t xml:space="preserve">신종수시스템
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수기차감</t>
        </r>
      </text>
    </comment>
    <comment ref="Y7" authorId="0">
      <text>
        <r>
          <rPr>
            <sz val="10"/>
            <rFont val="Noto Sans CJK SC"/>
            <family val="2"/>
          </rPr>
          <t xml:space="preserve">넥스피아 </t>
        </r>
        <r>
          <rPr>
            <sz val="10"/>
            <rFont val="Arial"/>
            <family val="2"/>
          </rPr>
          <t xml:space="preserve">7452</t>
        </r>
      </text>
    </comment>
    <comment ref="Y8" authorId="0">
      <text>
        <r>
          <rPr>
            <sz val="10"/>
            <rFont val="Noto Sans CJK SC"/>
            <family val="2"/>
          </rPr>
          <t xml:space="preserve">넥스피아 </t>
        </r>
        <r>
          <rPr>
            <sz val="10"/>
            <rFont val="Arial"/>
            <family val="2"/>
          </rPr>
          <t xml:space="preserve">7452</t>
        </r>
      </text>
    </comment>
    <comment ref="Z8" authorId="0">
      <text>
        <r>
          <rPr>
            <sz val="10"/>
            <rFont val="Noto Sans CJK SC"/>
            <family val="2"/>
          </rPr>
          <t xml:space="preserve">예보료</t>
        </r>
      </text>
    </comment>
    <comment ref="AD83" authorId="0">
      <text>
        <r>
          <rPr>
            <sz val="10"/>
            <rFont val="Noto Sans CJK SC"/>
            <family val="2"/>
          </rPr>
          <t xml:space="preserve">타기관 </t>
        </r>
        <r>
          <rPr>
            <sz val="10"/>
            <rFont val="Arial"/>
            <family val="2"/>
          </rPr>
          <t xml:space="preserve">1.5%</t>
        </r>
        <r>
          <rPr>
            <sz val="10"/>
            <rFont val="Noto Sans CJK SC"/>
            <family val="2"/>
          </rPr>
          <t xml:space="preserve">이상 제시</t>
        </r>
      </text>
    </comment>
    <comment ref="AD254" authorId="0">
      <text>
        <r>
          <rPr>
            <sz val="10"/>
            <rFont val="Arial"/>
            <family val="2"/>
          </rPr>
          <t xml:space="preserve">1.8, 1.85, 2.2 (1,3,6)</t>
        </r>
      </text>
    </comment>
    <comment ref="AD255" authorId="0">
      <text>
        <r>
          <rPr>
            <sz val="10"/>
            <rFont val="Arial"/>
            <family val="2"/>
          </rPr>
          <t xml:space="preserve">1.6, 1.7~1.8, 2.1~2.15, 2.25~2.3</t>
        </r>
      </text>
    </comment>
    <comment ref="AD1175" authorId="0">
      <text>
        <r>
          <rPr>
            <sz val="10"/>
            <rFont val="Arial"/>
            <family val="2"/>
          </rPr>
          <t xml:space="preserve">4/20 </t>
        </r>
        <r>
          <rPr>
            <sz val="10"/>
            <rFont val="Noto Sans CJK SC"/>
            <family val="2"/>
          </rPr>
          <t xml:space="preserve">이후 </t>
        </r>
        <r>
          <rPr>
            <sz val="10"/>
            <rFont val="Arial"/>
            <family val="2"/>
          </rPr>
          <t xml:space="preserve">3.20%</t>
        </r>
      </text>
    </comment>
    <comment ref="AL261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L262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L263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97" authorId="0">
      <text>
        <r>
          <rPr>
            <sz val="10"/>
            <rFont val="Noto Sans CJK SC"/>
            <family val="2"/>
          </rPr>
          <t xml:space="preserve">일반자금대출 
</t>
        </r>
        <r>
          <rPr>
            <sz val="10"/>
            <rFont val="Arial"/>
            <family val="2"/>
          </rPr>
          <t xml:space="preserve">35,000</t>
        </r>
        <r>
          <rPr>
            <sz val="10"/>
            <rFont val="Noto Sans CJK SC"/>
            <family val="2"/>
          </rPr>
          <t xml:space="preserve">백만 
국내펌이체 거래 
외화</t>
        </r>
        <r>
          <rPr>
            <sz val="10"/>
            <rFont val="Arial"/>
            <family val="2"/>
          </rPr>
          <t xml:space="preserve">mmda </t>
        </r>
        <r>
          <rPr>
            <sz val="10"/>
            <rFont val="Noto Sans CJK SC"/>
            <family val="2"/>
          </rPr>
          <t xml:space="preserve">거래중 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6" authorId="0">
      <text>
        <r>
          <rPr>
            <sz val="10"/>
            <rFont val="Arial"/>
            <family val="2"/>
          </rPr>
          <t xml:space="preserve">
1. American Term (XXX/USD) 
    : </t>
        </r>
        <r>
          <rPr>
            <sz val="10"/>
            <rFont val="Noto Sans CJK SC"/>
            <family val="2"/>
          </rPr>
          <t xml:space="preserve">미국입장에서 외국통화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단위의 가치를 미달러화로 표시하는 자국통화 표시방법
      ☞ </t>
        </r>
        <r>
          <rPr>
            <sz val="10"/>
            <rFont val="Arial"/>
            <family val="2"/>
          </rPr>
          <t xml:space="preserve">1 EUR = 1.2304 USD , 1 GBP = 1.38508 USD </t>
        </r>
        <r>
          <rPr>
            <sz val="10"/>
            <rFont val="Noto Sans CJK SC"/>
            <family val="2"/>
          </rPr>
          <t xml:space="preserve">등
</t>
        </r>
        <r>
          <rPr>
            <sz val="10"/>
            <rFont val="Arial"/>
            <family val="2"/>
          </rPr>
          <t xml:space="preserve">2. European Term (USD/XXX)
    : </t>
        </r>
        <r>
          <rPr>
            <sz val="10"/>
            <rFont val="Noto Sans CJK SC"/>
            <family val="2"/>
          </rPr>
          <t xml:space="preserve">미국 이외의 여타국 입장에서 미달러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단위의 가치를 외국통화로 표시하는 외국통화표시방법
      ☞ </t>
        </r>
        <r>
          <rPr>
            <sz val="10"/>
            <rFont val="Arial"/>
            <family val="2"/>
          </rPr>
          <t xml:space="preserve">1 USD = 1,065.24 KRW , 1 USD = 7.8381 HKD </t>
        </r>
        <r>
          <rPr>
            <sz val="10"/>
            <rFont val="Noto Sans CJK SC"/>
            <family val="2"/>
          </rPr>
          <t xml:space="preserve">등 
    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84" authorId="0">
      <text>
        <r>
          <rPr>
            <sz val="10"/>
            <rFont val="Noto Sans CJK SC"/>
            <family val="2"/>
          </rPr>
          <t xml:space="preserve">본부신청일 </t>
        </r>
        <r>
          <rPr>
            <sz val="10"/>
            <rFont val="Arial"/>
            <family val="2"/>
          </rPr>
          <t xml:space="preserve">7/16
</t>
        </r>
      </text>
    </comment>
    <comment ref="J2" authorId="0">
      <text>
        <r>
          <rPr>
            <sz val="10"/>
            <rFont val="Noto Sans CJK SC"/>
            <family val="2"/>
          </rPr>
          <t xml:space="preserve">자동계산</t>
        </r>
      </text>
    </comment>
    <comment ref="O878" authorId="0">
      <text>
        <r>
          <rPr>
            <sz val="10"/>
            <rFont val="Arial"/>
            <family val="2"/>
          </rPr>
          <t xml:space="preserve">6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sofr +1.68(</t>
        </r>
        <r>
          <rPr>
            <sz val="10"/>
            <rFont val="Noto Sans CJK SC"/>
            <family val="2"/>
          </rPr>
          <t xml:space="preserve">올인가산금리</t>
        </r>
        <r>
          <rPr>
            <sz val="10"/>
            <rFont val="Arial"/>
            <family val="2"/>
          </rPr>
          <t xml:space="preserve">)
</t>
        </r>
      </text>
    </comment>
    <comment ref="O885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 변동 금리 
퇴직연금 요구불예금 
유치업체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7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: 2231</t>
        </r>
        <r>
          <rPr>
            <sz val="10"/>
            <rFont val="Noto Sans CJK SC"/>
            <family val="2"/>
          </rPr>
          <t xml:space="preserve">화면</t>
        </r>
      </text>
    </comment>
    <comment ref="J213" authorId="0">
      <text>
        <r>
          <rPr>
            <sz val="10"/>
            <rFont val="Arial"/>
            <family val="2"/>
          </rPr>
          <t xml:space="preserve">SC
</t>
        </r>
      </text>
    </comment>
    <comment ref="J231" authorId="0">
      <text>
        <r>
          <rPr>
            <sz val="10"/>
            <rFont val="Arial"/>
            <family val="2"/>
          </rPr>
          <t xml:space="preserve">SC
</t>
        </r>
      </text>
    </comment>
    <comment ref="J233" authorId="0">
      <text>
        <r>
          <rPr>
            <sz val="10"/>
            <rFont val="Arial"/>
            <family val="2"/>
          </rPr>
          <t xml:space="preserve">SC
</t>
        </r>
      </text>
    </comment>
    <comment ref="L203" authorId="0">
      <text>
        <r>
          <rPr>
            <sz val="10"/>
            <rFont val="Arial"/>
            <family val="2"/>
          </rPr>
          <t xml:space="preserve">WIN7:
1M USD</t>
        </r>
      </text>
    </comment>
    <comment ref="L208" authorId="0">
      <text>
        <r>
          <rPr>
            <sz val="10"/>
            <rFont val="Arial"/>
            <family val="2"/>
          </rPr>
          <t xml:space="preserve">WIN7:
1M USD</t>
        </r>
      </text>
    </comment>
    <comment ref="N239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2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N244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8" authorId="0">
      <text>
        <r>
          <rPr>
            <sz val="10"/>
            <rFont val="Noto Sans CJK SC"/>
            <family val="2"/>
          </rPr>
          <t xml:space="preserve">미즈호 서울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주</t>
        </r>
      </text>
    </comment>
    <comment ref="N249" authorId="0">
      <text>
        <r>
          <rPr>
            <sz val="10"/>
            <rFont val="Noto Sans CJK SC"/>
            <family val="2"/>
          </rPr>
          <t xml:space="preserve">중국계 해외지점 평균
</t>
        </r>
        <r>
          <rPr>
            <sz val="10"/>
            <rFont val="Arial"/>
            <family val="2"/>
          </rPr>
          <t xml:space="preserve">2.50 ~ 2.70</t>
        </r>
      </text>
    </comment>
    <comment ref="N257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N272" authorId="0">
      <text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
</t>
        </r>
      </text>
    </comment>
    <comment ref="P239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2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3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P244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7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57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P259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P26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P261" authorId="0">
      <text>
        <r>
          <rPr>
            <sz val="10"/>
            <rFont val="Arial"/>
            <family val="2"/>
          </rPr>
          <t xml:space="preserve">EUR/USD  5/25 ~ 1</t>
        </r>
        <r>
          <rPr>
            <sz val="10"/>
            <rFont val="Noto Sans CJK SC"/>
            <family val="2"/>
          </rPr>
          <t xml:space="preserve">년
</t>
        </r>
        <r>
          <rPr>
            <sz val="10"/>
            <rFont val="Arial"/>
            <family val="2"/>
          </rPr>
          <t xml:space="preserve">+ 365.47
3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2.6243%
6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2.7018%
</t>
        </r>
      </text>
    </comment>
    <comment ref="P264" authorId="0">
      <text>
        <r>
          <rPr>
            <sz val="10"/>
            <rFont val="Arial"/>
            <family val="2"/>
          </rPr>
          <t xml:space="preserve">EUR/USD  5/30 ~ 8/30
+ 83.41</t>
        </r>
      </text>
    </comment>
    <comment ref="P266" authorId="0">
      <text>
        <r>
          <rPr>
            <sz val="10"/>
            <rFont val="Arial"/>
            <family val="2"/>
          </rPr>
          <t xml:space="preserve">EUR/USD  6/04 ~ 9/04
+ 80.732</t>
        </r>
      </text>
    </comment>
    <comment ref="P272" authorId="0">
      <text>
        <r>
          <rPr>
            <sz val="10"/>
            <rFont val="Arial"/>
            <family val="2"/>
          </rPr>
          <t xml:space="preserve">EUR/USD  1m +28.885</t>
        </r>
      </text>
    </comment>
    <comment ref="P273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AC83" authorId="0">
      <text>
        <r>
          <rPr>
            <sz val="10"/>
            <rFont val="Noto Sans CJK SC"/>
            <family val="2"/>
          </rPr>
          <t xml:space="preserve">타기관 </t>
        </r>
        <r>
          <rPr>
            <sz val="10"/>
            <rFont val="Arial"/>
            <family val="2"/>
          </rPr>
          <t xml:space="preserve">1.5%</t>
        </r>
        <r>
          <rPr>
            <sz val="10"/>
            <rFont val="Noto Sans CJK SC"/>
            <family val="2"/>
          </rPr>
          <t xml:space="preserve">이상 제시</t>
        </r>
      </text>
    </comment>
    <comment ref="AC254" authorId="0">
      <text>
        <r>
          <rPr>
            <sz val="10"/>
            <rFont val="Arial"/>
            <family val="2"/>
          </rPr>
          <t xml:space="preserve">1.8, 1.85, 2.2 (1,3,6)</t>
        </r>
      </text>
    </comment>
    <comment ref="AC255" authorId="0">
      <text>
        <r>
          <rPr>
            <sz val="10"/>
            <rFont val="Arial"/>
            <family val="2"/>
          </rPr>
          <t xml:space="preserve">1.6, 1.7~1.8, 2.1~2.15, 2.25~2.3</t>
        </r>
      </text>
    </comment>
    <comment ref="AM261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M262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M263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</commentList>
</comments>
</file>

<file path=xl/sharedStrings.xml><?xml version="1.0" encoding="utf-8"?>
<sst xmlns="http://schemas.openxmlformats.org/spreadsheetml/2006/main" count="21841" uniqueCount="3309">
  <si>
    <t xml:space="preserve">■ 외화예금 금리승인 절차</t>
  </si>
  <si>
    <t xml:space="preserve">1</t>
  </si>
  <si>
    <t xml:space="preserve">신청 세부내용 확인</t>
  </si>
  <si>
    <r>
      <rPr>
        <sz val="10"/>
        <color rgb="FF404040"/>
        <rFont val="Noto Sans CJK SC"/>
        <family val="2"/>
      </rPr>
      <t xml:space="preserve">고시금리 </t>
    </r>
    <r>
      <rPr>
        <sz val="10"/>
        <color rgb="FF404040"/>
        <rFont val="맑은 고딕"/>
        <family val="0"/>
        <charset val="1"/>
      </rPr>
      <t xml:space="preserve">· </t>
    </r>
    <r>
      <rPr>
        <sz val="10"/>
        <color rgb="FF404040"/>
        <rFont val="Noto Sans CJK SC"/>
        <family val="2"/>
      </rPr>
      <t xml:space="preserve">가산금리 </t>
    </r>
    <r>
      <rPr>
        <sz val="10"/>
        <color rgb="FF404040"/>
        <rFont val="맑은 고딕"/>
        <family val="0"/>
        <charset val="1"/>
      </rPr>
      <t xml:space="preserve">· </t>
    </r>
    <r>
      <rPr>
        <sz val="10"/>
        <color rgb="FF404040"/>
        <rFont val="Noto Sans CJK SC"/>
        <family val="2"/>
      </rPr>
      <t xml:space="preserve">최종금리 </t>
    </r>
    <r>
      <rPr>
        <sz val="10"/>
        <color rgb="FF404040"/>
        <rFont val="맑은 고딕"/>
        <family val="0"/>
        <charset val="1"/>
      </rPr>
      <t xml:space="preserve">· </t>
    </r>
    <r>
      <rPr>
        <sz val="10"/>
        <color rgb="FF404040"/>
        <rFont val="Noto Sans CJK SC"/>
        <family val="2"/>
      </rPr>
      <t xml:space="preserve">상품 </t>
    </r>
    <r>
      <rPr>
        <sz val="10"/>
        <color rgb="FF404040"/>
        <rFont val="맑은 고딕"/>
        <family val="0"/>
        <charset val="1"/>
      </rPr>
      <t xml:space="preserve">· </t>
    </r>
    <r>
      <rPr>
        <sz val="10"/>
        <color rgb="FF404040"/>
        <rFont val="Noto Sans CJK SC"/>
        <family val="2"/>
      </rPr>
      <t xml:space="preserve">기간 등 확인</t>
    </r>
  </si>
  <si>
    <t xml:space="preserve">2</t>
  </si>
  <si>
    <t xml:space="preserve">결재자 배정</t>
  </si>
  <si>
    <r>
      <rPr>
        <sz val="10"/>
        <color rgb="FF404040"/>
        <rFont val="맑은 고딕"/>
        <family val="0"/>
        <charset val="1"/>
      </rPr>
      <t xml:space="preserve">1</t>
    </r>
    <r>
      <rPr>
        <sz val="10"/>
        <color rgb="FF404040"/>
        <rFont val="Noto Sans CJK SC"/>
        <family val="2"/>
      </rPr>
      <t xml:space="preserve">차 결재자 체크 → 부장님 체크 → 후결 체크</t>
    </r>
  </si>
  <si>
    <t xml:space="preserve">3</t>
  </si>
  <si>
    <t xml:space="preserve">심사의견 작성</t>
  </si>
  <si>
    <r>
      <rPr>
        <sz val="10"/>
        <color rgb="FF404040"/>
        <rFont val="Noto Sans CJK SC"/>
        <family val="2"/>
      </rPr>
      <t xml:space="preserve">승인조건 및 심사의견 작성 후 </t>
    </r>
    <r>
      <rPr>
        <sz val="10"/>
        <color rgb="FF404040"/>
        <rFont val="맑은 고딕"/>
        <family val="0"/>
        <charset val="1"/>
      </rPr>
      <t xml:space="preserve">[</t>
    </r>
    <r>
      <rPr>
        <sz val="10"/>
        <color rgb="FF404040"/>
        <rFont val="Noto Sans CJK SC"/>
        <family val="2"/>
      </rPr>
      <t xml:space="preserve">심사의견 저장</t>
    </r>
    <r>
      <rPr>
        <sz val="10"/>
        <color rgb="FF404040"/>
        <rFont val="맑은 고딕"/>
        <family val="0"/>
        <charset val="1"/>
      </rPr>
      <t xml:space="preserve">]</t>
    </r>
  </si>
  <si>
    <t xml:space="preserve">4</t>
  </si>
  <si>
    <t xml:space="preserve">결재</t>
  </si>
  <si>
    <r>
      <rPr>
        <sz val="10"/>
        <color rgb="FF404040"/>
        <rFont val="Noto Sans CJK SC"/>
        <family val="2"/>
      </rPr>
      <t xml:space="preserve">우측 상단 </t>
    </r>
    <r>
      <rPr>
        <sz val="10"/>
        <color rgb="FF404040"/>
        <rFont val="맑은 고딕"/>
        <family val="0"/>
        <charset val="1"/>
      </rPr>
      <t xml:space="preserve">[</t>
    </r>
    <r>
      <rPr>
        <sz val="10"/>
        <color rgb="FF404040"/>
        <rFont val="Noto Sans CJK SC"/>
        <family val="2"/>
      </rPr>
      <t xml:space="preserve">결재</t>
    </r>
    <r>
      <rPr>
        <sz val="10"/>
        <color rgb="FF404040"/>
        <rFont val="맑은 고딕"/>
        <family val="0"/>
        <charset val="1"/>
      </rPr>
      <t xml:space="preserve">] → [</t>
    </r>
    <r>
      <rPr>
        <sz val="10"/>
        <color rgb="FF404040"/>
        <rFont val="Noto Sans CJK SC"/>
        <family val="2"/>
      </rPr>
      <t xml:space="preserve">승인</t>
    </r>
    <r>
      <rPr>
        <sz val="10"/>
        <color rgb="FF404040"/>
        <rFont val="맑은 고딕"/>
        <family val="0"/>
        <charset val="1"/>
      </rPr>
      <t xml:space="preserve">] </t>
    </r>
    <r>
      <rPr>
        <sz val="10"/>
        <color rgb="FF404040"/>
        <rFont val="Noto Sans CJK SC"/>
        <family val="2"/>
      </rPr>
      <t xml:space="preserve">클릭   </t>
    </r>
    <r>
      <rPr>
        <sz val="10"/>
        <color rgb="FF404040"/>
        <rFont val="맑은 고딕"/>
        <family val="0"/>
        <charset val="1"/>
      </rPr>
      <t xml:space="preserve">(※ "</t>
    </r>
    <r>
      <rPr>
        <sz val="10"/>
        <color rgb="FF404040"/>
        <rFont val="Noto Sans CJK SC"/>
        <family val="2"/>
      </rPr>
      <t xml:space="preserve">승인완료</t>
    </r>
    <r>
      <rPr>
        <sz val="10"/>
        <color rgb="FF404040"/>
        <rFont val="맑은 고딕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가 아니라 </t>
    </r>
    <r>
      <rPr>
        <sz val="10"/>
        <color rgb="FF404040"/>
        <rFont val="맑은 고딕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승인</t>
    </r>
    <r>
      <rPr>
        <sz val="10"/>
        <color rgb="FF404040"/>
        <rFont val="맑은 고딕"/>
        <family val="0"/>
        <charset val="1"/>
      </rPr>
      <t xml:space="preserve">")</t>
    </r>
  </si>
  <si>
    <r>
      <rPr>
        <b val="true"/>
        <sz val="10"/>
        <color rgb="FFC00000"/>
        <rFont val="Noto Sans CJK SC"/>
        <family val="2"/>
      </rPr>
      <t xml:space="preserve">반려하는 경우 </t>
    </r>
    <r>
      <rPr>
        <b val="true"/>
        <sz val="10"/>
        <color rgb="FFC00000"/>
        <rFont val="맑은 고딕"/>
        <family val="0"/>
        <charset val="1"/>
      </rPr>
      <t xml:space="preserve">:  [</t>
    </r>
    <r>
      <rPr>
        <b val="true"/>
        <sz val="10"/>
        <color rgb="FFC00000"/>
        <rFont val="Noto Sans CJK SC"/>
        <family val="2"/>
      </rPr>
      <t xml:space="preserve">결재</t>
    </r>
    <r>
      <rPr>
        <b val="true"/>
        <sz val="10"/>
        <color rgb="FFC00000"/>
        <rFont val="맑은 고딕"/>
        <family val="0"/>
        <charset val="1"/>
      </rPr>
      <t xml:space="preserve">] → [</t>
    </r>
    <r>
      <rPr>
        <b val="true"/>
        <sz val="10"/>
        <color rgb="FFC00000"/>
        <rFont val="Noto Sans CJK SC"/>
        <family val="2"/>
      </rPr>
      <t xml:space="preserve">불승인</t>
    </r>
    <r>
      <rPr>
        <b val="true"/>
        <sz val="10"/>
        <color rgb="FFC00000"/>
        <rFont val="맑은 고딕"/>
        <family val="0"/>
        <charset val="1"/>
      </rPr>
      <t xml:space="preserve">] </t>
    </r>
    <r>
      <rPr>
        <b val="true"/>
        <sz val="10"/>
        <color rgb="FFC00000"/>
        <rFont val="Noto Sans CJK SC"/>
        <family val="2"/>
      </rPr>
      <t xml:space="preserve">클릭</t>
    </r>
  </si>
  <si>
    <r>
      <rPr>
        <b val="true"/>
        <sz val="10"/>
        <color rgb="FFC00000"/>
        <rFont val="Noto Sans CJK SC"/>
        <family val="2"/>
      </rPr>
      <t xml:space="preserve">참고 ▸ 우대금리 승인권자 </t>
    </r>
    <r>
      <rPr>
        <b val="true"/>
        <sz val="10"/>
        <color rgb="FFC00000"/>
        <rFont val="맑은 고딕"/>
        <family val="0"/>
        <charset val="1"/>
      </rPr>
      <t xml:space="preserve">: 1</t>
    </r>
    <r>
      <rPr>
        <b val="true"/>
        <sz val="10"/>
        <color rgb="FFC00000"/>
        <rFont val="Noto Sans CJK SC"/>
        <family val="2"/>
      </rPr>
      <t xml:space="preserve">백만불 미만 </t>
    </r>
    <r>
      <rPr>
        <b val="true"/>
        <sz val="10"/>
        <color rgb="FFC00000"/>
        <rFont val="맑은 고딕"/>
        <family val="0"/>
        <charset val="1"/>
      </rPr>
      <t xml:space="preserve">= </t>
    </r>
    <r>
      <rPr>
        <b val="true"/>
        <sz val="10"/>
        <color rgb="FFC00000"/>
        <rFont val="Noto Sans CJK SC"/>
        <family val="2"/>
      </rPr>
      <t xml:space="preserve">외환사업부장 </t>
    </r>
    <r>
      <rPr>
        <b val="true"/>
        <sz val="10"/>
        <color rgb="FFC00000"/>
        <rFont val="맑은 고딕"/>
        <family val="0"/>
        <charset val="1"/>
      </rPr>
      <t xml:space="preserve">/ 1</t>
    </r>
    <r>
      <rPr>
        <b val="true"/>
        <sz val="10"/>
        <color rgb="FFC00000"/>
        <rFont val="Noto Sans CJK SC"/>
        <family val="2"/>
      </rPr>
      <t xml:space="preserve">백만불 이상 </t>
    </r>
    <r>
      <rPr>
        <b val="true"/>
        <sz val="10"/>
        <color rgb="FFC00000"/>
        <rFont val="맑은 고딕"/>
        <family val="0"/>
        <charset val="1"/>
      </rPr>
      <t xml:space="preserve">= </t>
    </r>
    <r>
      <rPr>
        <b val="true"/>
        <sz val="10"/>
        <color rgb="FFC00000"/>
        <rFont val="Noto Sans CJK SC"/>
        <family val="2"/>
      </rPr>
      <t xml:space="preserve">자금부장</t>
    </r>
  </si>
  <si>
    <r>
      <rPr>
        <b val="true"/>
        <sz val="15"/>
        <color rgb="FF1F4E79"/>
        <rFont val="Noto Sans CJK SC"/>
        <family val="2"/>
      </rPr>
      <t xml:space="preserve">외화예금 금리승인 핵심 규정 </t>
    </r>
    <r>
      <rPr>
        <b val="true"/>
        <sz val="15"/>
        <color rgb="FF1F4E79"/>
        <rFont val="맑은 고딕"/>
        <family val="0"/>
        <charset val="1"/>
      </rPr>
      <t xml:space="preserve">(</t>
    </r>
    <r>
      <rPr>
        <b val="true"/>
        <sz val="15"/>
        <color rgb="FF1F4E79"/>
        <rFont val="Noto Sans CJK SC"/>
        <family val="2"/>
      </rPr>
      <t xml:space="preserve">담당자용</t>
    </r>
    <r>
      <rPr>
        <b val="true"/>
        <sz val="15"/>
        <color rgb="FF1F4E79"/>
        <rFont val="맑은 고딕"/>
        <family val="0"/>
        <charset val="1"/>
      </rPr>
      <t xml:space="preserve">)</t>
    </r>
  </si>
  <si>
    <r>
      <rPr>
        <sz val="9"/>
        <color rgb="FF808080"/>
        <rFont val="Noto Sans CJK SC"/>
        <family val="2"/>
      </rPr>
      <t xml:space="preserve">출처 </t>
    </r>
    <r>
      <rPr>
        <sz val="9"/>
        <color rgb="FF808080"/>
        <rFont val="맑은 고딕"/>
        <family val="0"/>
        <charset val="1"/>
      </rPr>
      <t xml:space="preserve">: </t>
    </r>
    <r>
      <rPr>
        <sz val="9"/>
        <color rgb="FF808080"/>
        <rFont val="Noto Sans CJK SC"/>
        <family val="2"/>
      </rPr>
      <t xml:space="preserve">내규 ▸ 국제금융</t>
    </r>
    <r>
      <rPr>
        <sz val="9"/>
        <color rgb="FF808080"/>
        <rFont val="맑은 고딕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외국환 ▸ 외국환업무지침 제</t>
    </r>
    <r>
      <rPr>
        <sz val="9"/>
        <color rgb="FF808080"/>
        <rFont val="맑은 고딕"/>
        <family val="0"/>
        <charset val="1"/>
      </rPr>
      <t xml:space="preserve">8</t>
    </r>
    <r>
      <rPr>
        <sz val="9"/>
        <color rgb="FF808080"/>
        <rFont val="Noto Sans CJK SC"/>
        <family val="2"/>
      </rPr>
      <t xml:space="preserve">장 외화예금  </t>
    </r>
    <r>
      <rPr>
        <sz val="9"/>
        <color rgb="FF808080"/>
        <rFont val="맑은 고딕"/>
        <family val="0"/>
        <charset val="1"/>
      </rPr>
      <t xml:space="preserve">/  </t>
    </r>
    <r>
      <rPr>
        <sz val="9"/>
        <color rgb="FF808080"/>
        <rFont val="Noto Sans CJK SC"/>
        <family val="2"/>
      </rPr>
      <t xml:space="preserve">전반관리 ▸ 종합수익관리지침</t>
    </r>
  </si>
  <si>
    <r>
      <rPr>
        <b val="true"/>
        <sz val="12"/>
        <color rgb="FFFFFFFF"/>
        <rFont val="맑은 고딕"/>
        <family val="0"/>
        <charset val="1"/>
      </rPr>
      <t xml:space="preserve">  1.  </t>
    </r>
    <r>
      <rPr>
        <b val="true"/>
        <sz val="12"/>
        <color rgb="FFFFFFFF"/>
        <rFont val="Noto Sans CJK SC"/>
        <family val="2"/>
      </rPr>
      <t xml:space="preserve">우대금리 승인권자</t>
    </r>
  </si>
  <si>
    <r>
      <rPr>
        <sz val="10.5"/>
        <color rgb="FF000000"/>
        <rFont val="Noto Sans CJK SC"/>
        <family val="2"/>
      </rPr>
      <t xml:space="preserve">     기본이율보다 우대하여 적용할 경우 주무부서장 승인을 받아 적용</t>
    </r>
    <r>
      <rPr>
        <sz val="10.5"/>
        <color rgb="FF000000"/>
        <rFont val="맑은 고딕"/>
        <family val="0"/>
        <charset val="1"/>
      </rPr>
      <t xml:space="preserve">. (</t>
    </r>
    <r>
      <rPr>
        <sz val="10.5"/>
        <color rgb="FF000000"/>
        <rFont val="Noto Sans CJK SC"/>
        <family val="2"/>
      </rPr>
      <t xml:space="preserve">외화종합통장 우대이율과 중복 시 높은 이율 하나만 적용</t>
    </r>
    <r>
      <rPr>
        <sz val="10.5"/>
        <color rgb="FF000000"/>
        <rFont val="맑은 고딕"/>
        <family val="0"/>
        <charset val="1"/>
      </rPr>
      <t xml:space="preserve">)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</si>
  <si>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원금 미화 </t>
    </r>
    <r>
      <rPr>
        <sz val="10.5"/>
        <color rgb="FF000000"/>
        <rFont val="맑은 고딕"/>
        <family val="0"/>
        <charset val="1"/>
      </rPr>
      <t xml:space="preserve">1</t>
    </r>
    <r>
      <rPr>
        <sz val="10.5"/>
        <color rgb="FF000000"/>
        <rFont val="Noto Sans CJK SC"/>
        <family val="2"/>
      </rPr>
      <t xml:space="preserve">백만불 상당액  미만  →  외환사업부장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</si>
  <si>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원금 미화 </t>
    </r>
    <r>
      <rPr>
        <sz val="10.5"/>
        <color rgb="FF000000"/>
        <rFont val="맑은 고딕"/>
        <family val="0"/>
        <charset val="1"/>
      </rPr>
      <t xml:space="preserve">1</t>
    </r>
    <r>
      <rPr>
        <sz val="10.5"/>
        <color rgb="FF000000"/>
        <rFont val="Noto Sans CJK SC"/>
        <family val="2"/>
      </rPr>
      <t xml:space="preserve">백만불 상당액  이상  →  자금부장</t>
    </r>
  </si>
  <si>
    <r>
      <rPr>
        <sz val="10.5"/>
        <color rgb="FF000000"/>
        <rFont val="Noto Sans CJK SC"/>
        <family val="2"/>
      </rPr>
      <t xml:space="preserve">     ※ 기본이율 조회 </t>
    </r>
    <r>
      <rPr>
        <sz val="10.5"/>
        <color rgb="FF000000"/>
        <rFont val="맑은 고딕"/>
        <family val="0"/>
        <charset val="1"/>
      </rPr>
      <t xml:space="preserve">: </t>
    </r>
    <r>
      <rPr>
        <sz val="10.5"/>
        <color rgb="FF000000"/>
        <rFont val="Noto Sans CJK SC"/>
        <family val="2"/>
      </rPr>
      <t xml:space="preserve">넥스피아 </t>
    </r>
    <r>
      <rPr>
        <sz val="10.5"/>
        <color rgb="FF000000"/>
        <rFont val="맑은 고딕"/>
        <family val="0"/>
        <charset val="1"/>
      </rPr>
      <t xml:space="preserve">7452 (</t>
    </r>
    <r>
      <rPr>
        <sz val="10.5"/>
        <color rgb="FF000000"/>
        <rFont val="Noto Sans CJK SC"/>
        <family val="2"/>
      </rPr>
      <t xml:space="preserve">금리주요정보조회</t>
    </r>
    <r>
      <rPr>
        <sz val="10.5"/>
        <color rgb="FF000000"/>
        <rFont val="맑은 고딕"/>
        <family val="0"/>
        <charset val="1"/>
      </rPr>
      <t xml:space="preserve">)</t>
    </r>
  </si>
  <si>
    <r>
      <rPr>
        <b val="true"/>
        <sz val="12"/>
        <color rgb="FFFFFFFF"/>
        <rFont val="맑은 고딕"/>
        <family val="0"/>
        <charset val="1"/>
      </rPr>
      <t xml:space="preserve">  2.  </t>
    </r>
    <r>
      <rPr>
        <b val="true"/>
        <sz val="12"/>
        <color rgb="FFFFFFFF"/>
        <rFont val="Noto Sans CJK SC"/>
        <family val="2"/>
      </rPr>
      <t xml:space="preserve">지급준비율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</si>
  <si>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만기 </t>
    </r>
    <r>
      <rPr>
        <sz val="10.5"/>
        <color rgb="FF000000"/>
        <rFont val="맑은 고딕"/>
        <family val="0"/>
        <charset val="1"/>
      </rPr>
      <t xml:space="preserve">1</t>
    </r>
    <r>
      <rPr>
        <sz val="10.5"/>
        <color rgb="FF000000"/>
        <rFont val="Noto Sans CJK SC"/>
        <family val="2"/>
      </rPr>
      <t xml:space="preserve">개월 이상 외화정기예금 </t>
    </r>
    <r>
      <rPr>
        <sz val="10.5"/>
        <color rgb="FF000000"/>
        <rFont val="맑은 고딕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만기 </t>
    </r>
    <r>
      <rPr>
        <sz val="10.5"/>
        <color rgb="FF000000"/>
        <rFont val="맑은 고딕"/>
        <family val="0"/>
        <charset val="1"/>
      </rPr>
      <t xml:space="preserve">30</t>
    </r>
    <r>
      <rPr>
        <sz val="10.5"/>
        <color rgb="FF000000"/>
        <rFont val="Noto Sans CJK SC"/>
        <family val="2"/>
      </rPr>
      <t xml:space="preserve">일 이상 외화</t>
    </r>
    <r>
      <rPr>
        <sz val="10.5"/>
        <color rgb="FF000000"/>
        <rFont val="맑은 고딕"/>
        <family val="0"/>
        <charset val="1"/>
      </rPr>
      <t xml:space="preserve">CD(</t>
    </r>
    <r>
      <rPr>
        <sz val="10.5"/>
        <color rgb="FF000000"/>
        <rFont val="Noto Sans CJK SC"/>
        <family val="2"/>
      </rPr>
      <t xml:space="preserve">양도성예금증서</t>
    </r>
    <r>
      <rPr>
        <sz val="10.5"/>
        <color rgb="FF000000"/>
        <rFont val="맑은 고딕"/>
        <family val="0"/>
        <charset val="1"/>
      </rPr>
      <t xml:space="preserve">) / </t>
    </r>
    <r>
      <rPr>
        <sz val="10.5"/>
        <color rgb="FF000000"/>
        <rFont val="Noto Sans CJK SC"/>
        <family val="2"/>
      </rPr>
      <t xml:space="preserve">만기 </t>
    </r>
    <r>
      <rPr>
        <sz val="10.5"/>
        <color rgb="FF000000"/>
        <rFont val="맑은 고딕"/>
        <family val="0"/>
        <charset val="1"/>
      </rPr>
      <t xml:space="preserve">6</t>
    </r>
    <r>
      <rPr>
        <sz val="10.5"/>
        <color rgb="FF000000"/>
        <rFont val="Noto Sans CJK SC"/>
        <family val="2"/>
      </rPr>
      <t xml:space="preserve">개월 이상 외화정기적금  →  </t>
    </r>
    <r>
      <rPr>
        <sz val="10.5"/>
        <color rgb="FF000000"/>
        <rFont val="맑은 고딕"/>
        <family val="0"/>
        <charset val="1"/>
      </rPr>
      <t xml:space="preserve">2%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</si>
  <si>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기타예금  →  </t>
    </r>
    <r>
      <rPr>
        <sz val="10.5"/>
        <color rgb="FF000000"/>
        <rFont val="맑은 고딕"/>
        <family val="0"/>
        <charset val="1"/>
      </rPr>
      <t xml:space="preserve">7%</t>
    </r>
  </si>
  <si>
    <r>
      <rPr>
        <b val="true"/>
        <sz val="12"/>
        <color rgb="FFFFFFFF"/>
        <rFont val="맑은 고딕"/>
        <family val="0"/>
        <charset val="1"/>
      </rPr>
      <t xml:space="preserve">  3.  </t>
    </r>
    <r>
      <rPr>
        <b val="true"/>
        <sz val="12"/>
        <color rgb="FFFFFFFF"/>
        <rFont val="Noto Sans CJK SC"/>
        <family val="2"/>
      </rPr>
      <t xml:space="preserve">외화 내부금리 </t>
    </r>
    <r>
      <rPr>
        <b val="true"/>
        <sz val="12"/>
        <color rgb="FFFFFFFF"/>
        <rFont val="맑은 고딕"/>
        <family val="0"/>
        <charset val="1"/>
      </rPr>
      <t xml:space="preserve">· </t>
    </r>
    <r>
      <rPr>
        <b val="true"/>
        <sz val="12"/>
        <color rgb="FFFFFFFF"/>
        <rFont val="Noto Sans CJK SC"/>
        <family val="2"/>
      </rPr>
      <t xml:space="preserve">자금마진 </t>
    </r>
    <r>
      <rPr>
        <b val="true"/>
        <sz val="12"/>
        <color rgb="FFFFFFFF"/>
        <rFont val="맑은 고딕"/>
        <family val="0"/>
        <charset val="1"/>
      </rPr>
      <t xml:space="preserve">(</t>
    </r>
    <r>
      <rPr>
        <b val="true"/>
        <sz val="12"/>
        <color rgb="FFFFFFFF"/>
        <rFont val="Noto Sans CJK SC"/>
        <family val="2"/>
      </rPr>
      <t xml:space="preserve">자금원가 산정 기준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</si>
  <si>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대표시장금리 </t>
    </r>
    <r>
      <rPr>
        <sz val="10.5"/>
        <color rgb="FF000000"/>
        <rFont val="맑은 고딕"/>
        <family val="0"/>
        <charset val="1"/>
      </rPr>
      <t xml:space="preserve">: LIBOR </t>
    </r>
    <r>
      <rPr>
        <sz val="10.5"/>
        <color rgb="FF000000"/>
        <rFont val="Noto Sans CJK SC"/>
        <family val="2"/>
      </rPr>
      <t xml:space="preserve">산출 중단</t>
    </r>
    <r>
      <rPr>
        <sz val="10.5"/>
        <color rgb="FF000000"/>
        <rFont val="맑은 고딕"/>
        <family val="0"/>
        <charset val="1"/>
      </rPr>
      <t xml:space="preserve">(2021~2023)</t>
    </r>
    <r>
      <rPr>
        <sz val="10.5"/>
        <color rgb="FF000000"/>
        <rFont val="Noto Sans CJK SC"/>
        <family val="2"/>
      </rPr>
      <t xml:space="preserve">으로 통화별 무위험지표금리</t>
    </r>
    <r>
      <rPr>
        <sz val="10.5"/>
        <color rgb="FF000000"/>
        <rFont val="맑은 고딕"/>
        <family val="0"/>
        <charset val="1"/>
      </rPr>
      <t xml:space="preserve">(RFR)</t>
    </r>
    <r>
      <rPr>
        <sz val="10.5"/>
        <color rgb="FF000000"/>
        <rFont val="Noto Sans CJK SC"/>
        <family val="2"/>
      </rPr>
      <t xml:space="preserve">로 전환</t>
    </r>
  </si>
  <si>
    <t xml:space="preserve">            - USD = SOFR  /  GBP = SONIA  /  EUR = €STR  /  CHF = SARON  /  JPY = TONA</t>
  </si>
  <si>
    <r>
      <rPr>
        <sz val="10.5"/>
        <color rgb="FF000000"/>
        <rFont val="맑은 고딕"/>
        <family val="0"/>
        <charset val="1"/>
      </rPr>
      <t xml:space="preserve">            - AUD·CAD·NZD = Deposit rate (CAD</t>
    </r>
    <r>
      <rPr>
        <sz val="10.5"/>
        <color rgb="FF000000"/>
        <rFont val="Noto Sans CJK SC"/>
        <family val="2"/>
      </rPr>
      <t xml:space="preserve">는 </t>
    </r>
    <r>
      <rPr>
        <sz val="10.5"/>
        <color rgb="FF000000"/>
        <rFont val="맑은 고딕"/>
        <family val="0"/>
        <charset val="1"/>
      </rPr>
      <t xml:space="preserve">CDOR→CORRA)  /  </t>
    </r>
    <r>
      <rPr>
        <sz val="10.5"/>
        <color rgb="FF000000"/>
        <rFont val="Noto Sans CJK SC"/>
        <family val="2"/>
      </rPr>
      <t xml:space="preserve">기타통화 </t>
    </r>
    <r>
      <rPr>
        <sz val="10.5"/>
        <color rgb="FF000000"/>
        <rFont val="맑은 고딕"/>
        <family val="0"/>
        <charset val="1"/>
      </rPr>
      <t xml:space="preserve">= USD </t>
    </r>
    <r>
      <rPr>
        <sz val="10.5"/>
        <color rgb="FF000000"/>
        <rFont val="Noto Sans CJK SC"/>
        <family val="2"/>
      </rPr>
      <t xml:space="preserve">기준금리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</si>
  <si>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기간구분 </t>
    </r>
    <r>
      <rPr>
        <sz val="10.5"/>
        <color rgb="FF000000"/>
        <rFont val="맑은 고딕"/>
        <family val="0"/>
        <charset val="1"/>
      </rPr>
      <t xml:space="preserve">: 1W(1</t>
    </r>
    <r>
      <rPr>
        <sz val="10.5"/>
        <color rgb="FF000000"/>
        <rFont val="Noto Sans CJK SC"/>
        <family val="2"/>
      </rPr>
      <t xml:space="preserve">주일</t>
    </r>
    <r>
      <rPr>
        <sz val="10.5"/>
        <color rgb="FF000000"/>
        <rFont val="맑은 고딕"/>
        <family val="0"/>
        <charset val="1"/>
      </rPr>
      <t xml:space="preserve">), 1M ~ 12M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</si>
  <si>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조정계수 운영주기 </t>
    </r>
    <r>
      <rPr>
        <sz val="10.5"/>
        <color rgb="FF000000"/>
        <rFont val="맑은 고딕"/>
        <family val="0"/>
        <charset val="1"/>
      </rPr>
      <t xml:space="preserve">: </t>
    </r>
    <r>
      <rPr>
        <sz val="10.5"/>
        <color rgb="FF000000"/>
        <rFont val="Noto Sans CJK SC"/>
        <family val="2"/>
      </rPr>
      <t xml:space="preserve">외화 </t>
    </r>
    <r>
      <rPr>
        <sz val="10.5"/>
        <color rgb="FF000000"/>
        <rFont val="맑은 고딕"/>
        <family val="0"/>
        <charset val="1"/>
      </rPr>
      <t xml:space="preserve">1</t>
    </r>
    <r>
      <rPr>
        <sz val="10.5"/>
        <color rgb="FF000000"/>
        <rFont val="Noto Sans CJK SC"/>
        <family val="2"/>
      </rPr>
      <t xml:space="preserve">개월 </t>
    </r>
    <r>
      <rPr>
        <sz val="10.5"/>
        <color rgb="FF000000"/>
        <rFont val="맑은 고딕"/>
        <family val="0"/>
        <charset val="1"/>
      </rPr>
      <t xml:space="preserve">(</t>
    </r>
    <r>
      <rPr>
        <sz val="10.5"/>
        <color rgb="FF000000"/>
        <rFont val="Noto Sans CJK SC"/>
        <family val="2"/>
      </rPr>
      <t xml:space="preserve">원화는 매일</t>
    </r>
    <r>
      <rPr>
        <sz val="10.5"/>
        <color rgb="FF000000"/>
        <rFont val="맑은 고딕"/>
        <family val="0"/>
        <charset val="1"/>
      </rPr>
      <t xml:space="preserve">)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</si>
  <si>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외화 환산 </t>
    </r>
    <r>
      <rPr>
        <sz val="10.5"/>
        <color rgb="FF000000"/>
        <rFont val="맑은 고딕"/>
        <family val="0"/>
        <charset val="1"/>
      </rPr>
      <t xml:space="preserve">: </t>
    </r>
    <r>
      <rPr>
        <sz val="10.5"/>
        <color rgb="FF000000"/>
        <rFont val="Noto Sans CJK SC"/>
        <family val="2"/>
      </rPr>
      <t xml:space="preserve">말일자 매매기준율로 원화환산</t>
    </r>
    <r>
      <rPr>
        <sz val="10.5"/>
        <color rgb="FF000000"/>
        <rFont val="맑은 고딕"/>
        <family val="0"/>
        <charset val="1"/>
      </rPr>
      <t xml:space="preserve">, 1</t>
    </r>
    <r>
      <rPr>
        <sz val="10.5"/>
        <color rgb="FF000000"/>
        <rFont val="Noto Sans CJK SC"/>
        <family val="2"/>
      </rPr>
      <t xml:space="preserve">년 </t>
    </r>
    <r>
      <rPr>
        <sz val="10.5"/>
        <color rgb="FF000000"/>
        <rFont val="맑은 고딕"/>
        <family val="0"/>
        <charset val="1"/>
      </rPr>
      <t xml:space="preserve">= 360</t>
    </r>
    <r>
      <rPr>
        <sz val="10.5"/>
        <color rgb="FF000000"/>
        <rFont val="Noto Sans CJK SC"/>
        <family val="2"/>
      </rPr>
      <t xml:space="preserve">일</t>
    </r>
  </si>
  <si>
    <r>
      <rPr>
        <b val="true"/>
        <sz val="10"/>
        <color rgb="FFC00000"/>
        <rFont val="Noto Sans CJK SC"/>
        <family val="2"/>
      </rPr>
      <t xml:space="preserve">     ※ 자금마진 </t>
    </r>
    <r>
      <rPr>
        <b val="true"/>
        <sz val="10"/>
        <color rgb="FFC00000"/>
        <rFont val="맑은 고딕"/>
        <family val="0"/>
        <charset val="1"/>
      </rPr>
      <t xml:space="preserve">= </t>
    </r>
    <r>
      <rPr>
        <b val="true"/>
        <sz val="10"/>
        <color rgb="FFC00000"/>
        <rFont val="Noto Sans CJK SC"/>
        <family val="2"/>
      </rPr>
      <t xml:space="preserve">승인금리</t>
    </r>
    <r>
      <rPr>
        <b val="true"/>
        <sz val="10"/>
        <color rgb="FFC00000"/>
        <rFont val="맑은 고딕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대고객</t>
    </r>
    <r>
      <rPr>
        <b val="true"/>
        <sz val="10"/>
        <color rgb="FFC00000"/>
        <rFont val="맑은 고딕"/>
        <family val="0"/>
        <charset val="1"/>
      </rPr>
      <t xml:space="preserve">) − </t>
    </r>
    <r>
      <rPr>
        <b val="true"/>
        <sz val="10"/>
        <color rgb="FFC00000"/>
        <rFont val="Noto Sans CJK SC"/>
        <family val="2"/>
      </rPr>
      <t xml:space="preserve">내부금리</t>
    </r>
    <r>
      <rPr>
        <b val="true"/>
        <sz val="10"/>
        <color rgb="FFC00000"/>
        <rFont val="맑은 고딕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자금원가</t>
    </r>
    <r>
      <rPr>
        <b val="true"/>
        <sz val="10"/>
        <color rgb="FFC00000"/>
        <rFont val="맑은 고딕"/>
        <family val="0"/>
        <charset val="1"/>
      </rPr>
      <t xml:space="preserve">). </t>
    </r>
    <r>
      <rPr>
        <b val="true"/>
        <sz val="10"/>
        <color rgb="FFC00000"/>
        <rFont val="Noto Sans CJK SC"/>
        <family val="2"/>
      </rPr>
      <t xml:space="preserve">승인 화면의 자금마진이 </t>
    </r>
    <r>
      <rPr>
        <b val="true"/>
        <sz val="10"/>
        <color rgb="FFC00000"/>
        <rFont val="맑은 고딕"/>
        <family val="0"/>
        <charset val="1"/>
      </rPr>
      <t xml:space="preserve">(+) </t>
    </r>
    <r>
      <rPr>
        <b val="true"/>
        <sz val="10"/>
        <color rgb="FFC00000"/>
        <rFont val="Noto Sans CJK SC"/>
        <family val="2"/>
      </rPr>
      <t xml:space="preserve">수준인지 확인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</si>
  <si>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2"/>
        <color rgb="FFFFFFFF"/>
        <rFont val="맑은 고딕"/>
        <family val="0"/>
        <charset val="1"/>
      </rPr>
      <t xml:space="preserve">  4.  </t>
    </r>
    <r>
      <rPr>
        <b val="true"/>
        <sz val="12"/>
        <color rgb="FFFFFFFF"/>
        <rFont val="Noto Sans CJK SC"/>
        <family val="2"/>
      </rPr>
      <t xml:space="preserve">예금 유형별 내부금리 적용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</si>
  <si>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개별 만기대응내부금리 </t>
    </r>
    <r>
      <rPr>
        <sz val="10.5"/>
        <color rgb="FF000000"/>
        <rFont val="맑은 고딕"/>
        <family val="0"/>
        <charset val="1"/>
      </rPr>
      <t xml:space="preserve">: </t>
    </r>
    <r>
      <rPr>
        <sz val="10.5"/>
        <color rgb="FF000000"/>
        <rFont val="Noto Sans CJK SC"/>
        <family val="2"/>
      </rPr>
      <t xml:space="preserve">정기예금</t>
    </r>
    <r>
      <rPr>
        <sz val="10.5"/>
        <color rgb="FF000000"/>
        <rFont val="맑은 고딕"/>
        <family val="0"/>
        <charset val="1"/>
      </rPr>
      <t xml:space="preserve">, CD, </t>
    </r>
    <r>
      <rPr>
        <sz val="10.5"/>
        <color rgb="FF000000"/>
        <rFont val="Noto Sans CJK SC"/>
        <family val="2"/>
      </rPr>
      <t xml:space="preserve">표지어음</t>
    </r>
    <r>
      <rPr>
        <sz val="10.5"/>
        <color rgb="FF000000"/>
        <rFont val="맑은 고딕"/>
        <family val="0"/>
        <charset val="1"/>
      </rPr>
      <t xml:space="preserve">, RP, </t>
    </r>
    <r>
      <rPr>
        <sz val="10.5"/>
        <color rgb="FF000000"/>
        <rFont val="Noto Sans CJK SC"/>
        <family val="2"/>
      </rPr>
      <t xml:space="preserve">적립식예금 등 </t>
    </r>
    <r>
      <rPr>
        <sz val="10.5"/>
        <color rgb="FF000000"/>
        <rFont val="맑은 고딕"/>
        <family val="0"/>
        <charset val="1"/>
      </rPr>
      <t xml:space="preserve">(</t>
    </r>
    <r>
      <rPr>
        <sz val="10.5"/>
        <color rgb="FF000000"/>
        <rFont val="Noto Sans CJK SC"/>
        <family val="2"/>
      </rPr>
      <t xml:space="preserve">신규시점 만기대응 → 만기까지 적용</t>
    </r>
    <r>
      <rPr>
        <sz val="10.5"/>
        <color rgb="FF000000"/>
        <rFont val="맑은 고딕"/>
        <family val="0"/>
        <charset val="1"/>
      </rPr>
      <t xml:space="preserve">)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</si>
  <si>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만기경과 예금 </t>
    </r>
    <r>
      <rPr>
        <sz val="10.5"/>
        <color rgb="FF000000"/>
        <rFont val="맑은 고딕"/>
        <family val="0"/>
        <charset val="1"/>
      </rPr>
      <t xml:space="preserve">: </t>
    </r>
    <r>
      <rPr>
        <sz val="10.5"/>
        <color rgb="FF000000"/>
        <rFont val="Noto Sans CJK SC"/>
        <family val="2"/>
      </rPr>
      <t xml:space="preserve">외화는 월평균 </t>
    </r>
    <r>
      <rPr>
        <sz val="10.5"/>
        <color rgb="FF000000"/>
        <rFont val="맑은 고딕"/>
        <family val="0"/>
        <charset val="1"/>
      </rPr>
      <t xml:space="preserve">1</t>
    </r>
    <r>
      <rPr>
        <sz val="10.5"/>
        <color rgb="FF000000"/>
        <rFont val="Noto Sans CJK SC"/>
        <family val="2"/>
      </rPr>
      <t xml:space="preserve">주일 내부금리 적용 </t>
    </r>
    <r>
      <rPr>
        <sz val="10.5"/>
        <color rgb="FF000000"/>
        <rFont val="맑은 고딕"/>
        <family val="0"/>
        <charset val="1"/>
      </rPr>
      <t xml:space="preserve">(</t>
    </r>
    <r>
      <rPr>
        <sz val="10.5"/>
        <color rgb="FF000000"/>
        <rFont val="Noto Sans CJK SC"/>
        <family val="2"/>
      </rPr>
      <t xml:space="preserve">급격한 금리 하락 시 적정마진 감안 별도 적용 가능</t>
    </r>
    <r>
      <rPr>
        <sz val="10.5"/>
        <color rgb="FF000000"/>
        <rFont val="맑은 고딕"/>
        <family val="0"/>
        <charset val="1"/>
      </rPr>
      <t xml:space="preserve">)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</si>
  <si>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만기이연 예금 </t>
    </r>
    <r>
      <rPr>
        <sz val="10.5"/>
        <color rgb="FF000000"/>
        <rFont val="맑은 고딕"/>
        <family val="0"/>
        <charset val="1"/>
      </rPr>
      <t xml:space="preserve">: </t>
    </r>
    <r>
      <rPr>
        <sz val="10.5"/>
        <color rgb="FF000000"/>
        <rFont val="Noto Sans CJK SC"/>
        <family val="2"/>
      </rPr>
      <t xml:space="preserve">당초 내부금리 적용</t>
    </r>
  </si>
  <si>
    <r>
      <rPr>
        <sz val="10.5"/>
        <color rgb="FF000000"/>
        <rFont val="맑은 고딕"/>
        <family val="0"/>
        <charset val="1"/>
      </rPr>
      <t xml:space="preserve">       · </t>
    </r>
    <r>
      <rPr>
        <sz val="10.5"/>
        <color rgb="FF000000"/>
        <rFont val="Noto Sans CJK SC"/>
        <family val="2"/>
      </rPr>
      <t xml:space="preserve">중도해지 </t>
    </r>
    <r>
      <rPr>
        <sz val="10.5"/>
        <color rgb="FF000000"/>
        <rFont val="맑은 고딕"/>
        <family val="0"/>
        <charset val="1"/>
      </rPr>
      <t xml:space="preserve">: </t>
    </r>
    <r>
      <rPr>
        <sz val="10.5"/>
        <color rgb="FF000000"/>
        <rFont val="Noto Sans CJK SC"/>
        <family val="2"/>
      </rPr>
      <t xml:space="preserve">내부금리 재적용하지 않음 </t>
    </r>
    <r>
      <rPr>
        <sz val="10.5"/>
        <color rgb="FF000000"/>
        <rFont val="맑은 고딕"/>
        <family val="0"/>
        <charset val="1"/>
      </rPr>
      <t xml:space="preserve">(</t>
    </r>
    <r>
      <rPr>
        <sz val="10.5"/>
        <color rgb="FF000000"/>
        <rFont val="Noto Sans CJK SC"/>
        <family val="2"/>
      </rPr>
      <t xml:space="preserve">중도해지수수료</t>
    </r>
    <r>
      <rPr>
        <sz val="10.5"/>
        <color rgb="FF000000"/>
        <rFont val="맑은 고딕"/>
        <family val="0"/>
        <charset val="1"/>
      </rPr>
      <t xml:space="preserve">·</t>
    </r>
    <r>
      <rPr>
        <sz val="10.5"/>
        <color rgb="FF000000"/>
        <rFont val="Noto Sans CJK SC"/>
        <family val="2"/>
      </rPr>
      <t xml:space="preserve">이자차는 국제금융부 귀속</t>
    </r>
    <r>
      <rPr>
        <sz val="10.5"/>
        <color rgb="FF000000"/>
        <rFont val="맑은 고딕"/>
        <family val="0"/>
        <charset val="1"/>
      </rPr>
      <t xml:space="preserve">)</t>
    </r>
  </si>
  <si>
    <t xml:space="preserve">※ 금리협의시 기준</t>
  </si>
  <si>
    <r>
      <rPr>
        <b val="true"/>
        <u val="single"/>
        <sz val="11"/>
        <color theme="1"/>
        <rFont val="맑은 고딕"/>
        <family val="3"/>
        <charset val="129"/>
      </rPr>
      <t xml:space="preserve">   1. </t>
    </r>
    <r>
      <rPr>
        <b val="true"/>
        <u val="single"/>
        <sz val="11"/>
        <color theme="1"/>
        <rFont val="Noto Sans CJK SC"/>
        <family val="2"/>
      </rPr>
      <t xml:space="preserve">외화</t>
    </r>
    <r>
      <rPr>
        <b val="true"/>
        <u val="single"/>
        <sz val="11"/>
        <color theme="1"/>
        <rFont val="맑은 고딕"/>
        <family val="3"/>
        <charset val="129"/>
      </rPr>
      <t xml:space="preserve">MMDA</t>
    </r>
  </si>
  <si>
    <r>
      <rPr>
        <b val="true"/>
        <u val="single"/>
        <sz val="11"/>
        <color theme="1"/>
        <rFont val="맑은 고딕"/>
        <family val="3"/>
        <charset val="129"/>
      </rPr>
      <t xml:space="preserve">   2. </t>
    </r>
    <r>
      <rPr>
        <b val="true"/>
        <u val="single"/>
        <sz val="11"/>
        <color theme="1"/>
        <rFont val="Noto Sans CJK SC"/>
        <family val="2"/>
      </rPr>
      <t xml:space="preserve">외화정기예금</t>
    </r>
  </si>
  <si>
    <r>
      <rPr>
        <b val="true"/>
        <sz val="11"/>
        <color theme="1"/>
        <rFont val="맑은 고딕"/>
        <family val="3"/>
        <charset val="129"/>
      </rPr>
      <t xml:space="preserve">      (1)  ~1</t>
    </r>
    <r>
      <rPr>
        <b val="true"/>
        <sz val="11"/>
        <color theme="1"/>
        <rFont val="Noto Sans CJK SC"/>
        <family val="2"/>
      </rPr>
      <t xml:space="preserve">주 또는 통지예금 금리 참조하여 협의</t>
    </r>
  </si>
  <si>
    <r>
      <rPr>
        <b val="true"/>
        <sz val="11"/>
        <color theme="1"/>
        <rFont val="맑은 고딕"/>
        <family val="3"/>
        <charset val="129"/>
      </rPr>
      <t xml:space="preserve">      (1) 3</t>
    </r>
    <r>
      <rPr>
        <b val="true"/>
        <sz val="11"/>
        <color theme="1"/>
        <rFont val="Noto Sans CJK SC"/>
        <family val="2"/>
      </rPr>
      <t xml:space="preserve">개월 이하 </t>
    </r>
    <r>
      <rPr>
        <b val="true"/>
        <sz val="11"/>
        <color theme="1"/>
        <rFont val="맑은 고딕"/>
        <family val="3"/>
        <charset val="129"/>
      </rPr>
      <t xml:space="preserve">: </t>
    </r>
    <r>
      <rPr>
        <b val="true"/>
        <sz val="11"/>
        <color theme="1"/>
        <rFont val="Noto Sans CJK SC"/>
        <family val="2"/>
      </rPr>
      <t xml:space="preserve">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콜론</t>
    </r>
    <r>
      <rPr>
        <b val="true"/>
        <sz val="11"/>
        <color theme="1"/>
        <rFont val="맑은 고딕"/>
        <family val="3"/>
        <charset val="129"/>
      </rPr>
      <t xml:space="preserve">) vs </t>
    </r>
    <r>
      <rPr>
        <b val="true"/>
        <sz val="11"/>
        <color theme="1"/>
        <rFont val="Noto Sans CJK SC"/>
        <family val="2"/>
      </rPr>
      <t xml:space="preserve">비금리부운용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스왑</t>
    </r>
    <r>
      <rPr>
        <b val="true"/>
        <sz val="11"/>
        <color theme="1"/>
        <rFont val="맑은 고딕"/>
        <family val="3"/>
        <charset val="129"/>
      </rPr>
      <t xml:space="preserve">) </t>
    </r>
    <r>
      <rPr>
        <b val="true"/>
        <sz val="11"/>
        <color theme="1"/>
        <rFont val="Noto Sans CJK SC"/>
        <family val="2"/>
      </rPr>
      <t xml:space="preserve">비교 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단</t>
    </r>
    <r>
      <rPr>
        <b val="true"/>
        <sz val="11"/>
        <color theme="1"/>
        <rFont val="맑은 고딕"/>
        <family val="3"/>
        <charset val="129"/>
      </rPr>
      <t xml:space="preserve">, </t>
    </r>
    <r>
      <rPr>
        <b val="true"/>
        <sz val="11"/>
        <color theme="1"/>
        <rFont val="Noto Sans CJK SC"/>
        <family val="2"/>
      </rPr>
      <t xml:space="preserve">외화제규제비율 및 </t>
    </r>
    <r>
      <rPr>
        <b val="true"/>
        <sz val="11"/>
        <color theme="1"/>
        <rFont val="맑은 고딕"/>
        <family val="3"/>
        <charset val="129"/>
      </rPr>
      <t xml:space="preserve">NIM</t>
    </r>
    <r>
      <rPr>
        <b val="true"/>
        <sz val="11"/>
        <color theme="1"/>
        <rFont val="Noto Sans CJK SC"/>
        <family val="2"/>
      </rPr>
      <t xml:space="preserve">감안</t>
    </r>
    <r>
      <rPr>
        <b val="true"/>
        <sz val="11"/>
        <color theme="1"/>
        <rFont val="맑은 고딕"/>
        <family val="3"/>
        <charset val="129"/>
      </rPr>
      <t xml:space="preserve">)</t>
    </r>
  </si>
  <si>
    <r>
      <rPr>
        <b val="true"/>
        <sz val="11"/>
        <color theme="1"/>
        <rFont val="맑은 고딕"/>
        <family val="3"/>
        <charset val="129"/>
      </rPr>
      <t xml:space="preserve">      (2) 3</t>
    </r>
    <r>
      <rPr>
        <b val="true"/>
        <sz val="11"/>
        <color theme="1"/>
        <rFont val="Noto Sans CJK SC"/>
        <family val="2"/>
      </rPr>
      <t xml:space="preserve">개월 초과 </t>
    </r>
    <r>
      <rPr>
        <b val="true"/>
        <sz val="11"/>
        <color theme="1"/>
        <rFont val="맑은 고딕"/>
        <family val="3"/>
        <charset val="129"/>
      </rPr>
      <t xml:space="preserve">: </t>
    </r>
    <r>
      <rPr>
        <b val="true"/>
        <sz val="11"/>
        <color theme="1"/>
        <rFont val="Noto Sans CJK SC"/>
        <family val="2"/>
      </rPr>
      <t xml:space="preserve">되도록 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대여금</t>
    </r>
    <r>
      <rPr>
        <b val="true"/>
        <sz val="11"/>
        <color theme="1"/>
        <rFont val="맑은 고딕"/>
        <family val="3"/>
        <charset val="129"/>
      </rPr>
      <t xml:space="preserve">)</t>
    </r>
    <r>
      <rPr>
        <b val="true"/>
        <sz val="11"/>
        <color theme="1"/>
        <rFont val="Noto Sans CJK SC"/>
        <family val="2"/>
      </rPr>
      <t xml:space="preserve">으로 매칭</t>
    </r>
  </si>
  <si>
    <t xml:space="preserve">상세내역</t>
  </si>
  <si>
    <t xml:space="preserve">외부 참조금리</t>
  </si>
  <si>
    <t xml:space="preserve">내부 참조금리</t>
  </si>
  <si>
    <t xml:space="preserve">승인정보</t>
  </si>
  <si>
    <t xml:space="preserve">메모란</t>
  </si>
  <si>
    <t xml:space="preserve">기간</t>
  </si>
  <si>
    <t xml:space="preserve">타행외화예금금리</t>
  </si>
  <si>
    <t xml:space="preserve">은행간 운용금리</t>
  </si>
  <si>
    <t xml:space="preserve">종합수익관리시스템</t>
  </si>
  <si>
    <t xml:space="preserve">비용</t>
  </si>
  <si>
    <r>
      <rPr>
        <sz val="11"/>
        <color rgb="FFFF0000"/>
        <rFont val="맑은 고딕"/>
        <family val="2"/>
        <charset val="129"/>
      </rPr>
      <t xml:space="preserve">BEP</t>
    </r>
    <r>
      <rPr>
        <sz val="11"/>
        <color rgb="FFFF0000"/>
        <rFont val="Noto Sans CJK SC"/>
        <family val="2"/>
      </rPr>
      <t xml:space="preserve">금리</t>
    </r>
  </si>
  <si>
    <t xml:space="preserve">순번</t>
  </si>
  <si>
    <t xml:space="preserve">상담일자</t>
  </si>
  <si>
    <t xml:space="preserve">영업점</t>
  </si>
  <si>
    <t xml:space="preserve">지점장</t>
  </si>
  <si>
    <t xml:space="preserve">담당자</t>
  </si>
  <si>
    <t xml:space="preserve">고객</t>
  </si>
  <si>
    <t xml:space="preserve">시작일자</t>
  </si>
  <si>
    <t xml:space="preserve">만기일자</t>
  </si>
  <si>
    <t xml:space="preserve">일수</t>
  </si>
  <si>
    <t xml:space="preserve">월수</t>
  </si>
  <si>
    <t xml:space="preserve">예금종류</t>
  </si>
  <si>
    <t xml:space="preserve">통화/금액</t>
  </si>
  <si>
    <t xml:space="preserve">평균</t>
  </si>
  <si>
    <t xml:space="preserve">최대(은행)</t>
  </si>
  <si>
    <t xml:space="preserve">Tenor</t>
  </si>
  <si>
    <t xml:space="preserve">SOFR</t>
  </si>
  <si>
    <t xml:space="preserve">LIBOR</t>
  </si>
  <si>
    <t xml:space="preserve">이자(MM)</t>
  </si>
  <si>
    <t xml:space="preserve">비이자(FXSWAP)</t>
  </si>
  <si>
    <t xml:space="preserve">내부금리</t>
  </si>
  <si>
    <t xml:space="preserve">지준비용</t>
  </si>
  <si>
    <t xml:space="preserve">자금마진</t>
  </si>
  <si>
    <t xml:space="preserve">고시금리</t>
  </si>
  <si>
    <t xml:space="preserve">자금원가</t>
  </si>
  <si>
    <t xml:space="preserve">NIS</t>
  </si>
  <si>
    <t xml:space="preserve">이자운용</t>
  </si>
  <si>
    <t xml:space="preserve">비이자운용</t>
  </si>
  <si>
    <t xml:space="preserve">협의금리</t>
  </si>
  <si>
    <t xml:space="preserve">우대금리</t>
  </si>
  <si>
    <t xml:space="preserve">승인금리</t>
  </si>
  <si>
    <t xml:space="preserve">승인일자</t>
  </si>
  <si>
    <t xml:space="preserve">신청번호</t>
  </si>
  <si>
    <t xml:space="preserve">여부</t>
  </si>
  <si>
    <t xml:space="preserve">매칭 운용거래 (비이자 / 이자)</t>
  </si>
  <si>
    <t xml:space="preserve">여의도지점</t>
  </si>
  <si>
    <t xml:space="preserve">계장 조수현</t>
  </si>
  <si>
    <t xml:space="preserve">키움자산운용</t>
  </si>
  <si>
    <t xml:space="preserve">포항공단점</t>
  </si>
  <si>
    <t xml:space="preserve">계장 배인영</t>
  </si>
  <si>
    <t xml:space="preserve">개인</t>
  </si>
  <si>
    <t xml:space="preserve">정기예금</t>
  </si>
  <si>
    <t xml:space="preserve">강남영업부</t>
  </si>
  <si>
    <t xml:space="preserve">과장 이진아</t>
  </si>
  <si>
    <t xml:space="preserve">한전</t>
  </si>
  <si>
    <t xml:space="preserve">MMDA</t>
  </si>
  <si>
    <t xml:space="preserve">울산영업부</t>
  </si>
  <si>
    <t xml:space="preserve">차장 김정인</t>
  </si>
  <si>
    <t xml:space="preserve">석유공사</t>
  </si>
  <si>
    <t xml:space="preserve">서울영업부</t>
  </si>
  <si>
    <t xml:space="preserve">차장 이순정</t>
  </si>
  <si>
    <t xml:space="preserve">현대중공업</t>
  </si>
  <si>
    <t xml:space="preserve">계장 고재희</t>
  </si>
  <si>
    <t xml:space="preserve">성서지점</t>
  </si>
  <si>
    <t xml:space="preserve">차장 이민</t>
  </si>
  <si>
    <t xml:space="preserve">법인고객</t>
  </si>
  <si>
    <t xml:space="preserve">〃</t>
  </si>
  <si>
    <t xml:space="preserve">차장 황수덕</t>
  </si>
  <si>
    <r>
      <rPr>
        <sz val="11"/>
        <color theme="1"/>
        <rFont val="맑은 고딕"/>
        <family val="2"/>
        <charset val="129"/>
      </rPr>
      <t xml:space="preserve">SK</t>
    </r>
    <r>
      <rPr>
        <sz val="11"/>
        <color theme="1"/>
        <rFont val="Noto Sans CJK SC"/>
        <family val="2"/>
      </rPr>
      <t xml:space="preserve">하이닉스</t>
    </r>
  </si>
  <si>
    <t xml:space="preserve">대리 홍지현</t>
  </si>
  <si>
    <t xml:space="preserve">행원 이현경</t>
  </si>
  <si>
    <t xml:space="preserve">㈜나인플러스</t>
  </si>
  <si>
    <t xml:space="preserve">반월공단지점</t>
  </si>
  <si>
    <t xml:space="preserve">대리 김수현</t>
  </si>
  <si>
    <t xml:space="preserve">㈜이수엑사켐</t>
  </si>
  <si>
    <t xml:space="preserve">팀장 조은주</t>
  </si>
  <si>
    <t xml:space="preserve">과장 이제훈</t>
  </si>
  <si>
    <t xml:space="preserve">㈜제이엔테크</t>
  </si>
  <si>
    <r>
      <rPr>
        <sz val="11"/>
        <color theme="1"/>
        <rFont val="맑은 고딕"/>
        <family val="2"/>
        <charset val="129"/>
      </rPr>
      <t xml:space="preserve">1.1%</t>
    </r>
    <r>
      <rPr>
        <sz val="11"/>
        <color theme="1"/>
        <rFont val="Noto Sans CJK SC"/>
        <family val="2"/>
      </rPr>
      <t xml:space="preserve">이상</t>
    </r>
  </si>
  <si>
    <r>
      <rPr>
        <sz val="11"/>
        <color theme="1"/>
        <rFont val="맑은 고딕"/>
        <family val="2"/>
        <charset val="129"/>
      </rPr>
      <t xml:space="preserve">1.5% </t>
    </r>
    <r>
      <rPr>
        <sz val="11"/>
        <color theme="1"/>
        <rFont val="Noto Sans CJK SC"/>
        <family val="2"/>
      </rPr>
      <t xml:space="preserve">이상</t>
    </r>
  </si>
  <si>
    <t xml:space="preserve">성서공단영업부</t>
  </si>
  <si>
    <t xml:space="preserve">지점장 윤형곤</t>
  </si>
  <si>
    <t xml:space="preserve">세원정공</t>
  </si>
  <si>
    <t xml:space="preserve">지산1동지점</t>
  </si>
  <si>
    <t xml:space="preserve">대리 송은지</t>
  </si>
  <si>
    <t xml:space="preserve">주)바오스</t>
  </si>
  <si>
    <t xml:space="preserve">울산북지점</t>
  </si>
  <si>
    <t xml:space="preserve">계장 김은지</t>
  </si>
  <si>
    <t xml:space="preserve">주)디에스시</t>
  </si>
  <si>
    <t xml:space="preserve">노원동지점</t>
  </si>
  <si>
    <t xml:space="preserve">차장 금정화</t>
  </si>
  <si>
    <t xml:space="preserve">신규업체</t>
  </si>
  <si>
    <t xml:space="preserve">현대엔지니어링</t>
  </si>
  <si>
    <t xml:space="preserve">우진기전</t>
  </si>
  <si>
    <t xml:space="preserve">주)SNI</t>
  </si>
  <si>
    <t xml:space="preserve">주)에스엠티</t>
  </si>
  <si>
    <t xml:space="preserve">대리 권용국</t>
  </si>
  <si>
    <t xml:space="preserve">현대건설기계</t>
  </si>
  <si>
    <t xml:space="preserve">지점장 오세현</t>
  </si>
  <si>
    <t xml:space="preserve">대리 박경희</t>
  </si>
  <si>
    <t xml:space="preserve">현대 일렉트로닉</t>
  </si>
  <si>
    <t xml:space="preserve">한국수력원자력점</t>
  </si>
  <si>
    <t xml:space="preserve">과장 김동한</t>
  </si>
  <si>
    <t xml:space="preserve">한수원</t>
  </si>
  <si>
    <t xml:space="preserve">현대 엔지니어링</t>
  </si>
  <si>
    <t xml:space="preserve">소장 이광형</t>
  </si>
  <si>
    <t xml:space="preserve">계명대대명캠퍼스점</t>
  </si>
  <si>
    <t xml:space="preserve">과장 김경희</t>
  </si>
  <si>
    <t xml:space="preserve">민커뮤니케이션</t>
  </si>
  <si>
    <t xml:space="preserve">계장 김혜민</t>
  </si>
  <si>
    <t xml:space="preserve">지점장 박인준</t>
  </si>
  <si>
    <t xml:space="preserve">폴라리스쉬핑</t>
  </si>
  <si>
    <t xml:space="preserve">용강지점</t>
  </si>
  <si>
    <t xml:space="preserve">부지 허등행</t>
  </si>
  <si>
    <t xml:space="preserve">미정</t>
  </si>
  <si>
    <t xml:space="preserve">부점장 허등행</t>
  </si>
  <si>
    <t xml:space="preserve">도우산업</t>
  </si>
  <si>
    <t xml:space="preserve">신라 인 코리아</t>
  </si>
  <si>
    <t xml:space="preserve">경산영업부</t>
  </si>
  <si>
    <t xml:space="preserve">대리 김현미</t>
  </si>
  <si>
    <t xml:space="preserve">일지테크 회장 개인</t>
  </si>
  <si>
    <t xml:space="preserve">성서비즈니스센터</t>
  </si>
  <si>
    <t xml:space="preserve">대리 박미영</t>
  </si>
  <si>
    <t xml:space="preserve">차장 박후임</t>
  </si>
  <si>
    <t xml:space="preserve">성안?</t>
  </si>
  <si>
    <t xml:space="preserve">팔달로지점</t>
  </si>
  <si>
    <t xml:space="preserve">계장 신우철</t>
  </si>
  <si>
    <t xml:space="preserve">차장 박진호</t>
  </si>
  <si>
    <t xml:space="preserve">오세현 지점장 (2월초 기표 예정)</t>
  </si>
  <si>
    <t xml:space="preserve">실제 낙찰은 1.60%(타기관)</t>
  </si>
  <si>
    <t xml:space="preserve">무림페이퍼</t>
  </si>
  <si>
    <t xml:space="preserve">담당자 전혜연</t>
  </si>
  <si>
    <t xml:space="preserve">무림PMP</t>
  </si>
  <si>
    <t xml:space="preserve">차장 최중원</t>
  </si>
  <si>
    <t xml:space="preserve">한화건설</t>
  </si>
  <si>
    <t xml:space="preserve">담당자 최중원 타행금리수준 1.2 ~ 1.6%로 시장 직접 운용시 1.65%임을 감안하여 지점 역마진 범위내 1.50%까지 가능</t>
  </si>
  <si>
    <t xml:space="preserve">타행 1.70% 까지 오퍼 있고 대출금 150억등 거래관계 감안시 교차거래 마케팅을 위한 금리제시 1.60%</t>
  </si>
  <si>
    <r>
      <rPr>
        <sz val="11"/>
        <color theme="1"/>
        <rFont val="맑은 고딕"/>
        <family val="2"/>
        <charset val="129"/>
      </rPr>
      <t xml:space="preserve">20(1.5) 30(1.45) </t>
    </r>
    <r>
      <rPr>
        <sz val="11"/>
        <color theme="1"/>
        <rFont val="Noto Sans CJK SC"/>
        <family val="2"/>
      </rPr>
      <t xml:space="preserve">제시</t>
    </r>
  </si>
  <si>
    <r>
      <rPr>
        <sz val="11"/>
        <color theme="1"/>
        <rFont val="맑은 고딕"/>
        <family val="2"/>
        <charset val="129"/>
      </rPr>
      <t xml:space="preserve">2/26</t>
    </r>
    <r>
      <rPr>
        <sz val="11"/>
        <color theme="1"/>
        <rFont val="Noto Sans CJK SC"/>
        <family val="2"/>
      </rPr>
      <t xml:space="preserve">에 하이닉스 팀장미팅 예정이며 지점입장에서 마진좋은 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를 생각함</t>
    </r>
    <r>
      <rPr>
        <sz val="11"/>
        <color theme="1"/>
        <rFont val="맑은 고딕"/>
        <family val="2"/>
        <charset val="129"/>
      </rPr>
      <t xml:space="preserve">(1.15%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</si>
  <si>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서정욱</t>
  </si>
  <si>
    <t xml:space="preserve">신규유치업체 (2월말쯤), 1.70% 제시후 업체 협의후 다시 연락주시기로함</t>
  </si>
  <si>
    <t xml:space="preserve">작년 10월부터 있었던 건으로 1개월 연장함</t>
  </si>
  <si>
    <t xml:space="preserve">기잔액 50M에 추가하여 50M신규유치 (타행제시금리 수준에 맞춰 1개월 1.25우대금리적용, 1개월 보장, 부수거래 감안, 3월 원화정기예금 1천억 이탈예정) : 20M(콜운용2.13% 3/2 ~ 4/4) , 20M(콜운용 2.00 3/5 ~ 4/5, 10M(유로스왑 )</t>
  </si>
  <si>
    <t xml:space="preserve">경산공단영업부</t>
  </si>
  <si>
    <t xml:space="preserve">계장 정재경</t>
  </si>
  <si>
    <t xml:space="preserve">계명대대명캠퍼스</t>
  </si>
  <si>
    <t xml:space="preserve">팀장 채종대</t>
  </si>
  <si>
    <t xml:space="preserve">신규유치업체로 1.70% 제시 (추가 금리네고 연락주기로함)</t>
  </si>
  <si>
    <t xml:space="preserve">동진세미캠</t>
  </si>
  <si>
    <t xml:space="preserve">타행자금 유치건으로 저원가성 예금 이탈로 정기보다는 MMDA를 선호</t>
  </si>
  <si>
    <t xml:space="preserve">과장 김성수</t>
  </si>
  <si>
    <t xml:space="preserve">동진쎄미켐</t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</si>
  <si>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개월정도 예치 구두로 확인감안하여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운용계획 </t>
    </r>
    <r>
      <rPr>
        <sz val="11"/>
        <color theme="1"/>
        <rFont val="맑은 고딕"/>
        <family val="2"/>
        <charset val="129"/>
      </rPr>
      <t xml:space="preserve">(RESONA </t>
    </r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2.15%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</si>
  <si>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조화경</t>
  </si>
  <si>
    <t xml:space="preserve">큐배컨</t>
  </si>
  <si>
    <t xml:space="preserve">휴캠스</t>
  </si>
  <si>
    <t xml:space="preserve">신규유치 업체 금리입찰(향후 환전수익예상)</t>
  </si>
  <si>
    <t xml:space="preserve">경주영업부</t>
  </si>
  <si>
    <t xml:space="preserve">계장 김현진</t>
  </si>
  <si>
    <t xml:space="preserve">㈜서영</t>
  </si>
  <si>
    <t xml:space="preserve">신규유치 업체로 10백만불 이하 3개월 정기예금 신청건으로 무역금융기사용 업체임</t>
  </si>
  <si>
    <t xml:space="preserve">㈜해동엔지니어링</t>
  </si>
  <si>
    <t xml:space="preserve">계장 전혜연</t>
  </si>
  <si>
    <t xml:space="preserve">현대일렉트릭</t>
  </si>
  <si>
    <t xml:space="preserve">외화MMDA 기보유, 자금 X, 김종덕지점장(1) (콜운용 10M 4/9 ~ 4/27 1.88% KEB하나 암스테르담지점)</t>
  </si>
  <si>
    <t xml:space="preserve">달성공단영업부</t>
  </si>
  <si>
    <t xml:space="preserve">부지점장 박주한</t>
  </si>
  <si>
    <t xml:space="preserve">상신브레이크</t>
  </si>
  <si>
    <t xml:space="preserve">기존 외화적금 50만불 1년 건으로 타행이탈 방지를 위한 승인(고객 기여도 4천만원이상) 지점 역마진되더라도 승인달라고함</t>
  </si>
  <si>
    <t xml:space="preserve">타행에서 최종 유치 (1.85%) 운용예정(콜, 우리홍콩, 1달, 2.05%)</t>
  </si>
  <si>
    <t xml:space="preserve">운용 (EUR/USD , EUR 5mio , B/S SWAP , 4/16 ~ 7/13 ,  2.6439% , +83.119)</t>
  </si>
  <si>
    <t xml:space="preserve">지점 역마진으로 다음에 하기로</t>
  </si>
  <si>
    <t xml:space="preserve">지점장 김종덕</t>
  </si>
  <si>
    <t xml:space="preserve">㈜ 대림산업</t>
  </si>
  <si>
    <t xml:space="preserve">차장 권경숙</t>
  </si>
  <si>
    <t xml:space="preserve">㈜코닉스</t>
  </si>
  <si>
    <t xml:space="preserve">고객요청 타행수준 금리 2.15% </t>
  </si>
  <si>
    <t xml:space="preserve">5.0~8.0</t>
  </si>
  <si>
    <t xml:space="preserve">기존 자금 50M에 추가하여 외화MMDA신규유치 100백만불</t>
  </si>
  <si>
    <r>
      <rPr>
        <sz val="11"/>
        <color theme="1"/>
        <rFont val="맑은 고딕"/>
        <family val="3"/>
        <charset val="129"/>
      </rPr>
      <t xml:space="preserve">1M 1.90  2M 1.95 3M 2.20 6M 2.40 12M 2.45 (EUR/USD SWAP </t>
    </r>
    <r>
      <rPr>
        <sz val="11"/>
        <color theme="1"/>
        <rFont val="Noto Sans CJK SC"/>
        <family val="2"/>
      </rPr>
      <t xml:space="preserve">운용  </t>
    </r>
    <r>
      <rPr>
        <sz val="11"/>
        <color theme="1"/>
        <rFont val="맑은 고딕"/>
        <family val="3"/>
        <charset val="129"/>
      </rPr>
      <t xml:space="preserve">+25.839 2.51%)</t>
    </r>
  </si>
  <si>
    <t xml:space="preserve">현대중공업지주</t>
  </si>
  <si>
    <t xml:space="preserve">구, 현대로보틱스 전혜연대리 (콜론운용 5M 4/26 ~ 7/25 ABOC SL @ 2.60%)</t>
  </si>
  <si>
    <t xml:space="preserve">㈜ 서영</t>
  </si>
  <si>
    <t xml:space="preserve">무역금융등 지점거래 우량업체</t>
  </si>
  <si>
    <t xml:space="preserve">과장 김경모</t>
  </si>
  <si>
    <t xml:space="preserve">무림피앤피</t>
  </si>
  <si>
    <r>
      <rPr>
        <sz val="11"/>
        <color theme="1"/>
        <rFont val="맑은 고딕"/>
        <family val="2"/>
        <charset val="129"/>
      </rPr>
      <t xml:space="preserve">1,3,6,12</t>
    </r>
    <r>
      <rPr>
        <sz val="11"/>
        <color theme="1"/>
        <rFont val="Noto Sans CJK SC"/>
        <family val="2"/>
      </rPr>
      <t xml:space="preserve">개월금리 </t>
    </r>
  </si>
  <si>
    <t xml:space="preserve">정재경계장</t>
  </si>
  <si>
    <t xml:space="preserve">㈜제이앤피</t>
  </si>
  <si>
    <t xml:space="preserve">산업은행 제시금리 2.65% 무역금융, 예금 타행이탈업체 재섭외 고객</t>
  </si>
  <si>
    <t xml:space="preserve">지점장 이성우</t>
  </si>
  <si>
    <t xml:space="preserve">외화예금 신규유치를 위한 우대금리 승인 (FX180505470로 우선 매칭)</t>
  </si>
  <si>
    <r>
      <rPr>
        <sz val="11"/>
        <color theme="1"/>
        <rFont val="맑은 고딕"/>
        <family val="3"/>
        <charset val="129"/>
      </rPr>
      <t xml:space="preserve">3M 2.27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타행 최고 </t>
    </r>
    <r>
      <rPr>
        <sz val="11"/>
        <color theme="1"/>
        <rFont val="맑은 고딕"/>
        <family val="3"/>
        <charset val="129"/>
      </rPr>
      <t xml:space="preserve">2.35) , </t>
    </r>
    <r>
      <rPr>
        <sz val="11"/>
        <color theme="1"/>
        <rFont val="Noto Sans CJK SC"/>
        <family val="2"/>
      </rPr>
      <t xml:space="preserve">전혜연계장</t>
    </r>
    <r>
      <rPr>
        <sz val="11"/>
        <color theme="1"/>
        <rFont val="맑은 고딕"/>
        <family val="3"/>
        <charset val="129"/>
      </rPr>
      <t xml:space="preserve">, 1</t>
    </r>
    <r>
      <rPr>
        <sz val="11"/>
        <color theme="1"/>
        <rFont val="Noto Sans CJK SC"/>
        <family val="2"/>
      </rPr>
      <t xml:space="preserve">개월연장후 다시생각하기로함</t>
    </r>
  </si>
  <si>
    <t xml:space="preserve">산업은행 제시금리 2.65% (주)제이앤피는 당행 우수거래처로 예금금리 및 대출금리 불만으로 산업은행으로 이탈(예금 40억, 대출 40억 규모)하였으나 본건 외화정기예금 100만불 취급을 통해 무역금융 20억(10억 기취급) 유치 예정이며 고객 유대관계 개선 및 차후 자금 추가 유치 가능할 것으로 판단되어 금리 승인코자 하오니 검토 후 승인 부탁드립니다.</t>
  </si>
  <si>
    <t xml:space="preserve">2.203(SC)</t>
  </si>
  <si>
    <t xml:space="preserve">한전 정기입찰 MMDA (1.3) 1개월 (2.0) 3개월 (2.25)</t>
  </si>
  <si>
    <t xml:space="preserve">부지점장 황수덕</t>
  </si>
  <si>
    <t xml:space="preserve">2.200(SC)</t>
  </si>
  <si>
    <t xml:space="preserve">동사 수출 주요거래처로서 외화예금 신규유치로 인한 외화정기예금 본부승인금리 아래와 같이 신청
하오니 승인하여 주시기 바랍니다.
1. 업체현황
 동사 1988년 현대로봇산업으로 설립된 후 1993년 현대중공업(주)에 피합병 되어 사업영위중, 2017년
4월 현대종공업(주)에서 인적분할로 설립되어 산업용 및 LCD용 로봇 제조업을 여우이중인 유가증권시
장 상장 대기업임. 
2. 기여도
              기여손익(원)       비율(%)
--------------------------------------------
2017          117,944,454        0.16575
2018현재       23,928,499        0.09242
3. 예금금액 : USD 6,000,000.00
4. 예금기간 : 3개월미만
5. 만기일자 : 2018.08.27.
6. 신청금리 : 연2.10%
. 끝.</t>
  </si>
  <si>
    <t xml:space="preserve">지점장 박완희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</si>
  <si>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민커뮤니케이션</t>
    </r>
  </si>
  <si>
    <r>
      <rPr>
        <sz val="11"/>
        <color theme="1"/>
        <rFont val="맑은 고딕"/>
        <family val="2"/>
        <charset val="129"/>
      </rPr>
      <t xml:space="preserve">EUR/USD 1Mio 6/05 ~ 6/27 @17.402(2.3148%) </t>
    </r>
    <r>
      <rPr>
        <sz val="11"/>
        <color theme="1"/>
        <rFont val="Noto Sans CJK SC"/>
        <family val="2"/>
      </rPr>
      <t xml:space="preserve">향후 월말에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SWAP</t>
    </r>
    <r>
      <rPr>
        <sz val="11"/>
        <color theme="1"/>
        <rFont val="Noto Sans CJK SC"/>
        <family val="2"/>
      </rPr>
      <t xml:space="preserve">예정</t>
    </r>
  </si>
  <si>
    <r>
      <rPr>
        <sz val="11"/>
        <color theme="1"/>
        <rFont val="맑은 고딕"/>
        <family val="2"/>
        <charset val="129"/>
      </rPr>
      <t xml:space="preserve">7/03 </t>
    </r>
    <r>
      <rPr>
        <sz val="11"/>
        <color theme="1"/>
        <rFont val="Noto Sans CJK SC"/>
        <family val="2"/>
      </rPr>
      <t xml:space="preserve">전액 출금</t>
    </r>
  </si>
  <si>
    <t xml:space="preserve">잔액변동성 있는편 계속거래업체로 우대금리 1.0~1.1%까지 승인협의완료</t>
  </si>
  <si>
    <t xml:space="preserve">1.56(SC)</t>
  </si>
  <si>
    <t xml:space="preserve">평잔 5백만불이상 유지조건 (6/07 ~ 6/21 2주운용 1.88% SHIZUOKA TK)</t>
  </si>
  <si>
    <t xml:space="preserve">평잔 2백만불이상 유지조건 (6/07 ~ 6/21 2주운용 1.88% SHIZUOKA TK)</t>
  </si>
  <si>
    <t xml:space="preserve">영주지점</t>
  </si>
  <si>
    <t xml:space="preserve">계장 이정엽</t>
  </si>
  <si>
    <t xml:space="preserve">1.89(SC)</t>
  </si>
  <si>
    <t xml:space="preserve">1.98(SC)</t>
  </si>
  <si>
    <t xml:space="preserve">1m</t>
  </si>
  <si>
    <r>
      <rPr>
        <sz val="11"/>
        <color theme="1"/>
        <rFont val="맑은 고딕"/>
        <family val="3"/>
        <charset val="129"/>
      </rPr>
      <t xml:space="preserve">6/22 1M 2.00 2M 2.10 3M 2.30 6M 2.45 12M 2.60, </t>
    </r>
    <r>
      <rPr>
        <sz val="11"/>
        <color theme="1"/>
        <rFont val="Noto Sans CJK SC"/>
        <family val="2"/>
      </rPr>
      <t xml:space="preserve">황수덕 부지점장 → 체결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분기말 금리</t>
    </r>
    <r>
      <rPr>
        <sz val="11"/>
        <color theme="1"/>
        <rFont val="맑은 고딕"/>
        <family val="3"/>
        <charset val="129"/>
      </rPr>
      <t xml:space="preserve">/</t>
    </r>
    <r>
      <rPr>
        <sz val="11"/>
        <color theme="1"/>
        <rFont val="Noto Sans CJK SC"/>
        <family val="2"/>
      </rPr>
      <t xml:space="preserve">비금리 운용예정</t>
    </r>
    <r>
      <rPr>
        <sz val="11"/>
        <color theme="1"/>
        <rFont val="맑은 고딕"/>
        <family val="3"/>
        <charset val="129"/>
      </rPr>
      <t xml:space="preserve">)</t>
    </r>
  </si>
  <si>
    <t xml:space="preserve">지점장 김병철</t>
  </si>
  <si>
    <t xml:space="preserve">2.06(SC)</t>
  </si>
  <si>
    <t xml:space="preserve">2m</t>
  </si>
  <si>
    <r>
      <rPr>
        <sz val="11"/>
        <color theme="1"/>
        <rFont val="맑은 고딕"/>
        <family val="2"/>
        <charset val="129"/>
      </rPr>
      <t xml:space="preserve">1.5M (~8/9, 30M, 2.10%</t>
    </r>
    <r>
      <rPr>
        <sz val="11"/>
        <color theme="1"/>
        <rFont val="Noto Sans CJK SC"/>
        <family val="2"/>
      </rPr>
      <t xml:space="preserve">제시</t>
    </r>
    <r>
      <rPr>
        <sz val="11"/>
        <color theme="1"/>
        <rFont val="맑은 고딕"/>
        <family val="2"/>
        <charset val="129"/>
      </rPr>
      <t xml:space="preserve">) 2M (~8/23, 30M, 2.26%</t>
    </r>
    <r>
      <rPr>
        <sz val="11"/>
        <color theme="1"/>
        <rFont val="Noto Sans CJK SC"/>
        <family val="2"/>
      </rPr>
      <t xml:space="preserve">제시★체결★</t>
    </r>
    <r>
      <rPr>
        <sz val="11"/>
        <color theme="1"/>
        <rFont val="맑은 고딕"/>
        <family val="2"/>
        <charset val="129"/>
      </rPr>
      <t xml:space="preserve">)→10M(</t>
    </r>
    <r>
      <rPr>
        <sz val="11"/>
        <color theme="1"/>
        <rFont val="Noto Sans CJK SC"/>
        <family val="2"/>
      </rPr>
      <t xml:space="preserve">교통</t>
    </r>
    <r>
      <rPr>
        <sz val="11"/>
        <color theme="1"/>
        <rFont val="맑은 고딕"/>
        <family val="2"/>
        <charset val="129"/>
      </rPr>
      <t xml:space="preserve">OBU@2.65%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) </t>
    </r>
  </si>
  <si>
    <t xml:space="preserve">현대종합상사</t>
  </si>
  <si>
    <r>
      <rPr>
        <sz val="11"/>
        <color theme="1"/>
        <rFont val="맑은 고딕"/>
        <family val="3"/>
        <charset val="129"/>
      </rPr>
      <t xml:space="preserve"> 1M 2.00 </t>
    </r>
    <r>
      <rPr>
        <sz val="11"/>
        <color theme="1"/>
        <rFont val="Noto Sans CJK SC"/>
        <family val="2"/>
      </rPr>
      <t xml:space="preserve">제시  </t>
    </r>
    <r>
      <rPr>
        <sz val="11"/>
        <color theme="1"/>
        <rFont val="맑은 고딕"/>
        <family val="3"/>
        <charset val="129"/>
      </rPr>
      <t xml:space="preserve">7/03 1M 2.05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신규예정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</si>
  <si>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대리 김미진</t>
  </si>
  <si>
    <t xml:space="preserve">2.22(SC)</t>
  </si>
  <si>
    <t xml:space="preserve">3m</t>
  </si>
  <si>
    <t xml:space="preserve">콜론 CCB_SL 18.07.17 ~ 18.10.15 5mio @ 2.66%</t>
  </si>
  <si>
    <r>
      <rPr>
        <sz val="11"/>
        <color theme="1"/>
        <rFont val="맑은 고딕"/>
        <family val="2"/>
        <charset val="129"/>
      </rPr>
      <t xml:space="preserve">4/13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2.31% </t>
    </r>
    <r>
      <rPr>
        <sz val="11"/>
        <color theme="1"/>
        <rFont val="Noto Sans CJK SC"/>
        <family val="2"/>
      </rPr>
      <t xml:space="preserve">만기도래건으로 연장 </t>
    </r>
    <r>
      <rPr>
        <sz val="11"/>
        <color theme="1"/>
        <rFont val="맑은 고딕"/>
        <family val="2"/>
        <charset val="129"/>
      </rPr>
      <t xml:space="preserve">3M 2.31% , 6M 2.47%</t>
    </r>
  </si>
  <si>
    <t xml:space="preserve">콜론 CCB_SL 18.07.09 ~ 18.08.06 10mio @ 2.2%</t>
  </si>
  <si>
    <r>
      <rPr>
        <sz val="11"/>
        <color theme="1"/>
        <rFont val="맑은 고딕"/>
        <family val="3"/>
        <charset val="129"/>
      </rPr>
      <t xml:space="preserve">1M 2.05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신규예정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외화지급보증등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</si>
  <si>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1.79(SC)</t>
  </si>
  <si>
    <t xml:space="preserve">1w</t>
  </si>
  <si>
    <t xml:space="preserve">미매칭</t>
  </si>
  <si>
    <t xml:space="preserve">상해지점</t>
  </si>
  <si>
    <t xml:space="preserve">지점장 김성진</t>
  </si>
  <si>
    <t xml:space="preserve">차장 김철영</t>
  </si>
  <si>
    <t xml:space="preserve">SAMHA SEWON HIGHTECH PART CO.,LTD</t>
  </si>
  <si>
    <r>
      <rPr>
        <sz val="11"/>
        <color theme="1"/>
        <rFont val="맑은 고딕"/>
        <family val="2"/>
        <charset val="129"/>
      </rPr>
      <t xml:space="preserve">SB18-</t>
    </r>
    <r>
      <rPr>
        <sz val="11"/>
        <color theme="1"/>
        <rFont val="Noto Sans CJK SC"/>
        <family val="2"/>
      </rPr>
      <t xml:space="preserve">상해지점</t>
    </r>
    <r>
      <rPr>
        <sz val="11"/>
        <color theme="1"/>
        <rFont val="맑은 고딕"/>
        <family val="2"/>
        <charset val="129"/>
      </rPr>
      <t xml:space="preserve">-3721</t>
    </r>
  </si>
  <si>
    <t xml:space="preserve">지점장 조은주</t>
  </si>
  <si>
    <t xml:space="preserve">한국전력</t>
  </si>
  <si>
    <t xml:space="preserve">2.23(SC)</t>
  </si>
  <si>
    <t xml:space="preserve">매칭 콜론(USD10M,7/27~10/24,2.62%WOORI_SG) (USD10M,7/27~10/29,2.60%ABCOSL) (USD10M,7/27~10/29,2.63%ABCOSL)</t>
  </si>
  <si>
    <t xml:space="preserve">한전 정기입찰 3개월 (거래활성화를 위해 2.47%제시 하였으나 일본계은행에서 더 높은 금리로 낙찰, 향후에는 2.40%이하로 제시요청함)</t>
  </si>
  <si>
    <t xml:space="preserve">1.95(SC)</t>
  </si>
  <si>
    <t xml:space="preserve">매칭 FXSWAP(EUR/USD 20Mio, 1주일 X 4 운용, 약 2.38%)</t>
  </si>
  <si>
    <t xml:space="preserve">7/24 1M 1.95 2M 2.15 3M 2.30 6M 2.45 12M 2.60</t>
  </si>
  <si>
    <t xml:space="preserve">매칭 콜론(MM180700087, USD 10Mio, 7/23 ~ 10/25, 2.63%)</t>
  </si>
  <si>
    <t xml:space="preserve">1.96(SC)</t>
  </si>
  <si>
    <t xml:space="preserve">콜론 CCB_SL 18.08.09 ~ 18.09.10 10mio @ 2.21%</t>
  </si>
  <si>
    <r>
      <rPr>
        <sz val="11"/>
        <color theme="1"/>
        <rFont val="맑은 고딕"/>
        <family val="3"/>
        <charset val="129"/>
      </rPr>
      <t xml:space="preserve">1M 2.00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 </t>
    </r>
    <r>
      <rPr>
        <sz val="11"/>
        <color theme="1"/>
        <rFont val="맑은 고딕"/>
        <family val="3"/>
        <charset val="129"/>
      </rPr>
      <t xml:space="preserve">8/06</t>
    </r>
    <r>
      <rPr>
        <sz val="11"/>
        <color theme="1"/>
        <rFont val="Noto Sans CJK SC"/>
        <family val="2"/>
      </rPr>
      <t xml:space="preserve">연장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외화지급보증등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</si>
  <si>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1.76(SC)</t>
  </si>
  <si>
    <t xml:space="preserve">1.94(SC)</t>
  </si>
  <si>
    <r>
      <rPr>
        <sz val="11"/>
        <color theme="1"/>
        <rFont val="맑은 고딕"/>
        <family val="2"/>
        <charset val="129"/>
      </rPr>
      <t xml:space="preserve">EUR/USD 1W 10MIO </t>
    </r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교통은행사을 콜론 </t>
    </r>
    <r>
      <rPr>
        <sz val="11"/>
        <color theme="1"/>
        <rFont val="맑은 고딕"/>
        <family val="2"/>
        <charset val="129"/>
      </rPr>
      <t xml:space="preserve">1M 10MIO 2.25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</si>
  <si>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만기 이후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개월로 연장하기로 함</t>
    </r>
    <r>
      <rPr>
        <sz val="11"/>
        <color theme="1"/>
        <rFont val="맑은 고딕"/>
        <family val="2"/>
        <charset val="129"/>
      </rPr>
      <t xml:space="preserve">. (</t>
    </r>
    <r>
      <rPr>
        <sz val="11"/>
        <color theme="1"/>
        <rFont val="Noto Sans CJK SC"/>
        <family val="2"/>
      </rPr>
      <t xml:space="preserve">금리인상가능성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</si>
  <si>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2.15%</t>
    </r>
    <r>
      <rPr>
        <sz val="11"/>
        <color theme="1"/>
        <rFont val="Noto Sans CJK SC"/>
        <family val="2"/>
      </rPr>
      <t xml:space="preserve">로 공격적 제시 했으나 이탈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</si>
  <si>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2.20(SC)</t>
  </si>
  <si>
    <t xml:space="preserve">한전 정기입찰 3개월 (이자운용 최대 2.30임에도 향후 금리인상 및 비이자운용 2.70감안하여 2.35로 공격적 제시함)</t>
  </si>
  <si>
    <t xml:space="preserve">한전정기입찰 MMDA신규체결 (영업점 거래활성화 지원, 평잔유지상황 및 거래패턴 확인필요, 기운용중인 EUR/USD 비이자스왑 재원으로 활용), 평잔유지조건 없으나 향후 조건제시 필요.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</si>
  <si>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정기예금금리 수준으로 실수…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</si>
  <si>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2.2(SC)</t>
  </si>
  <si>
    <t xml:space="preserve">3M</t>
  </si>
  <si>
    <t xml:space="preserve">정기예금 3개월 재예치건으로 기 승인금리 수준 감안하여 2.22%로 제시. 소액으로 비이자운용에 포함 활용.</t>
  </si>
  <si>
    <t xml:space="preserve">2.00(SC)</t>
  </si>
  <si>
    <t xml:space="preserve">1M</t>
  </si>
  <si>
    <t xml:space="preserve">매칭 콜론(미즈호서울, USD 10Mio, 9/10 ~ 10/10, 2.28%)</t>
  </si>
  <si>
    <t xml:space="preserve">1W</t>
  </si>
  <si>
    <t xml:space="preserve">기금리수준과 동일하게 승인함.</t>
  </si>
  <si>
    <t xml:space="preserve">포항공단지점</t>
  </si>
  <si>
    <t xml:space="preserve">지점장 박광호</t>
  </si>
  <si>
    <t xml:space="preserve">과장 류상호</t>
  </si>
  <si>
    <t xml:space="preserve">아주베스틸㈜</t>
  </si>
  <si>
    <t xml:space="preserve">매칭 FXSWAP(EUR/USD 5Mio, 2주)</t>
  </si>
  <si>
    <t xml:space="preserve">2.05(SC)</t>
  </si>
  <si>
    <t xml:space="preserve">매칭 콜론(LBBW 서울, USD 30Mio, 9/17 ~ 10/18, 2.28%)</t>
  </si>
  <si>
    <r>
      <rPr>
        <sz val="11"/>
        <color theme="1"/>
        <rFont val="맑은 고딕"/>
        <family val="2"/>
        <charset val="129"/>
      </rPr>
      <t xml:space="preserve">2.15% </t>
    </r>
    <r>
      <rPr>
        <sz val="11"/>
        <color theme="1"/>
        <rFont val="Noto Sans CJK SC"/>
        <family val="2"/>
      </rPr>
      <t xml:space="preserve">최근과 같은 수준으로 제시함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최근제시금리가 워낙 공격적이었음</t>
    </r>
    <r>
      <rPr>
        <sz val="11"/>
        <color theme="1"/>
        <rFont val="맑은 고딕"/>
        <family val="2"/>
        <charset val="129"/>
      </rPr>
      <t xml:space="preserve">.. </t>
    </r>
  </si>
  <si>
    <t xml:space="preserve">2.04(KDB)</t>
  </si>
  <si>
    <t xml:space="preserve">레조나동경 20M 10.01~ 10.30 2.33%매칭</t>
  </si>
  <si>
    <t xml:space="preserve">2.22(KDB)</t>
  </si>
  <si>
    <r>
      <rPr>
        <sz val="11"/>
        <color theme="1"/>
        <rFont val="맑은 고딕"/>
        <family val="2"/>
        <charset val="129"/>
      </rPr>
      <t xml:space="preserve">LBBW SL 10M 10.01 ~ 12.28 2.43% </t>
    </r>
    <r>
      <rPr>
        <sz val="11"/>
        <color theme="1"/>
        <rFont val="Noto Sans CJK SC"/>
        <family val="2"/>
      </rPr>
      <t xml:space="preserve">매칭</t>
    </r>
  </si>
  <si>
    <t xml:space="preserve">2.272(SC)</t>
  </si>
  <si>
    <t xml:space="preserve">2(SC)</t>
  </si>
  <si>
    <r>
      <rPr>
        <sz val="11"/>
        <color theme="1"/>
        <rFont val="맑은 고딕"/>
        <family val="2"/>
        <charset val="129"/>
      </rPr>
      <t xml:space="preserve">1.67(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</si>
  <si>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0.05% 높게 승인함.</t>
  </si>
  <si>
    <t xml:space="preserve">계장 김형수</t>
  </si>
  <si>
    <t xml:space="preserve">자유적립식</t>
  </si>
  <si>
    <r>
      <rPr>
        <sz val="11"/>
        <color theme="1"/>
        <rFont val="맑은 고딕"/>
        <family val="2"/>
        <charset val="129"/>
      </rPr>
      <t xml:space="preserve">1.98(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</si>
  <si>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기금리수준대로 승인함</t>
  </si>
  <si>
    <t xml:space="preserve">유로스왑 예정</t>
  </si>
  <si>
    <r>
      <rPr>
        <sz val="11"/>
        <color theme="1"/>
        <rFont val="맑은 고딕"/>
        <family val="2"/>
        <charset val="129"/>
      </rPr>
      <t xml:space="preserve">2.11(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</si>
  <si>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 고시금리가 과거대비 </t>
    </r>
    <r>
      <rPr>
        <sz val="11"/>
        <color theme="1"/>
        <rFont val="맑은 고딕"/>
        <family val="2"/>
        <charset val="129"/>
      </rPr>
      <t xml:space="preserve">20BP</t>
    </r>
    <r>
      <rPr>
        <sz val="11"/>
        <color theme="1"/>
        <rFont val="Noto Sans CJK SC"/>
        <family val="2"/>
      </rPr>
      <t xml:space="preserve">상승함에 따라 </t>
    </r>
    <r>
      <rPr>
        <sz val="11"/>
        <color theme="1"/>
        <rFont val="맑은 고딕"/>
        <family val="2"/>
        <charset val="129"/>
      </rPr>
      <t xml:space="preserve">1.40 </t>
    </r>
    <r>
      <rPr>
        <sz val="11"/>
        <color theme="1"/>
        <rFont val="Noto Sans CJK SC"/>
        <family val="2"/>
      </rPr>
      <t xml:space="preserve">제시</t>
    </r>
  </si>
  <si>
    <t xml:space="preserve">차장 정상국</t>
  </si>
  <si>
    <t xml:space="preserve">2.35~2.40%</t>
  </si>
  <si>
    <t xml:space="preserve">2.33(KDB)</t>
  </si>
  <si>
    <t xml:space="preserve">일본계 은행에서 2.95에 전 금액 낙찰 되었다고 함.</t>
  </si>
  <si>
    <t xml:space="preserve">그린사이언스㈜</t>
  </si>
  <si>
    <t xml:space="preserve">대리 조화경</t>
  </si>
  <si>
    <r>
      <rPr>
        <sz val="11"/>
        <color theme="1"/>
        <rFont val="맑은 고딕"/>
        <family val="2"/>
        <charset val="129"/>
      </rPr>
      <t xml:space="preserve">2.65(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</si>
  <si>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</t>
  </si>
  <si>
    <t xml:space="preserve">차장 이승원</t>
  </si>
  <si>
    <r>
      <rPr>
        <sz val="11"/>
        <color theme="1"/>
        <rFont val="맑은 고딕"/>
        <family val="2"/>
        <charset val="129"/>
      </rPr>
      <t xml:space="preserve">2.77(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</si>
  <si>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12m</t>
  </si>
  <si>
    <r>
      <rPr>
        <sz val="11"/>
        <color theme="1"/>
        <rFont val="맑은 고딕"/>
        <family val="2"/>
        <charset val="129"/>
      </rPr>
      <t xml:space="preserve">2.14(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</si>
  <si>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1.68(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</si>
  <si>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0.1% 높게 승인함. MMDA 기본 고시금리가 과거대비 20BP상승</t>
  </si>
  <si>
    <t xml:space="preserve">과장 손은정</t>
  </si>
  <si>
    <r>
      <rPr>
        <sz val="11"/>
        <color theme="1"/>
        <rFont val="맑은 고딕"/>
        <family val="2"/>
        <charset val="129"/>
      </rPr>
      <t xml:space="preserve">2.17(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</si>
  <si>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덕산지점</t>
  </si>
  <si>
    <r>
      <rPr>
        <sz val="11"/>
        <color theme="1"/>
        <rFont val="맑은 고딕"/>
        <family val="2"/>
        <charset val="129"/>
      </rPr>
      <t xml:space="preserve">2.62(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</si>
  <si>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</si>
  <si>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2.31(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</si>
  <si>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FXSWAP(EUR/USD 10Mio, 1M)</t>
  </si>
  <si>
    <r>
      <rPr>
        <sz val="11"/>
        <color theme="1"/>
        <rFont val="맑은 고딕"/>
        <family val="2"/>
        <charset val="129"/>
      </rPr>
      <t xml:space="preserve">2.67(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</si>
  <si>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2.44(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</si>
  <si>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금리차이 현저하여 유치 실패</t>
  </si>
  <si>
    <t xml:space="preserve">범어동지점</t>
  </si>
  <si>
    <t xml:space="preserve">지점장 최종호</t>
  </si>
  <si>
    <t xml:space="preserve">과장 김남희</t>
  </si>
  <si>
    <t xml:space="preserve">정병양</t>
  </si>
  <si>
    <t xml:space="preserve">매칭 (수협, USD 20Mio, 2018.12.31 ~ 2019.04.01, 3.06%)</t>
  </si>
  <si>
    <r>
      <rPr>
        <sz val="11"/>
        <color theme="1"/>
        <rFont val="맑은 고딕"/>
        <family val="2"/>
        <charset val="129"/>
      </rPr>
      <t xml:space="preserve">2.64(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</si>
  <si>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쿠팡</t>
  </si>
  <si>
    <r>
      <rPr>
        <sz val="11"/>
        <color theme="1"/>
        <rFont val="맑은 고딕"/>
        <family val="2"/>
        <charset val="129"/>
      </rPr>
      <t xml:space="preserve">2.33(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</si>
  <si>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노르드은행 10m/ 1.4 ~ 2.7 , 시즈오까 10m/ 1.8 ~ 2.8</t>
  </si>
  <si>
    <r>
      <rPr>
        <sz val="11"/>
        <color theme="1"/>
        <rFont val="맑은 고딕"/>
        <family val="2"/>
        <charset val="129"/>
      </rPr>
      <t xml:space="preserve">1.88(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</si>
  <si>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 고시금리가 최근 승인건 대비  </t>
    </r>
    <r>
      <rPr>
        <sz val="11"/>
        <color theme="1"/>
        <rFont val="맑은 고딕"/>
        <family val="2"/>
        <charset val="129"/>
      </rPr>
      <t xml:space="preserve">17BP</t>
    </r>
    <r>
      <rPr>
        <sz val="11"/>
        <color theme="1"/>
        <rFont val="Noto Sans CJK SC"/>
        <family val="2"/>
      </rPr>
      <t xml:space="preserve">상승</t>
    </r>
  </si>
  <si>
    <r>
      <rPr>
        <sz val="11"/>
        <color theme="1"/>
        <rFont val="맑은 고딕"/>
        <family val="2"/>
        <charset val="129"/>
      </rPr>
      <t xml:space="preserve">2.05(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</si>
  <si>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2W</t>
  </si>
  <si>
    <t xml:space="preserve">매칭 (CACIB 서울, 10M, 1.18~1.31)</t>
  </si>
  <si>
    <t xml:space="preserve">매칭 (레조나 동경, 1.23 ~2.22, 2.62%)</t>
  </si>
  <si>
    <t xml:space="preserve">일시적 여유자금 부족으로 운용없음(콜머니 1주일 거래시 2.4%이상 수준)</t>
  </si>
  <si>
    <t xml:space="preserve">지점장 김준우</t>
  </si>
  <si>
    <r>
      <rPr>
        <sz val="11"/>
        <color theme="1"/>
        <rFont val="맑은 고딕"/>
        <family val="2"/>
        <charset val="129"/>
      </rPr>
      <t xml:space="preserve">1.87(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</si>
  <si>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기금리수준으로 승인함</t>
  </si>
  <si>
    <t xml:space="preserve">부지점장 박진호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</si>
  <si>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개월간 적용금리 고정을 위한 승인</t>
    </r>
    <r>
      <rPr>
        <sz val="11"/>
        <color theme="1"/>
        <rFont val="맑은 고딕"/>
        <family val="2"/>
        <charset val="129"/>
      </rPr>
      <t xml:space="preserve">.(</t>
    </r>
    <r>
      <rPr>
        <sz val="11"/>
        <color theme="1"/>
        <rFont val="Noto Sans CJK SC"/>
        <family val="2"/>
      </rPr>
      <t xml:space="preserve">기본고시금리적용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</si>
  <si>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</si>
  <si>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(미즈호 서울, 2.25 ~3.25, 2.55%)</t>
  </si>
  <si>
    <t xml:space="preserve">구본일</t>
  </si>
  <si>
    <r>
      <rPr>
        <sz val="11"/>
        <color theme="1"/>
        <rFont val="맑은 고딕"/>
        <family val="2"/>
        <charset val="129"/>
      </rPr>
      <t xml:space="preserve">2.48(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</si>
  <si>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없음( 3개월 운용 최대금리 2.7%로 노마진금리로 승인)</t>
  </si>
  <si>
    <t xml:space="preserve">지점장 한석준</t>
  </si>
  <si>
    <t xml:space="preserve">계장 하경숙</t>
  </si>
  <si>
    <t xml:space="preserve">소액 매칭 없음( 3개월 운용 시장최고금리 2.58기준으로 승인)</t>
  </si>
  <si>
    <t xml:space="preserve">대림산업㈜</t>
  </si>
  <si>
    <r>
      <rPr>
        <sz val="11"/>
        <color theme="1"/>
        <rFont val="맑은 고딕"/>
        <family val="2"/>
        <charset val="129"/>
      </rPr>
      <t xml:space="preserve">2.31(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</si>
  <si>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(미즈호 서울, 3.25 ~4.25, 2.55%)</t>
  </si>
  <si>
    <t xml:space="preserve">현대중공업지주㈜</t>
  </si>
  <si>
    <r>
      <rPr>
        <sz val="11"/>
        <color theme="1"/>
        <rFont val="맑은 고딕"/>
        <family val="2"/>
        <charset val="129"/>
      </rPr>
      <t xml:space="preserve">2.45(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</si>
  <si>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(전북은행, 10m, 4.2~6.3, 2.75%)</t>
  </si>
  <si>
    <t xml:space="preserve">무림피앤피㈜</t>
  </si>
  <si>
    <t xml:space="preserve">현대중공업㈜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</si>
  <si>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</si>
  <si>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명가타운지점</t>
  </si>
  <si>
    <t xml:space="preserve">대리 배지영</t>
  </si>
  <si>
    <t xml:space="preserve">이재형</t>
  </si>
  <si>
    <r>
      <rPr>
        <sz val="11"/>
        <color theme="1"/>
        <rFont val="맑은 고딕"/>
        <family val="2"/>
        <charset val="129"/>
      </rPr>
      <t xml:space="preserve">2.55(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</si>
  <si>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12M</t>
  </si>
  <si>
    <t xml:space="preserve">소액 매칭 없음(EUR/USD SWAP 운용에 활용하며 12개월 운용시 최대금리로 제시)</t>
  </si>
  <si>
    <t xml:space="preserve">2.21(SC)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</si>
  <si>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2.60%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</si>
  <si>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현대종합상사㈜</t>
  </si>
  <si>
    <t xml:space="preserve">ON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</si>
  <si>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운용금리 보다 </t>
    </r>
    <r>
      <rPr>
        <sz val="11"/>
        <color theme="1"/>
        <rFont val="맑은 고딕"/>
        <family val="2"/>
        <charset val="129"/>
      </rPr>
      <t xml:space="preserve">ON</t>
    </r>
    <r>
      <rPr>
        <sz val="11"/>
        <color theme="1"/>
        <rFont val="Noto Sans CJK SC"/>
        <family val="2"/>
      </rPr>
      <t xml:space="preserve">이 높아 운용하고 익일 운용 재탐색예정</t>
    </r>
    <r>
      <rPr>
        <sz val="11"/>
        <color theme="1"/>
        <rFont val="맑은 고딕"/>
        <family val="2"/>
        <charset val="129"/>
      </rPr>
      <t xml:space="preserve">(ON 2.57% 30MIO)</t>
    </r>
  </si>
  <si>
    <r>
      <rPr>
        <sz val="11"/>
        <color theme="1"/>
        <rFont val="맑은 고딕"/>
        <family val="2"/>
        <charset val="129"/>
      </rPr>
      <t xml:space="preserve">2.29(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</si>
  <si>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서울, 10M, 5.3~6.3 , 2.58%)</t>
  </si>
  <si>
    <r>
      <rPr>
        <sz val="11"/>
        <color theme="1"/>
        <rFont val="맑은 고딕"/>
        <family val="2"/>
        <charset val="129"/>
      </rPr>
      <t xml:space="preserve">2.03(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</si>
  <si>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</si>
  <si>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2.18(SC)</t>
  </si>
  <si>
    <r>
      <rPr>
        <sz val="11"/>
        <color theme="1"/>
        <rFont val="맑은 고딕"/>
        <family val="2"/>
        <charset val="129"/>
      </rPr>
      <t xml:space="preserve">1.85(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</si>
  <si>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1.83(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</si>
  <si>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2.17(SC)</t>
  </si>
  <si>
    <r>
      <rPr>
        <sz val="11"/>
        <color theme="1"/>
        <rFont val="맑은 고딕"/>
        <family val="2"/>
        <charset val="129"/>
      </rPr>
      <t xml:space="preserve">2.28(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</si>
  <si>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(UOB SL, 10M, 5-21~6-21 , 2.53%)</t>
  </si>
  <si>
    <r>
      <rPr>
        <sz val="11"/>
        <color theme="1"/>
        <rFont val="맑은 고딕"/>
        <family val="2"/>
        <charset val="129"/>
      </rPr>
      <t xml:space="preserve">2.08(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</si>
  <si>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2.48%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</si>
  <si>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2.45%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</si>
  <si>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</si>
  <si>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없음( 3개월 운용 최대금리 2.65%수준 반영)</t>
  </si>
  <si>
    <t xml:space="preserve">계장 이현진</t>
  </si>
  <si>
    <t xml:space="preserve">거산산업㈜</t>
  </si>
  <si>
    <r>
      <rPr>
        <sz val="11"/>
        <color theme="1"/>
        <rFont val="맑은 고딕"/>
        <family val="2"/>
        <charset val="129"/>
      </rPr>
      <t xml:space="preserve">2.38(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</si>
  <si>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없음( 12개월 운용 최대금리 2.80%수준 반영)</t>
  </si>
  <si>
    <t xml:space="preserve">매칭 (KDB동경, 30M, 6.5~6.12 , 2.49%)</t>
  </si>
  <si>
    <t xml:space="preserve">㈜신라글로비스</t>
  </si>
  <si>
    <t xml:space="preserve">2.30(SC)</t>
  </si>
  <si>
    <t xml:space="preserve">소액 매칭 없음( 6개월 운용 최대금리 2.70%수준 반영)</t>
  </si>
  <si>
    <t xml:space="preserve">2.16(SC)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</si>
  <si>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 연장건으로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</si>
  <si>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 연장건으로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</si>
  <si>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1.84(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</si>
  <si>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황윤정</t>
  </si>
  <si>
    <t xml:space="preserve">㈜보림엘텍</t>
  </si>
  <si>
    <r>
      <rPr>
        <sz val="11"/>
        <color theme="1"/>
        <rFont val="맑은 고딕"/>
        <family val="2"/>
        <charset val="129"/>
      </rPr>
      <t xml:space="preserve">2.21(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</si>
  <si>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없음( 1개월 운용 최소금리 2.50%수준 )</t>
  </si>
  <si>
    <t xml:space="preserve">소액 매칭 없음( 3개월 운용 최소금리 2.55%수준 )</t>
  </si>
  <si>
    <t xml:space="preserve">대리 전혜연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</si>
  <si>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 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2.44%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</si>
  <si>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2.01(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</si>
  <si>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없음( 2주 운용 최소금리 2.46%수준 )</t>
  </si>
  <si>
    <t xml:space="preserve">매칭 (ABOC서울, 20M, 6.24~7.1 , 2.71%)</t>
  </si>
  <si>
    <t xml:space="preserve">강촌지점</t>
  </si>
  <si>
    <t xml:space="preserve">대리 이세희</t>
  </si>
  <si>
    <t xml:space="preserve">㈜동화인더스트리</t>
  </si>
  <si>
    <t xml:space="preserve">소액 매칭 없음 (EUR/ USD SWAP 으로 활용)</t>
  </si>
  <si>
    <t xml:space="preserve">2.13(SC)</t>
  </si>
  <si>
    <t xml:space="preserve">대리 하경숙</t>
  </si>
  <si>
    <t xml:space="preserve">2.197(SC)</t>
  </si>
  <si>
    <t xml:space="preserve">매칭 (레조나 동경, 20M, 7.5~8.5 , 2.50%)</t>
  </si>
  <si>
    <r>
      <rPr>
        <sz val="11"/>
        <color theme="1"/>
        <rFont val="맑은 고딕"/>
        <family val="2"/>
        <charset val="129"/>
      </rPr>
      <t xml:space="preserve">2.16(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</si>
  <si>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(UOB SL, 20M, 7.9~8.9 , 2.50%) 포함</t>
  </si>
  <si>
    <t xml:space="preserve">대리 한경미</t>
  </si>
  <si>
    <t xml:space="preserve">기금리수준으로 승인함, 소액매칭없음</t>
  </si>
  <si>
    <t xml:space="preserve">과장 황정이</t>
  </si>
  <si>
    <r>
      <rPr>
        <sz val="11"/>
        <color theme="1"/>
        <rFont val="맑은 고딕"/>
        <family val="2"/>
        <charset val="129"/>
      </rPr>
      <t xml:space="preserve">2.13(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</si>
  <si>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(EUR/ USD SWAP 으로 활용)( 1개월 이자부운용 최소금리 2.25%수준 )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</si>
  <si>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현대미포조선</t>
    </r>
  </si>
  <si>
    <t xml:space="preserve">매칭 ( ICBC서울, 10M, 7.30~8.6, 2.43%)</t>
  </si>
  <si>
    <t xml:space="preserve">윤만수</t>
  </si>
  <si>
    <t xml:space="preserve">소액 매칭 없음 (EUR/ USD SWAP 으로 활용)( 3개월 운용금리 2.45%수준 )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</si>
  <si>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이랜드월드</t>
    </r>
  </si>
  <si>
    <t xml:space="preserve">기금리수준 대비 기본고시금리 하락 반영 1.40% 적용</t>
  </si>
  <si>
    <t xml:space="preserve">1.97(SC)</t>
  </si>
  <si>
    <t xml:space="preserve">매칭 (레조나 동경 , 10M, 8.7 ~ 8.13, 2.30%)</t>
  </si>
  <si>
    <r>
      <rPr>
        <sz val="11"/>
        <color theme="1"/>
        <rFont val="맑은 고딕"/>
        <family val="2"/>
        <charset val="129"/>
      </rPr>
      <t xml:space="preserve">1.51(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</si>
  <si>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2.09(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</si>
  <si>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레조나 동경 (10m, 8/14 ~ 9/18 2.30%) 13일 기준 재매칭 확정</t>
  </si>
  <si>
    <t xml:space="preserve">Y</t>
  </si>
  <si>
    <t xml:space="preserve">소액 매칭 없음( 1개월 운용 시장최고금리 resona bank 2.30기준으로 승인) 타행 3m, 2.16에 제시했으나 당행에 예치했다고 함 (국민)</t>
  </si>
  <si>
    <t xml:space="preserve">계장 김예슬</t>
  </si>
  <si>
    <t xml:space="preserve">팬오션㈜</t>
  </si>
  <si>
    <t xml:space="preserve">소액 매칭 없음( 1개월 운용 시장최고금리 resona bank 2.30기준으로 승인) </t>
  </si>
  <si>
    <t xml:space="preserve">소액 매칭 없음 (EUR/ USD SWAP 으로 활용)( 3개월 이자부운용 최소금리 2.21%수준 )</t>
  </si>
  <si>
    <t xml:space="preserve">소액 매칭 없음( 3개월 운용 최대금리 2.20%수준 반영)</t>
  </si>
  <si>
    <t xml:space="preserve">기금리수준 대비 기본고시금리 하락 반영 1.35% 적용</t>
  </si>
  <si>
    <r>
      <rPr>
        <sz val="11"/>
        <color theme="1"/>
        <rFont val="맑은 고딕"/>
        <family val="2"/>
        <charset val="129"/>
      </rPr>
      <t xml:space="preserve">1.99(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</si>
  <si>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(시즈오카 동경, 20M, 9.4 ~ 10.4, 2.35%)</t>
  </si>
  <si>
    <r>
      <rPr>
        <sz val="11"/>
        <color theme="1"/>
        <rFont val="맑은 고딕"/>
        <family val="2"/>
        <charset val="129"/>
      </rPr>
      <t xml:space="preserve">1.94(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</si>
  <si>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10M, 9.9 ~ 10.10, 2.25%)</t>
  </si>
  <si>
    <r>
      <rPr>
        <sz val="11"/>
        <color theme="1"/>
        <rFont val="맑은 고딕"/>
        <family val="2"/>
        <charset val="129"/>
      </rPr>
      <t xml:space="preserve">1.93(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</si>
  <si>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10M, 9.10 ~ 10.10, 2.28%)</t>
  </si>
  <si>
    <t xml:space="preserve">차장 홍혜정</t>
  </si>
  <si>
    <r>
      <rPr>
        <sz val="11"/>
        <color theme="1"/>
        <rFont val="맑은 고딕"/>
        <family val="2"/>
        <charset val="129"/>
      </rPr>
      <t xml:space="preserve">1.91(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</si>
  <si>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10M, 9.18 ~ 10.18, 2.25%)</t>
  </si>
  <si>
    <t xml:space="preserve">매칭 (LBBW SL, 10M, 9.17 ~ 10.17, 2.25%)</t>
  </si>
  <si>
    <t xml:space="preserve">차장 한지숙</t>
  </si>
  <si>
    <r>
      <rPr>
        <sz val="11"/>
        <color theme="1"/>
        <rFont val="맑은 고딕"/>
        <family val="2"/>
        <charset val="129"/>
      </rPr>
      <t xml:space="preserve">1.92(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</si>
  <si>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1.838(sc)</t>
  </si>
  <si>
    <t xml:space="preserve">매칭 (UOB SL 10M 9.19~10.18, 2.28%)</t>
  </si>
  <si>
    <r>
      <rPr>
        <sz val="11"/>
        <color theme="1"/>
        <rFont val="맑은 고딕"/>
        <family val="2"/>
        <charset val="129"/>
      </rPr>
      <t xml:space="preserve">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</si>
  <si>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 최대금리 2.09% 수준 반영)</t>
  </si>
  <si>
    <t xml:space="preserve">상인역지점</t>
  </si>
  <si>
    <t xml:space="preserve">상담만</t>
  </si>
  <si>
    <t xml:space="preserve">차장 이유진</t>
  </si>
  <si>
    <t xml:space="preserve">-</t>
  </si>
  <si>
    <t xml:space="preserve">N</t>
  </si>
  <si>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는 대략 물어보셔서 </t>
    </r>
    <r>
      <rPr>
        <sz val="11"/>
        <color theme="1"/>
        <rFont val="맑은 고딕"/>
        <family val="2"/>
        <charset val="129"/>
      </rPr>
      <t xml:space="preserve">1.15~1.20 </t>
    </r>
    <r>
      <rPr>
        <sz val="11"/>
        <color theme="1"/>
        <rFont val="Noto Sans CJK SC"/>
        <family val="2"/>
      </rPr>
      <t xml:space="preserve">정도 예상된다고만 말씀드림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</si>
  <si>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1.30(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</si>
  <si>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기본고시금리 하락 반영 1.15% 적용</t>
  </si>
  <si>
    <r>
      <rPr>
        <sz val="11"/>
        <color theme="1"/>
        <rFont val="맑은 고딕"/>
        <family val="2"/>
        <charset val="129"/>
      </rPr>
      <t xml:space="preserve">1.85(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</si>
  <si>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20M, 10.07 ~ 11.07, 2.15%)</t>
  </si>
  <si>
    <r>
      <rPr>
        <sz val="11"/>
        <color theme="1"/>
        <rFont val="맑은 고딕"/>
        <family val="2"/>
        <charset val="129"/>
      </rPr>
      <t xml:space="preserve">1.84(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</si>
  <si>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(미지호 서울, 10M, 10..08 ~ 11.08, 2.02%)</t>
  </si>
  <si>
    <r>
      <rPr>
        <sz val="11"/>
        <color theme="1"/>
        <rFont val="맑은 고딕"/>
        <family val="2"/>
        <charset val="129"/>
      </rPr>
      <t xml:space="preserve">1.80(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</si>
  <si>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(기업 홍콩, 20M, 10.15~11.08, 2.08%)</t>
  </si>
  <si>
    <r>
      <rPr>
        <sz val="11"/>
        <color theme="1"/>
        <rFont val="맑은 고딕"/>
        <family val="2"/>
        <charset val="129"/>
      </rPr>
      <t xml:space="preserve">1.27(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</si>
  <si>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1.75(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</si>
  <si>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SL, 10M, 10.15~11.15, 2.04%)</t>
  </si>
  <si>
    <r>
      <rPr>
        <sz val="11"/>
        <color theme="1"/>
        <rFont val="맑은 고딕"/>
        <family val="2"/>
        <charset val="129"/>
      </rPr>
      <t xml:space="preserve">1.70(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</si>
  <si>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 최소금리 1.88% 수준 반영)</t>
  </si>
  <si>
    <r>
      <rPr>
        <sz val="11"/>
        <color theme="1"/>
        <rFont val="맑은 고딕"/>
        <family val="2"/>
        <charset val="129"/>
      </rPr>
      <t xml:space="preserve">1.66(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</si>
  <si>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(UOB SL, 10M, 10.25~11.25, 1.95%)</t>
  </si>
  <si>
    <r>
      <rPr>
        <sz val="11"/>
        <color theme="1"/>
        <rFont val="맑은 고딕"/>
        <family val="2"/>
        <charset val="129"/>
      </rPr>
      <t xml:space="preserve">1.15(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</si>
  <si>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기본고시금리 하락 반영 1.00% 적용</t>
  </si>
  <si>
    <r>
      <rPr>
        <sz val="11"/>
        <color theme="1"/>
        <rFont val="맑은 고딕"/>
        <family val="2"/>
        <charset val="129"/>
      </rPr>
      <t xml:space="preserve">1.63(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</si>
  <si>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MM</t>
    </r>
    <r>
      <rPr>
        <sz val="11"/>
        <color theme="1"/>
        <rFont val="Noto Sans CJK SC"/>
        <family val="2"/>
      </rPr>
      <t xml:space="preserve">운용 금리 수준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정도 감안시 </t>
    </r>
    <r>
      <rPr>
        <sz val="11"/>
        <color theme="1"/>
        <rFont val="맑은 고딕"/>
        <family val="2"/>
        <charset val="129"/>
      </rPr>
      <t xml:space="preserve">9BP </t>
    </r>
    <r>
      <rPr>
        <sz val="11"/>
        <color theme="1"/>
        <rFont val="Noto Sans CJK SC"/>
        <family val="2"/>
      </rPr>
      <t xml:space="preserve">역마진으로 보이나 실제 종수시스템에서 </t>
    </r>
    <r>
      <rPr>
        <sz val="11"/>
        <color theme="1"/>
        <rFont val="맑은 고딕"/>
        <family val="2"/>
        <charset val="129"/>
      </rPr>
      <t xml:space="preserve">12BP </t>
    </r>
    <r>
      <rPr>
        <sz val="11"/>
        <color theme="1"/>
        <rFont val="Noto Sans CJK SC"/>
        <family val="2"/>
      </rPr>
      <t xml:space="preserve">수익으로 계산되며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당행 수익기여도 감안시 매우 우수한 거래처로 판단되어 승인처리</t>
    </r>
    <r>
      <rPr>
        <sz val="11"/>
        <color theme="1"/>
        <rFont val="맑은 고딕"/>
        <family val="2"/>
        <charset val="129"/>
      </rPr>
      <t xml:space="preserve">. 
(SB19-</t>
    </r>
    <r>
      <rPr>
        <sz val="11"/>
        <color theme="1"/>
        <rFont val="Noto Sans CJK SC"/>
        <family val="2"/>
      </rPr>
      <t xml:space="preserve">강남영업보</t>
    </r>
    <r>
      <rPr>
        <sz val="11"/>
        <color theme="1"/>
        <rFont val="맑은 고딕"/>
        <family val="2"/>
        <charset val="129"/>
      </rPr>
      <t xml:space="preserve">-5731, 2019.11.04: 12</t>
    </r>
    <r>
      <rPr>
        <sz val="11"/>
        <color theme="1"/>
        <rFont val="Noto Sans CJK SC"/>
        <family val="2"/>
      </rPr>
      <t xml:space="preserve">개월 기여손익 </t>
    </r>
    <r>
      <rPr>
        <sz val="11"/>
        <color theme="1"/>
        <rFont val="맑은 고딕"/>
        <family val="2"/>
        <charset val="129"/>
      </rPr>
      <t xml:space="preserve">109</t>
    </r>
    <r>
      <rPr>
        <sz val="11"/>
        <color theme="1"/>
        <rFont val="Noto Sans CJK SC"/>
        <family val="2"/>
      </rPr>
      <t xml:space="preserve">백만 기여비율 </t>
    </r>
    <r>
      <rPr>
        <sz val="11"/>
        <color theme="1"/>
        <rFont val="맑은 고딕"/>
        <family val="2"/>
        <charset val="129"/>
      </rPr>
      <t xml:space="preserve">0.73%, 2019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총수신평잔 미화 </t>
    </r>
    <r>
      <rPr>
        <sz val="11"/>
        <color theme="1"/>
        <rFont val="맑은 고딕"/>
        <family val="2"/>
        <charset val="129"/>
      </rPr>
      <t xml:space="preserve">13</t>
    </r>
    <r>
      <rPr>
        <sz val="11"/>
        <color theme="1"/>
        <rFont val="Noto Sans CJK SC"/>
        <family val="2"/>
      </rPr>
      <t xml:space="preserve">백만불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55</t>
    </r>
    <r>
      <rPr>
        <sz val="11"/>
        <color theme="1"/>
        <rFont val="Noto Sans CJK SC"/>
        <family val="2"/>
      </rPr>
      <t xml:space="preserve">백만원</t>
    </r>
    <r>
      <rPr>
        <sz val="11"/>
        <color theme="1"/>
        <rFont val="맑은 고딕"/>
        <family val="2"/>
        <charset val="129"/>
      </rPr>
      <t xml:space="preserve">, DGB</t>
    </r>
    <r>
      <rPr>
        <sz val="11"/>
        <color theme="1"/>
        <rFont val="Noto Sans CJK SC"/>
        <family val="2"/>
      </rPr>
      <t xml:space="preserve">캐피탈 시너지 </t>
    </r>
    <r>
      <rPr>
        <sz val="11"/>
        <color theme="1"/>
        <rFont val="맑은 고딕"/>
        <family val="2"/>
        <charset val="129"/>
      </rPr>
      <t xml:space="preserve">(7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상용차할부금융</t>
    </r>
    <r>
      <rPr>
        <sz val="11"/>
        <color theme="1"/>
        <rFont val="맑은 고딕"/>
        <family val="2"/>
        <charset val="129"/>
      </rPr>
      <t xml:space="preserve">) 
740</t>
    </r>
    <r>
      <rPr>
        <sz val="11"/>
        <color theme="1"/>
        <rFont val="Noto Sans CJK SC"/>
        <family val="2"/>
      </rPr>
      <t xml:space="preserve">백만원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당행기업카드 결제분</t>
    </r>
    <r>
      <rPr>
        <sz val="11"/>
        <color theme="1"/>
        <rFont val="맑은 고딕"/>
        <family val="2"/>
        <charset val="129"/>
      </rPr>
      <t xml:space="preserve">), CMS</t>
    </r>
    <r>
      <rPr>
        <sz val="11"/>
        <color theme="1"/>
        <rFont val="Noto Sans CJK SC"/>
        <family val="2"/>
      </rPr>
      <t xml:space="preserve">수수료 </t>
    </r>
    <r>
      <rPr>
        <sz val="11"/>
        <color theme="1"/>
        <rFont val="맑은 고딕"/>
        <family val="2"/>
        <charset val="129"/>
      </rPr>
      <t xml:space="preserve">2019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10</t>
    </r>
    <r>
      <rPr>
        <sz val="11"/>
        <color theme="1"/>
        <rFont val="Noto Sans CJK SC"/>
        <family val="2"/>
      </rPr>
      <t xml:space="preserve">월까지 </t>
    </r>
    <r>
      <rPr>
        <sz val="11"/>
        <color theme="1"/>
        <rFont val="맑은 고딕"/>
        <family val="2"/>
        <charset val="129"/>
      </rPr>
      <t xml:space="preserve">494</t>
    </r>
    <r>
      <rPr>
        <sz val="11"/>
        <color theme="1"/>
        <rFont val="Noto Sans CJK SC"/>
        <family val="2"/>
      </rPr>
      <t xml:space="preserve">백만원 </t>
    </r>
    <r>
      <rPr>
        <sz val="11"/>
        <color theme="1"/>
        <rFont val="맑은 고딕"/>
        <family val="2"/>
        <charset val="129"/>
      </rPr>
      <t xml:space="preserve">(2018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390</t>
    </r>
    <r>
      <rPr>
        <sz val="11"/>
        <color theme="1"/>
        <rFont val="Noto Sans CJK SC"/>
        <family val="2"/>
      </rPr>
      <t xml:space="preserve">백만원</t>
    </r>
    <r>
      <rPr>
        <sz val="11"/>
        <color theme="1"/>
        <rFont val="맑은 고딕"/>
        <family val="2"/>
        <charset val="129"/>
      </rPr>
      <t xml:space="preserve">) - </t>
    </r>
    <r>
      <rPr>
        <sz val="11"/>
        <color theme="1"/>
        <rFont val="Noto Sans CJK SC"/>
        <family val="2"/>
      </rPr>
      <t xml:space="preserve">종수 미반영중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등</t>
    </r>
  </si>
  <si>
    <t xml:space="preserve">자금 사용 예정으로 해지</t>
  </si>
  <si>
    <r>
      <rPr>
        <sz val="11"/>
        <color theme="1"/>
        <rFont val="맑은 고딕"/>
        <family val="2"/>
        <charset val="129"/>
      </rPr>
      <t xml:space="preserve">1.09(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</si>
  <si>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1(1.50) 2(1.60) 3(1.70) 6(1.75),12(1.75)</t>
  </si>
  <si>
    <t xml:space="preserve">신라 글로비스</t>
  </si>
  <si>
    <r>
      <rPr>
        <sz val="11"/>
        <color theme="1"/>
        <rFont val="맑은 고딕"/>
        <family val="2"/>
        <charset val="129"/>
      </rPr>
      <t xml:space="preserve">1.71(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</si>
  <si>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매칭없음(1년 최대운용금리 2.35% 수준 감안) - 소액 매칭불가시 기본고시금리의 120%수준으로 산정</t>
  </si>
  <si>
    <r>
      <rPr>
        <sz val="11"/>
        <color theme="1"/>
        <rFont val="맑은 고딕"/>
        <family val="2"/>
        <charset val="129"/>
      </rPr>
      <t xml:space="preserve">1.08(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</si>
  <si>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 대비 기본고시금리 하락 반영 0.90% 적용</t>
  </si>
  <si>
    <t xml:space="preserve">과장 정진욱</t>
  </si>
  <si>
    <t xml:space="preserve">동아홀딩스</t>
  </si>
  <si>
    <r>
      <rPr>
        <sz val="11"/>
        <color theme="1"/>
        <rFont val="맑은 고딕"/>
        <family val="2"/>
        <charset val="129"/>
      </rPr>
      <t xml:space="preserve">1.88(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</si>
  <si>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매칭없음(3개월 최대운용금리 2.10% 수준 감안)</t>
  </si>
  <si>
    <r>
      <rPr>
        <sz val="11"/>
        <color theme="1"/>
        <rFont val="맑은 고딕"/>
        <family val="2"/>
        <charset val="129"/>
      </rPr>
      <t xml:space="preserve">1.97(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</si>
  <si>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매칭없음(1년 최대운용금리 2.00% 수준 감안) - 소액 매칭불가시 기본고시금리의 120%수준으로 산정</t>
  </si>
  <si>
    <t xml:space="preserve">1.51(SC)</t>
  </si>
  <si>
    <t xml:space="preserve">소액 매칭 없음 (1개월 운용 최소금리 1.70% 수준 반영)</t>
  </si>
  <si>
    <t xml:space="preserve">1.50(SC)</t>
  </si>
  <si>
    <t xml:space="preserve">시즈오카 동경지점 매칭 (2019.11.27~2020.01.15) 20m ( MMDA 1.70%에 사용하고 있으므로 1달짜리 1.70% 미만인 경우 연장 불가하여 51일물로 극적 타결!)</t>
  </si>
  <si>
    <t xml:space="preserve">동양에코</t>
  </si>
  <si>
    <t xml:space="preserve">1~10</t>
  </si>
  <si>
    <r>
      <rPr>
        <sz val="11"/>
        <color theme="1"/>
        <rFont val="맑은 고딕"/>
        <family val="2"/>
        <charset val="129"/>
      </rPr>
      <t xml:space="preserve">1.89(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</si>
  <si>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1.75~1.80%</t>
  </si>
  <si>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Noto Sans CJK SC"/>
        <family val="2"/>
      </rPr>
      <t xml:space="preserve">백만 이하 </t>
    </r>
    <r>
      <rPr>
        <sz val="11"/>
        <color theme="1"/>
        <rFont val="맑은 고딕"/>
        <family val="2"/>
        <charset val="129"/>
      </rPr>
      <t xml:space="preserve">1.75% , 5~10</t>
    </r>
    <r>
      <rPr>
        <sz val="11"/>
        <color theme="1"/>
        <rFont val="Noto Sans CJK SC"/>
        <family val="2"/>
      </rPr>
      <t xml:space="preserve">백만 </t>
    </r>
    <r>
      <rPr>
        <sz val="11"/>
        <color theme="1"/>
        <rFont val="맑은 고딕"/>
        <family val="2"/>
        <charset val="129"/>
      </rPr>
      <t xml:space="preserve">1.80% (</t>
    </r>
    <r>
      <rPr>
        <sz val="11"/>
        <color theme="1"/>
        <rFont val="Noto Sans CJK SC"/>
        <family val="2"/>
      </rPr>
      <t xml:space="preserve">당일 금리 재확인 요청드림</t>
    </r>
    <r>
      <rPr>
        <sz val="11"/>
        <color theme="1"/>
        <rFont val="맑은 고딕"/>
        <family val="2"/>
        <charset val="129"/>
      </rPr>
      <t xml:space="preserve">, +/- 5~10bp</t>
    </r>
    <r>
      <rPr>
        <sz val="11"/>
        <color theme="1"/>
        <rFont val="Noto Sans CJK SC"/>
        <family val="2"/>
      </rPr>
      <t xml:space="preserve">정도 감안 요청 단</t>
    </r>
    <r>
      <rPr>
        <sz val="11"/>
        <color theme="1"/>
        <rFont val="맑은 고딕"/>
        <family val="2"/>
        <charset val="129"/>
      </rPr>
      <t xml:space="preserve">, 1~3</t>
    </r>
    <r>
      <rPr>
        <sz val="11"/>
        <color theme="1"/>
        <rFont val="Noto Sans CJK SC"/>
        <family val="2"/>
      </rPr>
      <t xml:space="preserve">백만불 정도의 소액의 경우 </t>
    </r>
    <r>
      <rPr>
        <sz val="11"/>
        <color theme="1"/>
        <rFont val="맑은 고딕"/>
        <family val="2"/>
        <charset val="129"/>
      </rPr>
      <t xml:space="preserve">1.75 </t>
    </r>
    <r>
      <rPr>
        <sz val="11"/>
        <color theme="1"/>
        <rFont val="Noto Sans CJK SC"/>
        <family val="2"/>
      </rPr>
      <t xml:space="preserve">가능할 것으로 보임</t>
    </r>
    <r>
      <rPr>
        <sz val="11"/>
        <color theme="1"/>
        <rFont val="맑은 고딕"/>
        <family val="2"/>
        <charset val="129"/>
      </rPr>
      <t xml:space="preserve">)</t>
    </r>
  </si>
  <si>
    <t xml:space="preserve">1.49(SC)</t>
  </si>
  <si>
    <t xml:space="preserve">소액 매칭없음(1개월 최대운용금리 1.72% 수준 감안)</t>
  </si>
  <si>
    <t xml:space="preserve">대리 김대엽</t>
  </si>
  <si>
    <t xml:space="preserve">동양에코㈜</t>
  </si>
  <si>
    <r>
      <rPr>
        <sz val="11"/>
        <color theme="1"/>
        <rFont val="맑은 고딕"/>
        <family val="2"/>
        <charset val="129"/>
      </rPr>
      <t xml:space="preserve">1.82(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</si>
  <si>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매칭없음(3개월 최소운용금리 2.00% 수준 감안)- 소액 매칭불가시 기본고시금리의 120%수준 이내로 산정</t>
  </si>
  <si>
    <t xml:space="preserve">구본일 (일지테크)</t>
  </si>
  <si>
    <r>
      <rPr>
        <sz val="11"/>
        <color theme="1"/>
        <rFont val="맑은 고딕"/>
        <family val="2"/>
        <charset val="129"/>
      </rPr>
      <t xml:space="preserve">1.48(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</si>
  <si>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(레조나 동경, 20M, 12.06 ~ 01.06, 2.39%), 영업점 노마진금리 1.73제시함. 기본고시금리 기취급당시 대비 8bp하락, 하락폭만큼 영업점 마진 감소, 기존 1.69대비 영업점 마진 확보 협의로 1.63확정.</t>
  </si>
  <si>
    <r>
      <rPr>
        <sz val="11"/>
        <color theme="1"/>
        <rFont val="맑은 고딕"/>
        <family val="2"/>
        <charset val="129"/>
      </rPr>
      <t xml:space="preserve">1.06(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</si>
  <si>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0.90% </t>
    </r>
    <r>
      <rPr>
        <sz val="11"/>
        <color theme="1"/>
        <rFont val="Noto Sans CJK SC"/>
        <family val="2"/>
      </rPr>
      <t xml:space="preserve">적용</t>
    </r>
  </si>
  <si>
    <t xml:space="preserve">1.579(SC)</t>
  </si>
  <si>
    <t xml:space="preserve">소액 매칭 없음 (1개월 운용 최소금리 1.72% 수준 반영)</t>
  </si>
  <si>
    <t xml:space="preserve">1.60(SC)</t>
  </si>
  <si>
    <t xml:space="preserve">소액 매칭 없음 (1개월 운용 최소금리 1.80% 수준 반영)</t>
  </si>
  <si>
    <t xml:space="preserve">1.523(SC)</t>
  </si>
  <si>
    <r>
      <rPr>
        <sz val="11"/>
        <color theme="1"/>
        <rFont val="맑은 고딕"/>
        <family val="2"/>
        <charset val="129"/>
      </rPr>
      <t xml:space="preserve">EUR/USD 1M </t>
    </r>
    <r>
      <rPr>
        <sz val="11"/>
        <color theme="1"/>
        <rFont val="Noto Sans CJK SC"/>
        <family val="2"/>
      </rPr>
      <t xml:space="preserve">운용 매칭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운용금리 </t>
    </r>
    <r>
      <rPr>
        <sz val="11"/>
        <color theme="1"/>
        <rFont val="맑은 고딕"/>
        <family val="2"/>
        <charset val="129"/>
      </rPr>
      <t xml:space="preserve">1.80</t>
    </r>
    <r>
      <rPr>
        <sz val="11"/>
        <color theme="1"/>
        <rFont val="Noto Sans CJK SC"/>
        <family val="2"/>
      </rPr>
      <t xml:space="preserve">범위내  </t>
    </r>
    <r>
      <rPr>
        <sz val="11"/>
        <color theme="1"/>
        <rFont val="맑은 고딕"/>
        <family val="2"/>
        <charset val="129"/>
      </rPr>
      <t xml:space="preserve">1.70 </t>
    </r>
    <r>
      <rPr>
        <sz val="11"/>
        <color theme="1"/>
        <rFont val="Noto Sans CJK SC"/>
        <family val="2"/>
      </rPr>
      <t xml:space="preserve">제시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향후 영업점 마진 약 </t>
    </r>
    <r>
      <rPr>
        <sz val="11"/>
        <color theme="1"/>
        <rFont val="맑은 고딕"/>
        <family val="2"/>
        <charset val="129"/>
      </rPr>
      <t xml:space="preserve">10bp(</t>
    </r>
    <r>
      <rPr>
        <sz val="11"/>
        <color theme="1"/>
        <rFont val="Noto Sans CJK SC"/>
        <family val="2"/>
      </rPr>
      <t xml:space="preserve">예보료 차감후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수준으로 제시할 것</t>
    </r>
    <r>
      <rPr>
        <sz val="11"/>
        <color theme="1"/>
        <rFont val="맑은 고딕"/>
        <family val="2"/>
        <charset val="129"/>
      </rPr>
      <t xml:space="preserve">.</t>
    </r>
  </si>
  <si>
    <t xml:space="preserve">대리 김예슬</t>
  </si>
  <si>
    <t xml:space="preserve">1.35(SC)</t>
  </si>
  <si>
    <t xml:space="preserve">기 승인금리 수준으로 승인. 기본고시 금리 대비 20~25bp 수준!! 인포맥스 타행금리 1w 와 통지예금 평균 이하로!!</t>
  </si>
  <si>
    <t xml:space="preserve">매칭 (ABOC SL, 10M, 1.16~4.16, 1.95%)</t>
  </si>
  <si>
    <t xml:space="preserve">1.45(SC)</t>
  </si>
  <si>
    <t xml:space="preserve">소액 매칭 없음 (1개월 운용 최소금리 1.64% 수준 반영)</t>
  </si>
  <si>
    <t xml:space="preserve">1.46(SC)</t>
  </si>
  <si>
    <r>
      <rPr>
        <sz val="11"/>
        <rFont val="맑은 고딕"/>
        <family val="3"/>
        <charset val="129"/>
      </rPr>
      <t xml:space="preserve">2</t>
    </r>
    <r>
      <rPr>
        <sz val="11"/>
        <rFont val="Noto Sans CJK SC"/>
        <family val="2"/>
      </rPr>
      <t xml:space="preserve">월</t>
    </r>
    <r>
      <rPr>
        <sz val="11"/>
        <rFont val="맑은 고딕"/>
        <family val="3"/>
        <charset val="129"/>
      </rPr>
      <t xml:space="preserve">5</t>
    </r>
    <r>
      <rPr>
        <sz val="11"/>
        <rFont val="Noto Sans CJK SC"/>
        <family val="2"/>
      </rPr>
      <t xml:space="preserve">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 xml:space="preserve">박진호부지점장 사전문의 </t>
    </r>
    <r>
      <rPr>
        <sz val="11"/>
        <rFont val="맑은 고딕"/>
        <family val="3"/>
        <charset val="129"/>
      </rPr>
      <t xml:space="preserve">- </t>
    </r>
    <r>
      <rPr>
        <sz val="11"/>
        <rFont val="Noto Sans CJK SC"/>
        <family val="2"/>
      </rPr>
      <t xml:space="preserve">영업점 마진 </t>
    </r>
    <r>
      <rPr>
        <sz val="11"/>
        <rFont val="맑은 고딕"/>
        <family val="3"/>
        <charset val="129"/>
      </rPr>
      <t xml:space="preserve">10 </t>
    </r>
    <r>
      <rPr>
        <sz val="11"/>
        <rFont val="Noto Sans CJK SC"/>
        <family val="2"/>
      </rPr>
      <t xml:space="preserve">수준 </t>
    </r>
    <r>
      <rPr>
        <sz val="11"/>
        <rFont val="맑은 고딕"/>
        <family val="3"/>
        <charset val="129"/>
      </rPr>
      <t xml:space="preserve">1.60% </t>
    </r>
    <r>
      <rPr>
        <sz val="11"/>
        <rFont val="Noto Sans CJK SC"/>
        <family val="2"/>
      </rPr>
      <t xml:space="preserve">제시</t>
    </r>
    <r>
      <rPr>
        <sz val="11"/>
        <rFont val="맑은 고딕"/>
        <family val="3"/>
        <charset val="129"/>
      </rPr>
      <t xml:space="preserve">(EUR/USD </t>
    </r>
    <r>
      <rPr>
        <sz val="11"/>
        <rFont val="Noto Sans CJK SC"/>
        <family val="2"/>
      </rPr>
      <t xml:space="preserve">운용금리 </t>
    </r>
    <r>
      <rPr>
        <sz val="11"/>
        <rFont val="맑은 고딕"/>
        <family val="3"/>
        <charset val="129"/>
      </rPr>
      <t xml:space="preserve">1.74 </t>
    </r>
    <r>
      <rPr>
        <sz val="11"/>
        <rFont val="Noto Sans CJK SC"/>
        <family val="2"/>
      </rPr>
      <t xml:space="preserve">범위내</t>
    </r>
    <r>
      <rPr>
        <sz val="11"/>
        <rFont val="맑은 고딕"/>
        <family val="3"/>
        <charset val="129"/>
      </rPr>
      <t xml:space="preserve">), </t>
    </r>
    <r>
      <rPr>
        <sz val="11"/>
        <rFont val="Noto Sans CJK SC"/>
        <family val="2"/>
      </rPr>
      <t xml:space="preserve">기존 </t>
    </r>
    <r>
      <rPr>
        <sz val="11"/>
        <rFont val="맑은 고딕"/>
        <family val="3"/>
        <charset val="129"/>
      </rPr>
      <t xml:space="preserve">20</t>
    </r>
    <r>
      <rPr>
        <sz val="11"/>
        <rFont val="Noto Sans CJK SC"/>
        <family val="2"/>
      </rPr>
      <t xml:space="preserve">중 </t>
    </r>
    <r>
      <rPr>
        <sz val="11"/>
        <rFont val="맑은 고딕"/>
        <family val="3"/>
        <charset val="129"/>
      </rPr>
      <t xml:space="preserve">10</t>
    </r>
    <r>
      <rPr>
        <sz val="11"/>
        <rFont val="Noto Sans CJK SC"/>
        <family val="2"/>
      </rPr>
      <t xml:space="preserve">백만불만 재예치</t>
    </r>
    <r>
      <rPr>
        <sz val="11"/>
        <rFont val="맑은 고딕"/>
        <family val="3"/>
        <charset val="129"/>
      </rPr>
      <t xml:space="preserve">.</t>
    </r>
  </si>
  <si>
    <t xml:space="preserve">1.37(SC)</t>
  </si>
  <si>
    <r>
      <rPr>
        <sz val="11"/>
        <color theme="1"/>
        <rFont val="맑은 고딕"/>
        <family val="2"/>
        <charset val="129"/>
      </rPr>
      <t xml:space="preserve">1.51(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</si>
  <si>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매칭없음(3개월 최대운용금리 1.80% 수준 감안)</t>
  </si>
  <si>
    <t xml:space="preserve">부지점장 문명숙</t>
  </si>
  <si>
    <t xml:space="preserve">한국전력 </t>
  </si>
  <si>
    <r>
      <rPr>
        <sz val="11"/>
        <color theme="1"/>
        <rFont val="맑은 고딕"/>
        <family val="2"/>
        <charset val="129"/>
      </rPr>
      <t xml:space="preserve">1.42(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</si>
  <si>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금리제시 상담 (1.45 이하로 요청드렸고 강남영업부에서 1.43에 제시)</t>
  </si>
  <si>
    <t xml:space="preserve">소액 매칭 없음 (1개월 운용 최소금리 1.63% 수준 반영)</t>
  </si>
  <si>
    <r>
      <rPr>
        <sz val="11"/>
        <color theme="1"/>
        <rFont val="맑은 고딕"/>
        <family val="2"/>
        <charset val="129"/>
      </rPr>
      <t xml:space="preserve">1.44(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</si>
  <si>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매칭없음(3개월 최소운용금리 1.75% 수준 감안)- 소액 매칭불가시 기본고시금리의 120%수준 이내로 산정</t>
  </si>
  <si>
    <t xml:space="preserve">0.89(SC)</t>
  </si>
  <si>
    <t xml:space="preserve">기본고시 금리 + 20~25bp 수준!! 인포맥스 타행금리 ~1w 와 통지예금 평균 이하로!!</t>
  </si>
  <si>
    <t xml:space="preserve">현대삼호중공업㈜</t>
  </si>
  <si>
    <r>
      <rPr>
        <sz val="11"/>
        <color theme="1"/>
        <rFont val="맑은 고딕"/>
        <family val="2"/>
        <charset val="129"/>
      </rPr>
      <t xml:space="preserve">0.67(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</si>
  <si>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(IBK HK, 20M, 3.23 ~ 4.6, 1.60%), 2주로 분산 운용</t>
  </si>
  <si>
    <r>
      <rPr>
        <sz val="11"/>
        <color theme="1"/>
        <rFont val="맑은 고딕"/>
        <family val="2"/>
        <charset val="129"/>
      </rPr>
      <t xml:space="preserve">1.62(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</si>
  <si>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 최소금리 1.10% 수준 반영)</t>
  </si>
  <si>
    <t xml:space="preserve">계장 박계령</t>
  </si>
  <si>
    <t xml:space="preserve">㈜동아홀딩스</t>
  </si>
  <si>
    <r>
      <rPr>
        <sz val="11"/>
        <color theme="1"/>
        <rFont val="맑은 고딕"/>
        <family val="2"/>
        <charset val="129"/>
      </rPr>
      <t xml:space="preserve">1.67(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</si>
  <si>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 최소금리 1.20% 수준 반영+기본고시금리대비 소폭 우대)</t>
  </si>
  <si>
    <t xml:space="preserve">1.34(SC)</t>
  </si>
  <si>
    <t xml:space="preserve">매칭 (KDB ASIA, 10M, 4.20~7.20, 1.21%)</t>
  </si>
  <si>
    <t xml:space="preserve">0.73(SC)</t>
  </si>
  <si>
    <t xml:space="preserve">소액 매칭 없음 (1개월 운용 최소금리 0.65% 수준 반영)</t>
  </si>
  <si>
    <r>
      <rPr>
        <sz val="11"/>
        <color theme="1"/>
        <rFont val="맑은 고딕"/>
        <family val="2"/>
        <charset val="129"/>
      </rPr>
      <t xml:space="preserve">1.40(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</si>
  <si>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없음(12개월 중국계 기준(1.70%) 운용시 금리로 제시)- 12개월 가입시 6개월 후 고시금리로 리셋되는 부분 확실히 고객에게 설명 안내 되었고 명확히 이해하였음. 2019년 신규시에도 설명필.</t>
  </si>
  <si>
    <r>
      <rPr>
        <sz val="11"/>
        <color theme="1"/>
        <rFont val="맑은 고딕"/>
        <family val="2"/>
        <charset val="129"/>
      </rPr>
      <t xml:space="preserve">0.40(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</si>
  <si>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 최소금리 0.30% 수준 반영)</t>
  </si>
  <si>
    <t xml:space="preserve">네이처이앤티㈜</t>
  </si>
  <si>
    <r>
      <rPr>
        <sz val="11"/>
        <color theme="1"/>
        <rFont val="맑은 고딕"/>
        <family val="2"/>
        <charset val="129"/>
      </rPr>
      <t xml:space="preserve">0.30(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</si>
  <si>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 최소금리 0.46% 수준 반영)</t>
  </si>
  <si>
    <r>
      <rPr>
        <sz val="11"/>
        <color theme="1"/>
        <rFont val="맑은 고딕"/>
        <family val="2"/>
        <charset val="129"/>
      </rPr>
      <t xml:space="preserve">0.12(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</si>
  <si>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0.40% 수준 반영)</t>
  </si>
  <si>
    <t xml:space="preserve">성서영업부</t>
  </si>
  <si>
    <t xml:space="preserve">차장 권미정</t>
  </si>
  <si>
    <t xml:space="preserve">소액 매칭 없음 (3개월 운용금리 0.29% 수준 반영)</t>
  </si>
  <si>
    <t xml:space="preserve">인터불고컨트리클럽㈜</t>
  </si>
  <si>
    <r>
      <rPr>
        <sz val="11"/>
        <color theme="1"/>
        <rFont val="맑은 고딕"/>
        <family val="2"/>
        <charset val="129"/>
      </rPr>
      <t xml:space="preserve">0.29(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</si>
  <si>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0.40% 수준 반영)</t>
  </si>
  <si>
    <r>
      <rPr>
        <sz val="11"/>
        <color theme="1"/>
        <rFont val="맑은 고딕"/>
        <family val="2"/>
        <charset val="129"/>
      </rPr>
      <t xml:space="preserve">0.26(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</si>
  <si>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0.25% 수준 반영)</t>
  </si>
  <si>
    <t xml:space="preserve">소액 매칭 없음 (1개월 운용금리 0.25% 수준 반영)</t>
  </si>
  <si>
    <t xml:space="preserve">계장 백승엽</t>
  </si>
  <si>
    <r>
      <rPr>
        <sz val="11"/>
        <color theme="1"/>
        <rFont val="맑은 고딕"/>
        <family val="2"/>
        <charset val="129"/>
      </rPr>
      <t xml:space="preserve">0.20(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</si>
  <si>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0.10% 수준 반영)</t>
  </si>
  <si>
    <t xml:space="preserve">소액 매칭 없음 (3개월 운용금리 0.28% 수준 반영)</t>
  </si>
  <si>
    <t xml:space="preserve">소액 매칭 없음 (3개월 운용금리 0.30% 수준 반영)</t>
  </si>
  <si>
    <t xml:space="preserve">대리 이세웅</t>
  </si>
  <si>
    <t xml:space="preserve">소액 매칭 없음 (3개월 운용금리 0.33% 수준 반영)</t>
  </si>
  <si>
    <r>
      <rPr>
        <sz val="11"/>
        <color theme="1"/>
        <rFont val="맑은 고딕"/>
        <family val="2"/>
        <charset val="129"/>
      </rPr>
      <t xml:space="preserve">0.14(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</si>
  <si>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이선영</t>
  </si>
  <si>
    <t xml:space="preserve">소액 매칭 없음 (콜론운용금리 없으나 eur/usd swap 재원 활용으로 3개월 금리 제시 0.03%)</t>
  </si>
  <si>
    <t xml:space="preserve">성서비지니스센터</t>
  </si>
  <si>
    <t xml:space="preserve">소액 매칭 없음 (콜론운용금리 없으나 eur/usd swap 재원 활용가능 3개월 금리 &amp; 타행평균금리(0.03313) 반영)</t>
  </si>
  <si>
    <t xml:space="preserve">대리 김은지</t>
  </si>
  <si>
    <t xml:space="preserve">㈜큐로</t>
  </si>
  <si>
    <t xml:space="preserve">소액 매칭 없음 (콜론운용금리 없으나 eur/usd swap 재원 활용가능 1~3개월 운용금리 &amp; 타행평균금리(0.03183) 반영)</t>
  </si>
  <si>
    <t xml:space="preserve">소액 매칭 없음 (콜론운용금리 없으나 eur/usd swap 재원 활용가능 1~3개월 운용금리 &amp; 타행평균금리(0.03459) 반영)</t>
  </si>
  <si>
    <t xml:space="preserve">소액 매칭 없음 (콜론운용금리 없으나 eur/usd swap 재원 활용가능 3개월 금리 &amp; 타행평균금리(0.03524) 반영)</t>
  </si>
  <si>
    <t xml:space="preserve">소액 매칭 없음 (콜론운용금리 없으나 eur/usd swap 재원 활용가능 1~3개월 운용금리 &amp; 타행평균금리(0.09207) 반영)</t>
  </si>
  <si>
    <r>
      <rPr>
        <sz val="11"/>
        <color theme="1"/>
        <rFont val="맑은 고딕"/>
        <family val="2"/>
        <charset val="129"/>
      </rPr>
      <t xml:space="preserve">0.18(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</si>
  <si>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김미경</t>
  </si>
  <si>
    <r>
      <rPr>
        <sz val="11"/>
        <color theme="1"/>
        <rFont val="맑은 고딕"/>
        <family val="2"/>
        <charset val="129"/>
      </rPr>
      <t xml:space="preserve">0.45(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</si>
  <si>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0.55% 수준 반영)</t>
  </si>
  <si>
    <r>
      <rPr>
        <sz val="11"/>
        <color theme="1"/>
        <rFont val="맑은 고딕"/>
        <family val="2"/>
        <charset val="129"/>
      </rPr>
      <t xml:space="preserve">0.81(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</si>
  <si>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0.85% 수준 반영), 10:00 3개월 lbbw 0.85 , shizuoka 0.85</t>
  </si>
  <si>
    <t xml:space="preserve">과장 배형석</t>
  </si>
  <si>
    <t xml:space="preserve">㈜아세아철강</t>
  </si>
  <si>
    <r>
      <rPr>
        <sz val="11"/>
        <color theme="1"/>
        <rFont val="맑은 고딕"/>
        <family val="2"/>
        <charset val="129"/>
      </rPr>
      <t xml:space="preserve">0.32(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</si>
  <si>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0.60% 수준 반영), 16:30 1개월 lbbw 0.60 , smtbhk 0.50</t>
  </si>
  <si>
    <t xml:space="preserve">금융지점장 정경애</t>
  </si>
  <si>
    <t xml:space="preserve">계장 신지은</t>
  </si>
  <si>
    <r>
      <rPr>
        <sz val="11"/>
        <color theme="1"/>
        <rFont val="맑은 고딕"/>
        <family val="2"/>
        <charset val="129"/>
      </rPr>
      <t xml:space="preserve">0.80(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</si>
  <si>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0.80% 수준 반영), 11:00 3개월 lbbw 0.80</t>
  </si>
  <si>
    <t xml:space="preserve">차장 고윤미</t>
  </si>
  <si>
    <t xml:space="preserve">이지은</t>
  </si>
  <si>
    <r>
      <rPr>
        <sz val="11"/>
        <color theme="1"/>
        <rFont val="맑은 고딕"/>
        <family val="2"/>
        <charset val="129"/>
      </rPr>
      <t xml:space="preserve">1.22(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</si>
  <si>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</t>
  </si>
  <si>
    <t xml:space="preserve">소액 매칭 없음 (6개월 운용금리 1.45% 수준 반영), 15:00 6개월 광주은행, 전북은행 1.45 , 시즈오카 1.20</t>
  </si>
  <si>
    <t xml:space="preserve">소액 매칭 없음 (6개월 운용금리 1.80% 수준 반영), 10:00 6개월 시즈오카 1.80</t>
  </si>
  <si>
    <t xml:space="preserve">유통단지영업부</t>
  </si>
  <si>
    <t xml:space="preserve">과장 류혁하</t>
  </si>
  <si>
    <t xml:space="preserve">계장 최윤경</t>
  </si>
  <si>
    <t xml:space="preserve">㈜대원지에스아이</t>
  </si>
  <si>
    <r>
      <rPr>
        <sz val="11"/>
        <color theme="1"/>
        <rFont val="맑은 고딕"/>
        <family val="2"/>
        <charset val="129"/>
      </rPr>
      <t xml:space="preserve">1.69(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</si>
  <si>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(3개월 운용금리 1.80% 수준 반영), 10:00 3개월 시즈오카 1.80</t>
  </si>
  <si>
    <t xml:space="preserve">대리 김미연</t>
  </si>
  <si>
    <r>
      <rPr>
        <sz val="11"/>
        <color theme="1"/>
        <rFont val="맑은 고딕"/>
        <family val="2"/>
        <charset val="129"/>
      </rPr>
      <t xml:space="preserve">2.56(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</si>
  <si>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(6개월 운용금리 2.68% 수준 반영), 11:00 6개월 SMBC 2.68</t>
  </si>
  <si>
    <t xml:space="preserve">과장 시호정</t>
  </si>
  <si>
    <t xml:space="preserve">㈜동진쎄미켐</t>
  </si>
  <si>
    <r>
      <rPr>
        <sz val="11"/>
        <color theme="1"/>
        <rFont val="맑은 고딕"/>
        <family val="2"/>
        <charset val="129"/>
      </rPr>
      <t xml:space="preserve">1.68(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</si>
  <si>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기본고시 금리 + 20~25bp 수준!! 인포맥스 타행금리 ~1w 와 통지예금 평균 이하로!!
7-14 16:00 기준 (1W - SMBC 1.65, 2W SMBC 1.80)
-&gt; 인포맥스 2231 평균금리 참조 - ~1W 평균 1.13, 통지예금 1.30 의 평균 1.22 이하)
(기본고시금리 + 0.20 ~ 0.25범위내 제시)</t>
  </si>
  <si>
    <r>
      <rPr>
        <sz val="11"/>
        <color theme="1"/>
        <rFont val="맑은 고딕"/>
        <family val="2"/>
        <charset val="129"/>
      </rPr>
      <t xml:space="preserve">2.69(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</si>
  <si>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8-1 10:19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(3M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2.80) *</t>
    </r>
    <r>
      <rPr>
        <sz val="11"/>
        <color theme="1"/>
        <rFont val="Noto Sans CJK SC"/>
        <family val="2"/>
      </rPr>
      <t xml:space="preserve">타행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하나은행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제시금리</t>
    </r>
    <r>
      <rPr>
        <sz val="11"/>
        <color theme="1"/>
        <rFont val="맑은 고딕"/>
        <family val="2"/>
        <charset val="129"/>
      </rPr>
      <t xml:space="preserve">: 2.80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</t>
    </r>
    <r>
      <rPr>
        <sz val="11"/>
        <color theme="1"/>
        <rFont val="맑은 고딕"/>
        <family val="2"/>
        <charset val="129"/>
      </rPr>
      <t xml:space="preserve">3M 2.55 -&gt; </t>
    </r>
    <r>
      <rPr>
        <sz val="11"/>
        <color theme="1"/>
        <rFont val="Noto Sans CJK SC"/>
        <family val="2"/>
      </rPr>
      <t xml:space="preserve">최대 금리 </t>
    </r>
    <r>
      <rPr>
        <sz val="11"/>
        <color theme="1"/>
        <rFont val="맑은 고딕"/>
        <family val="2"/>
        <charset val="129"/>
      </rPr>
      <t xml:space="preserve">2.60% </t>
    </r>
    <r>
      <rPr>
        <sz val="11"/>
        <color theme="1"/>
        <rFont val="Noto Sans CJK SC"/>
        <family val="2"/>
      </rPr>
      <t xml:space="preserve">으로 안내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종수 마진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예보료차감후 </t>
    </r>
    <r>
      <rPr>
        <sz val="11"/>
        <color theme="1"/>
        <rFont val="맑은 고딕"/>
        <family val="2"/>
        <charset val="129"/>
      </rPr>
      <t xml:space="preserve">0.1389
8-1 10:49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2.43 , 6M - 3.35 SMBC TKY 12M - 3.47 </t>
    </r>
    <r>
      <rPr>
        <sz val="11"/>
        <color theme="1"/>
        <rFont val="Noto Sans CJK SC"/>
        <family val="2"/>
      </rPr>
      <t xml:space="preserve">미즈호 홍콩</t>
    </r>
    <r>
      <rPr>
        <sz val="11"/>
        <color theme="1"/>
        <rFont val="맑은 고딕"/>
        <family val="2"/>
        <charset val="129"/>
      </rPr>
      <t xml:space="preserve">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</t>
    </r>
    <r>
      <rPr>
        <sz val="11"/>
        <color theme="1"/>
        <rFont val="맑은 고딕"/>
        <family val="2"/>
        <charset val="129"/>
      </rPr>
      <t xml:space="preserve">1M - 2.11, 6M - 3.01, 12M - 3.19 
</t>
    </r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 LBBW SL, 10MIO, 3M 2022.08.08~2022.11.04, 2.90%)</t>
    </r>
  </si>
  <si>
    <r>
      <rPr>
        <sz val="11"/>
        <color theme="1"/>
        <rFont val="맑은 고딕"/>
        <family val="2"/>
        <charset val="129"/>
      </rPr>
      <t xml:space="preserve">3.63(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</si>
  <si>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(12개월 운용금리 3.75% 수준 반영), 11:00 12개월 SMBC 3.75</t>
  </si>
  <si>
    <t xml:space="preserve">과장 박권묵</t>
  </si>
  <si>
    <t xml:space="preserve">에스엠상선㈜</t>
  </si>
  <si>
    <r>
      <rPr>
        <sz val="11"/>
        <color theme="1"/>
        <rFont val="맑은 고딕"/>
        <family val="2"/>
        <charset val="129"/>
      </rPr>
      <t xml:space="preserve">3.36(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</si>
  <si>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08-17 14:00 </t>
    </r>
    <r>
      <rPr>
        <sz val="10"/>
        <color theme="1"/>
        <rFont val="Noto Sans CJK SC"/>
        <family val="2"/>
      </rPr>
      <t xml:space="preserve">기준
</t>
    </r>
    <r>
      <rPr>
        <sz val="10"/>
        <color theme="1"/>
        <rFont val="맑은 고딕"/>
        <family val="3"/>
        <charset val="129"/>
      </rPr>
      <t xml:space="preserve">-</t>
    </r>
    <r>
      <rPr>
        <sz val="10"/>
        <color theme="1"/>
        <rFont val="Noto Sans CJK SC"/>
        <family val="2"/>
      </rPr>
      <t xml:space="preserve">로이터 </t>
    </r>
    <r>
      <rPr>
        <sz val="10"/>
        <color theme="1"/>
        <rFont val="맑은 고딕"/>
        <family val="3"/>
        <charset val="129"/>
      </rPr>
      <t xml:space="preserve">BID</t>
    </r>
    <r>
      <rPr>
        <sz val="10"/>
        <color theme="1"/>
        <rFont val="Noto Sans CJK SC"/>
        <family val="2"/>
      </rPr>
      <t xml:space="preserve">금리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국민 </t>
    </r>
    <r>
      <rPr>
        <sz val="10"/>
        <color theme="1"/>
        <rFont val="맑은 고딕"/>
        <family val="3"/>
        <charset val="129"/>
      </rPr>
      <t xml:space="preserve">HK 3.60)
-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6M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3.211
-</t>
    </r>
    <r>
      <rPr>
        <sz val="10"/>
        <color theme="1"/>
        <rFont val="Noto Sans CJK SC"/>
        <family val="2"/>
      </rPr>
      <t xml:space="preserve">종합수익관리시스템 마진율 </t>
    </r>
    <r>
      <rPr>
        <sz val="10"/>
        <color theme="1"/>
        <rFont val="맑은 고딕"/>
        <family val="3"/>
        <charset val="129"/>
      </rPr>
      <t xml:space="preserve">0.2824, </t>
    </r>
    <r>
      <rPr>
        <sz val="10"/>
        <color theme="1"/>
        <rFont val="Noto Sans CJK SC"/>
        <family val="2"/>
      </rPr>
      <t xml:space="preserve">예보료차감후</t>
    </r>
    <r>
      <rPr>
        <sz val="10"/>
        <color theme="1"/>
        <rFont val="맑은 고딕"/>
        <family val="3"/>
        <charset val="129"/>
      </rPr>
      <t xml:space="preserve">0.1024</t>
    </r>
  </si>
  <si>
    <t xml:space="preserve">계장 우소현</t>
  </si>
  <si>
    <r>
      <rPr>
        <sz val="11"/>
        <color theme="1"/>
        <rFont val="맑은 고딕"/>
        <family val="2"/>
        <charset val="129"/>
      </rPr>
      <t xml:space="preserve">8-12 </t>
    </r>
    <r>
      <rPr>
        <sz val="11"/>
        <color theme="1"/>
        <rFont val="Noto Sans CJK SC"/>
        <family val="2"/>
      </rPr>
      <t xml:space="preserve">기준</t>
    </r>
    <r>
      <rPr>
        <sz val="11"/>
        <color theme="1"/>
        <rFont val="맑은 고딕"/>
        <family val="2"/>
        <charset val="129"/>
      </rPr>
      <t xml:space="preserve">(8/12 </t>
    </r>
    <r>
      <rPr>
        <sz val="11"/>
        <color theme="1"/>
        <rFont val="Noto Sans CJK SC"/>
        <family val="2"/>
      </rPr>
      <t xml:space="preserve">기산일 영업점 요청</t>
    </r>
    <r>
      <rPr>
        <sz val="11"/>
        <color theme="1"/>
        <rFont val="맑은 고딕"/>
        <family val="2"/>
        <charset val="129"/>
      </rPr>
      <t xml:space="preserve">) (1W - SMBC 2.35, 2W SMBC 2.37)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1.95, </t>
    </r>
    <r>
      <rPr>
        <sz val="11"/>
        <color theme="1"/>
        <rFont val="Noto Sans CJK SC"/>
        <family val="2"/>
      </rPr>
      <t xml:space="preserve">통지예금 </t>
    </r>
    <r>
      <rPr>
        <sz val="11"/>
        <color theme="1"/>
        <rFont val="맑은 고딕"/>
        <family val="2"/>
        <charset val="129"/>
      </rPr>
      <t xml:space="preserve">1.74</t>
    </r>
    <r>
      <rPr>
        <sz val="11"/>
        <color theme="1"/>
        <rFont val="Noto Sans CJK SC"/>
        <family val="2"/>
      </rPr>
      <t xml:space="preserve">의 평균 </t>
    </r>
    <r>
      <rPr>
        <sz val="11"/>
        <color theme="1"/>
        <rFont val="맑은 고딕"/>
        <family val="2"/>
        <charset val="129"/>
      </rPr>
      <t xml:space="preserve">1.84 </t>
    </r>
    <r>
      <rPr>
        <sz val="11"/>
        <color theme="1"/>
        <rFont val="Noto Sans CJK SC"/>
        <family val="2"/>
      </rPr>
      <t xml:space="preserve">이하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종수마진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예보료차감후 </t>
    </r>
    <r>
      <rPr>
        <sz val="11"/>
        <color theme="1"/>
        <rFont val="맑은 고딕"/>
        <family val="2"/>
        <charset val="129"/>
      </rPr>
      <t xml:space="preserve">0.7565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- 8-12 : 1.29 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</si>
  <si>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2.29(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</si>
  <si>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9-08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MIZUHO 2.35)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2.10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- 9-08 : 1.3753 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</si>
  <si>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2.84(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</si>
  <si>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2.85% 수준 반영), 9-13 16:30 기준 (1M - LBBW SL 2.85, SMTB HK  3.00)</t>
  </si>
  <si>
    <r>
      <rPr>
        <sz val="11"/>
        <color theme="1"/>
        <rFont val="맑은 고딕"/>
        <family val="2"/>
        <charset val="129"/>
      </rPr>
      <t xml:space="preserve">2.74(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</si>
  <si>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10-07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3.10)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2.38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+( 0.20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</si>
  <si>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공단영업부</t>
    </r>
  </si>
  <si>
    <t xml:space="preserve">계장 김수희</t>
  </si>
  <si>
    <t xml:space="preserve">대영전자㈜</t>
  </si>
  <si>
    <r>
      <rPr>
        <sz val="11"/>
        <color theme="1"/>
        <rFont val="맑은 고딕"/>
        <family val="2"/>
        <charset val="129"/>
      </rPr>
      <t xml:space="preserve">3.30(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</si>
  <si>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3.30% 수준 반영), 10-11 10:00 기준 (1M - 시즈오카 3.30)</t>
  </si>
  <si>
    <r>
      <rPr>
        <sz val="11"/>
        <color theme="1"/>
        <rFont val="맑은 고딕"/>
        <family val="2"/>
        <charset val="129"/>
      </rPr>
      <t xml:space="preserve">3.43(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</si>
  <si>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(1개월 운용금리 3.60% 수준 반영), 10-13 11:00 기준 (1M - bk comm 3.60)</t>
  </si>
  <si>
    <r>
      <rPr>
        <sz val="11"/>
        <color theme="1"/>
        <rFont val="맑은 고딕"/>
        <family val="2"/>
        <charset val="129"/>
      </rPr>
      <t xml:space="preserve">4.48(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</si>
  <si>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(10-26 09:40 기준 3M - 시즈오카 4.70)</t>
  </si>
  <si>
    <t xml:space="preserve">부지점장 이영일</t>
  </si>
  <si>
    <t xml:space="preserve">대성산업㈜</t>
  </si>
  <si>
    <r>
      <rPr>
        <sz val="11"/>
        <color theme="1"/>
        <rFont val="맑은 고딕"/>
        <family val="2"/>
        <charset val="129"/>
      </rPr>
      <t xml:space="preserve">4.52(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</si>
  <si>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(10-28 11:20 기준 3M - 시즈오카 4.60)</t>
  </si>
  <si>
    <t xml:space="preserve">차장 배형석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</si>
  <si>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</si>
  <si>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(LBBW 10M, 11.01~12.01, 3.90%)</t>
  </si>
  <si>
    <r>
      <rPr>
        <sz val="11"/>
        <color theme="1"/>
        <rFont val="맑은 고딕"/>
        <family val="2"/>
        <charset val="129"/>
      </rPr>
      <t xml:space="preserve">3.45(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</si>
  <si>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11-07 15:30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3.82), 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2.85, 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+( 0.20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</si>
  <si>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t xml:space="preserve">광장지점</t>
  </si>
  <si>
    <t xml:space="preserve">박영주</t>
  </si>
  <si>
    <r>
      <rPr>
        <sz val="11"/>
        <color theme="1"/>
        <rFont val="맑은 고딕"/>
        <family val="2"/>
        <charset val="129"/>
      </rPr>
      <t xml:space="preserve">3.96(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</si>
  <si>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(11-09 15:10 기준 (1M - lbbw  3.93)</t>
  </si>
  <si>
    <t xml:space="preserve">차장 곽동욱</t>
  </si>
  <si>
    <t xml:space="preserve">대리 박계령</t>
  </si>
  <si>
    <t xml:space="preserve">한국비철㈜</t>
  </si>
  <si>
    <r>
      <rPr>
        <sz val="11"/>
        <color theme="1"/>
        <rFont val="맑은 고딕"/>
        <family val="2"/>
        <charset val="129"/>
      </rPr>
      <t xml:space="preserve">11-09 14:50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 3.93) - </t>
    </r>
    <r>
      <rPr>
        <sz val="11"/>
        <color theme="1"/>
        <rFont val="Noto Sans CJK SC"/>
        <family val="2"/>
      </rPr>
      <t xml:space="preserve">거래기여도 높은 최우수고객 타행이탈 방지를 위해 머니마켓 운용가능 금리 보다 
높으나 종수시스템 노마진수준 범위내 까지 승인코자 함</t>
    </r>
    <r>
      <rPr>
        <sz val="11"/>
        <color theme="1"/>
        <rFont val="맑은 고딕"/>
        <family val="2"/>
        <charset val="129"/>
      </rPr>
      <t xml:space="preserve">.
</t>
    </r>
    <r>
      <rPr>
        <sz val="11"/>
        <color theme="1"/>
        <rFont val="Noto Sans CJK SC"/>
        <family val="2"/>
      </rPr>
      <t xml:space="preserve">종수마진 </t>
    </r>
    <r>
      <rPr>
        <sz val="11"/>
        <color theme="1"/>
        <rFont val="맑은 고딕"/>
        <family val="2"/>
        <charset val="129"/>
      </rPr>
      <t xml:space="preserve">: 0.2173(</t>
    </r>
    <r>
      <rPr>
        <sz val="11"/>
        <color theme="1"/>
        <rFont val="Noto Sans CJK SC"/>
        <family val="2"/>
      </rPr>
      <t xml:space="preserve">예보료 차감전</t>
    </r>
    <r>
      <rPr>
        <sz val="11"/>
        <color theme="1"/>
        <rFont val="맑은 고딕"/>
        <family val="2"/>
        <charset val="129"/>
      </rPr>
      <t xml:space="preserve">) -&gt; 0.0373(</t>
    </r>
    <r>
      <rPr>
        <sz val="11"/>
        <color theme="1"/>
        <rFont val="Noto Sans CJK SC"/>
        <family val="2"/>
      </rPr>
      <t xml:space="preserve">예보료 차감후</t>
    </r>
    <r>
      <rPr>
        <sz val="11"/>
        <color theme="1"/>
        <rFont val="맑은 고딕"/>
        <family val="2"/>
        <charset val="129"/>
      </rPr>
      <t xml:space="preserve">)</t>
    </r>
  </si>
  <si>
    <t xml:space="preserve">행원 김수희</t>
  </si>
  <si>
    <r>
      <rPr>
        <sz val="11"/>
        <color theme="1"/>
        <rFont val="맑은 고딕"/>
        <family val="2"/>
        <charset val="129"/>
      </rPr>
      <t xml:space="preserve">3.95(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</si>
  <si>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11-10 16:05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3.65, </t>
    </r>
    <r>
      <rPr>
        <sz val="10"/>
        <color theme="1"/>
        <rFont val="Noto Sans CJK SC"/>
        <family val="2"/>
      </rPr>
      <t xml:space="preserve">종수마진</t>
    </r>
    <r>
      <rPr>
        <sz val="10"/>
        <color theme="1"/>
        <rFont val="맑은 고딕"/>
        <family val="3"/>
        <charset val="129"/>
      </rPr>
      <t xml:space="preserve">: 0.4117(</t>
    </r>
    <r>
      <rPr>
        <sz val="10"/>
        <color theme="1"/>
        <rFont val="Noto Sans CJK SC"/>
        <family val="2"/>
      </rPr>
      <t xml:space="preserve">예보료차감전</t>
    </r>
    <r>
      <rPr>
        <sz val="10"/>
        <color theme="1"/>
        <rFont val="맑은 고딕"/>
        <family val="3"/>
        <charset val="129"/>
      </rPr>
      <t xml:space="preserve">) -&gt;0.2317(</t>
    </r>
    <r>
      <rPr>
        <sz val="10"/>
        <color theme="1"/>
        <rFont val="Noto Sans CJK SC"/>
        <family val="2"/>
      </rPr>
      <t xml:space="preserve">예보료차감후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</si>
  <si>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3.89(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</si>
  <si>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11-14 12:45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3.91),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3.64
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 
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0.2602(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0.0802(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</si>
  <si>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t xml:space="preserve">김난영</t>
  </si>
  <si>
    <r>
      <rPr>
        <sz val="11"/>
        <color theme="1"/>
        <rFont val="맑은 고딕"/>
        <family val="2"/>
        <charset val="129"/>
      </rPr>
      <t xml:space="preserve">3.97(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</si>
  <si>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(11-17 16:30 기준 (1M - lbbw  3.95)</t>
  </si>
  <si>
    <t xml:space="preserve">화성지점</t>
  </si>
  <si>
    <t xml:space="preserve">㈜디엠씨</t>
  </si>
  <si>
    <r>
      <rPr>
        <sz val="11"/>
        <color theme="1"/>
        <rFont val="맑은 고딕"/>
        <family val="2"/>
        <charset val="129"/>
      </rPr>
      <t xml:space="preserve">4.11(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</si>
  <si>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(11-25 11:50 기준 (1M - SMTB HK  4.02)</t>
  </si>
  <si>
    <r>
      <rPr>
        <sz val="11"/>
        <color theme="1"/>
        <rFont val="맑은 고딕"/>
        <family val="2"/>
        <charset val="129"/>
      </rPr>
      <t xml:space="preserve">3.40(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</si>
  <si>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12-08 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3.00,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</si>
  <si>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4.23(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</si>
  <si>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(12-09 15:25 기준 (1M - 시즈오카  4.63)</t>
  </si>
  <si>
    <r>
      <rPr>
        <sz val="11"/>
        <color theme="1"/>
        <rFont val="맑은 고딕"/>
        <family val="2"/>
        <charset val="129"/>
      </rPr>
      <t xml:space="preserve">4.25(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</si>
  <si>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(12-12 09:55 기준 (1M - 시즈오카 4.55)</t>
  </si>
  <si>
    <r>
      <rPr>
        <sz val="11"/>
        <color theme="1"/>
        <rFont val="맑은 고딕"/>
        <family val="2"/>
        <charset val="129"/>
      </rPr>
      <t xml:space="preserve">4.28(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</si>
  <si>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12-14 10:25 기준 (1M - SMTB HK 4.82 , 시즈오카 4.59)</t>
  </si>
  <si>
    <t xml:space="preserve">과장 정지선</t>
  </si>
  <si>
    <r>
      <rPr>
        <sz val="11"/>
        <color theme="1"/>
        <rFont val="맑은 고딕"/>
        <family val="2"/>
        <charset val="129"/>
      </rPr>
      <t xml:space="preserve">4.89(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</si>
  <si>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12-15 14:00 기준 (3m- 시즈오카 4.78)</t>
  </si>
  <si>
    <t xml:space="preserve">계장 박동진</t>
  </si>
  <si>
    <t xml:space="preserve">소액 매칭 없음 12-15 14:50 기준 (1m- SMTB 4.63)</t>
  </si>
  <si>
    <r>
      <rPr>
        <sz val="11"/>
        <color theme="1"/>
        <rFont val="맑은 고딕"/>
        <family val="2"/>
        <charset val="129"/>
      </rPr>
      <t xml:space="preserve">4.27(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</si>
  <si>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12-19 13:15 기준 (1m- SMTB 4.60)</t>
  </si>
  <si>
    <t xml:space="preserve">차장 정상희</t>
  </si>
  <si>
    <t xml:space="preserve">소액 매칭 없음 (12-28 11:40기준 1M - SMTB HK  4.55)</t>
  </si>
  <si>
    <t xml:space="preserve">대리 김은경</t>
  </si>
  <si>
    <r>
      <rPr>
        <sz val="11"/>
        <color theme="1"/>
        <rFont val="맑은 고딕"/>
        <family val="2"/>
        <charset val="129"/>
      </rPr>
      <t xml:space="preserve">4.20(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</si>
  <si>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 매칭 없음 (01-02 10:00기준 1M - LBBW SL 4.35)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</si>
  <si>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</si>
  <si>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01-06 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3.35,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</si>
  <si>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4.77(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</si>
  <si>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01-09 14:50 기준 (1M - SMTB HK 4.45, 3M - LBBW SL 4.77) 01-09 1M - 타행평균 4.10, 3M - 타행평균 4.55)</t>
  </si>
  <si>
    <t xml:space="preserve">대리 박준형</t>
  </si>
  <si>
    <t xml:space="preserve">소액매칭없음 01-09 16:15 기준 (1M - SMTB HK 4.45) 01-09 1M - 타행평균 4.10)</t>
  </si>
  <si>
    <r>
      <rPr>
        <sz val="11"/>
        <color theme="1"/>
        <rFont val="맑은 고딕"/>
        <family val="2"/>
        <charset val="129"/>
      </rPr>
      <t xml:space="preserve">4.27(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</si>
  <si>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01-12 11:00 기준 (1M - 시즈오카  4.45) 01-12 1M - 타행평균 4.10)</t>
  </si>
  <si>
    <r>
      <rPr>
        <sz val="11"/>
        <color theme="1"/>
        <rFont val="맑은 고딕"/>
        <family val="2"/>
        <charset val="129"/>
      </rPr>
      <t xml:space="preserve">4.32(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</si>
  <si>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01-16 16:40 기준 (1M - 시즈오카  4.48) 01-16 1M - 타행평균 4.15)</t>
  </si>
  <si>
    <t xml:space="preserve">소액매칭없음 01-19 10:20 기준 (1M - 시즈오카  4.53)</t>
  </si>
  <si>
    <r>
      <rPr>
        <sz val="11"/>
        <color theme="1"/>
        <rFont val="맑은 고딕"/>
        <family val="2"/>
        <charset val="129"/>
      </rPr>
      <t xml:space="preserve">4.62(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</si>
  <si>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01-26 10:00 기준 (3M - 시즈오카  4.95)</t>
  </si>
  <si>
    <r>
      <rPr>
        <sz val="11"/>
        <color theme="1"/>
        <rFont val="맑은 고딕"/>
        <family val="2"/>
        <charset val="129"/>
      </rPr>
      <t xml:space="preserve">4.90(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</si>
  <si>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01-27 기준 (6M - 머니마켓 미드 5.05, 타행평균 4.77)
- 외화예금 신규유치 및 2월20일 만기도래건 재예치 조건으로 4.85로 승인</t>
  </si>
  <si>
    <r>
      <rPr>
        <sz val="11"/>
        <color theme="1"/>
        <rFont val="맑은 고딕"/>
        <family val="2"/>
        <charset val="129"/>
      </rPr>
      <t xml:space="preserve">4.35(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</si>
  <si>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01-30 09:20 기준 (1M - 시즈오카  4.67)</t>
  </si>
  <si>
    <r>
      <rPr>
        <sz val="11"/>
        <color theme="1"/>
        <rFont val="맑은 고딕"/>
        <family val="2"/>
        <charset val="129"/>
      </rPr>
      <t xml:space="preserve">4.61(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</si>
  <si>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01-30 15:50 기준 (3M - 시즈오카  4.93)</t>
  </si>
  <si>
    <r>
      <rPr>
        <sz val="11"/>
        <color theme="1"/>
        <rFont val="맑은 고딕"/>
        <family val="2"/>
        <charset val="129"/>
      </rPr>
      <t xml:space="preserve">3.98(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</si>
  <si>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02-06 1W - </t>
    </r>
    <r>
      <rPr>
        <sz val="10"/>
        <color theme="1"/>
        <rFont val="Noto Sans CJK SC"/>
        <family val="2"/>
      </rPr>
      <t xml:space="preserve">우리</t>
    </r>
    <r>
      <rPr>
        <sz val="10"/>
        <color theme="1"/>
        <rFont val="맑은 고딕"/>
        <family val="3"/>
        <charset val="129"/>
      </rPr>
      <t xml:space="preserve">LA 4.5),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3.43,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</si>
  <si>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소액매칭없음 02-09 09:50 기준 (1M - LBBW SG 4.57)</t>
  </si>
  <si>
    <t xml:space="preserve">계장 이윤정</t>
  </si>
  <si>
    <t xml:space="preserve">㈜세도캠핑</t>
  </si>
  <si>
    <r>
      <rPr>
        <sz val="11"/>
        <color theme="1"/>
        <rFont val="맑은 고딕"/>
        <family val="2"/>
        <charset val="129"/>
      </rPr>
      <t xml:space="preserve">4.68(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</si>
  <si>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02-10 13:00 기준 (3M - 시즈오카 4.96)</t>
  </si>
  <si>
    <t xml:space="preserve">4.35(SC)</t>
  </si>
  <si>
    <t xml:space="preserve">소액매칭없음 02-16 17:00 기준 (1M - LBBW SL 4.65)</t>
  </si>
  <si>
    <t xml:space="preserve">계장 최아성</t>
  </si>
  <si>
    <t xml:space="preserve">소액매칭없음 02-20 10:00 기준 (1M - LBBW SL 4.69)</t>
  </si>
  <si>
    <t xml:space="preserve">부지점장 권미정</t>
  </si>
  <si>
    <t xml:space="preserve">소액매칭없음 02-20 14:00 기준 (1M - LBBW SL 4.69)</t>
  </si>
  <si>
    <t xml:space="preserve">과장 김수현</t>
  </si>
  <si>
    <t xml:space="preserve">대한해운엘엔지㈜</t>
  </si>
  <si>
    <r>
      <rPr>
        <sz val="11"/>
        <color theme="1"/>
        <rFont val="맑은 고딕"/>
        <family val="2"/>
        <charset val="129"/>
      </rPr>
      <t xml:space="preserve">3.87(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</si>
  <si>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02-21 1W - LBBW_SL 4.65),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3.44,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),   </t>
    </r>
    <r>
      <rPr>
        <sz val="10"/>
        <color theme="1"/>
        <rFont val="Noto Sans CJK SC"/>
        <family val="2"/>
      </rPr>
      <t xml:space="preserve">본부승인대상거래 아님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본부승인 적용 기산일 취소 예정</t>
    </r>
  </si>
  <si>
    <t xml:space="preserve">대리 배라경</t>
  </si>
  <si>
    <t xml:space="preserve">대한해운㈜</t>
  </si>
  <si>
    <r>
      <rPr>
        <sz val="10"/>
        <color theme="1"/>
        <rFont val="맑은 고딕"/>
        <family val="3"/>
        <charset val="129"/>
      </rPr>
      <t xml:space="preserve">02-21 1W - LBBW_SL 4.65),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3.44,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</si>
  <si>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죽전지점</t>
  </si>
  <si>
    <t xml:space="preserve">지점장 서창호</t>
  </si>
  <si>
    <t xml:space="preserve">차장 박수희</t>
  </si>
  <si>
    <t xml:space="preserve">거림테크주식회사</t>
  </si>
  <si>
    <t xml:space="preserve">5.01(SC)</t>
  </si>
  <si>
    <t xml:space="preserve">소액매칭없음 02-24 11:00 기준 (6M - 한국계 예상금리 5.25),성태문 상무님 섭외 및 신규유치로 5.00% 제시</t>
  </si>
  <si>
    <r>
      <rPr>
        <sz val="10"/>
        <color theme="1"/>
        <rFont val="맑은 고딕"/>
        <family val="3"/>
        <charset val="129"/>
      </rPr>
      <t xml:space="preserve">03-07 1W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4.65)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</si>
  <si>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4.48(SC)</t>
  </si>
  <si>
    <t xml:space="preserve">소액매칭없음 03-09 10:30 기준 (1M - 시즈오카 5.00)</t>
  </si>
  <si>
    <t xml:space="preserve">㈜와이투솔루션</t>
  </si>
  <si>
    <r>
      <rPr>
        <sz val="11"/>
        <color theme="1"/>
        <rFont val="맑은 고딕"/>
        <family val="2"/>
        <charset val="129"/>
      </rPr>
      <t xml:space="preserve">4.61(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</si>
  <si>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03-15 10:00 기준 (3M - 시즈오카 5.15)</t>
  </si>
  <si>
    <t xml:space="preserve">계장 박성민</t>
  </si>
  <si>
    <r>
      <rPr>
        <sz val="11"/>
        <color theme="1"/>
        <rFont val="맑은 고딕"/>
        <family val="2"/>
        <charset val="129"/>
      </rPr>
      <t xml:space="preserve">4.43(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</si>
  <si>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03-15 10:00 기준 (1M - 시즈오카 5.05)</t>
  </si>
  <si>
    <t xml:space="preserve">4.49(SC)</t>
  </si>
  <si>
    <t xml:space="preserve">소액매칭없음 03-16 10:00 기준 (1M - 시즈오카 5.07)</t>
  </si>
  <si>
    <r>
      <rPr>
        <sz val="11"/>
        <color theme="1"/>
        <rFont val="맑은 고딕"/>
        <family val="2"/>
        <charset val="129"/>
      </rPr>
      <t xml:space="preserve">4.58(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</si>
  <si>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03-20 10:00 기준 (1M - 시즈오카 5.10)</t>
  </si>
  <si>
    <r>
      <rPr>
        <sz val="11"/>
        <color theme="1"/>
        <rFont val="맑은 고딕"/>
        <family val="2"/>
        <charset val="129"/>
      </rPr>
      <t xml:space="preserve">4.76(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</si>
  <si>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03-20 10:00 기준 (3M - 시즈오카 5.15)</t>
  </si>
  <si>
    <r>
      <rPr>
        <sz val="11"/>
        <color theme="1"/>
        <rFont val="맑은 고딕"/>
        <family val="2"/>
        <charset val="129"/>
      </rPr>
      <t xml:space="preserve">4.74(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</si>
  <si>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03-21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SL 5.10)
* </t>
    </r>
    <r>
      <rPr>
        <sz val="10"/>
        <color theme="1"/>
        <rFont val="Noto Sans CJK SC"/>
        <family val="2"/>
      </rPr>
      <t xml:space="preserve">자동우대 </t>
    </r>
    <r>
      <rPr>
        <sz val="10"/>
        <color theme="1"/>
        <rFont val="맑은 고딕"/>
        <family val="3"/>
        <charset val="129"/>
      </rPr>
      <t xml:space="preserve">10% </t>
    </r>
    <r>
      <rPr>
        <sz val="10"/>
        <color theme="1"/>
        <rFont val="Noto Sans CJK SC"/>
        <family val="2"/>
      </rPr>
      <t xml:space="preserve">고객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전일자 </t>
    </r>
    <r>
      <rPr>
        <sz val="10"/>
        <color theme="1"/>
        <rFont val="맑은 고딕"/>
        <family val="3"/>
        <charset val="129"/>
      </rPr>
      <t xml:space="preserve">4.91 -&gt; </t>
    </r>
    <r>
      <rPr>
        <sz val="10"/>
        <color theme="1"/>
        <rFont val="Noto Sans CJK SC"/>
        <family val="2"/>
      </rPr>
      <t xml:space="preserve">오늘 고시금리 소폭하락으로 </t>
    </r>
    <r>
      <rPr>
        <sz val="10"/>
        <color theme="1"/>
        <rFont val="맑은 고딕"/>
        <family val="3"/>
        <charset val="129"/>
      </rPr>
      <t xml:space="preserve">4.87
  </t>
    </r>
    <r>
      <rPr>
        <sz val="10"/>
        <color theme="1"/>
        <rFont val="Noto Sans CJK SC"/>
        <family val="2"/>
      </rPr>
      <t xml:space="preserve">전일자 안내수준으로 제시 요청 </t>
    </r>
    <r>
      <rPr>
        <sz val="10"/>
        <color theme="1"/>
        <rFont val="맑은 고딕"/>
        <family val="3"/>
        <charset val="129"/>
      </rPr>
      <t xml:space="preserve">-&gt;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LBBW SL 5.10 </t>
    </r>
    <r>
      <rPr>
        <sz val="10"/>
        <color theme="1"/>
        <rFont val="Noto Sans CJK SC"/>
        <family val="2"/>
      </rPr>
      <t xml:space="preserve">有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타행고객 신규유치 등 감안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제시</t>
    </r>
  </si>
  <si>
    <r>
      <rPr>
        <sz val="11"/>
        <color theme="1"/>
        <rFont val="맑은 고딕"/>
        <family val="2"/>
        <charset val="129"/>
      </rPr>
      <t xml:space="preserve">4.13(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</si>
  <si>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04-06 (1W - SMBC 4.75)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</si>
  <si>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</si>
  <si>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04-10 10:40 기준 (3M - 시즈오카 5.12)</t>
  </si>
  <si>
    <r>
      <rPr>
        <sz val="11"/>
        <color theme="1"/>
        <rFont val="맑은 고딕"/>
        <family val="2"/>
        <charset val="129"/>
      </rPr>
      <t xml:space="preserve">4.69(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</si>
  <si>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04-10 14:55 기준 (1M - 시즈오카 5.03)</t>
  </si>
  <si>
    <t xml:space="preserve">계장 이단비</t>
  </si>
  <si>
    <r>
      <rPr>
        <sz val="11"/>
        <color theme="1"/>
        <rFont val="맑은 고딕"/>
        <family val="2"/>
        <charset val="129"/>
      </rPr>
      <t xml:space="preserve">4.75(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</si>
  <si>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4-17 10:00 기준 (1M - 시즈오카 5.05)</t>
  </si>
  <si>
    <t xml:space="preserve">소액매칭없음 4-20 10:00 기준 (1M - 시즈오카 5.15)</t>
  </si>
  <si>
    <r>
      <rPr>
        <sz val="11"/>
        <color theme="1"/>
        <rFont val="맑은 고딕"/>
        <family val="2"/>
        <charset val="129"/>
      </rPr>
      <t xml:space="preserve">4.80(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</si>
  <si>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4-24 14:20 기준 (1M - 시즈오카 5.15)</t>
  </si>
  <si>
    <t xml:space="preserve">대리 김혜민</t>
  </si>
  <si>
    <r>
      <rPr>
        <sz val="11"/>
        <color theme="1"/>
        <rFont val="맑은 고딕"/>
        <family val="2"/>
        <charset val="129"/>
      </rPr>
      <t xml:space="preserve">4.11(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</si>
  <si>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05-04 (1W - 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LA 5.08)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</si>
  <si>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5.07(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</si>
  <si>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05-10 09:40 기준 (3M - 시즈오카 5.35)</t>
  </si>
  <si>
    <r>
      <rPr>
        <sz val="11"/>
        <color theme="1"/>
        <rFont val="맑은 고딕"/>
        <family val="2"/>
        <charset val="129"/>
      </rPr>
      <t xml:space="preserve">4.89(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</si>
  <si>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05-10 09:40 기준 (1M - 시즈오카 5.25)</t>
  </si>
  <si>
    <r>
      <rPr>
        <sz val="11"/>
        <color theme="1"/>
        <rFont val="맑은 고딕"/>
        <family val="2"/>
        <charset val="129"/>
      </rPr>
      <t xml:space="preserve">4.92(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</si>
  <si>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5-22 10:30 기준 (1M - LBBW SL 5.33)</t>
  </si>
  <si>
    <t xml:space="preserve">지점장 정경애</t>
  </si>
  <si>
    <t xml:space="preserve">㈜엘앤에프</t>
  </si>
  <si>
    <r>
      <rPr>
        <sz val="11"/>
        <color theme="1"/>
        <rFont val="맑은 고딕"/>
        <family val="2"/>
        <charset val="129"/>
      </rPr>
      <t xml:space="preserve">5.11(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</si>
  <si>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(워리 서울 20M, 05.23~08.21, 5.45%)</t>
  </si>
  <si>
    <r>
      <rPr>
        <sz val="11"/>
        <color theme="1"/>
        <rFont val="맑은 고딕"/>
        <family val="2"/>
        <charset val="129"/>
      </rPr>
      <t xml:space="preserve">4.36(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</si>
  <si>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06-05 (1W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5.22)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</si>
  <si>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소액매칭없음 06-09 09:20기준 (1M - 시즈오카 5.42)</t>
  </si>
  <si>
    <r>
      <rPr>
        <sz val="11"/>
        <color theme="1"/>
        <rFont val="맑은 고딕"/>
        <family val="2"/>
        <charset val="129"/>
      </rPr>
      <t xml:space="preserve">5.14(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</si>
  <si>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06-12 09:30 기준 (3M - 시즈오카  5.45)</t>
  </si>
  <si>
    <r>
      <rPr>
        <sz val="11"/>
        <color theme="1"/>
        <rFont val="맑은 고딕"/>
        <family val="2"/>
        <charset val="129"/>
      </rPr>
      <t xml:space="preserve">4.85(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</si>
  <si>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06-21 14:20 기준 (1M - LBBW SL 5.38)</t>
  </si>
  <si>
    <t xml:space="preserve">소액매칭없음 06-22 09:30 기준 (1M - LBBW SL 5.38)</t>
  </si>
  <si>
    <t xml:space="preserve">한국석유공사</t>
  </si>
  <si>
    <r>
      <rPr>
        <sz val="11"/>
        <color theme="1"/>
        <rFont val="맑은 고딕"/>
        <family val="2"/>
        <charset val="129"/>
      </rPr>
      <t xml:space="preserve">4.65(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</si>
  <si>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(레조나 동경 30M, 2W 06.29~07.13, 5.35%)</t>
  </si>
  <si>
    <t xml:space="preserve">매칭 (레조나 동경 20M, 1W 06.29~07.06, 5.39%), 3주 비드 없어서 1주로 매칭 후 07.06 만기일에 2주로 롤오버 예정
       -&gt; (OCBC 서울 20M, 2W 07.06~07.20, 5.19%)</t>
  </si>
  <si>
    <t xml:space="preserve">계장 황재석</t>
  </si>
  <si>
    <r>
      <rPr>
        <sz val="11"/>
        <color theme="1"/>
        <rFont val="맑은 고딕"/>
        <family val="2"/>
        <charset val="129"/>
      </rPr>
      <t xml:space="preserve">5.08(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</si>
  <si>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07-06 15:00기준 (1M - SMTB 5.29 시즈오카 5.33)</t>
  </si>
  <si>
    <r>
      <rPr>
        <sz val="11"/>
        <color theme="1"/>
        <rFont val="맑은 고딕"/>
        <family val="2"/>
        <charset val="129"/>
      </rPr>
      <t xml:space="preserve">5.10(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</si>
  <si>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07-07 10:00기준 (1M - 시즈오카 5.30)</t>
  </si>
  <si>
    <t xml:space="preserve">4.908(SC)</t>
  </si>
  <si>
    <t xml:space="preserve">소액매칭없음 07-10 10:00기준 (1M - 시즈오카 5.30)</t>
  </si>
  <si>
    <t xml:space="preserve">부지점장 신진오</t>
  </si>
  <si>
    <t xml:space="preserve">4.82(SC)</t>
  </si>
  <si>
    <t xml:space="preserve">소액매칭없음 07-11 10:00기준 (1W -  레조나 5.16)</t>
  </si>
  <si>
    <r>
      <rPr>
        <sz val="11"/>
        <color theme="1"/>
        <rFont val="맑은 고딕"/>
        <family val="2"/>
        <charset val="129"/>
      </rPr>
      <t xml:space="preserve">5.22(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</si>
  <si>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07-21 09:25 기준 (1M - LBBW SL 5.37)</t>
  </si>
  <si>
    <r>
      <rPr>
        <sz val="11"/>
        <color theme="1"/>
        <rFont val="맑은 고딕"/>
        <family val="2"/>
        <charset val="129"/>
      </rPr>
      <t xml:space="preserve">5.23(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</si>
  <si>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07-24 10:20 기준 (1M - LBBW SL 5.40)</t>
  </si>
  <si>
    <r>
      <rPr>
        <sz val="11"/>
        <color theme="1"/>
        <rFont val="맑은 고딕"/>
        <family val="2"/>
        <charset val="129"/>
      </rPr>
      <t xml:space="preserve">5.35(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</si>
  <si>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</t>
    </r>
  </si>
  <si>
    <r>
      <rPr>
        <sz val="11"/>
        <color theme="1"/>
        <rFont val="맑은 고딕"/>
        <family val="2"/>
        <charset val="129"/>
      </rPr>
      <t xml:space="preserve">4.82(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</si>
  <si>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(레조나 동경 60M, 2W 07.31~08.14, 5.45%)</t>
  </si>
  <si>
    <t xml:space="preserve">여의도금융센터</t>
  </si>
  <si>
    <t xml:space="preserve">계장 이연주</t>
  </si>
  <si>
    <t xml:space="preserve">5.04(SC)</t>
  </si>
  <si>
    <t xml:space="preserve">소액매칭없음 08-03 15:30기준 (1W -  레조나 5.42)</t>
  </si>
  <si>
    <r>
      <rPr>
        <sz val="11"/>
        <color theme="1"/>
        <rFont val="맑은 고딕"/>
        <family val="2"/>
        <charset val="129"/>
      </rPr>
      <t xml:space="preserve">5.15(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</si>
  <si>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08-07 16:25기준 (1M - 시즈오카 5.45)</t>
  </si>
  <si>
    <t xml:space="preserve">소액매칭없음 08-10 16:00기준 (1M - LBBW  5.42)</t>
  </si>
  <si>
    <t xml:space="preserve">소액매칭없음 08-21 10:00 기준 (1M - LBBW SL 5.43)</t>
  </si>
  <si>
    <t xml:space="preserve">5.05(SC)</t>
  </si>
  <si>
    <t xml:space="preserve">소액매칭없음 09-04 15:30기준 (1W -  최저운용금리 5.31)</t>
  </si>
  <si>
    <r>
      <rPr>
        <sz val="11"/>
        <color theme="1"/>
        <rFont val="맑은 고딕"/>
        <family val="2"/>
        <charset val="129"/>
      </rPr>
      <t xml:space="preserve">5.17(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</si>
  <si>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09-11 09:20기준 (1M - 시즈오카  5.57)</t>
  </si>
  <si>
    <r>
      <rPr>
        <sz val="11"/>
        <color theme="1"/>
        <rFont val="맑은 고딕"/>
        <family val="2"/>
        <charset val="129"/>
      </rPr>
      <t xml:space="preserve">5.34(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</si>
  <si>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09-12 14:35기준 (3M - ICBC 서울 5.75), 고시금리의 10% 자동우대금리 적용대상 - 9-11일자 5.51 업체와 확정했으나 9-12일자 5.50 자동우대로 1bp 차이 보전을 위한 승인건</t>
  </si>
  <si>
    <t xml:space="preserve">성남금융센터</t>
  </si>
  <si>
    <t xml:space="preserve">과장 김견민</t>
  </si>
  <si>
    <t xml:space="preserve">㈜이수스페셜티케미컬</t>
  </si>
  <si>
    <t xml:space="preserve">소액매칭없음 09-15 16:10기준 (1W - LBBW SG 5.39)</t>
  </si>
  <si>
    <t xml:space="preserve">사상공단영업부</t>
  </si>
  <si>
    <t xml:space="preserve">대리 박지선</t>
  </si>
  <si>
    <t xml:space="preserve">㈜대우로지스틱스</t>
  </si>
  <si>
    <t xml:space="preserve">소액매칭없음 09-19 16:10기준 (1W - LBBW SG 5.39)</t>
  </si>
  <si>
    <t xml:space="preserve">소액매칭없음 09-22 16:00기준 (1W - LBBW SL 5.50)</t>
  </si>
  <si>
    <t xml:space="preserve">소액매칭없음 10-04 15:30기준 (1W - 우리은행 LA 5.35)</t>
  </si>
  <si>
    <r>
      <rPr>
        <sz val="11"/>
        <color theme="1"/>
        <rFont val="맑은 고딕"/>
        <family val="2"/>
        <charset val="129"/>
      </rPr>
      <t xml:space="preserve">5.24(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</si>
  <si>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10-10 11:00기준 (1M - 시즈오카 5.58)</t>
  </si>
  <si>
    <t xml:space="preserve">소액매칭없음 10-16 16:30기준 (1W - LBBW SG 5.37)</t>
  </si>
  <si>
    <t xml:space="preserve">지점장 이창재</t>
  </si>
  <si>
    <t xml:space="preserve">과장 이호인</t>
  </si>
  <si>
    <t xml:space="preserve">㈜일지테크</t>
  </si>
  <si>
    <t xml:space="preserve">소액매칭없음 10-19 13:30기준 (1M - 시즈오카 동경 5.54)</t>
  </si>
  <si>
    <t xml:space="preserve">소액매칭없음 10-19 10:00기준 (1W - SMBC 5.28)</t>
  </si>
  <si>
    <t xml:space="preserve">주식회사 한국비앤씨</t>
  </si>
  <si>
    <r>
      <rPr>
        <sz val="11"/>
        <color theme="1"/>
        <rFont val="맑은 고딕"/>
        <family val="2"/>
        <charset val="129"/>
      </rPr>
      <t xml:space="preserve">5.20(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</si>
  <si>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11-03 15:30기준 (3w - 미즈호 5.45)</t>
  </si>
  <si>
    <t xml:space="preserve">부지점장 이성규</t>
  </si>
  <si>
    <t xml:space="preserve">계장 박예슬</t>
  </si>
  <si>
    <t xml:space="preserve">㈜화신</t>
  </si>
  <si>
    <r>
      <rPr>
        <sz val="11"/>
        <color theme="1"/>
        <rFont val="맑은 고딕"/>
        <family val="2"/>
        <charset val="129"/>
      </rPr>
      <t xml:space="preserve">5.46(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</si>
  <si>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11-07 11:00기준 (12m - 전북 6.05)</t>
  </si>
  <si>
    <r>
      <rPr>
        <sz val="11"/>
        <color theme="1"/>
        <rFont val="맑은 고딕"/>
        <family val="2"/>
        <charset val="129"/>
      </rPr>
      <t xml:space="preserve">5.19(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</si>
  <si>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11-10 10:50기준 (1M - 시즈오카 5.48)</t>
  </si>
  <si>
    <t xml:space="preserve">부지점장 김미경</t>
  </si>
  <si>
    <r>
      <rPr>
        <sz val="11"/>
        <color theme="1"/>
        <rFont val="맑은 고딕"/>
        <family val="2"/>
        <charset val="129"/>
      </rPr>
      <t xml:space="preserve">4.94(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</si>
  <si>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(레조나 동경 50M, 2W 11.17~11.29, 5.42%) + (LBBW SING 50M, 1W 11.20 ~ 11.27, 5.37%)</t>
  </si>
  <si>
    <t xml:space="preserve">소액매칭없음 11-16 10:00기준 (1W - LBBW SG 5.37)</t>
  </si>
  <si>
    <t xml:space="preserve">부장 전귀현</t>
  </si>
  <si>
    <t xml:space="preserve">소액매칭없음 11-20 10:00기준 (1W - LBBW SG 5.37)</t>
  </si>
  <si>
    <r>
      <rPr>
        <sz val="11"/>
        <color theme="1"/>
        <rFont val="맑은 고딕"/>
        <family val="2"/>
        <charset val="129"/>
      </rPr>
      <t xml:space="preserve">5.21(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</si>
  <si>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11-21 14:00기준 (1m - 시즈오카 동경 5.47)</t>
  </si>
  <si>
    <t xml:space="preserve">소액매칭없음 11-22 12:00기준 (1m - 시즈오카 동경 5.47)</t>
  </si>
  <si>
    <t xml:space="preserve">소액매칭없음 12-11 10:30기준 (1M - 시즈오카 5.65)</t>
  </si>
  <si>
    <t xml:space="preserve">부지점장 이정화</t>
  </si>
  <si>
    <t xml:space="preserve">㈜성우하이텍</t>
  </si>
  <si>
    <t xml:space="preserve">소액매칭없음 12-13 10:00기준 (1W - 레조나  5.38)</t>
  </si>
  <si>
    <t xml:space="preserve">대리 조혜리</t>
  </si>
  <si>
    <t xml:space="preserve">소액매칭없음 12-18 09:30기준 (1W - SMBC 5.28)</t>
  </si>
  <si>
    <t xml:space="preserve">대리 정정주</t>
  </si>
  <si>
    <t xml:space="preserve">오스템임플란트㈜</t>
  </si>
  <si>
    <t xml:space="preserve">소액매칭없음 12-20 15:00기준 (1m - 시즈오카 동경 5.70)</t>
  </si>
  <si>
    <t xml:space="preserve">5.06(SC)</t>
  </si>
  <si>
    <t xml:space="preserve">소액매칭없음 12-20 15:10기준 (1W - SMBC 5.28)</t>
  </si>
  <si>
    <t xml:space="preserve">기업지점장 김배길</t>
  </si>
  <si>
    <t xml:space="preserve">대리 오현주</t>
  </si>
  <si>
    <t xml:space="preserve">소액매칭없음 01-02 11:00 기준</t>
  </si>
  <si>
    <t xml:space="preserve">센터장 박청동</t>
  </si>
  <si>
    <t xml:space="preserve">m</t>
  </si>
  <si>
    <t xml:space="preserve">소액매칭없음 01-11 17:20 기준</t>
  </si>
  <si>
    <t xml:space="preserve">평택금융센터</t>
  </si>
  <si>
    <t xml:space="preserve">센터장 백정훈</t>
  </si>
  <si>
    <t xml:space="preserve">과장 박경희</t>
  </si>
  <si>
    <t xml:space="preserve">케이와이글로벌셀앤진사모투자합자회사</t>
  </si>
  <si>
    <t xml:space="preserve">9M</t>
  </si>
  <si>
    <t xml:space="preserve">소액매칭없음 01-12 14:50 기준</t>
  </si>
  <si>
    <t xml:space="preserve">부장 전찬호</t>
  </si>
  <si>
    <t xml:space="preserve">차장 김현수</t>
  </si>
  <si>
    <t xml:space="preserve">소액매칭없음 01-16 16:30 기준 (1W - 레조나 동경 5.40)</t>
  </si>
  <si>
    <t xml:space="preserve">화성금융센터</t>
  </si>
  <si>
    <t xml:space="preserve">센터장 제인해</t>
  </si>
  <si>
    <r>
      <rPr>
        <sz val="11"/>
        <color theme="1"/>
        <rFont val="맑은 고딕"/>
        <family val="2"/>
        <charset val="129"/>
      </rPr>
      <t xml:space="preserve">5.16(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</si>
  <si>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01-25 10:50 기준 (1M - 시즈오카 동경 5.42)</t>
  </si>
  <si>
    <t xml:space="preserve">소액매칭없음 02-06 </t>
  </si>
  <si>
    <t xml:space="preserve">기업지점장 손삼호</t>
  </si>
  <si>
    <t xml:space="preserve">소액매칭없음 02-13</t>
  </si>
  <si>
    <t xml:space="preserve">기업지점장 차찬호</t>
  </si>
  <si>
    <t xml:space="preserve">소액매칭 없음 02-16</t>
  </si>
  <si>
    <t xml:space="preserve">기업지점장 강동균</t>
  </si>
  <si>
    <t xml:space="preserve">대리 이초롱</t>
  </si>
  <si>
    <t xml:space="preserve">2M</t>
  </si>
  <si>
    <t xml:space="preserve">소액매칭 없음 02-22</t>
  </si>
  <si>
    <t xml:space="preserve">소액매칭 없음 02-26 (3M - 시즈오카 동경 5.47)</t>
  </si>
  <si>
    <t xml:space="preserve">계장 방세록</t>
  </si>
  <si>
    <t xml:space="preserve">소액매칭 없음 02-26 (1M - DBS 싱가폴 5.42)</t>
  </si>
  <si>
    <r>
      <rPr>
        <sz val="11"/>
        <color theme="1"/>
        <rFont val="맑은 고딕"/>
        <family val="2"/>
        <charset val="129"/>
      </rPr>
      <t xml:space="preserve">5.12(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</si>
  <si>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 없음 03-05 (1M - 시즈오카 동경 5.49)</t>
  </si>
  <si>
    <t xml:space="preserve">금융지점장 박세훈</t>
  </si>
  <si>
    <t xml:space="preserve">계장 김다예</t>
  </si>
  <si>
    <t xml:space="preserve">소액매칭 없음 03-07</t>
  </si>
  <si>
    <t xml:space="preserve">기업지점장 홍현주</t>
  </si>
  <si>
    <t xml:space="preserve">대리 고봉수</t>
  </si>
  <si>
    <t xml:space="preserve">㈜노바인터내쇼널</t>
  </si>
  <si>
    <t xml:space="preserve">소액매칭 없음 03-13 (3M - 시즈오카 동경 5.45)</t>
  </si>
  <si>
    <t xml:space="preserve">두손산업㈜</t>
  </si>
  <si>
    <t xml:space="preserve">소액매칭 없음 03-14</t>
  </si>
  <si>
    <t xml:space="preserve">소액매칭 없음 03-15</t>
  </si>
  <si>
    <t xml:space="preserve">소액매칭 없음 03-19</t>
  </si>
  <si>
    <r>
      <rPr>
        <sz val="11"/>
        <color theme="1"/>
        <rFont val="맑은 고딕"/>
        <family val="2"/>
        <charset val="129"/>
      </rPr>
      <t xml:space="preserve">4.9(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</si>
  <si>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 04-04</t>
  </si>
  <si>
    <t xml:space="preserve">4.94(SC)</t>
  </si>
  <si>
    <r>
      <rPr>
        <sz val="11"/>
        <color theme="1"/>
        <rFont val="맑은 고딕"/>
        <family val="2"/>
        <charset val="129"/>
      </rPr>
      <t xml:space="preserve">4.87(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</si>
  <si>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4.16(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</si>
  <si>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부장 손창호</t>
  </si>
  <si>
    <r>
      <rPr>
        <sz val="11"/>
        <color theme="1"/>
        <rFont val="맑은 고딕"/>
        <family val="2"/>
        <charset val="129"/>
      </rPr>
      <t xml:space="preserve">5.25(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</si>
  <si>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5.45 3M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5.45</t>
    </r>
  </si>
  <si>
    <t xml:space="preserve">일양약품㈜</t>
  </si>
  <si>
    <r>
      <rPr>
        <sz val="11"/>
        <color theme="1"/>
        <rFont val="맑은 고딕"/>
        <family val="2"/>
        <charset val="129"/>
      </rPr>
      <t xml:space="preserve">5.12(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</si>
  <si>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없음</t>
  </si>
  <si>
    <t xml:space="preserve">매칭없음 (시즈오카 동경 1M - 5.45%)</t>
  </si>
  <si>
    <t xml:space="preserve">과장 박준형</t>
  </si>
  <si>
    <r>
      <rPr>
        <sz val="11"/>
        <color theme="1"/>
        <rFont val="맑은 고딕"/>
        <family val="2"/>
        <charset val="129"/>
      </rPr>
      <t xml:space="preserve">5.13(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</si>
  <si>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백승미</t>
  </si>
  <si>
    <t xml:space="preserve">매칭없음 (2w- 5.42% / 3w-5.46%)</t>
  </si>
  <si>
    <t xml:space="preserve">대리 김다예</t>
  </si>
  <si>
    <r>
      <rPr>
        <sz val="11"/>
        <color theme="1"/>
        <rFont val="맑은 고딕"/>
        <family val="2"/>
        <charset val="129"/>
      </rPr>
      <t xml:space="preserve">5.04(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</si>
  <si>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5.14(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</si>
  <si>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SMTB </t>
    </r>
    <r>
      <rPr>
        <sz val="11"/>
        <color theme="1"/>
        <rFont val="Noto Sans CJK SC"/>
        <family val="2"/>
      </rPr>
      <t xml:space="preserve">홍콩 </t>
    </r>
    <r>
      <rPr>
        <sz val="11"/>
        <color theme="1"/>
        <rFont val="맑은 고딕"/>
        <family val="2"/>
        <charset val="129"/>
      </rPr>
      <t xml:space="preserve">5.46</t>
    </r>
  </si>
  <si>
    <t xml:space="preserve">차장 김현수 </t>
  </si>
  <si>
    <r>
      <rPr>
        <sz val="11"/>
        <color theme="1"/>
        <rFont val="맑은 고딕"/>
        <family val="2"/>
        <charset val="129"/>
      </rPr>
      <t xml:space="preserve">4.88(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</si>
  <si>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3W DBS</t>
    </r>
    <r>
      <rPr>
        <sz val="11"/>
        <color theme="1"/>
        <rFont val="Noto Sans CJK SC"/>
        <family val="2"/>
      </rPr>
      <t xml:space="preserve">서울 </t>
    </r>
    <r>
      <rPr>
        <sz val="11"/>
        <color theme="1"/>
        <rFont val="맑은 고딕"/>
        <family val="2"/>
        <charset val="129"/>
      </rPr>
      <t xml:space="preserve">5.43</t>
    </r>
  </si>
  <si>
    <t xml:space="preserve">성서3단지영업부</t>
  </si>
  <si>
    <t xml:space="preserve">부장 김숙희</t>
  </si>
  <si>
    <t xml:space="preserve">차장 정태순</t>
  </si>
  <si>
    <t xml:space="preserve">㈜에스앤에스텍</t>
  </si>
  <si>
    <r>
      <rPr>
        <sz val="11"/>
        <color theme="1"/>
        <rFont val="맑은 고딕"/>
        <family val="2"/>
        <charset val="129"/>
      </rPr>
      <t xml:space="preserve">4.97(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</si>
  <si>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5.32</t>
  </si>
  <si>
    <t xml:space="preserve">부장 손창호 </t>
  </si>
  <si>
    <t xml:space="preserve">부부장 양성욱</t>
  </si>
  <si>
    <r>
      <rPr>
        <sz val="11"/>
        <color theme="1"/>
        <rFont val="맑은 고딕"/>
        <family val="2"/>
        <charset val="129"/>
      </rPr>
      <t xml:space="preserve">4.98(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</si>
  <si>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5.30</t>
  </si>
  <si>
    <t xml:space="preserve">차장 홍혜정 </t>
  </si>
  <si>
    <r>
      <rPr>
        <sz val="11"/>
        <color theme="1"/>
        <rFont val="맑은 고딕"/>
        <family val="2"/>
        <charset val="129"/>
      </rPr>
      <t xml:space="preserve">4.96(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</si>
  <si>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5.36</t>
  </si>
  <si>
    <t xml:space="preserve">3M 5.35</t>
  </si>
  <si>
    <r>
      <rPr>
        <sz val="11"/>
        <color theme="1"/>
        <rFont val="맑은 고딕"/>
        <family val="2"/>
        <charset val="129"/>
      </rPr>
      <t xml:space="preserve">5.11(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</si>
  <si>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5.38</t>
  </si>
  <si>
    <t xml:space="preserve">문경지점</t>
  </si>
  <si>
    <t xml:space="preserve">지점장 현재희</t>
  </si>
  <si>
    <t xml:space="preserve">부지점장 김윤정</t>
  </si>
  <si>
    <t xml:space="preserve">신라인코리아 </t>
  </si>
  <si>
    <r>
      <rPr>
        <sz val="11"/>
        <color theme="1"/>
        <rFont val="맑은 고딕"/>
        <family val="2"/>
        <charset val="129"/>
      </rPr>
      <t xml:space="preserve">4.40(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</si>
  <si>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1Y</t>
  </si>
  <si>
    <t xml:space="preserve">1Y 4.60</t>
  </si>
  <si>
    <r>
      <rPr>
        <sz val="11"/>
        <color theme="1"/>
        <rFont val="맑은 고딕"/>
        <family val="2"/>
        <charset val="129"/>
      </rPr>
      <t xml:space="preserve">5.05(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</si>
  <si>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1Y 5.40</t>
  </si>
  <si>
    <t xml:space="preserve">죽전지점 </t>
  </si>
  <si>
    <t xml:space="preserve">기업지점장 김건화</t>
  </si>
  <si>
    <t xml:space="preserve">과장 안영은</t>
  </si>
  <si>
    <t xml:space="preserve">센터장 박진호 </t>
  </si>
  <si>
    <t xml:space="preserve">대리 우소현 </t>
  </si>
  <si>
    <t xml:space="preserve">㈜ 약진통상 </t>
  </si>
  <si>
    <t xml:space="preserve">대리 조수현 </t>
  </si>
  <si>
    <t xml:space="preserve">금융지점장 김건화</t>
  </si>
  <si>
    <t xml:space="preserve">3M 5.38</t>
  </si>
  <si>
    <t xml:space="preserve">차장 박미영 </t>
  </si>
  <si>
    <t xml:space="preserve">3M 4.98</t>
  </si>
  <si>
    <t xml:space="preserve">1M 5.0</t>
  </si>
  <si>
    <t xml:space="preserve">센터장 박찬성 </t>
  </si>
  <si>
    <t xml:space="preserve">부지점장 배정호</t>
  </si>
  <si>
    <t xml:space="preserve">㈜ 한국비엔씨</t>
  </si>
  <si>
    <r>
      <rPr>
        <sz val="11"/>
        <color theme="1"/>
        <rFont val="맑은 고딕"/>
        <family val="2"/>
        <charset val="129"/>
      </rPr>
      <t xml:space="preserve">4.67(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</si>
  <si>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4.52(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</si>
  <si>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4.95</t>
  </si>
  <si>
    <t xml:space="preserve">케이와이글로벌셀앤진사모투자</t>
  </si>
  <si>
    <r>
      <rPr>
        <sz val="11"/>
        <color theme="1"/>
        <rFont val="맑은 고딕"/>
        <family val="2"/>
        <charset val="129"/>
      </rPr>
      <t xml:space="preserve">4.42(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</si>
  <si>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5M</t>
  </si>
  <si>
    <t xml:space="preserve">6M 4.75</t>
  </si>
  <si>
    <t xml:space="preserve">차장 조서윤</t>
  </si>
  <si>
    <t xml:space="preserve">MMDA 4.83</t>
  </si>
  <si>
    <t xml:space="preserve">계장 김동현 </t>
  </si>
  <si>
    <t xml:space="preserve">케이씨에이치에너지㈜</t>
  </si>
  <si>
    <r>
      <rPr>
        <sz val="11"/>
        <color theme="1"/>
        <rFont val="맑은 고딕"/>
        <family val="2"/>
        <charset val="129"/>
      </rPr>
      <t xml:space="preserve">4.47(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</si>
  <si>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4.90</t>
  </si>
  <si>
    <t xml:space="preserve">1M 4.90</t>
  </si>
  <si>
    <t xml:space="preserve">day</t>
  </si>
  <si>
    <r>
      <rPr>
        <sz val="11"/>
        <color theme="1"/>
        <rFont val="맑은 고딕"/>
        <family val="2"/>
        <charset val="129"/>
      </rPr>
      <t xml:space="preserve">4.48(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</si>
  <si>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rFont val="맑은 고딕"/>
        <family val="3"/>
        <charset val="129"/>
      </rPr>
      <t xml:space="preserve">1~3</t>
    </r>
    <r>
      <rPr>
        <sz val="11"/>
        <rFont val="Noto Sans CJK SC"/>
        <family val="2"/>
      </rPr>
      <t xml:space="preserve">일 </t>
    </r>
    <r>
      <rPr>
        <sz val="11"/>
        <rFont val="맑은 고딕"/>
        <family val="3"/>
        <charset val="129"/>
      </rPr>
      <t xml:space="preserve">4.85 / 4</t>
    </r>
    <r>
      <rPr>
        <sz val="11"/>
        <rFont val="Noto Sans CJK SC"/>
        <family val="2"/>
      </rPr>
      <t xml:space="preserve">일</t>
    </r>
    <r>
      <rPr>
        <sz val="11"/>
        <rFont val="맑은 고딕"/>
        <family val="3"/>
        <charset val="129"/>
      </rPr>
      <t xml:space="preserve">~6</t>
    </r>
    <r>
      <rPr>
        <sz val="11"/>
        <rFont val="Noto Sans CJK SC"/>
        <family val="2"/>
      </rPr>
      <t xml:space="preserve">일 </t>
    </r>
    <r>
      <rPr>
        <sz val="11"/>
        <rFont val="맑은 고딕"/>
        <family val="3"/>
        <charset val="129"/>
      </rPr>
      <t xml:space="preserve">4.90</t>
    </r>
  </si>
  <si>
    <t xml:space="preserve">지점장 신승호 </t>
  </si>
  <si>
    <r>
      <rPr>
        <sz val="11"/>
        <color theme="1"/>
        <rFont val="맑은 고딕"/>
        <family val="2"/>
        <charset val="129"/>
      </rPr>
      <t xml:space="preserve">4.21(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</si>
  <si>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 無 1년 4.55%</t>
  </si>
  <si>
    <t xml:space="preserve">MMDA 4.58</t>
  </si>
  <si>
    <t xml:space="preserve">3M 4.80</t>
  </si>
  <si>
    <t xml:space="preserve">지점장 홍현주</t>
  </si>
  <si>
    <t xml:space="preserve">㈜ 문영</t>
  </si>
  <si>
    <t xml:space="preserve">중산지점</t>
  </si>
  <si>
    <t xml:space="preserve">지점장 이은희</t>
  </si>
  <si>
    <t xml:space="preserve">차장 마정심</t>
  </si>
  <si>
    <t xml:space="preserve">영안건설㈜</t>
  </si>
  <si>
    <t xml:space="preserve">12M 4.73</t>
  </si>
  <si>
    <t xml:space="preserve">차장 마정심 </t>
  </si>
  <si>
    <r>
      <rPr>
        <sz val="11"/>
        <color theme="1"/>
        <rFont val="맑은 고딕"/>
        <family val="2"/>
        <charset val="129"/>
      </rPr>
      <t xml:space="preserve">4.36(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</si>
  <si>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4.80</t>
  </si>
  <si>
    <t xml:space="preserve">계장 강경욱</t>
  </si>
  <si>
    <t xml:space="preserve">㈜ 일지테크</t>
  </si>
  <si>
    <t xml:space="preserve">지점장 김건화</t>
  </si>
  <si>
    <t xml:space="preserve">계장 남연주</t>
  </si>
  <si>
    <t xml:space="preserve">3M 4.83</t>
  </si>
  <si>
    <t xml:space="preserve">센터장 박청동 </t>
  </si>
  <si>
    <t xml:space="preserve">계장 홍효성</t>
  </si>
  <si>
    <t xml:space="preserve">㈜약진통상</t>
  </si>
  <si>
    <t xml:space="preserve">MMDA 4.33</t>
  </si>
  <si>
    <t xml:space="preserve">1M 4.70</t>
  </si>
  <si>
    <t xml:space="preserve">기업지점장 박종욱</t>
  </si>
  <si>
    <r>
      <rPr>
        <sz val="11"/>
        <color theme="1"/>
        <rFont val="맑은 고딕"/>
        <family val="2"/>
        <charset val="129"/>
      </rPr>
      <t xml:space="preserve">4.26(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</si>
  <si>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</t>
  </si>
  <si>
    <t xml:space="preserve">지점장 박대연</t>
  </si>
  <si>
    <t xml:space="preserve">부장 김용덕</t>
  </si>
  <si>
    <t xml:space="preserve">대리 이혜경</t>
  </si>
  <si>
    <t xml:space="preserve">1M 4.45</t>
  </si>
  <si>
    <t xml:space="preserve">성남영업부</t>
  </si>
  <si>
    <t xml:space="preserve">과장 장윤영</t>
  </si>
  <si>
    <t xml:space="preserve">기업지점장 변영배</t>
  </si>
  <si>
    <t xml:space="preserve">부지점장 김연희</t>
  </si>
  <si>
    <t xml:space="preserve">기업지점장 권용민</t>
  </si>
  <si>
    <t xml:space="preserve">차장 김희영</t>
  </si>
  <si>
    <t xml:space="preserve">대원지에스아이</t>
  </si>
  <si>
    <t xml:space="preserve">지점장 진방윤</t>
  </si>
  <si>
    <t xml:space="preserve">대리 방세록</t>
  </si>
  <si>
    <t xml:space="preserve">와이투솔루션</t>
  </si>
  <si>
    <t xml:space="preserve">대리 민사은 </t>
  </si>
  <si>
    <t xml:space="preserve">㈜월성 </t>
  </si>
  <si>
    <t xml:space="preserve">외화예금 </t>
  </si>
  <si>
    <r>
      <rPr>
        <sz val="11"/>
        <color theme="1"/>
        <rFont val="맑은 고딕"/>
        <family val="2"/>
        <charset val="129"/>
      </rPr>
      <t xml:space="preserve">1Y 4.58 </t>
    </r>
    <r>
      <rPr>
        <sz val="11"/>
        <color theme="1"/>
        <rFont val="Noto Sans CJK SC"/>
        <family val="2"/>
      </rPr>
      <t xml:space="preserve">수준 </t>
    </r>
  </si>
  <si>
    <t xml:space="preserve">1W 4.41</t>
  </si>
  <si>
    <t xml:space="preserve">원주금융센터</t>
  </si>
  <si>
    <t xml:space="preserve">센터장 정병훈</t>
  </si>
  <si>
    <t xml:space="preserve">㈜비알팜</t>
  </si>
  <si>
    <t xml:space="preserve">1W 4.37</t>
  </si>
  <si>
    <r>
      <rPr>
        <sz val="11"/>
        <color theme="1"/>
        <rFont val="맑은 고딕"/>
        <family val="2"/>
        <charset val="129"/>
      </rPr>
      <t xml:space="preserve">4.15(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</si>
  <si>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1W 4.40</t>
  </si>
  <si>
    <t xml:space="preserve">1m 4.45</t>
  </si>
  <si>
    <t xml:space="preserve">3m 4.54</t>
  </si>
  <si>
    <r>
      <rPr>
        <sz val="11"/>
        <color theme="1"/>
        <rFont val="맑은 고딕"/>
        <family val="2"/>
        <charset val="129"/>
      </rPr>
      <t xml:space="preserve">4.23(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</si>
  <si>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이진희</t>
  </si>
  <si>
    <t xml:space="preserve">2M 4.47</t>
  </si>
  <si>
    <r>
      <rPr>
        <sz val="11"/>
        <color theme="1"/>
        <rFont val="맑은 고딕"/>
        <family val="2"/>
        <charset val="129"/>
      </rPr>
      <t xml:space="preserve">3.95(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</si>
  <si>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1W 4.30</t>
  </si>
  <si>
    <t xml:space="preserve">1W 4.36</t>
  </si>
  <si>
    <t xml:space="preserve">1M 4.4</t>
  </si>
  <si>
    <r>
      <rPr>
        <sz val="11"/>
        <color theme="1"/>
        <rFont val="맑은 고딕"/>
        <family val="2"/>
        <charset val="129"/>
      </rPr>
      <t xml:space="preserve">4.17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</si>
  <si>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4.44</t>
  </si>
  <si>
    <t xml:space="preserve">대한상선㈜</t>
  </si>
  <si>
    <t xml:space="preserve">요구</t>
  </si>
  <si>
    <t xml:space="preserve">1W 4.35</t>
  </si>
  <si>
    <t xml:space="preserve">3M 4.55</t>
  </si>
  <si>
    <r>
      <rPr>
        <sz val="11"/>
        <color theme="1"/>
        <rFont val="맑은 고딕"/>
        <family val="2"/>
        <charset val="129"/>
      </rPr>
      <t xml:space="preserve">4.17(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</si>
  <si>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강석호</t>
  </si>
  <si>
    <t xml:space="preserve">삼덕영업부</t>
  </si>
  <si>
    <t xml:space="preserve">기업지점장 부지윤</t>
  </si>
  <si>
    <t xml:space="preserve">차장 김은정</t>
  </si>
  <si>
    <t xml:space="preserve">에이치엘만도</t>
  </si>
  <si>
    <t xml:space="preserve">부장 차찬호</t>
  </si>
  <si>
    <t xml:space="preserve">대한전선㈜</t>
  </si>
  <si>
    <t xml:space="preserve">3M  4.45</t>
  </si>
  <si>
    <t xml:space="preserve">지점장 서민석</t>
  </si>
  <si>
    <t xml:space="preserve">부장 은종욱</t>
  </si>
  <si>
    <t xml:space="preserve">과장 권부석</t>
  </si>
  <si>
    <r>
      <rPr>
        <sz val="11"/>
        <color theme="1"/>
        <rFont val="맑은 고딕"/>
        <family val="2"/>
        <charset val="129"/>
      </rPr>
      <t xml:space="preserve">4.18(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</si>
  <si>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4.50</t>
  </si>
  <si>
    <t xml:space="preserve">대한상선 </t>
  </si>
  <si>
    <t xml:space="preserve">1M 4.50</t>
  </si>
  <si>
    <t xml:space="preserve">지점장 윤장한 </t>
  </si>
  <si>
    <t xml:space="preserve">대리 김무경</t>
  </si>
  <si>
    <t xml:space="preserve">㈜ 광성</t>
  </si>
  <si>
    <r>
      <rPr>
        <sz val="11"/>
        <color theme="1"/>
        <rFont val="맑은 고딕"/>
        <family val="2"/>
        <charset val="129"/>
      </rPr>
      <t xml:space="preserve">4.30(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</si>
  <si>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4.50</t>
  </si>
  <si>
    <t xml:space="preserve">3M  4.55</t>
  </si>
  <si>
    <r>
      <rPr>
        <sz val="11"/>
        <color theme="1"/>
        <rFont val="맑은 고딕"/>
        <family val="2"/>
        <charset val="129"/>
      </rPr>
      <t xml:space="preserve">4.20(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</si>
  <si>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 4.55</t>
  </si>
  <si>
    <r>
      <rPr>
        <sz val="11"/>
        <color theme="1"/>
        <rFont val="맑은 고딕"/>
        <family val="2"/>
        <charset val="129"/>
      </rPr>
      <t xml:space="preserve">4.00(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</si>
  <si>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과장 이우권 </t>
  </si>
  <si>
    <r>
      <rPr>
        <sz val="11"/>
        <color theme="1"/>
        <rFont val="맑은 고딕"/>
        <family val="2"/>
        <charset val="129"/>
      </rPr>
      <t xml:space="preserve">4.19(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</si>
  <si>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중동지점</t>
  </si>
  <si>
    <t xml:space="preserve">지점장 최재호</t>
  </si>
  <si>
    <t xml:space="preserve">대리 주현이</t>
  </si>
  <si>
    <t xml:space="preserve">동화인더스트리</t>
  </si>
  <si>
    <t xml:space="preserve">본점PB센터</t>
  </si>
  <si>
    <t xml:space="preserve">센터장 박희정</t>
  </si>
  <si>
    <t xml:space="preserve">과장 이혜민 </t>
  </si>
  <si>
    <t xml:space="preserve">미래나노텍㈜</t>
  </si>
  <si>
    <t xml:space="preserve">3m 4.55</t>
  </si>
  <si>
    <t xml:space="preserve">1M 4.48</t>
  </si>
  <si>
    <t xml:space="preserve">3M 4.58</t>
  </si>
  <si>
    <r>
      <rPr>
        <sz val="11"/>
        <color theme="1"/>
        <rFont val="맑은 고딕"/>
        <family val="2"/>
        <charset val="129"/>
      </rPr>
      <t xml:space="preserve">4.25(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</si>
  <si>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김천혁신도시점</t>
  </si>
  <si>
    <t xml:space="preserve">지점장 김정애</t>
  </si>
  <si>
    <t xml:space="preserve">대리 김지민 </t>
  </si>
  <si>
    <t xml:space="preserve">한국전력기술 </t>
  </si>
  <si>
    <t xml:space="preserve">2W 4.42</t>
  </si>
  <si>
    <t xml:space="preserve">지점장 정재환</t>
  </si>
  <si>
    <t xml:space="preserve">차장 장우혁</t>
  </si>
  <si>
    <t xml:space="preserve">한화오션㈜</t>
  </si>
  <si>
    <t xml:space="preserve">이현공단영업부</t>
  </si>
  <si>
    <t xml:space="preserve">지점장 이병휘</t>
  </si>
  <si>
    <t xml:space="preserve">대리 이수진 </t>
  </si>
  <si>
    <t xml:space="preserve">㈜지엠메탈</t>
  </si>
  <si>
    <t xml:space="preserve">3M  4.57</t>
  </si>
  <si>
    <t xml:space="preserve">3M 4.56</t>
  </si>
  <si>
    <t xml:space="preserve">계장 김민정</t>
  </si>
  <si>
    <t xml:space="preserve">㈜비앤에프</t>
  </si>
  <si>
    <r>
      <rPr>
        <sz val="11"/>
        <color theme="1"/>
        <rFont val="맑은 고딕"/>
        <family val="2"/>
        <charset val="129"/>
      </rPr>
      <t xml:space="preserve">1W 4.53</t>
    </r>
    <r>
      <rPr>
        <sz val="11"/>
        <color theme="1"/>
        <rFont val="Noto Sans CJK SC"/>
        <family val="2"/>
      </rPr>
      <t xml:space="preserve">에 콜론 완료 </t>
    </r>
  </si>
  <si>
    <t xml:space="preserve">미래에셋컨설팅</t>
  </si>
  <si>
    <t xml:space="preserve">윤상락</t>
  </si>
  <si>
    <t xml:space="preserve">부산동부금융센터 </t>
  </si>
  <si>
    <t xml:space="preserve">센터장 윤권한 </t>
  </si>
  <si>
    <t xml:space="preserve">과장 김동현 </t>
  </si>
  <si>
    <t xml:space="preserve">㈜디오 </t>
  </si>
  <si>
    <r>
      <rPr>
        <sz val="11"/>
        <color theme="1"/>
        <rFont val="맑은 고딕"/>
        <family val="2"/>
        <charset val="129"/>
      </rPr>
      <t xml:space="preserve">4.16(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</si>
  <si>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과장 최정식</t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</si>
  <si>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4.38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</si>
  <si>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t xml:space="preserve">3M </t>
  </si>
  <si>
    <r>
      <rPr>
        <sz val="11"/>
        <rFont val="맑은 고딕"/>
        <family val="3"/>
        <charset val="129"/>
      </rPr>
      <t xml:space="preserve">2m~3m 4.45</t>
    </r>
    <r>
      <rPr>
        <sz val="11"/>
        <rFont val="Noto Sans CJK SC"/>
        <family val="2"/>
      </rPr>
      <t xml:space="preserve">수준</t>
    </r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</si>
  <si>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4.36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</si>
  <si>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r>
      <rPr>
        <sz val="11"/>
        <rFont val="맑은 고딕"/>
        <family val="3"/>
        <charset val="129"/>
      </rPr>
      <t xml:space="preserve">1m 4.44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</si>
  <si>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4.44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</si>
  <si>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t xml:space="preserve">본점영업부</t>
  </si>
  <si>
    <t xml:space="preserve">기업지점장 고민식</t>
  </si>
  <si>
    <t xml:space="preserve">차장 김소희</t>
  </si>
  <si>
    <t xml:space="preserve">와이엠에스에이</t>
  </si>
  <si>
    <t xml:space="preserve">산은 4.22</t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</si>
  <si>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4.48 </t>
    </r>
    <r>
      <rPr>
        <sz val="11"/>
        <color theme="1"/>
        <rFont val="Noto Sans CJK SC"/>
        <family val="2"/>
      </rPr>
      <t xml:space="preserve">수준 </t>
    </r>
  </si>
  <si>
    <t xml:space="preserve">지점장 박청동 </t>
  </si>
  <si>
    <t xml:space="preserve">대리 김수정 </t>
  </si>
  <si>
    <t xml:space="preserve">㈜ 동아홀딩스 </t>
  </si>
  <si>
    <t xml:space="preserve">센터장 진방윤</t>
  </si>
  <si>
    <t xml:space="preserve">1M 4.43</t>
  </si>
  <si>
    <t xml:space="preserve">대리 김지은 </t>
  </si>
  <si>
    <t xml:space="preserve">영천영업부</t>
  </si>
  <si>
    <t xml:space="preserve">지점장 김정현</t>
  </si>
  <si>
    <t xml:space="preserve">계장 박종범</t>
  </si>
  <si>
    <t xml:space="preserve">국제금속</t>
  </si>
  <si>
    <t xml:space="preserve">해내다컨트리클럽</t>
  </si>
  <si>
    <t xml:space="preserve">자유적립예금</t>
  </si>
  <si>
    <t xml:space="preserve">3M 4.45</t>
  </si>
  <si>
    <t xml:space="preserve">과장 장미경</t>
  </si>
  <si>
    <t xml:space="preserve">㈜현대그린푸드</t>
  </si>
  <si>
    <r>
      <rPr>
        <sz val="11"/>
        <color theme="1"/>
        <rFont val="맑은 고딕"/>
        <family val="2"/>
        <charset val="129"/>
      </rPr>
      <t xml:space="preserve">1M 4.43 </t>
    </r>
    <r>
      <rPr>
        <sz val="11"/>
        <color theme="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</si>
  <si>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1m 4.40 </t>
    </r>
    <r>
      <rPr>
        <sz val="11"/>
        <rFont val="Noto Sans CJK SC"/>
        <family val="2"/>
      </rPr>
      <t xml:space="preserve">수준 </t>
    </r>
  </si>
  <si>
    <t xml:space="preserve">부지점장 김은영</t>
  </si>
  <si>
    <r>
      <rPr>
        <sz val="11"/>
        <rFont val="맑은 고딕"/>
        <family val="3"/>
        <charset val="129"/>
      </rPr>
      <t xml:space="preserve">3m 4.41 </t>
    </r>
    <r>
      <rPr>
        <sz val="11"/>
        <rFont val="Noto Sans CJK SC"/>
        <family val="2"/>
      </rPr>
      <t xml:space="preserve">수준 </t>
    </r>
  </si>
  <si>
    <t xml:space="preserve">1M 4.39</t>
  </si>
  <si>
    <t xml:space="preserve">3M 4.40</t>
  </si>
  <si>
    <t xml:space="preserve">2M 4.37</t>
  </si>
  <si>
    <t xml:space="preserve">한화에어로스페이스</t>
  </si>
  <si>
    <r>
      <rPr>
        <sz val="11"/>
        <color theme="1"/>
        <rFont val="맑은 고딕"/>
        <family val="2"/>
        <charset val="129"/>
      </rPr>
      <t xml:space="preserve">4.07(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</si>
  <si>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 4.36</t>
  </si>
  <si>
    <t xml:space="preserve">에이치라인해운㈜ </t>
  </si>
  <si>
    <r>
      <rPr>
        <sz val="11"/>
        <color theme="1"/>
        <rFont val="맑은 고딕"/>
        <family val="2"/>
        <charset val="129"/>
      </rPr>
      <t xml:space="preserve">3.99(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</si>
  <si>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4.32</t>
  </si>
  <si>
    <t xml:space="preserve">3M 4.30</t>
  </si>
  <si>
    <r>
      <rPr>
        <sz val="11"/>
        <color theme="1"/>
        <rFont val="맑은 고딕"/>
        <family val="2"/>
        <charset val="129"/>
      </rPr>
      <t xml:space="preserve">1M 4.34 </t>
    </r>
    <r>
      <rPr>
        <sz val="11"/>
        <color theme="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</si>
  <si>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3.9(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</si>
  <si>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4.25</t>
  </si>
  <si>
    <r>
      <rPr>
        <sz val="11"/>
        <color theme="1"/>
        <rFont val="맑은 고딕"/>
        <family val="2"/>
        <charset val="129"/>
      </rPr>
      <t xml:space="preserve">3M  4.19 </t>
    </r>
    <r>
      <rPr>
        <sz val="11"/>
        <color theme="1"/>
        <rFont val="Noto Sans CJK SC"/>
        <family val="2"/>
      </rPr>
      <t xml:space="preserve">수준 </t>
    </r>
  </si>
  <si>
    <t xml:space="preserve">부부장 변영배</t>
  </si>
  <si>
    <t xml:space="preserve">엘아이지넥스원 </t>
  </si>
  <si>
    <t xml:space="preserve">MMDA 4.08</t>
  </si>
  <si>
    <t xml:space="preserve">대리 정준우</t>
  </si>
  <si>
    <r>
      <rPr>
        <sz val="11"/>
        <color theme="1"/>
        <rFont val="맑은 고딕"/>
        <family val="2"/>
        <charset val="129"/>
      </rPr>
      <t xml:space="preserve">3.88(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</si>
  <si>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4.20</t>
  </si>
  <si>
    <t xml:space="preserve">3M  4.18</t>
  </si>
  <si>
    <t xml:space="preserve">계장 이향하</t>
  </si>
  <si>
    <t xml:space="preserve">반월공단영업부</t>
  </si>
  <si>
    <t xml:space="preserve">1M 4.25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</si>
  <si>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</si>
  <si>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 4.08</t>
  </si>
  <si>
    <t xml:space="preserve">1M 4.20</t>
  </si>
  <si>
    <t xml:space="preserve">mmda 4.08</t>
  </si>
  <si>
    <t xml:space="preserve">한국비철㈜ (해지)</t>
  </si>
  <si>
    <t xml:space="preserve">계장 오다은 </t>
  </si>
  <si>
    <r>
      <rPr>
        <sz val="11"/>
        <rFont val="맑은 고딕"/>
        <family val="3"/>
        <charset val="129"/>
      </rPr>
      <t xml:space="preserve">3.77(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</si>
  <si>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4.18</t>
  </si>
  <si>
    <t xml:space="preserve">부장 마필재</t>
  </si>
  <si>
    <t xml:space="preserve">대리 조수현</t>
  </si>
  <si>
    <t xml:space="preserve">한국무역보험공사</t>
  </si>
  <si>
    <r>
      <rPr>
        <sz val="11"/>
        <color theme="1"/>
        <rFont val="맑은 고딕"/>
        <family val="2"/>
        <charset val="129"/>
      </rPr>
      <t xml:space="preserve">3.77(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</si>
  <si>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4.16</t>
  </si>
  <si>
    <t xml:space="preserve">디오㈜</t>
  </si>
  <si>
    <t xml:space="preserve">3m 4.03</t>
  </si>
  <si>
    <t xml:space="preserve">MMDA 3.83</t>
  </si>
  <si>
    <t xml:space="preserve">3M 4.03</t>
  </si>
  <si>
    <r>
      <rPr>
        <sz val="11"/>
        <color theme="1"/>
        <rFont val="맑은 고딕"/>
        <family val="2"/>
        <charset val="129"/>
      </rPr>
      <t xml:space="preserve">3.78(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</si>
  <si>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4.00</t>
  </si>
  <si>
    <t xml:space="preserve">소액매칭 無 1년 3.96%</t>
  </si>
  <si>
    <t xml:space="preserve">3m 4.08</t>
  </si>
  <si>
    <r>
      <rPr>
        <sz val="11"/>
        <rFont val="맑은 고딕"/>
        <family val="3"/>
        <charset val="129"/>
      </rPr>
      <t xml:space="preserve">3m 4.12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</si>
  <si>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3m 4.13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</si>
  <si>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3.74(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</si>
  <si>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4.04</t>
  </si>
  <si>
    <t xml:space="preserve">3M 4.15</t>
  </si>
  <si>
    <r>
      <rPr>
        <sz val="11"/>
        <color theme="1"/>
        <rFont val="맑은 고딕"/>
        <family val="2"/>
        <charset val="129"/>
      </rPr>
      <t xml:space="preserve">3.74(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</si>
  <si>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지점장 박주영</t>
  </si>
  <si>
    <t xml:space="preserve">아영건설㈜</t>
  </si>
  <si>
    <t xml:space="preserve">대리 방새록</t>
  </si>
  <si>
    <t xml:space="preserve">1M 4.04</t>
  </si>
  <si>
    <r>
      <rPr>
        <sz val="11"/>
        <color theme="1"/>
        <rFont val="맑은 고딕"/>
        <family val="2"/>
        <charset val="129"/>
      </rPr>
      <t xml:space="preserve">3.70(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</si>
  <si>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 4.05</t>
  </si>
  <si>
    <t xml:space="preserve">1m 4.05</t>
  </si>
  <si>
    <t xml:space="preserve">부지점장 손현주</t>
  </si>
  <si>
    <r>
      <rPr>
        <sz val="11"/>
        <rFont val="맑은 고딕"/>
        <family val="3"/>
        <charset val="129"/>
      </rPr>
      <t xml:space="preserve">3.66(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</si>
  <si>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맑은 고딕"/>
        <family val="2"/>
        <charset val="129"/>
      </rPr>
      <t xml:space="preserve">3.75 </t>
    </r>
  </si>
  <si>
    <t xml:space="preserve">mmda 3.64</t>
  </si>
  <si>
    <r>
      <rPr>
        <sz val="11"/>
        <rFont val="맑은 고딕"/>
        <family val="3"/>
        <charset val="129"/>
      </rPr>
      <t xml:space="preserve">3.63(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</si>
  <si>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3M  4.00</t>
  </si>
  <si>
    <t xml:space="preserve">1M 4.02</t>
  </si>
  <si>
    <t xml:space="preserve">MMDA 3.64</t>
  </si>
  <si>
    <t xml:space="preserve">김상범</t>
  </si>
  <si>
    <t xml:space="preserve">부지점장 이진아</t>
  </si>
  <si>
    <t xml:space="preserve">계장 박지영 </t>
  </si>
  <si>
    <t xml:space="preserve">넥센타이어</t>
  </si>
  <si>
    <t xml:space="preserve">JPY</t>
  </si>
  <si>
    <r>
      <rPr>
        <sz val="11"/>
        <rFont val="맑은 고딕"/>
        <family val="3"/>
        <charset val="129"/>
      </rPr>
      <t xml:space="preserve">1,450</t>
    </r>
    <r>
      <rPr>
        <sz val="11"/>
        <rFont val="Noto Sans CJK SC"/>
        <family val="2"/>
      </rPr>
      <t xml:space="preserve">백만</t>
    </r>
  </si>
  <si>
    <r>
      <rPr>
        <sz val="11"/>
        <color theme="1"/>
        <rFont val="맑은 고딕"/>
        <family val="2"/>
        <charset val="129"/>
      </rPr>
      <t xml:space="preserve">1M 0.50% </t>
    </r>
    <r>
      <rPr>
        <sz val="11"/>
        <color theme="1"/>
        <rFont val="Noto Sans CJK SC"/>
        <family val="2"/>
      </rPr>
      <t xml:space="preserve">수준임 </t>
    </r>
  </si>
  <si>
    <t xml:space="preserve">한국비엔씨</t>
  </si>
  <si>
    <t xml:space="preserve">1m 3.97%</t>
  </si>
  <si>
    <t xml:space="preserve">센터장 방진욱</t>
  </si>
  <si>
    <t xml:space="preserve">차장 안영은</t>
  </si>
  <si>
    <t xml:space="preserve">지점장 박종욱</t>
  </si>
  <si>
    <t xml:space="preserve">대리 정윤미</t>
  </si>
  <si>
    <t xml:space="preserve">12m 3.83</t>
  </si>
  <si>
    <t xml:space="preserve">지점장 채수경</t>
  </si>
  <si>
    <t xml:space="preserve">계장 이희명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</si>
  <si>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맑은 고딕"/>
        <family val="2"/>
        <charset val="129"/>
      </rPr>
      <t xml:space="preserve">3.77</t>
    </r>
  </si>
  <si>
    <t xml:space="preserve">지점장 김준석</t>
  </si>
  <si>
    <t xml:space="preserve">지점장 방진욱</t>
  </si>
  <si>
    <t xml:space="preserve">서울산업 </t>
  </si>
  <si>
    <r>
      <rPr>
        <sz val="11"/>
        <rFont val="맑은 고딕"/>
        <family val="3"/>
        <charset val="129"/>
      </rPr>
      <t xml:space="preserve">9m 3.80 </t>
    </r>
    <r>
      <rPr>
        <sz val="11"/>
        <rFont val="Noto Sans CJK SC"/>
        <family val="2"/>
      </rPr>
      <t xml:space="preserve">수준 매칭 없음 </t>
    </r>
  </si>
  <si>
    <t xml:space="preserve">1M 3.70</t>
  </si>
  <si>
    <t xml:space="preserve">3M 3.80</t>
  </si>
  <si>
    <t xml:space="preserve">1m 3.75%</t>
  </si>
  <si>
    <t xml:space="preserve">3m 3.86</t>
  </si>
  <si>
    <r>
      <rPr>
        <sz val="11"/>
        <rFont val="맑은 고딕"/>
        <family val="3"/>
        <charset val="129"/>
      </rPr>
      <t xml:space="preserve">3m 3.80 </t>
    </r>
    <r>
      <rPr>
        <sz val="11"/>
        <rFont val="Noto Sans CJK SC"/>
        <family val="2"/>
      </rPr>
      <t xml:space="preserve">수준 </t>
    </r>
  </si>
  <si>
    <t xml:space="preserve">지점장 홍성수</t>
  </si>
  <si>
    <t xml:space="preserve">가산디지털금융센터</t>
  </si>
  <si>
    <t xml:space="preserve">센터장 정상국</t>
  </si>
  <si>
    <t xml:space="preserve">㈜더블유비엘</t>
  </si>
  <si>
    <t xml:space="preserve">mmda 3.6</t>
  </si>
  <si>
    <t xml:space="preserve">3M  3.85%</t>
  </si>
  <si>
    <t xml:space="preserve">3M 3.91</t>
  </si>
  <si>
    <t xml:space="preserve">3M  3.95</t>
  </si>
  <si>
    <t xml:space="preserve">지점장 김건화 </t>
  </si>
  <si>
    <t xml:space="preserve">대리 장성임</t>
  </si>
  <si>
    <t xml:space="preserve">더스킨팩토리</t>
  </si>
  <si>
    <t xml:space="preserve">1m 3.90%</t>
  </si>
  <si>
    <t xml:space="preserve">계장 정유진</t>
  </si>
  <si>
    <t xml:space="preserve">6M 4.15</t>
  </si>
  <si>
    <t xml:space="preserve">계장 김태민</t>
  </si>
  <si>
    <t xml:space="preserve">여의도영업부</t>
  </si>
  <si>
    <t xml:space="preserve">부장 박철희 </t>
  </si>
  <si>
    <t xml:space="preserve">계장 조은비 </t>
  </si>
  <si>
    <t xml:space="preserve">㈜신한은행(JB자산운용)</t>
  </si>
  <si>
    <t xml:space="preserve">3M 4.00</t>
  </si>
  <si>
    <t xml:space="preserve">지점장 김창현 </t>
  </si>
  <si>
    <t xml:space="preserve">대리 한솔</t>
  </si>
  <si>
    <t xml:space="preserve">상신브레이크㈜</t>
  </si>
  <si>
    <t xml:space="preserve">대리 박유경</t>
  </si>
  <si>
    <t xml:space="preserve">한국비앤씨㈜</t>
  </si>
  <si>
    <t xml:space="preserve">다사지점</t>
  </si>
  <si>
    <t xml:space="preserve">지점장 최중원 </t>
  </si>
  <si>
    <t xml:space="preserve">차장 문정미</t>
  </si>
  <si>
    <t xml:space="preserve">루브캠코리아</t>
  </si>
  <si>
    <t xml:space="preserve">6m 4.00</t>
  </si>
  <si>
    <t xml:space="preserve">부산동부점</t>
  </si>
  <si>
    <t xml:space="preserve">지점장 김현정</t>
  </si>
  <si>
    <t xml:space="preserve">대리 박원경</t>
  </si>
  <si>
    <t xml:space="preserve">3M 3.96</t>
  </si>
  <si>
    <t xml:space="preserve">1m 3.80%</t>
  </si>
  <si>
    <t xml:space="preserve">대리 김효정</t>
  </si>
  <si>
    <r>
      <rPr>
        <sz val="11"/>
        <rFont val="맑은 고딕"/>
        <family val="3"/>
        <charset val="129"/>
      </rPr>
      <t xml:space="preserve">3m 3.95 </t>
    </r>
    <r>
      <rPr>
        <sz val="11"/>
        <rFont val="Noto Sans CJK SC"/>
        <family val="2"/>
      </rPr>
      <t xml:space="preserve">수준 </t>
    </r>
  </si>
  <si>
    <r>
      <rPr>
        <sz val="11"/>
        <color theme="1"/>
        <rFont val="맑은 고딕"/>
        <family val="2"/>
        <charset val="129"/>
      </rPr>
      <t xml:space="preserve">3m 3.95 </t>
    </r>
    <r>
      <rPr>
        <sz val="11"/>
        <color theme="1"/>
        <rFont val="Noto Sans CJK SC"/>
        <family val="2"/>
      </rPr>
      <t xml:space="preserve">수준 </t>
    </r>
  </si>
  <si>
    <t xml:space="preserve">지점장 이명훈 </t>
  </si>
  <si>
    <t xml:space="preserve">마곡금융센터</t>
  </si>
  <si>
    <t xml:space="preserve">센터장 이창옥 </t>
  </si>
  <si>
    <t xml:space="preserve">차장 신욱동 </t>
  </si>
  <si>
    <t xml:space="preserve">엘티메탈</t>
  </si>
  <si>
    <t xml:space="preserve">1m 3.78%</t>
  </si>
  <si>
    <t xml:space="preserve">동탄금융센터</t>
  </si>
  <si>
    <t xml:space="preserve">지점장 김한극</t>
  </si>
  <si>
    <t xml:space="preserve">과장 조화경</t>
  </si>
  <si>
    <t xml:space="preserve">예스티</t>
  </si>
  <si>
    <t xml:space="preserve">삼양연마공업</t>
  </si>
  <si>
    <t xml:space="preserve">부장 홍종규</t>
  </si>
  <si>
    <t xml:space="preserve">차장 김경희</t>
  </si>
  <si>
    <t xml:space="preserve">지점장 차찬호</t>
  </si>
  <si>
    <t xml:space="preserve">지점장 장수녕</t>
  </si>
  <si>
    <t xml:space="preserve">대리 손지민 </t>
  </si>
  <si>
    <t xml:space="preserve">■ 외화예금 만기도래 현황 (기준일 ~ +10일)</t>
  </si>
  <si>
    <t xml:space="preserve">기준일</t>
  </si>
  <si>
    <t xml:space="preserve">←날짜 직접 입력시 해당일 기준 조회</t>
  </si>
  <si>
    <t xml:space="preserve">총 건수</t>
  </si>
  <si>
    <t xml:space="preserve">합계(백만불)</t>
  </si>
  <si>
    <t xml:space="preserve">조회기간</t>
  </si>
  <si>
    <r>
      <rPr>
        <b val="true"/>
        <sz val="10"/>
        <color rgb="FFC00000"/>
        <rFont val="맑은 고딕"/>
        <family val="0"/>
        <charset val="1"/>
      </rPr>
      <t xml:space="preserve">10</t>
    </r>
    <r>
      <rPr>
        <b val="true"/>
        <sz val="10"/>
        <color rgb="FFC00000"/>
        <rFont val="Noto Sans CJK SC"/>
        <family val="2"/>
      </rPr>
      <t xml:space="preserve">백만불↑</t>
    </r>
  </si>
  <si>
    <t xml:space="preserve">구분</t>
  </si>
  <si>
    <t xml:space="preserve">만기일</t>
  </si>
  <si>
    <t xml:space="preserve">요일</t>
  </si>
  <si>
    <t xml:space="preserve">시작일</t>
  </si>
  <si>
    <t xml:space="preserve">업체명</t>
  </si>
  <si>
    <t xml:space="preserve">통화</t>
  </si>
  <si>
    <t xml:space="preserve">금액(백만불)</t>
  </si>
  <si>
    <t xml:space="preserve">비고</t>
  </si>
  <si>
    <t xml:space="preserve">예금 금리 상담 일지 (사전)</t>
  </si>
  <si>
    <t xml:space="preserve">상담지점</t>
  </si>
  <si>
    <t xml:space="preserve">상담직원</t>
  </si>
  <si>
    <t xml:space="preserve">예정일</t>
  </si>
  <si>
    <t xml:space="preserve">금리</t>
  </si>
  <si>
    <t xml:space="preserve">금액</t>
  </si>
  <si>
    <t xml:space="preserve">예금과목</t>
  </si>
  <si>
    <t xml:space="preserve">상담내용</t>
  </si>
  <si>
    <t xml:space="preserve">부산영업부</t>
  </si>
  <si>
    <t xml:space="preserve">과장 김은아</t>
  </si>
  <si>
    <t xml:space="preserve">파산관리재단</t>
  </si>
  <si>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월 초</t>
    </r>
  </si>
  <si>
    <t xml:space="preserve">파산대리인 (법원 요청 후 신규되는 건이라 사전에 금리 확정 해야한다고 하여 보수적으로 금리 제시) 나중에 전화와서 1백만 미만으로 여러건 신규 예정이라고 하여 이진범과장님과 통화하였고 1백만불 미만으로 신규될 시 외사부에서 1.40%으로 승인하기로 함</t>
  </si>
  <si>
    <t xml:space="preserve">센텀시티지점</t>
  </si>
  <si>
    <t xml:space="preserve">대리 김진화</t>
  </si>
  <si>
    <t xml:space="preserve">현대 2차 계열사</t>
  </si>
  <si>
    <t xml:space="preserve">알 수 없음</t>
  </si>
  <si>
    <t xml:space="preserve">1M
2M
3M
6M</t>
  </si>
  <si>
    <t xml:space="preserve">1.40%
1.40%
1.40%
1.45%</t>
  </si>
  <si>
    <t xml:space="preserve">신규일자 알 수 없으므로 항상 보수적으로 제시하는 업체임</t>
  </si>
  <si>
    <t xml:space="preserve">1.40%~
1.45%</t>
  </si>
  <si>
    <r>
      <rPr>
        <sz val="10"/>
        <color theme="1"/>
        <rFont val="맑은 고딕"/>
        <family val="3"/>
        <charset val="129"/>
      </rPr>
      <t xml:space="preserve">1.40~1.45 </t>
    </r>
    <r>
      <rPr>
        <sz val="10"/>
        <color theme="1"/>
        <rFont val="Noto Sans CJK SC"/>
        <family val="2"/>
      </rPr>
      <t xml:space="preserve">수준이고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일에 다시 확인 요청</t>
    </r>
  </si>
  <si>
    <t xml:space="preserve">대리 김진아</t>
  </si>
  <si>
    <t xml:space="preserve">1M
3M
6M</t>
  </si>
  <si>
    <t xml:space="preserve">1.40%
1.42~3%
1.45%</t>
  </si>
  <si>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건 </t>
    </r>
    <r>
      <rPr>
        <sz val="10"/>
        <color theme="1"/>
        <rFont val="맑은 고딕"/>
        <family val="3"/>
        <charset val="129"/>
      </rPr>
      <t xml:space="preserve">6M</t>
    </r>
  </si>
  <si>
    <t xml:space="preserve">기존 갱신할 때와 비교시 LIBOR 및 고시금리 30bp정도 하락 감안하여 1.70% →1.40% 제시하였으며 2월 28일에 다시 확인 요청</t>
  </si>
  <si>
    <t xml:space="preserve">3M
MMDA</t>
  </si>
  <si>
    <t xml:space="preserve">1.00%
0.80%</t>
  </si>
  <si>
    <t xml:space="preserve">30M
20M</t>
  </si>
  <si>
    <t xml:space="preserve">정기예금
MMDA</t>
  </si>
  <si>
    <t xml:space="preserve">금리인하 기대에 따른 시장금리 및 기본고시금리 하락 반영, MMDA는 80M 요청했으나 20M으로 제한.</t>
  </si>
  <si>
    <t xml:space="preserve">10M</t>
  </si>
  <si>
    <t xml:space="preserve">이탈</t>
  </si>
  <si>
    <t xml:space="preserve">부지점장 박후임</t>
  </si>
  <si>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월 중</t>
    </r>
  </si>
  <si>
    <t xml:space="preserve">1M
2M
3M</t>
  </si>
  <si>
    <t xml:space="preserve">0.55%
0.55%
0.55%</t>
  </si>
  <si>
    <t xml:space="preserve">대리 최예령</t>
  </si>
  <si>
    <t xml:space="preserve">1M
3M</t>
  </si>
  <si>
    <t xml:space="preserve">0.55%
0.55%</t>
  </si>
  <si>
    <t xml:space="preserve">현재 가격 문의 (예정 금액이나 일자 없음)</t>
  </si>
  <si>
    <t xml:space="preserve">20M</t>
  </si>
  <si>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개 문의하였으나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개로 제한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다음주 월요일 신규 예정 건으로 </t>
    </r>
    <r>
      <rPr>
        <sz val="10"/>
        <color theme="1"/>
        <rFont val="맑은 고딕"/>
        <family val="3"/>
        <charset val="129"/>
      </rPr>
      <t xml:space="preserve">0.55 -&gt; 0.50</t>
    </r>
    <r>
      <rPr>
        <sz val="10"/>
        <color theme="1"/>
        <rFont val="Noto Sans CJK SC"/>
        <family val="2"/>
      </rPr>
      <t xml:space="preserve">으로 제안</t>
    </r>
    <r>
      <rPr>
        <sz val="10"/>
        <color theme="1"/>
        <rFont val="맑은 고딕"/>
        <family val="3"/>
        <charset val="129"/>
      </rPr>
      <t xml:space="preserve">)</t>
    </r>
  </si>
  <si>
    <t xml:space="preserve">0.40%
0.40%
0.65%
0.60%</t>
  </si>
  <si>
    <t xml:space="preserve">삼호중공업</t>
  </si>
  <si>
    <t xml:space="preserve">0.65%
0.75%
0.90%
0.60%</t>
  </si>
  <si>
    <t xml:space="preserve">25M</t>
  </si>
  <si>
    <t xml:space="preserve">정기예금 1개월 0.65% 신규확정</t>
  </si>
  <si>
    <t xml:space="preserve">MMDA
1M</t>
  </si>
  <si>
    <t xml:space="preserve">0.65%
0.00%</t>
  </si>
  <si>
    <r>
      <rPr>
        <sz val="10"/>
        <color theme="1"/>
        <rFont val="맑은 고딕"/>
        <family val="3"/>
        <charset val="129"/>
      </rPr>
      <t xml:space="preserve">MMDA
</t>
    </r>
    <r>
      <rPr>
        <sz val="10"/>
        <color theme="1"/>
        <rFont val="Noto Sans CJK SC"/>
        <family val="2"/>
      </rPr>
      <t xml:space="preserve">정기예금</t>
    </r>
  </si>
  <si>
    <t xml:space="preserve">보림엘텍</t>
  </si>
  <si>
    <r>
      <rPr>
        <sz val="10"/>
        <color theme="1"/>
        <rFont val="맑은 고딕"/>
        <family val="3"/>
        <charset val="129"/>
      </rPr>
      <t xml:space="preserve">3-23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1.10%</t>
    </r>
  </si>
  <si>
    <t xml:space="preserve">0.80%
1.10%</t>
  </si>
  <si>
    <r>
      <rPr>
        <sz val="10"/>
        <color theme="1"/>
        <rFont val="맑은 고딕"/>
        <family val="3"/>
        <charset val="129"/>
      </rPr>
      <t xml:space="preserve">3-24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- 1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1.10% 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1.40%</t>
    </r>
  </si>
  <si>
    <t xml:space="preserve">0.50%
0.60%
0.95%
0.90%</t>
  </si>
  <si>
    <r>
      <rPr>
        <sz val="10"/>
        <color theme="1"/>
        <rFont val="맑은 고딕"/>
        <family val="2"/>
        <charset val="129"/>
      </rPr>
      <t xml:space="preserve">SK</t>
    </r>
    <r>
      <rPr>
        <sz val="10"/>
        <color theme="1"/>
        <rFont val="Noto Sans CJK SC"/>
        <family val="2"/>
      </rPr>
      <t xml:space="preserve">하이닉스</t>
    </r>
  </si>
  <si>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주
</t>
    </r>
    <r>
      <rPr>
        <sz val="10"/>
        <color theme="1"/>
        <rFont val="맑은 고딕"/>
        <family val="3"/>
        <charset val="129"/>
      </rPr>
      <t xml:space="preserve">MMDA</t>
    </r>
  </si>
  <si>
    <t xml:space="preserve">0%
0%</t>
  </si>
  <si>
    <t xml:space="preserve">50M</t>
  </si>
  <si>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백만불 까지 제한 안내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최근 금리 하락으로 금리제시 불가능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기본고시 금리도 없음</t>
    </r>
    <r>
      <rPr>
        <sz val="10"/>
        <color theme="1"/>
        <rFont val="맑은 고딕"/>
        <family val="3"/>
        <charset val="129"/>
      </rPr>
      <t xml:space="preserve">.</t>
    </r>
  </si>
  <si>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주
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</t>
    </r>
  </si>
  <si>
    <t xml:space="preserve">0.05%
0.50%</t>
  </si>
  <si>
    <t xml:space="preserve">0.50%
0.70%
0.80%
0.74%</t>
  </si>
  <si>
    <t xml:space="preserve">3MIO</t>
  </si>
  <si>
    <t xml:space="preserve">20MM</t>
  </si>
  <si>
    <r>
      <rPr>
        <sz val="10"/>
        <color theme="1"/>
        <rFont val="맑은 고딕"/>
        <family val="3"/>
        <charset val="129"/>
      </rPr>
      <t xml:space="preserve">EUR/USD </t>
    </r>
    <r>
      <rPr>
        <sz val="10"/>
        <color theme="1"/>
        <rFont val="Noto Sans CJK SC"/>
        <family val="2"/>
      </rPr>
      <t xml:space="preserve">스왑운용보다 머니마켓 </t>
    </r>
    <r>
      <rPr>
        <sz val="10"/>
        <color theme="1"/>
        <rFont val="맑은 고딕"/>
        <family val="3"/>
        <charset val="129"/>
      </rPr>
      <t xml:space="preserve">USD</t>
    </r>
    <r>
      <rPr>
        <sz val="10"/>
        <color theme="1"/>
        <rFont val="Noto Sans CJK SC"/>
        <family val="2"/>
      </rPr>
      <t xml:space="preserve">운용 금리가 높음</t>
    </r>
  </si>
  <si>
    <t xml:space="preserve">1MM</t>
  </si>
  <si>
    <r>
      <rPr>
        <sz val="10"/>
        <color theme="1"/>
        <rFont val="맑은 고딕"/>
        <family val="3"/>
        <charset val="129"/>
      </rPr>
      <t xml:space="preserve">4-21 10</t>
    </r>
    <r>
      <rPr>
        <sz val="10"/>
        <color theme="1"/>
        <rFont val="Noto Sans CJK SC"/>
        <family val="2"/>
      </rPr>
      <t xml:space="preserve">시 기준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LBBW 0.66</t>
    </r>
  </si>
  <si>
    <r>
      <rPr>
        <sz val="10"/>
        <color theme="1"/>
        <rFont val="맑은 고딕"/>
        <family val="3"/>
        <charset val="129"/>
      </rPr>
      <t xml:space="preserve">2020-04-27
</t>
    </r>
    <r>
      <rPr>
        <sz val="10"/>
        <color theme="1"/>
        <rFont val="Noto Sans CJK SC"/>
        <family val="2"/>
      </rPr>
      <t xml:space="preserve">만기건</t>
    </r>
  </si>
  <si>
    <t xml:space="preserve">1.00~1.05%</t>
  </si>
  <si>
    <t xml:space="preserve">3MM</t>
  </si>
  <si>
    <t xml:space="preserve">중개사 운용가능 금리조사 1.25%기준 제시</t>
  </si>
  <si>
    <t xml:space="preserve">0.40%
0.40%</t>
  </si>
  <si>
    <t xml:space="preserve">10MM</t>
  </si>
  <si>
    <t xml:space="preserve">단순 금리 조사</t>
  </si>
  <si>
    <r>
      <rPr>
        <sz val="10"/>
        <color theme="1"/>
        <rFont val="맑은 고딕"/>
        <family val="3"/>
        <charset val="129"/>
      </rPr>
      <t xml:space="preserve">4-24 9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분 기준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</t>
    </r>
  </si>
  <si>
    <t xml:space="preserve">0.00%
0.15%
0.20%
0.3117%</t>
  </si>
  <si>
    <t xml:space="preserve">0.05%
0.10%
0.10%
0.2895%</t>
  </si>
  <si>
    <t xml:space="preserve">05-22
~
07.13</t>
  </si>
  <si>
    <t xml:space="preserve">미국기준금리 인하에 따른 리보금리 하락으로 기본고시금리도 없으며 마니마켓 두달이내 운용금리도 없음</t>
  </si>
  <si>
    <r>
      <rPr>
        <sz val="10"/>
        <color theme="1"/>
        <rFont val="맑은 고딕"/>
        <family val="3"/>
        <charset val="129"/>
      </rPr>
      <t xml:space="preserve">0.00%
0.10%
0.1961%</t>
    </r>
    <r>
      <rPr>
        <sz val="10"/>
        <color theme="1"/>
        <rFont val="Noto Sans CJK SC"/>
        <family val="2"/>
      </rPr>
      <t xml:space="preserve">기본고시</t>
    </r>
  </si>
  <si>
    <t xml:space="preserve">1MIO</t>
  </si>
  <si>
    <r>
      <rPr>
        <sz val="10"/>
        <color theme="1"/>
        <rFont val="맑은 고딕"/>
        <family val="3"/>
        <charset val="129"/>
      </rPr>
      <t xml:space="preserve">5-25 13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57</t>
    </r>
    <r>
      <rPr>
        <sz val="10"/>
        <color theme="1"/>
        <rFont val="Noto Sans CJK SC"/>
        <family val="2"/>
      </rPr>
      <t xml:space="preserve">분 기준 </t>
    </r>
  </si>
  <si>
    <r>
      <rPr>
        <sz val="10"/>
        <color theme="1"/>
        <rFont val="맑은 고딕"/>
        <family val="3"/>
        <charset val="129"/>
      </rPr>
      <t xml:space="preserve">0.00%
0.05%
0.10%
0.1961%</t>
    </r>
    <r>
      <rPr>
        <sz val="10"/>
        <color theme="1"/>
        <rFont val="Noto Sans CJK SC"/>
        <family val="2"/>
      </rPr>
      <t xml:space="preserve">기본고시</t>
    </r>
  </si>
  <si>
    <r>
      <rPr>
        <sz val="10"/>
        <color theme="1"/>
        <rFont val="맑은 고딕"/>
        <family val="3"/>
        <charset val="129"/>
      </rPr>
      <t xml:space="preserve">5-25 15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16</t>
    </r>
    <r>
      <rPr>
        <sz val="10"/>
        <color theme="1"/>
        <rFont val="Noto Sans CJK SC"/>
        <family val="2"/>
      </rPr>
      <t xml:space="preserve">분 기준 </t>
    </r>
  </si>
  <si>
    <t xml:space="preserve">0.00%
0.10%
0.20%</t>
  </si>
  <si>
    <r>
      <rPr>
        <sz val="10"/>
        <color theme="1"/>
        <rFont val="맑은 고딕"/>
        <family val="3"/>
        <charset val="129"/>
      </rPr>
      <t xml:space="preserve">5-26 11:00 </t>
    </r>
    <r>
      <rPr>
        <sz val="10"/>
        <color theme="1"/>
        <rFont val="Noto Sans CJK SC"/>
        <family val="2"/>
      </rPr>
      <t xml:space="preserve">기준</t>
    </r>
  </si>
  <si>
    <t xml:space="preserve">3M
6M</t>
  </si>
  <si>
    <t xml:space="preserve">0.10%
0.20%</t>
  </si>
  <si>
    <r>
      <rPr>
        <sz val="10"/>
        <color theme="1"/>
        <rFont val="맑은 고딕"/>
        <family val="3"/>
        <charset val="129"/>
      </rPr>
      <t xml:space="preserve">5-26 13:10 </t>
    </r>
    <r>
      <rPr>
        <sz val="10"/>
        <color theme="1"/>
        <rFont val="Noto Sans CJK SC"/>
        <family val="2"/>
      </rPr>
      <t xml:space="preserve">기준</t>
    </r>
  </si>
  <si>
    <t xml:space="preserve">대리 권현경</t>
  </si>
  <si>
    <r>
      <rPr>
        <sz val="10"/>
        <color theme="1"/>
        <rFont val="맑은 고딕"/>
        <family val="3"/>
        <charset val="129"/>
      </rPr>
      <t xml:space="preserve">5-26 14:00 </t>
    </r>
    <r>
      <rPr>
        <sz val="10"/>
        <color theme="1"/>
        <rFont val="Noto Sans CJK SC"/>
        <family val="2"/>
      </rPr>
      <t xml:space="preserve">기준</t>
    </r>
  </si>
  <si>
    <t xml:space="preserve">0.05%
0.08%
0.25%
0.50%</t>
  </si>
  <si>
    <r>
      <rPr>
        <sz val="10"/>
        <color theme="1"/>
        <rFont val="맑은 고딕"/>
        <family val="3"/>
        <charset val="129"/>
      </rPr>
      <t xml:space="preserve">5-29 15:15 </t>
    </r>
    <r>
      <rPr>
        <sz val="10"/>
        <color theme="1"/>
        <rFont val="Noto Sans CJK SC"/>
        <family val="2"/>
      </rPr>
      <t xml:space="preserve">기준</t>
    </r>
  </si>
  <si>
    <t xml:space="preserve">0.05%
0.10%
0.10%
0.20%</t>
  </si>
  <si>
    <r>
      <rPr>
        <sz val="10"/>
        <color theme="1"/>
        <rFont val="맑은 고딕"/>
        <family val="3"/>
        <charset val="129"/>
      </rPr>
      <t xml:space="preserve">6-1 10:30 </t>
    </r>
    <r>
      <rPr>
        <sz val="10"/>
        <color theme="1"/>
        <rFont val="Noto Sans CJK SC"/>
        <family val="2"/>
      </rPr>
      <t xml:space="preserve">기준</t>
    </r>
  </si>
  <si>
    <t xml:space="preserve">0.15%
0.23%
0.55%</t>
  </si>
  <si>
    <t xml:space="preserve">4MIO</t>
  </si>
  <si>
    <r>
      <rPr>
        <sz val="10"/>
        <color theme="1"/>
        <rFont val="맑은 고딕"/>
        <family val="3"/>
        <charset val="129"/>
      </rPr>
      <t xml:space="preserve">6-3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미즈호서울</t>
    </r>
    <r>
      <rPr>
        <sz val="10"/>
        <color theme="1"/>
        <rFont val="맑은 고딕"/>
        <family val="3"/>
        <charset val="129"/>
      </rPr>
      <t xml:space="preserve">, 3M-SMTB HK, 6M-</t>
    </r>
    <r>
      <rPr>
        <sz val="10"/>
        <color theme="1"/>
        <rFont val="Noto Sans CJK SC"/>
        <family val="2"/>
      </rPr>
      <t xml:space="preserve">국민홍콩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</si>
  <si>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0.20%
0.25%
0.55%</t>
  </si>
  <si>
    <r>
      <rPr>
        <sz val="10"/>
        <color theme="1"/>
        <rFont val="맑은 고딕"/>
        <family val="3"/>
        <charset val="129"/>
      </rPr>
      <t xml:space="preserve">6-4 13:45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(SMTB HK)</t>
    </r>
  </si>
  <si>
    <t xml:space="preserve">0.15%
0.26%
0.55%</t>
  </si>
  <si>
    <t xml:space="preserve">0.15%
0.26%
0.20%</t>
  </si>
  <si>
    <t xml:space="preserve">과장 김준동</t>
  </si>
  <si>
    <t xml:space="preserve">0.08%
0.55%</t>
  </si>
  <si>
    <r>
      <rPr>
        <sz val="10"/>
        <color theme="1"/>
        <rFont val="맑은 고딕"/>
        <family val="3"/>
        <charset val="129"/>
      </rPr>
      <t xml:space="preserve">6-9 13.45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(3M-LBBW SL,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</si>
  <si>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0.15%
0.26%
0.58%</t>
  </si>
  <si>
    <r>
      <rPr>
        <sz val="10"/>
        <color theme="1"/>
        <rFont val="맑은 고딕"/>
        <family val="3"/>
        <charset val="129"/>
      </rPr>
      <t xml:space="preserve">6-11 10:05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(1m,3m-SMTB HK 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</si>
  <si>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6-11 10:05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 HK)</t>
    </r>
  </si>
  <si>
    <t xml:space="preserve">0.10%
0.09%
0.58%</t>
  </si>
  <si>
    <r>
      <rPr>
        <sz val="10"/>
        <color theme="1"/>
        <rFont val="맑은 고딕"/>
        <family val="3"/>
        <charset val="129"/>
      </rPr>
      <t xml:space="preserve">6-15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시즈오카</t>
    </r>
    <r>
      <rPr>
        <sz val="10"/>
        <color theme="1"/>
        <rFont val="맑은 고딕"/>
        <family val="3"/>
        <charset val="129"/>
      </rPr>
      <t xml:space="preserve">,3m-LBBW 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</si>
  <si>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0.09%
0.09%
0.20%</t>
  </si>
  <si>
    <r>
      <rPr>
        <sz val="10"/>
        <color theme="1"/>
        <rFont val="맑은 고딕"/>
        <family val="3"/>
        <charset val="129"/>
      </rPr>
      <t xml:space="preserve">6-15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산업싱가폴</t>
    </r>
    <r>
      <rPr>
        <sz val="10"/>
        <color theme="1"/>
        <rFont val="맑은 고딕"/>
        <family val="3"/>
        <charset val="129"/>
      </rPr>
      <t xml:space="preserve">, 3m-LBBW , 6M-SMBC)</t>
    </r>
  </si>
  <si>
    <t xml:space="preserve">계장 박동진
계장 박계령</t>
  </si>
  <si>
    <t xml:space="preserve">2.5MIO</t>
  </si>
  <si>
    <r>
      <rPr>
        <sz val="10"/>
        <color theme="1"/>
        <rFont val="맑은 고딕"/>
        <family val="3"/>
        <charset val="129"/>
      </rPr>
      <t xml:space="preserve">6-16 17:55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산업싱가폴 </t>
    </r>
    <r>
      <rPr>
        <sz val="10"/>
        <color theme="1"/>
        <rFont val="맑은 고딕"/>
        <family val="3"/>
        <charset val="129"/>
      </rPr>
      <t xml:space="preserve">0.4)</t>
    </r>
  </si>
  <si>
    <t xml:space="preserve">0.00%
0.00%
0.05%
0.15%</t>
  </si>
  <si>
    <r>
      <rPr>
        <sz val="10"/>
        <color theme="1"/>
        <rFont val="맑은 고딕"/>
        <family val="3"/>
        <charset val="129"/>
      </rPr>
      <t xml:space="preserve">6-29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</si>
  <si>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0.05%
0.15%</t>
  </si>
  <si>
    <r>
      <rPr>
        <sz val="10"/>
        <color theme="1"/>
        <rFont val="맑은 고딕"/>
        <family val="3"/>
        <charset val="129"/>
      </rPr>
      <t xml:space="preserve">7-7 13:05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(SMBC)</t>
    </r>
  </si>
  <si>
    <t xml:space="preserve">0.05%
0.05%
0.15%</t>
  </si>
  <si>
    <r>
      <rPr>
        <sz val="10"/>
        <color theme="1"/>
        <rFont val="맑은 고딕"/>
        <family val="3"/>
        <charset val="129"/>
      </rPr>
      <t xml:space="preserve">7-8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, 6M-SMBC)</t>
    </r>
  </si>
  <si>
    <t xml:space="preserve">0.05%
0.05%</t>
  </si>
  <si>
    <t xml:space="preserve">2MIO</t>
  </si>
  <si>
    <r>
      <rPr>
        <sz val="10"/>
        <color theme="1"/>
        <rFont val="맑은 고딕"/>
        <family val="3"/>
        <charset val="129"/>
      </rPr>
      <t xml:space="preserve">7-8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3m-SMBC)</t>
    </r>
  </si>
  <si>
    <t xml:space="preserve">0.05%
0.05%
0.10%</t>
  </si>
  <si>
    <r>
      <rPr>
        <sz val="10"/>
        <color theme="1"/>
        <rFont val="맑은 고딕"/>
        <family val="3"/>
        <charset val="129"/>
      </rPr>
      <t xml:space="preserve">7-10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, 6M-SMBC)</t>
    </r>
  </si>
  <si>
    <t xml:space="preserve">0.05%
0.10%
0.10%</t>
  </si>
  <si>
    <r>
      <rPr>
        <sz val="10"/>
        <color theme="1"/>
        <rFont val="맑은 고딕"/>
        <family val="3"/>
        <charset val="129"/>
      </rPr>
      <t xml:space="preserve">7-13 09:25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3m-SMTB HK , 6M-SMBC TK)</t>
    </r>
  </si>
  <si>
    <t xml:space="preserve">현대미포조선</t>
  </si>
  <si>
    <t xml:space="preserve">0.08%
0.00%
0.05%
0.28%</t>
  </si>
  <si>
    <t xml:space="preserve">10MIO</t>
  </si>
  <si>
    <r>
      <rPr>
        <sz val="10"/>
        <color theme="1"/>
        <rFont val="맑은 고딕"/>
        <family val="3"/>
        <charset val="129"/>
      </rPr>
      <t xml:space="preserve">7-14 14:25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TK, 6M-</t>
    </r>
    <r>
      <rPr>
        <sz val="10"/>
        <color theme="1"/>
        <rFont val="Noto Sans CJK SC"/>
        <family val="2"/>
      </rPr>
      <t xml:space="preserve">산업 싱가폴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</si>
  <si>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0.00%
0.10%
0.10%</t>
  </si>
  <si>
    <r>
      <rPr>
        <sz val="10"/>
        <color theme="1"/>
        <rFont val="맑은 고딕"/>
        <family val="3"/>
        <charset val="129"/>
      </rPr>
      <t xml:space="preserve">7-15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</si>
  <si>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서대구지점</t>
  </si>
  <si>
    <t xml:space="preserve">계장 이초롱</t>
  </si>
  <si>
    <t xml:space="preserve">0.04%
0.05%
0.10%
0.10%</t>
  </si>
  <si>
    <r>
      <rPr>
        <sz val="10"/>
        <color theme="1"/>
        <rFont val="맑은 고딕"/>
        <family val="3"/>
        <charset val="129"/>
      </rPr>
      <t xml:space="preserve">7-20 12:15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 ,2m- smtb hk, 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</si>
  <si>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1~2MIO</t>
  </si>
  <si>
    <r>
      <rPr>
        <sz val="10"/>
        <color theme="1"/>
        <rFont val="맑은 고딕"/>
        <family val="3"/>
        <charset val="129"/>
      </rPr>
      <t xml:space="preserve">7-21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</si>
  <si>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7-22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</si>
  <si>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7-20 12:15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</si>
  <si>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0.08%
0.08%
0.10%</t>
  </si>
  <si>
    <r>
      <rPr>
        <sz val="10"/>
        <color theme="1"/>
        <rFont val="맑은 고딕"/>
        <family val="3"/>
        <charset val="129"/>
      </rPr>
      <t xml:space="preserve">8-3 13:10 </t>
    </r>
    <r>
      <rPr>
        <sz val="10"/>
        <color theme="1"/>
        <rFont val="Noto Sans CJK SC"/>
        <family val="2"/>
      </rPr>
      <t xml:space="preserve">기준</t>
    </r>
  </si>
  <si>
    <t xml:space="preserve">동아인더스트리</t>
  </si>
  <si>
    <t xml:space="preserve">0.00%
0.08%
0.08%</t>
  </si>
  <si>
    <r>
      <rPr>
        <sz val="10"/>
        <color theme="1"/>
        <rFont val="맑은 고딕"/>
        <family val="3"/>
        <charset val="129"/>
      </rPr>
      <t xml:space="preserve">8-13 09:30 </t>
    </r>
    <r>
      <rPr>
        <sz val="10"/>
        <color theme="1"/>
        <rFont val="Noto Sans CJK SC"/>
        <family val="2"/>
      </rPr>
      <t xml:space="preserve">기준</t>
    </r>
  </si>
  <si>
    <t xml:space="preserve">0.00%
0.08%
0.08%
0.08%</t>
  </si>
  <si>
    <t xml:space="preserve">0.02%
0.12%
0.08%</t>
  </si>
  <si>
    <r>
      <rPr>
        <sz val="10"/>
        <color theme="1"/>
        <rFont val="맑은 고딕"/>
        <family val="3"/>
        <charset val="129"/>
      </rPr>
      <t xml:space="preserve">8-25 11:30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2M-SMTB HK, 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</si>
  <si>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0.08%
0.12%
0.10%
0.05%</t>
  </si>
  <si>
    <r>
      <rPr>
        <sz val="10"/>
        <color theme="1"/>
        <rFont val="맑은 고딕"/>
        <family val="3"/>
        <charset val="129"/>
      </rPr>
      <t xml:space="preserve">9-16 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 SMTB HK, 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</si>
  <si>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0.01%
0.10%
0.03%</t>
  </si>
  <si>
    <r>
      <rPr>
        <sz val="10"/>
        <color theme="1"/>
        <rFont val="맑은 고딕"/>
        <family val="3"/>
        <charset val="129"/>
      </rPr>
      <t xml:space="preserve">9-25 16:30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</si>
  <si>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0.05%
0.06%
0.14%
0.02%</t>
  </si>
  <si>
    <r>
      <rPr>
        <sz val="10"/>
        <color theme="1"/>
        <rFont val="맑은 고딕"/>
        <family val="3"/>
        <charset val="129"/>
      </rPr>
      <t xml:space="preserve">10-06 12:50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 smtb hk, 2m- smtb hk, 3m-smtb hk,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</si>
  <si>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10-07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</si>
  <si>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10-08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</si>
  <si>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0.01%
0.03%
0.15%
0.13%</t>
  </si>
  <si>
    <r>
      <rPr>
        <sz val="10"/>
        <color theme="1"/>
        <rFont val="맑은 고딕"/>
        <family val="3"/>
        <charset val="129"/>
      </rPr>
      <t xml:space="preserve">10-16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 SMTB HK, 3m-SMTB HK, 6M-</t>
    </r>
    <r>
      <rPr>
        <sz val="10"/>
        <color theme="1"/>
        <rFont val="Noto Sans CJK SC"/>
        <family val="2"/>
      </rPr>
      <t xml:space="preserve">미즈호서울</t>
    </r>
    <r>
      <rPr>
        <sz val="10"/>
        <color theme="1"/>
        <rFont val="맑은 고딕"/>
        <family val="3"/>
        <charset val="129"/>
      </rPr>
      <t xml:space="preserve">)</t>
    </r>
  </si>
  <si>
    <t xml:space="preserve">코닉스</t>
  </si>
  <si>
    <r>
      <rPr>
        <sz val="10"/>
        <color theme="1"/>
        <rFont val="맑은 고딕"/>
        <family val="3"/>
        <charset val="129"/>
      </rPr>
      <t xml:space="preserve">10-22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(3m-smtbhk)</t>
    </r>
  </si>
  <si>
    <t xml:space="preserve">0.00%
0.00%
0.12%
0.20%</t>
  </si>
  <si>
    <r>
      <rPr>
        <sz val="10"/>
        <color theme="1"/>
        <rFont val="맑은 고딕"/>
        <family val="3"/>
        <charset val="129"/>
      </rPr>
      <t xml:space="preserve">10-23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 HK, 6M-</t>
    </r>
    <r>
      <rPr>
        <sz val="10"/>
        <color theme="1"/>
        <rFont val="Noto Sans CJK SC"/>
        <family val="2"/>
      </rPr>
      <t xml:space="preserve">산업홍콩법인</t>
    </r>
    <r>
      <rPr>
        <sz val="10"/>
        <color theme="1"/>
        <rFont val="맑은 고딕"/>
        <family val="3"/>
        <charset val="129"/>
      </rPr>
      <t xml:space="preserve">)</t>
    </r>
  </si>
  <si>
    <t xml:space="preserve">1M
2M
3M
6M
12M</t>
  </si>
  <si>
    <t xml:space="preserve">0.00%
0.14%
0.10%
0.20%
-</t>
  </si>
  <si>
    <r>
      <rPr>
        <sz val="10"/>
        <color theme="1"/>
        <rFont val="맑은 고딕"/>
        <family val="3"/>
        <charset val="129"/>
      </rPr>
      <t xml:space="preserve">11-05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 SMTB HK, 3m-SMTB HK, 6M-</t>
    </r>
    <r>
      <rPr>
        <sz val="10"/>
        <color theme="1"/>
        <rFont val="Noto Sans CJK SC"/>
        <family val="2"/>
      </rPr>
      <t xml:space="preserve">산업홍콩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</si>
  <si>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0.05%
0.10%
0.01%</t>
  </si>
  <si>
    <r>
      <rPr>
        <sz val="10"/>
        <color theme="1"/>
        <rFont val="맑은 고딕"/>
        <family val="3"/>
        <charset val="129"/>
      </rPr>
      <t xml:space="preserve">11-10 13:40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레조나 동경</t>
    </r>
    <r>
      <rPr>
        <sz val="10"/>
        <color theme="1"/>
        <rFont val="맑은 고딕"/>
        <family val="3"/>
        <charset val="129"/>
      </rPr>
      <t xml:space="preserve">, 3m-SMTB HK, 6M-smbc)</t>
    </r>
  </si>
  <si>
    <t xml:space="preserve">0.10%
0.07%
0.07%
0.01%</t>
  </si>
  <si>
    <r>
      <rPr>
        <sz val="10"/>
        <color theme="1"/>
        <rFont val="맑은 고딕"/>
        <family val="3"/>
        <charset val="129"/>
      </rPr>
      <t xml:space="preserve">11-30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&amp; smtbhk, 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, 6M - smbc)</t>
    </r>
  </si>
  <si>
    <t xml:space="preserve">2M
3M
6M</t>
  </si>
  <si>
    <t xml:space="preserve">0.10%
0.05%
0.00%</t>
  </si>
  <si>
    <r>
      <rPr>
        <sz val="10"/>
        <color theme="1"/>
        <rFont val="맑은 고딕"/>
        <family val="3"/>
        <charset val="129"/>
      </rPr>
      <t xml:space="preserve">12-16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</si>
  <si>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12-17 16:20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0.25)</t>
    </r>
  </si>
  <si>
    <t xml:space="preserve">부지점장 오창용</t>
  </si>
  <si>
    <t xml:space="preserve">0.15%
0.10%
0.05%
0.01%</t>
  </si>
  <si>
    <r>
      <rPr>
        <sz val="10"/>
        <color theme="1"/>
        <rFont val="맑은 고딕"/>
        <family val="3"/>
        <charset val="129"/>
      </rPr>
      <t xml:space="preserve">12-18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0.40,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6M - smbc 0.21)</t>
    </r>
  </si>
  <si>
    <t xml:space="preserve">계장 김재욱</t>
  </si>
  <si>
    <t xml:space="preserve">0.10%
0.10%
0.05%
0.00%</t>
  </si>
  <si>
    <r>
      <rPr>
        <sz val="10"/>
        <color theme="1"/>
        <rFont val="맑은 고딕"/>
        <family val="3"/>
        <charset val="129"/>
      </rPr>
      <t xml:space="preserve">12-23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0.35,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0.30,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
1</t>
    </r>
    <r>
      <rPr>
        <sz val="10"/>
        <color theme="1"/>
        <rFont val="Noto Sans CJK SC"/>
        <family val="2"/>
      </rPr>
      <t xml:space="preserve">년 문의하였으나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개월뒤 리셋설명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개월 우대금리 없음을 설명함</t>
    </r>
  </si>
  <si>
    <t xml:space="preserve">부지점장 최익록</t>
  </si>
  <si>
    <r>
      <rPr>
        <sz val="10"/>
        <color theme="1"/>
        <rFont val="맑은 고딕"/>
        <family val="3"/>
        <charset val="129"/>
      </rPr>
      <t xml:space="preserve">12-24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0.35,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0.30,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
1</t>
    </r>
    <r>
      <rPr>
        <sz val="10"/>
        <color theme="1"/>
        <rFont val="Noto Sans CJK SC"/>
        <family val="2"/>
      </rPr>
      <t xml:space="preserve">년 문의하였으나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개월뒤 리셋설명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개월 우대금리 없음을 설명함</t>
    </r>
  </si>
  <si>
    <t xml:space="preserve">0.10%
0.05%
0.01%</t>
  </si>
  <si>
    <r>
      <rPr>
        <sz val="10"/>
        <color theme="1"/>
        <rFont val="맑은 고딕"/>
        <family val="3"/>
        <charset val="129"/>
      </rPr>
      <t xml:space="preserve">12-24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 - 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</si>
  <si>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01-08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0.25)</t>
    </r>
  </si>
  <si>
    <r>
      <rPr>
        <sz val="10"/>
        <color theme="1"/>
        <rFont val="맑은 고딕"/>
        <family val="3"/>
        <charset val="129"/>
      </rPr>
      <t xml:space="preserve">1-25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0.28)</t>
    </r>
  </si>
  <si>
    <t xml:space="preserve">부지점장 박효정</t>
  </si>
  <si>
    <t xml:space="preserve">MMDA
1M
2M
3M</t>
  </si>
  <si>
    <t xml:space="preserve">0.00%
0.00%
0.05%
0.06%</t>
  </si>
  <si>
    <t xml:space="preserve">5MIO</t>
  </si>
  <si>
    <r>
      <rPr>
        <sz val="10"/>
        <color theme="1"/>
        <rFont val="맑은 고딕"/>
        <family val="3"/>
        <charset val="129"/>
      </rPr>
      <t xml:space="preserve">2-2 16:30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0.26) </t>
    </r>
  </si>
  <si>
    <t xml:space="preserve">금융지점장 문명숙</t>
  </si>
  <si>
    <t xml:space="preserve">3M
6M
12M</t>
  </si>
  <si>
    <t xml:space="preserve">0.05%
0.00%
0.00%</t>
  </si>
  <si>
    <r>
      <rPr>
        <sz val="10"/>
        <color theme="1"/>
        <rFont val="맑은 고딕"/>
        <family val="3"/>
        <charset val="129"/>
      </rPr>
      <t xml:space="preserve">2-9 10:30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
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운용가능 금리 없음</t>
    </r>
    <r>
      <rPr>
        <sz val="10"/>
        <color theme="1"/>
        <rFont val="맑은 고딕"/>
        <family val="3"/>
        <charset val="129"/>
      </rPr>
      <t xml:space="preserve">. 12</t>
    </r>
    <r>
      <rPr>
        <sz val="10"/>
        <color theme="1"/>
        <rFont val="Noto Sans CJK SC"/>
        <family val="2"/>
      </rPr>
      <t xml:space="preserve">개월 정기예금은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뒤 리셋관련 내용 설명드림</t>
    </r>
    <r>
      <rPr>
        <sz val="10"/>
        <color theme="1"/>
        <rFont val="맑은 고딕"/>
        <family val="3"/>
        <charset val="129"/>
      </rPr>
      <t xml:space="preserve">.</t>
    </r>
  </si>
  <si>
    <t xml:space="preserve">0.00%
0.05%
0.05%</t>
  </si>
  <si>
    <r>
      <rPr>
        <sz val="10"/>
        <color theme="1"/>
        <rFont val="맑은 고딕"/>
        <family val="3"/>
        <charset val="129"/>
      </rPr>
      <t xml:space="preserve">2-19 09:30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 </t>
    </r>
  </si>
  <si>
    <t xml:space="preserve">0.00%
0.05%
0.06%
0.00%</t>
  </si>
  <si>
    <r>
      <rPr>
        <sz val="10"/>
        <color theme="1"/>
        <rFont val="맑은 고딕"/>
        <family val="3"/>
        <charset val="129"/>
      </rPr>
      <t xml:space="preserve">3-5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0.26, 3m-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0.26)</t>
    </r>
  </si>
  <si>
    <t xml:space="preserve">0.05%
0.05%
0.00%</t>
  </si>
  <si>
    <r>
      <rPr>
        <sz val="10"/>
        <color theme="1"/>
        <rFont val="맑은 고딕"/>
        <family val="3"/>
        <charset val="129"/>
      </rPr>
      <t xml:space="preserve">3-10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0.25, 3m-lbbw  0.25)</t>
    </r>
  </si>
  <si>
    <t xml:space="preserve">인터불고</t>
  </si>
  <si>
    <r>
      <rPr>
        <sz val="10"/>
        <color theme="1"/>
        <rFont val="맑은 고딕"/>
        <family val="3"/>
        <charset val="129"/>
      </rPr>
      <t xml:space="preserve">03-29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홍콩 </t>
    </r>
    <r>
      <rPr>
        <sz val="10"/>
        <color theme="1"/>
        <rFont val="맑은 고딕"/>
        <family val="3"/>
        <charset val="129"/>
      </rPr>
      <t xml:space="preserve">0.25)</t>
    </r>
  </si>
  <si>
    <t xml:space="preserve">0.00%
0.07%
0.00%</t>
  </si>
  <si>
    <r>
      <rPr>
        <sz val="10"/>
        <color theme="1"/>
        <rFont val="맑은 고딕"/>
        <family val="3"/>
        <charset val="129"/>
      </rPr>
      <t xml:space="preserve">4-1 13:00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  </t>
    </r>
    <r>
      <rPr>
        <sz val="10"/>
        <color theme="1"/>
        <rFont val="맑은 고딕"/>
        <family val="3"/>
        <charset val="129"/>
      </rPr>
      <t xml:space="preserve">0.27)</t>
    </r>
  </si>
  <si>
    <r>
      <rPr>
        <sz val="10"/>
        <color theme="1"/>
        <rFont val="맑은 고딕"/>
        <family val="3"/>
        <charset val="129"/>
      </rPr>
      <t xml:space="preserve">4-8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보콤서울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광주은행 </t>
    </r>
    <r>
      <rPr>
        <sz val="10"/>
        <color theme="1"/>
        <rFont val="맑은 고딕"/>
        <family val="3"/>
        <charset val="129"/>
      </rPr>
      <t xml:space="preserve">0.28)</t>
    </r>
  </si>
  <si>
    <t xml:space="preserve">파동지점</t>
  </si>
  <si>
    <t xml:space="preserve">부지점장 마경진</t>
  </si>
  <si>
    <t xml:space="preserve">1M
3M
6M
12M</t>
  </si>
  <si>
    <t xml:space="preserve">0.00%
0.03%
0.05%
0.00%</t>
  </si>
  <si>
    <t xml:space="preserve">5~10</t>
  </si>
  <si>
    <t xml:space="preserve">콜론운용금리 없으나 eur/usd swap 재원 활용으로 3개월 6개월 금리 제시</t>
  </si>
  <si>
    <t xml:space="preserve">콜론운용금리 없으나 eur/usd swap 재원 활용으로 3개월 금리 제시</t>
  </si>
  <si>
    <t xml:space="preserve">콜론운용금리 없으나 eur/usd swap 재원 활용으로 3개월 금리 제시 &amp; 타행평균금리(0.0339) 반영</t>
  </si>
  <si>
    <t xml:space="preserve">콜론운용금리 없으나 eur/usd swap 재원 활용가능 1개월 금리 제시 &amp; 타행평균금리(0.03313) 반영</t>
  </si>
  <si>
    <t xml:space="preserve">콜론운용금리 없으나 eur/usd swap 재원 활용으로 3개월 금리 제시 &amp; 타행평균금리(0.03014) 반영</t>
  </si>
  <si>
    <r>
      <rPr>
        <sz val="10"/>
        <color theme="1"/>
        <rFont val="맑은 고딕"/>
        <family val="3"/>
        <charset val="129"/>
      </rPr>
      <t xml:space="preserve">1-25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- 0.30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</si>
  <si>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양산지점</t>
  </si>
  <si>
    <t xml:space="preserve">지점장 박명환</t>
  </si>
  <si>
    <r>
      <rPr>
        <sz val="10"/>
        <color theme="1"/>
        <rFont val="맑은 고딕"/>
        <family val="3"/>
        <charset val="129"/>
      </rPr>
      <t xml:space="preserve">2022-3</t>
    </r>
    <r>
      <rPr>
        <sz val="10"/>
        <color theme="1"/>
        <rFont val="Noto Sans CJK SC"/>
        <family val="2"/>
      </rPr>
      <t xml:space="preserve">월 중</t>
    </r>
  </si>
  <si>
    <t xml:space="preserve">1M
2M
3M
6M
9M
12M</t>
  </si>
  <si>
    <t xml:space="preserve">0.00%
0.20%
0.30%
0.50%
0.65%
0.85%</t>
  </si>
  <si>
    <r>
      <rPr>
        <sz val="10"/>
        <color theme="1"/>
        <rFont val="맑은 고딕"/>
        <family val="3"/>
        <charset val="129"/>
      </rPr>
      <t xml:space="preserve">02-22 09:15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0.40, 3m-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0.50, 6M-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0.85, 9M-SMTB HK 1.00, 12M-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1.15)</t>
    </r>
  </si>
  <si>
    <r>
      <rPr>
        <sz val="10"/>
        <color theme="1"/>
        <rFont val="맑은 고딕"/>
        <family val="3"/>
        <charset val="129"/>
      </rPr>
      <t xml:space="preserve">3-16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- 0.72 LBBW SL)</t>
    </r>
  </si>
  <si>
    <t xml:space="preserve">0.40%
0.85%
1.30%</t>
  </si>
  <si>
    <r>
      <rPr>
        <sz val="10"/>
        <color theme="1"/>
        <rFont val="맑은 고딕"/>
        <family val="3"/>
        <charset val="129"/>
      </rPr>
      <t xml:space="preserve">4-25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0.75,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1.75)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</si>
  <si>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맑은 고딕"/>
        <family val="3"/>
        <charset val="129"/>
      </rPr>
      <t xml:space="preserve">0.85%-&gt;0.90%</t>
    </r>
    <r>
      <rPr>
        <sz val="10"/>
        <color theme="1"/>
        <rFont val="Noto Sans CJK SC"/>
        <family val="2"/>
      </rPr>
      <t xml:space="preserve">금리네고요청
</t>
    </r>
    <r>
      <rPr>
        <sz val="10"/>
        <color theme="1"/>
        <rFont val="맑은 고딕"/>
        <family val="3"/>
        <charset val="129"/>
      </rPr>
      <t xml:space="preserve">1.30%-&gt;1.35%</t>
    </r>
    <r>
      <rPr>
        <sz val="10"/>
        <color theme="1"/>
        <rFont val="Noto Sans CJK SC"/>
        <family val="2"/>
      </rPr>
      <t xml:space="preserve">금리네고요청</t>
    </r>
  </si>
  <si>
    <r>
      <rPr>
        <sz val="10"/>
        <color theme="1"/>
        <rFont val="맑은 고딕"/>
        <family val="3"/>
        <charset val="129"/>
      </rPr>
      <t xml:space="preserve">4-27 12:23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</si>
  <si>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대리 권혜정</t>
  </si>
  <si>
    <t xml:space="preserve">6M
12M</t>
  </si>
  <si>
    <r>
      <rPr>
        <sz val="10"/>
        <color theme="1"/>
        <rFont val="맑은 고딕"/>
        <family val="3"/>
        <charset val="129"/>
      </rPr>
      <t xml:space="preserve">1.30%
1.8176%(</t>
    </r>
    <r>
      <rPr>
        <sz val="10"/>
        <color theme="1"/>
        <rFont val="Noto Sans CJK SC"/>
        <family val="2"/>
      </rPr>
      <t xml:space="preserve">고시금리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</si>
  <si>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4-28 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1.80, 12M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</si>
  <si>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계장 이견진</t>
  </si>
  <si>
    <r>
      <rPr>
        <sz val="10"/>
        <color theme="1"/>
        <rFont val="맑은 고딕"/>
        <family val="3"/>
        <charset val="129"/>
      </rPr>
      <t xml:space="preserve">4-29 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1.37)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</si>
  <si>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현대글로벌서비스</t>
  </si>
  <si>
    <t xml:space="preserve">MMDA
1M
3M
6M</t>
  </si>
  <si>
    <t xml:space="preserve">0.01%
0.60%
1.05%
1.55%</t>
  </si>
  <si>
    <r>
      <rPr>
        <sz val="10"/>
        <color theme="1"/>
        <rFont val="맑은 고딕"/>
        <family val="3"/>
        <charset val="129"/>
      </rPr>
      <t xml:space="preserve">5-6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1.40,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1.95)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</si>
  <si>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수도권PRM센터</t>
  </si>
  <si>
    <t xml:space="preserve">신규 섭외 업체</t>
  </si>
  <si>
    <r>
      <rPr>
        <sz val="10"/>
        <color theme="1"/>
        <rFont val="맑은 고딕"/>
        <family val="3"/>
        <charset val="129"/>
      </rPr>
      <t xml:space="preserve">6~7</t>
    </r>
    <r>
      <rPr>
        <sz val="10"/>
        <color theme="1"/>
        <rFont val="Noto Sans CJK SC"/>
        <family val="2"/>
      </rPr>
      <t xml:space="preserve">월</t>
    </r>
  </si>
  <si>
    <t xml:space="preserve">MMDA
1M
3M</t>
  </si>
  <si>
    <t xml:space="preserve">0.01%
0.70%
1.18%</t>
  </si>
  <si>
    <r>
      <rPr>
        <sz val="10"/>
        <color theme="1"/>
        <rFont val="맑은 고딕"/>
        <family val="3"/>
        <charset val="129"/>
      </rPr>
      <t xml:space="preserve">5-19 17:31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SUMI TRUST HK 0.99, 3M - 1.52)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</si>
  <si>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큐로</t>
  </si>
  <si>
    <t xml:space="preserve">1.2MIO</t>
  </si>
  <si>
    <r>
      <rPr>
        <sz val="10"/>
        <color theme="1"/>
        <rFont val="맑은 고딕"/>
        <family val="3"/>
        <charset val="129"/>
      </rPr>
      <t xml:space="preserve">6-3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12M - SMBC 2.60)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</si>
  <si>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맑은 고딕"/>
        <family val="3"/>
        <charset val="129"/>
      </rPr>
      <t xml:space="preserve">6-13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</si>
  <si>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지점장 박세훈</t>
  </si>
  <si>
    <t xml:space="preserve">1.05%
1.45%
1.90%</t>
  </si>
  <si>
    <r>
      <rPr>
        <sz val="10"/>
        <color theme="1"/>
        <rFont val="맑은 고딕"/>
        <family val="3"/>
        <charset val="129"/>
      </rPr>
      <t xml:space="preserve">6-13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</si>
  <si>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1.10%
1.50%
1.95%
2.50%</t>
  </si>
  <si>
    <r>
      <rPr>
        <sz val="10"/>
        <color theme="1"/>
        <rFont val="맑은 고딕"/>
        <family val="3"/>
        <charset val="129"/>
      </rPr>
      <t xml:space="preserve">6-14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1.45, 3M - smbc 1.92, 6M - smbc 2.57, 12m - smbc 3.41)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</si>
  <si>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1.10%
1.55%
2.00%
2.50%</t>
  </si>
  <si>
    <r>
      <rPr>
        <sz val="10"/>
        <color theme="1"/>
        <rFont val="맑은 고딕"/>
        <family val="3"/>
        <charset val="129"/>
      </rPr>
      <t xml:space="preserve">6-15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1.56, 3M - smbc 2.00, 6M - smbc 2.68, 12m - smbc 3.56)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</si>
  <si>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동진쎄미캠</t>
  </si>
  <si>
    <r>
      <rPr>
        <sz val="10"/>
        <color theme="1"/>
        <rFont val="맑은 고딕"/>
        <family val="3"/>
        <charset val="129"/>
      </rPr>
      <t xml:space="preserve">6-17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1.58, 2W RESONA 1.70)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0.61,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0.96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0.78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0.973</t>
    </r>
  </si>
  <si>
    <r>
      <rPr>
        <sz val="10"/>
        <color theme="1"/>
        <rFont val="맑은 고딕"/>
        <family val="3"/>
        <charset val="129"/>
      </rPr>
      <t xml:space="preserve">6-20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1.60, 2W SMBC 1.64)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0.82,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1.00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0.91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0.7525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- 6-17 : 0.01 -&gt; 6-20 : 0.5294 (17</t>
    </r>
    <r>
      <rPr>
        <sz val="10"/>
        <color theme="1"/>
        <rFont val="Noto Sans CJK SC"/>
        <family val="2"/>
      </rPr>
      <t xml:space="preserve">일대비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기본고시금리 상승 반영 재안내드림</t>
    </r>
    <r>
      <rPr>
        <sz val="10"/>
        <color theme="1"/>
        <rFont val="맑은 고딕"/>
        <family val="3"/>
        <charset val="129"/>
      </rPr>
      <t xml:space="preserve">)</t>
    </r>
  </si>
  <si>
    <t xml:space="preserve">희성전자</t>
  </si>
  <si>
    <r>
      <rPr>
        <sz val="10"/>
        <color theme="1"/>
        <rFont val="맑은 고딕"/>
        <family val="3"/>
        <charset val="129"/>
      </rPr>
      <t xml:space="preserve">6-22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1.62, 2W SMBC 1.65)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0.92,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1.03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0.97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0.7504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- 6-17 : 0.01 -&gt; 6-20 : 0.5294 (17</t>
    </r>
    <r>
      <rPr>
        <sz val="10"/>
        <color theme="1"/>
        <rFont val="Noto Sans CJK SC"/>
        <family val="2"/>
      </rPr>
      <t xml:space="preserve">일대비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기본고시금리 상승 반영 재안내드림</t>
    </r>
    <r>
      <rPr>
        <sz val="10"/>
        <color theme="1"/>
        <rFont val="맑은 고딕"/>
        <family val="3"/>
        <charset val="129"/>
      </rPr>
      <t xml:space="preserve">), 6-22 : 0.5278</t>
    </r>
  </si>
  <si>
    <r>
      <rPr>
        <sz val="10"/>
        <color theme="1"/>
        <rFont val="맑은 고딕"/>
        <family val="3"/>
        <charset val="129"/>
      </rPr>
      <t xml:space="preserve">6-30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LBBW SL 2.35)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</si>
  <si>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9MIO</t>
  </si>
  <si>
    <r>
      <rPr>
        <sz val="10"/>
        <color theme="1"/>
        <rFont val="맑은 고딕"/>
        <family val="3"/>
        <charset val="129"/>
      </rPr>
      <t xml:space="preserve">7-12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1.65, 2W SMBC 1.71)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1.12,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1.27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1.19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0.9866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- 0.669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</si>
  <si>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0.90%
1.80%
2.30%
2.75%</t>
  </si>
  <si>
    <r>
      <rPr>
        <sz val="10"/>
        <color theme="1"/>
        <rFont val="맑은 고딕"/>
        <family val="3"/>
        <charset val="129"/>
      </rPr>
      <t xml:space="preserve">7-15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1.60,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2.90,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3.50)</t>
    </r>
  </si>
  <si>
    <t xml:space="preserve">2.15%
2.60%
2.90%
3.00%</t>
  </si>
  <si>
    <r>
      <rPr>
        <sz val="10"/>
        <color theme="1"/>
        <rFont val="맑은 고딕"/>
        <family val="3"/>
        <charset val="129"/>
      </rPr>
      <t xml:space="preserve">8-1 10:19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2.80) *</t>
    </r>
    <r>
      <rPr>
        <sz val="10"/>
        <color theme="1"/>
        <rFont val="Noto Sans CJK SC"/>
        <family val="2"/>
      </rPr>
      <t xml:space="preserve">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하나은행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제시금리</t>
    </r>
    <r>
      <rPr>
        <sz val="10"/>
        <color theme="1"/>
        <rFont val="맑은 고딕"/>
        <family val="3"/>
        <charset val="129"/>
      </rPr>
      <t xml:space="preserve">: 2.80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3M 2.55 -&gt; </t>
    </r>
    <r>
      <rPr>
        <sz val="10"/>
        <color theme="1"/>
        <rFont val="Noto Sans CJK SC"/>
        <family val="2"/>
      </rPr>
      <t xml:space="preserve">최대 금리 </t>
    </r>
    <r>
      <rPr>
        <sz val="10"/>
        <color theme="1"/>
        <rFont val="맑은 고딕"/>
        <family val="3"/>
        <charset val="129"/>
      </rPr>
      <t xml:space="preserve">2.60% </t>
    </r>
    <r>
      <rPr>
        <sz val="10"/>
        <color theme="1"/>
        <rFont val="Noto Sans CJK SC"/>
        <family val="2"/>
      </rPr>
      <t xml:space="preserve">으로 안내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종수 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0.1389
8-1 10:49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2.43 , 6M - 3.35 SMBC TKY 12M - 3.47 </t>
    </r>
    <r>
      <rPr>
        <sz val="10"/>
        <color theme="1"/>
        <rFont val="Noto Sans CJK SC"/>
        <family val="2"/>
      </rPr>
      <t xml:space="preserve">미즈호 홍콩</t>
    </r>
    <r>
      <rPr>
        <sz val="10"/>
        <color theme="1"/>
        <rFont val="맑은 고딕"/>
        <family val="3"/>
        <charset val="129"/>
      </rPr>
      <t xml:space="preserve">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1M - 2.11, 6M - 3.01, 12M - 3.19 </t>
    </r>
  </si>
  <si>
    <t xml:space="preserve">1.50%
2.15%
2.35%
2.60%</t>
  </si>
  <si>
    <r>
      <rPr>
        <sz val="10"/>
        <color theme="1"/>
        <rFont val="맑은 고딕"/>
        <family val="3"/>
        <charset val="129"/>
      </rPr>
      <t xml:space="preserve">8-8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 2.35, 1M - LBBW  2.50, 2M - LBBW  2.75, 3M - LBBW  2.90)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- 1.2998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</si>
  <si>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2.15%
2.60%
3.10%</t>
  </si>
  <si>
    <t xml:space="preserve">5~10MIO</t>
  </si>
  <si>
    <r>
      <rPr>
        <sz val="10"/>
        <color theme="1"/>
        <rFont val="맑은 고딕"/>
        <family val="3"/>
        <charset val="129"/>
      </rPr>
      <t xml:space="preserve">8-10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 2.44, 3M - smbc  2.95, 6M - smbc  3.60)</t>
    </r>
  </si>
  <si>
    <t xml:space="preserve">4M</t>
  </si>
  <si>
    <r>
      <rPr>
        <sz val="10"/>
        <color theme="1"/>
        <rFont val="맑은 고딕"/>
        <family val="3"/>
        <charset val="129"/>
      </rPr>
      <t xml:space="preserve">8-11 12:50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(4M - woori la  3.20)</t>
    </r>
  </si>
  <si>
    <r>
      <rPr>
        <sz val="10"/>
        <color theme="1"/>
        <rFont val="맑은 고딕"/>
        <family val="3"/>
        <charset val="129"/>
      </rPr>
      <t xml:space="preserve">8-12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smbc  2.75)</t>
    </r>
  </si>
  <si>
    <t xml:space="preserve">에스엠상선</t>
  </si>
  <si>
    <t xml:space="preserve">10mio</t>
  </si>
  <si>
    <t xml:space="preserve">12MIO</t>
  </si>
  <si>
    <r>
      <rPr>
        <sz val="10"/>
        <color theme="1"/>
        <rFont val="맑은 고딕"/>
        <family val="3"/>
        <charset val="129"/>
      </rPr>
      <t xml:space="preserve">8-12 </t>
    </r>
    <r>
      <rPr>
        <sz val="10"/>
        <color theme="1"/>
        <rFont val="Noto Sans CJK SC"/>
        <family val="2"/>
      </rPr>
      <t xml:space="preserve">기준</t>
    </r>
    <r>
      <rPr>
        <sz val="10"/>
        <color theme="1"/>
        <rFont val="맑은 고딕"/>
        <family val="3"/>
        <charset val="129"/>
      </rPr>
      <t xml:space="preserve">(8/12 </t>
    </r>
    <r>
      <rPr>
        <sz val="10"/>
        <color theme="1"/>
        <rFont val="Noto Sans CJK SC"/>
        <family val="2"/>
      </rPr>
      <t xml:space="preserve">기산일 영업점 요청</t>
    </r>
    <r>
      <rPr>
        <sz val="10"/>
        <color theme="1"/>
        <rFont val="맑은 고딕"/>
        <family val="3"/>
        <charset val="129"/>
      </rPr>
      <t xml:space="preserve">) (1W - SMBC 2.35, 2W SMBC 2.37)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1.95,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1.74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1.84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0.7565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- 8-12 : 1.29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</si>
  <si>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2.50%
2.70%
3.20%</t>
  </si>
  <si>
    <t xml:space="preserve">5~10mio</t>
  </si>
  <si>
    <r>
      <rPr>
        <sz val="10"/>
        <color theme="1"/>
        <rFont val="맑은 고딕"/>
        <family val="3"/>
        <charset val="129"/>
      </rPr>
      <t xml:space="preserve">8-23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시즈로카  </t>
    </r>
    <r>
      <rPr>
        <sz val="10"/>
        <color theme="1"/>
        <rFont val="맑은 고딕"/>
        <family val="3"/>
        <charset val="129"/>
      </rPr>
      <t xml:space="preserve">2.85,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2.70, 6M - 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3.40)</t>
    </r>
  </si>
  <si>
    <r>
      <rPr>
        <sz val="10"/>
        <color theme="1"/>
        <rFont val="맑은 고딕"/>
        <family val="3"/>
        <charset val="129"/>
      </rPr>
      <t xml:space="preserve">8-29 13:40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SMBC  2.85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2.90 )</t>
    </r>
  </si>
  <si>
    <t xml:space="preserve">2.90%
3.40%
3.70%</t>
  </si>
  <si>
    <t xml:space="preserve">3~5MIO</t>
  </si>
  <si>
    <r>
      <rPr>
        <sz val="10"/>
        <color theme="1"/>
        <rFont val="맑은 고딕"/>
        <family val="3"/>
        <charset val="129"/>
      </rPr>
      <t xml:space="preserve">9-2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3.20, 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3.75, 12M - </t>
    </r>
    <r>
      <rPr>
        <sz val="10"/>
        <color theme="1"/>
        <rFont val="Noto Sans CJK SC"/>
        <family val="2"/>
      </rPr>
      <t xml:space="preserve">미즈호 홍콩  </t>
    </r>
    <r>
      <rPr>
        <sz val="10"/>
        <color theme="1"/>
        <rFont val="맑은 고딕"/>
        <family val="3"/>
        <charset val="129"/>
      </rPr>
      <t xml:space="preserve">3.95)</t>
    </r>
  </si>
  <si>
    <r>
      <rPr>
        <sz val="10"/>
        <color theme="1"/>
        <rFont val="맑은 고딕"/>
        <family val="3"/>
        <charset val="129"/>
      </rPr>
      <t xml:space="preserve">9-7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2.78)</t>
    </r>
  </si>
  <si>
    <t xml:space="preserve">계장 김상희</t>
  </si>
  <si>
    <r>
      <rPr>
        <sz val="10"/>
        <color theme="1"/>
        <rFont val="맑은 고딕"/>
        <family val="3"/>
        <charset val="129"/>
      </rPr>
      <t xml:space="preserve">9-13 16:30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2.85, SMTB HK  3.00)</t>
    </r>
  </si>
  <si>
    <t xml:space="preserve">방촌지점</t>
  </si>
  <si>
    <t xml:space="preserve">대리 김미라</t>
  </si>
  <si>
    <t xml:space="preserve">4.00%
4.30%</t>
  </si>
  <si>
    <r>
      <rPr>
        <sz val="10"/>
        <color theme="1"/>
        <rFont val="맑은 고딕"/>
        <family val="3"/>
        <charset val="129"/>
      </rPr>
      <t xml:space="preserve">9-22 17:50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4.20, 12M - </t>
    </r>
    <r>
      <rPr>
        <sz val="10"/>
        <color theme="1"/>
        <rFont val="Noto Sans CJK SC"/>
        <family val="2"/>
      </rPr>
      <t xml:space="preserve">최저 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</si>
  <si>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1.60%
2.85%
3.05%
3.50%</t>
  </si>
  <si>
    <r>
      <rPr>
        <sz val="10"/>
        <color theme="1"/>
        <rFont val="맑은 고딕"/>
        <family val="3"/>
        <charset val="129"/>
      </rPr>
      <t xml:space="preserve">9-23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최저금리  </t>
    </r>
    <r>
      <rPr>
        <sz val="10"/>
        <color theme="1"/>
        <rFont val="맑은 고딕"/>
        <family val="3"/>
        <charset val="129"/>
      </rPr>
      <t xml:space="preserve">3.15, 2M - </t>
    </r>
    <r>
      <rPr>
        <sz val="10"/>
        <color theme="1"/>
        <rFont val="Noto Sans CJK SC"/>
        <family val="2"/>
      </rPr>
      <t xml:space="preserve">최저금리  </t>
    </r>
    <r>
      <rPr>
        <sz val="10"/>
        <color theme="1"/>
        <rFont val="맑은 고딕"/>
        <family val="3"/>
        <charset val="129"/>
      </rPr>
      <t xml:space="preserve">3.40, 3M - </t>
    </r>
    <r>
      <rPr>
        <sz val="10"/>
        <color theme="1"/>
        <rFont val="Noto Sans CJK SC"/>
        <family val="2"/>
      </rPr>
      <t xml:space="preserve">최저금리 </t>
    </r>
    <r>
      <rPr>
        <sz val="10"/>
        <color theme="1"/>
        <rFont val="맑은 고딕"/>
        <family val="3"/>
        <charset val="129"/>
      </rPr>
      <t xml:space="preserve">3.95)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- 1.4190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</si>
  <si>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3.50%
4.00%</t>
  </si>
  <si>
    <r>
      <rPr>
        <sz val="10"/>
        <color theme="1"/>
        <rFont val="맑은 고딕"/>
        <family val="3"/>
        <charset val="129"/>
      </rPr>
      <t xml:space="preserve">9-26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산업은행 아시아 홍콩 </t>
    </r>
    <r>
      <rPr>
        <sz val="10"/>
        <color theme="1"/>
        <rFont val="맑은 고딕"/>
        <family val="3"/>
        <charset val="129"/>
      </rPr>
      <t xml:space="preserve">3.75,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</si>
  <si>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부지점장 박찬현</t>
  </si>
  <si>
    <r>
      <rPr>
        <sz val="10"/>
        <color theme="1"/>
        <rFont val="맑은 고딕"/>
        <family val="3"/>
        <charset val="129"/>
      </rPr>
      <t xml:space="preserve">9-26 13:50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산업은행 아시아 홍콩 </t>
    </r>
    <r>
      <rPr>
        <sz val="10"/>
        <color theme="1"/>
        <rFont val="맑은 고딕"/>
        <family val="3"/>
        <charset val="129"/>
      </rPr>
      <t xml:space="preserve">3.75,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4.50)</t>
    </r>
  </si>
  <si>
    <r>
      <rPr>
        <sz val="10"/>
        <color theme="1"/>
        <rFont val="맑은 고딕"/>
        <family val="3"/>
        <charset val="129"/>
      </rPr>
      <t xml:space="preserve">9-28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미즈호 서울 </t>
    </r>
    <r>
      <rPr>
        <sz val="10"/>
        <color theme="1"/>
        <rFont val="맑은 고딕"/>
        <family val="3"/>
        <charset val="129"/>
      </rPr>
      <t xml:space="preserve">3.27)
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~1M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2.87,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-0.0119, </t>
    </r>
    <r>
      <rPr>
        <sz val="10"/>
        <color theme="1"/>
        <rFont val="Noto Sans CJK SC"/>
        <family val="2"/>
      </rPr>
      <t xml:space="preserve">최대금리 </t>
    </r>
    <r>
      <rPr>
        <sz val="10"/>
        <color theme="1"/>
        <rFont val="맑은 고딕"/>
        <family val="3"/>
        <charset val="129"/>
      </rPr>
      <t xml:space="preserve">2.95%</t>
    </r>
    <r>
      <rPr>
        <sz val="10"/>
        <color theme="1"/>
        <rFont val="Noto Sans CJK SC"/>
        <family val="2"/>
      </rPr>
      <t xml:space="preserve">로 안내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마진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0.1381 )</t>
    </r>
  </si>
  <si>
    <r>
      <rPr>
        <sz val="10"/>
        <color theme="1"/>
        <rFont val="맑은 고딕"/>
        <family val="3"/>
        <charset val="129"/>
      </rPr>
      <t xml:space="preserve">10-04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4.40)</t>
    </r>
  </si>
  <si>
    <r>
      <rPr>
        <sz val="10"/>
        <color theme="1"/>
        <rFont val="맑은 고딕"/>
        <family val="2"/>
        <charset val="129"/>
      </rPr>
      <t xml:space="preserve">3</t>
    </r>
    <r>
      <rPr>
        <sz val="10"/>
        <color theme="1"/>
        <rFont val="Noto Sans CJK SC"/>
        <family val="2"/>
      </rPr>
      <t xml:space="preserve">공단영업부</t>
    </r>
  </si>
  <si>
    <t xml:space="preserve">3.10%
3.30%
3.70%</t>
  </si>
  <si>
    <r>
      <rPr>
        <sz val="10"/>
        <color theme="1"/>
        <rFont val="맑은 고딕"/>
        <family val="3"/>
        <charset val="129"/>
      </rPr>
      <t xml:space="preserve">10-06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3.30, 2M - smbc 3.50, 3M - smbc 3.90)</t>
    </r>
  </si>
  <si>
    <r>
      <rPr>
        <sz val="10"/>
        <color theme="1"/>
        <rFont val="맑은 고딕"/>
        <family val="3"/>
        <charset val="129"/>
      </rPr>
      <t xml:space="preserve">10-11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3.30 )</t>
    </r>
  </si>
  <si>
    <t xml:space="preserve">3.10%
3.70%</t>
  </si>
  <si>
    <r>
      <rPr>
        <sz val="10"/>
        <color theme="1"/>
        <rFont val="맑은 고딕"/>
        <family val="3"/>
        <charset val="129"/>
      </rPr>
      <t xml:space="preserve">10-12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3.33,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4.35)</t>
    </r>
  </si>
  <si>
    <r>
      <rPr>
        <sz val="10"/>
        <color theme="1"/>
        <rFont val="맑은 고딕"/>
        <family val="3"/>
        <charset val="129"/>
      </rPr>
      <t xml:space="preserve">3.15%
3.92%(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</si>
  <si>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10-12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3.36,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4.35)
- </t>
    </r>
    <r>
      <rPr>
        <sz val="10"/>
        <color theme="1"/>
        <rFont val="Noto Sans CJK SC"/>
        <family val="2"/>
      </rPr>
      <t xml:space="preserve">업체 워리은행과 비교중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1m - 3.31, 3m - 4.01)</t>
    </r>
  </si>
  <si>
    <r>
      <rPr>
        <sz val="10"/>
        <color theme="1"/>
        <rFont val="맑은 고딕"/>
        <family val="3"/>
        <charset val="129"/>
      </rPr>
      <t xml:space="preserve">10-13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bk comm 3.60)
- </t>
    </r>
    <r>
      <rPr>
        <sz val="10"/>
        <color theme="1"/>
        <rFont val="Noto Sans CJK SC"/>
        <family val="2"/>
      </rPr>
      <t xml:space="preserve">업체 워리은행과 비교중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1m - 3.32) - </t>
    </r>
    <r>
      <rPr>
        <sz val="10"/>
        <color theme="1"/>
        <rFont val="Noto Sans CJK SC"/>
        <family val="2"/>
      </rPr>
      <t xml:space="preserve">우수고객 타행이탈 방지</t>
    </r>
  </si>
  <si>
    <r>
      <rPr>
        <sz val="10"/>
        <color theme="1"/>
        <rFont val="맑은 고딕"/>
        <family val="3"/>
        <charset val="129"/>
      </rPr>
      <t xml:space="preserve">3.30%
4.00% ~ 4.14%(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</si>
  <si>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10-20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3.55,  3M - lbbw 4.55)</t>
    </r>
  </si>
  <si>
    <r>
      <rPr>
        <sz val="10"/>
        <color theme="1"/>
        <rFont val="맑은 고딕"/>
        <family val="3"/>
        <charset val="129"/>
      </rPr>
      <t xml:space="preserve">10-24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4.60)</t>
    </r>
  </si>
  <si>
    <t xml:space="preserve">차장 전선민</t>
  </si>
  <si>
    <r>
      <rPr>
        <sz val="10"/>
        <color theme="1"/>
        <rFont val="맑은 고딕"/>
        <family val="3"/>
        <charset val="129"/>
      </rPr>
      <t xml:space="preserve">10-25 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3.70)</t>
    </r>
  </si>
  <si>
    <t xml:space="preserve">4.60%
5.00%</t>
  </si>
  <si>
    <r>
      <rPr>
        <sz val="10"/>
        <color theme="1"/>
        <rFont val="맑은 고딕"/>
        <family val="3"/>
        <charset val="129"/>
      </rPr>
      <t xml:space="preserve">10-25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4.90,  12M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</si>
  <si>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4.20%
4.60%
5.00%</t>
  </si>
  <si>
    <r>
      <rPr>
        <sz val="10"/>
        <color theme="1"/>
        <rFont val="맑은 고딕"/>
        <family val="3"/>
        <charset val="129"/>
      </rPr>
      <t xml:space="preserve">10-26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6M - SMBC 4.85, 12M - SMBC 5.25)</t>
    </r>
  </si>
  <si>
    <r>
      <rPr>
        <sz val="10"/>
        <color theme="1"/>
        <rFont val="맑은 고딕"/>
        <family val="3"/>
        <charset val="129"/>
      </rPr>
      <t xml:space="preserve">4.20% ~ 4.22%(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</si>
  <si>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10-26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4.70)</t>
    </r>
  </si>
  <si>
    <t xml:space="preserve">4.20%
4.60%</t>
  </si>
  <si>
    <r>
      <rPr>
        <sz val="10"/>
        <color theme="1"/>
        <rFont val="맑은 고딕"/>
        <family val="3"/>
        <charset val="129"/>
      </rPr>
      <t xml:space="preserve">10-27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</si>
  <si>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3.50%
4.25%
4.70%
5.10%</t>
  </si>
  <si>
    <t xml:space="preserve">10.5MIO</t>
  </si>
  <si>
    <r>
      <rPr>
        <sz val="10"/>
        <color theme="1"/>
        <rFont val="맑은 고딕"/>
        <family val="3"/>
        <charset val="129"/>
      </rPr>
      <t xml:space="preserve">10-31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4.65, 6M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5.25, 12m - </t>
    </r>
    <r>
      <rPr>
        <sz val="10"/>
        <color theme="1"/>
        <rFont val="Noto Sans CJK SC"/>
        <family val="2"/>
      </rPr>
      <t xml:space="preserve">한국계레인지 </t>
    </r>
    <r>
      <rPr>
        <sz val="10"/>
        <color theme="1"/>
        <rFont val="맑은 고딕"/>
        <family val="3"/>
        <charset val="129"/>
      </rPr>
      <t xml:space="preserve">5.40 ~ 5.50)</t>
    </r>
  </si>
  <si>
    <t xml:space="preserve">차장 이정화
(PRM센터 문의건)</t>
  </si>
  <si>
    <t xml:space="preserve">2.35%
3.50%</t>
  </si>
  <si>
    <t xml:space="preserve">10~20M</t>
  </si>
  <si>
    <r>
      <rPr>
        <sz val="10"/>
        <color theme="1"/>
        <rFont val="맑은 고딕"/>
        <family val="3"/>
        <charset val="129"/>
      </rPr>
      <t xml:space="preserve">11-02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4.00)</t>
    </r>
  </si>
  <si>
    <r>
      <rPr>
        <sz val="10"/>
        <color theme="1"/>
        <rFont val="맑은 고딕"/>
        <family val="3"/>
        <charset val="129"/>
      </rPr>
      <t xml:space="preserve">11-04 10:53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3.85)
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1M 3.61</t>
    </r>
  </si>
  <si>
    <t xml:space="preserve">2.90%
3.65%
4.00%
4.35%</t>
  </si>
  <si>
    <t xml:space="preserve">7~8MIO</t>
  </si>
  <si>
    <r>
      <rPr>
        <sz val="10"/>
        <color theme="1"/>
        <rFont val="맑은 고딕"/>
        <family val="3"/>
        <charset val="129"/>
      </rPr>
      <t xml:space="preserve">11-07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 3.95, 2M - lbbw sl  4.68, 3M - lbbw sl 4.75)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- 2.7052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</si>
  <si>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</si>
  <si>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맑은 고딕"/>
        <family val="3"/>
        <charset val="129"/>
      </rPr>
      <t xml:space="preserve">3.70%(</t>
    </r>
    <r>
      <rPr>
        <sz val="10"/>
        <color theme="1"/>
        <rFont val="Noto Sans CJK SC"/>
        <family val="2"/>
      </rPr>
      <t xml:space="preserve">최고</t>
    </r>
    <r>
      <rPr>
        <sz val="10"/>
        <color theme="1"/>
        <rFont val="맑은 고딕"/>
        <family val="3"/>
        <charset val="129"/>
      </rPr>
      <t xml:space="preserve">)
4.48%(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</si>
  <si>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11-08 12:40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3.95,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</si>
  <si>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맑은 고딕"/>
        <family val="3"/>
        <charset val="129"/>
      </rPr>
      <t xml:space="preserve">4.48%(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</si>
  <si>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12:40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4.80)</t>
    </r>
  </si>
  <si>
    <r>
      <rPr>
        <sz val="10"/>
        <color theme="1"/>
        <rFont val="맑은 고딕"/>
        <family val="3"/>
        <charset val="129"/>
      </rPr>
      <t xml:space="preserve">3.73%(</t>
    </r>
    <r>
      <rPr>
        <sz val="10"/>
        <color theme="1"/>
        <rFont val="Noto Sans CJK SC"/>
        <family val="2"/>
      </rPr>
      <t xml:space="preserve">최고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</si>
  <si>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13:50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</si>
  <si>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t xml:space="preserve">2.90%
3.70%
4.40%</t>
  </si>
  <si>
    <r>
      <rPr>
        <sz val="10"/>
        <color theme="1"/>
        <rFont val="맑은 고딕"/>
        <family val="3"/>
        <charset val="129"/>
      </rPr>
      <t xml:space="preserve">11-09 14:15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3.93,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4.80)</t>
    </r>
  </si>
  <si>
    <r>
      <rPr>
        <sz val="10"/>
        <color theme="1"/>
        <rFont val="맑은 고딕"/>
        <family val="3"/>
        <charset val="129"/>
      </rPr>
      <t xml:space="preserve">11-09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 - 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
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
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0.2173(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0.0373(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</si>
  <si>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15:10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</si>
  <si>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t xml:space="preserve">대리 구인숙</t>
  </si>
  <si>
    <r>
      <rPr>
        <sz val="10"/>
        <color theme="1"/>
        <rFont val="맑은 고딕"/>
        <family val="3"/>
        <charset val="129"/>
      </rPr>
      <t xml:space="preserve">11-10 16:05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</si>
  <si>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r>
      <rPr>
        <sz val="10"/>
        <color theme="1"/>
        <rFont val="맑은 고딕"/>
        <family val="3"/>
        <charset val="129"/>
      </rPr>
      <t xml:space="preserve">11-14 12:45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3.91),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3.64
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0.2602(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0.0802(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</si>
  <si>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11-15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3.93,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</si>
  <si>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r>
      <rPr>
        <sz val="10"/>
        <color theme="1"/>
        <rFont val="맑은 고딕"/>
        <family val="3"/>
        <charset val="129"/>
      </rPr>
      <t xml:space="preserve">4.50%(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</si>
  <si>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t xml:space="preserve">1~5M</t>
  </si>
  <si>
    <r>
      <rPr>
        <sz val="10"/>
        <color theme="1"/>
        <rFont val="맑은 고딕"/>
        <family val="3"/>
        <charset val="129"/>
      </rPr>
      <t xml:space="preserve">11-16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</si>
  <si>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2.95%
3.70%
4.40%</t>
  </si>
  <si>
    <r>
      <rPr>
        <sz val="10"/>
        <color theme="1"/>
        <rFont val="맑은 고딕"/>
        <family val="3"/>
        <charset val="129"/>
      </rPr>
      <t xml:space="preserve">11-21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</si>
  <si>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MMDA
1W</t>
  </si>
  <si>
    <t xml:space="preserve">2.95%
3.40%</t>
  </si>
  <si>
    <r>
      <rPr>
        <sz val="10"/>
        <color theme="1"/>
        <rFont val="맑은 고딕"/>
        <family val="3"/>
        <charset val="129"/>
      </rPr>
      <t xml:space="preserve">11-22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3.83 )</t>
    </r>
  </si>
  <si>
    <t xml:space="preserve">3.70%
4.00%
4.40%</t>
  </si>
  <si>
    <r>
      <rPr>
        <sz val="10"/>
        <color theme="1"/>
        <rFont val="맑은 고딕"/>
        <family val="3"/>
        <charset val="129"/>
      </rPr>
      <t xml:space="preserve">11-23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3.95, 2M - SMTB HK 4.78, 3M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</si>
  <si>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대리 신원준 </t>
  </si>
  <si>
    <r>
      <rPr>
        <sz val="10"/>
        <color theme="1"/>
        <rFont val="맑은 고딕"/>
        <family val="3"/>
        <charset val="129"/>
      </rPr>
      <t xml:space="preserve">11-23 14:20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( 1M-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LA 3.85)/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3.78</t>
    </r>
  </si>
  <si>
    <t xml:space="preserve">MMDA
1W
1M
3M</t>
  </si>
  <si>
    <t xml:space="preserve">2.95%
3.40%
3.75%
4.45%</t>
  </si>
  <si>
    <r>
      <rPr>
        <sz val="10"/>
        <color theme="1"/>
        <rFont val="맑은 고딕"/>
        <family val="3"/>
        <charset val="129"/>
      </rPr>
      <t xml:space="preserve">11-24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3.83, 1M - LBBW SG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4.75 )</t>
    </r>
  </si>
  <si>
    <t xml:space="preserve">계장 임소현</t>
  </si>
  <si>
    <r>
      <rPr>
        <sz val="10"/>
        <color theme="1"/>
        <rFont val="맑은 고딕"/>
        <family val="3"/>
        <charset val="129"/>
      </rPr>
      <t xml:space="preserve">2.95%&lt;3.00%(</t>
    </r>
    <r>
      <rPr>
        <sz val="10"/>
        <color theme="1"/>
        <rFont val="Noto Sans CJK SC"/>
        <family val="2"/>
      </rPr>
      <t xml:space="preserve">최대</t>
    </r>
    <r>
      <rPr>
        <sz val="10"/>
        <color theme="1"/>
        <rFont val="맑은 고딕"/>
        <family val="3"/>
        <charset val="129"/>
      </rPr>
      <t xml:space="preserve">)&gt;
3.75%
4.45%</t>
    </r>
  </si>
  <si>
    <r>
      <rPr>
        <sz val="10"/>
        <color theme="1"/>
        <rFont val="맑은 고딕"/>
        <family val="3"/>
        <charset val="129"/>
      </rPr>
      <t xml:space="preserve">MMDA
</t>
    </r>
    <r>
      <rPr>
        <sz val="10"/>
        <color theme="1"/>
        <rFont val="Noto Sans CJK SC"/>
        <family val="2"/>
      </rPr>
      <t xml:space="preserve">자유적립예금</t>
    </r>
  </si>
  <si>
    <r>
      <rPr>
        <sz val="10"/>
        <color theme="1"/>
        <rFont val="맑은 고딕"/>
        <family val="3"/>
        <charset val="129"/>
      </rPr>
      <t xml:space="preserve">11-24 </t>
    </r>
    <r>
      <rPr>
        <sz val="10"/>
        <color theme="1"/>
        <rFont val="Noto Sans CJK SC"/>
        <family val="2"/>
      </rPr>
      <t xml:space="preserve">넥스피아 </t>
    </r>
    <r>
      <rPr>
        <sz val="10"/>
        <color theme="1"/>
        <rFont val="맑은 고딕"/>
        <family val="3"/>
        <charset val="129"/>
      </rPr>
      <t xml:space="preserve">7452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2.95
11-24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4.75)</t>
    </r>
  </si>
  <si>
    <t xml:space="preserve">외환사업부
(참고용)</t>
  </si>
  <si>
    <t xml:space="preserve">차장 김윤선</t>
  </si>
  <si>
    <t xml:space="preserve">3.75%
4.45%
4.80%
5.20%</t>
  </si>
  <si>
    <t xml:space="preserve">1~3M</t>
  </si>
  <si>
    <r>
      <rPr>
        <sz val="10"/>
        <color theme="1"/>
        <rFont val="맑은 고딕"/>
        <family val="3"/>
        <charset val="129"/>
      </rPr>
      <t xml:space="preserve">11-25 11:50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 4.02) </t>
    </r>
    <r>
      <rPr>
        <sz val="10"/>
        <color theme="1"/>
        <rFont val="Noto Sans CJK SC"/>
        <family val="2"/>
      </rPr>
      <t xml:space="preserve">외환거래처 신규유치를 위해 머니마켓 운용가능 금리 보다 
높으나 종수시스템 노마진수준 범위내 제시
종수마진 </t>
    </r>
    <r>
      <rPr>
        <sz val="10"/>
        <color theme="1"/>
        <rFont val="맑은 고딕"/>
        <family val="3"/>
        <charset val="129"/>
      </rPr>
      <t xml:space="preserve">: 0.4625(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0.2825(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</si>
  <si>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t xml:space="preserve">2.95%
3.45%
3.75%
4.45%</t>
  </si>
  <si>
    <r>
      <rPr>
        <sz val="10"/>
        <color theme="1"/>
        <rFont val="맑은 고딕"/>
        <family val="3"/>
        <charset val="129"/>
      </rPr>
      <t xml:space="preserve">11-28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3.83, 1M - LBBW SG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4.79 )</t>
    </r>
  </si>
  <si>
    <t xml:space="preserve">MMDA
1M
2M
3M
6M</t>
  </si>
  <si>
    <t xml:space="preserve">2.95%
3.75%
4.05%
4.45%
4.80%</t>
  </si>
  <si>
    <r>
      <rPr>
        <sz val="10"/>
        <color theme="1"/>
        <rFont val="맑은 고딕"/>
        <family val="3"/>
        <charset val="129"/>
      </rPr>
      <t xml:space="preserve">11-28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4.05,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4.72,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4.79,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5.40 )</t>
    </r>
  </si>
  <si>
    <r>
      <rPr>
        <sz val="10"/>
        <color theme="1"/>
        <rFont val="맑은 고딕"/>
        <family val="3"/>
        <charset val="129"/>
      </rPr>
      <t xml:space="preserve">11-29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5.16, 12M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5.60 )</t>
    </r>
  </si>
  <si>
    <t xml:space="preserve">부지점장 한지숙</t>
  </si>
  <si>
    <t xml:space="preserve">4.80%
5.00~5.20%</t>
  </si>
  <si>
    <r>
      <rPr>
        <sz val="10"/>
        <color theme="1"/>
        <rFont val="맑은 고딕"/>
        <family val="3"/>
        <charset val="129"/>
      </rPr>
      <t xml:space="preserve">50</t>
    </r>
    <r>
      <rPr>
        <sz val="10"/>
        <color theme="1"/>
        <rFont val="Noto Sans CJK SC"/>
        <family val="2"/>
      </rPr>
      <t xml:space="preserve">만불씩
두 건</t>
    </r>
  </si>
  <si>
    <r>
      <rPr>
        <sz val="10"/>
        <color theme="1"/>
        <rFont val="맑은 고딕"/>
        <family val="3"/>
        <charset val="129"/>
      </rPr>
      <t xml:space="preserve">11-29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5.10,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</si>
  <si>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3.00%
3.50%
3.80%
4.50%</t>
  </si>
  <si>
    <r>
      <rPr>
        <sz val="10"/>
        <color theme="1"/>
        <rFont val="맑은 고딕"/>
        <family val="3"/>
        <charset val="129"/>
      </rPr>
      <t xml:space="preserve">12-01 11:15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3.77, 1M - LBBW SG 4.00,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4.75 )</t>
    </r>
  </si>
  <si>
    <t xml:space="preserve">3.00%
3.50%
3.95%
4.55%</t>
  </si>
  <si>
    <r>
      <rPr>
        <sz val="10"/>
        <color theme="1"/>
        <rFont val="맑은 고딕"/>
        <family val="3"/>
        <charset val="129"/>
      </rPr>
      <t xml:space="preserve">12-08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3.75,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</si>
  <si>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t xml:space="preserve">3.95%
4.55%</t>
  </si>
  <si>
    <r>
      <rPr>
        <sz val="10"/>
        <color theme="1"/>
        <rFont val="맑은 고딕"/>
        <family val="3"/>
        <charset val="129"/>
      </rPr>
      <t xml:space="preserve">12-08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</si>
  <si>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12-08 14:10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</si>
  <si>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12-12 09:55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4.55)</t>
    </r>
  </si>
  <si>
    <t xml:space="preserve">4.00%
4.20%
4.55%</t>
  </si>
  <si>
    <r>
      <rPr>
        <sz val="10"/>
        <color theme="1"/>
        <rFont val="맑은 고딕"/>
        <family val="3"/>
        <charset val="129"/>
      </rPr>
      <t xml:space="preserve">12-13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4.58,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</si>
  <si>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12-14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4.82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4.59)</t>
    </r>
  </si>
  <si>
    <t xml:space="preserve">4.00%
4.55%
4.90%
5.15%</t>
  </si>
  <si>
    <t xml:space="preserve">4.00%
4.55%
4.90%
5.10%</t>
  </si>
  <si>
    <r>
      <rPr>
        <sz val="10"/>
        <color theme="1"/>
        <rFont val="맑은 고딕"/>
        <family val="3"/>
        <charset val="129"/>
      </rPr>
      <t xml:space="preserve">12-15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4.63,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</si>
  <si>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0"/>
        <color theme="1"/>
        <rFont val="맑은 고딕"/>
        <family val="3"/>
        <charset val="129"/>
      </rPr>
      <t xml:space="preserve">12-15 13:55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4.63,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</si>
  <si>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t xml:space="preserve">MMDA
1M
2M
3M
6M
12M</t>
  </si>
  <si>
    <t xml:space="preserve">3.35%
4.05%
4.20%
4.55%
4.90%
5.05%</t>
  </si>
  <si>
    <r>
      <rPr>
        <sz val="10"/>
        <color theme="1"/>
        <rFont val="맑은 고딕"/>
        <family val="3"/>
        <charset val="129"/>
      </rPr>
      <t xml:space="preserve">12-19 1315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</si>
  <si>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4.05%
4.55%</t>
  </si>
  <si>
    <r>
      <rPr>
        <sz val="10"/>
        <color theme="1"/>
        <rFont val="맑은 고딕"/>
        <family val="3"/>
        <charset val="129"/>
      </rPr>
      <t xml:space="preserve">12-19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</si>
  <si>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3.35%
4.05%
4.25%
4.55%
4.90%
5.05%</t>
  </si>
  <si>
    <r>
      <rPr>
        <sz val="10"/>
        <color theme="1"/>
        <rFont val="맑은 고딕"/>
        <family val="3"/>
        <charset val="129"/>
      </rPr>
      <t xml:space="preserve">12-20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SMTB HK 4.60, 2M - LBBW SL 4.75, 3M - LBBW SL 4.80,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</si>
  <si>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12-21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4.58,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</si>
  <si>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4.35%
4.63%</t>
  </si>
  <si>
    <r>
      <rPr>
        <sz val="10"/>
        <color theme="1"/>
        <rFont val="맑은 고딕"/>
        <family val="3"/>
        <charset val="129"/>
      </rPr>
      <t xml:space="preserve">12-22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4.55,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4.83)
3</t>
    </r>
    <r>
      <rPr>
        <sz val="10"/>
        <color theme="1"/>
        <rFont val="Noto Sans CJK SC"/>
        <family val="2"/>
      </rPr>
      <t xml:space="preserve">개월 타행제시 </t>
    </r>
    <r>
      <rPr>
        <sz val="10"/>
        <color theme="1"/>
        <rFont val="맑은 고딕"/>
        <family val="3"/>
        <charset val="129"/>
      </rPr>
      <t xml:space="preserve">4.70%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4.78% - </t>
    </r>
    <r>
      <rPr>
        <sz val="10"/>
        <color theme="1"/>
        <rFont val="Noto Sans CJK SC"/>
        <family val="2"/>
      </rPr>
      <t xml:space="preserve">노마진 범위내 </t>
    </r>
    <r>
      <rPr>
        <sz val="10"/>
        <color theme="1"/>
        <rFont val="맑은 고딕"/>
        <family val="3"/>
        <charset val="129"/>
      </rPr>
      <t xml:space="preserve">4.70%</t>
    </r>
    <r>
      <rPr>
        <sz val="10"/>
        <color theme="1"/>
        <rFont val="Noto Sans CJK SC"/>
        <family val="2"/>
      </rPr>
      <t xml:space="preserve">까지 가능하지만 머니마켓 운용금리 기준으로 일단 </t>
    </r>
    <r>
      <rPr>
        <sz val="10"/>
        <color theme="1"/>
        <rFont val="맑은 고딕"/>
        <family val="3"/>
        <charset val="129"/>
      </rPr>
      <t xml:space="preserve">4.63%</t>
    </r>
    <r>
      <rPr>
        <sz val="10"/>
        <color theme="1"/>
        <rFont val="Noto Sans CJK SC"/>
        <family val="2"/>
      </rPr>
      <t xml:space="preserve">제시함
</t>
    </r>
    <r>
      <rPr>
        <sz val="10"/>
        <color theme="1"/>
        <rFont val="맑은 고딕"/>
        <family val="3"/>
        <charset val="129"/>
      </rPr>
      <t xml:space="preserve">12-26</t>
    </r>
    <r>
      <rPr>
        <sz val="10"/>
        <color theme="1"/>
        <rFont val="Noto Sans CJK SC"/>
        <family val="2"/>
      </rPr>
      <t xml:space="preserve">일 다시 금리 확인 후 안내 예정</t>
    </r>
  </si>
  <si>
    <r>
      <rPr>
        <sz val="10"/>
        <color theme="1"/>
        <rFont val="맑은 고딕"/>
        <family val="3"/>
        <charset val="129"/>
      </rPr>
      <t xml:space="preserve">12-23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4.57,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</si>
  <si>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4.55%
4.90%
5.05%</t>
  </si>
  <si>
    <r>
      <rPr>
        <sz val="10"/>
        <color theme="1"/>
        <rFont val="맑은 고딕"/>
        <family val="3"/>
        <charset val="129"/>
      </rPr>
      <t xml:space="preserve">12-26 15:45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</si>
  <si>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12-22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4.50)
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4.45% - </t>
    </r>
    <r>
      <rPr>
        <sz val="10"/>
        <color theme="1"/>
        <rFont val="Noto Sans CJK SC"/>
        <family val="2"/>
      </rPr>
      <t xml:space="preserve">노마진 범위내 기제시금리 수준 </t>
    </r>
    <r>
      <rPr>
        <sz val="10"/>
        <color theme="1"/>
        <rFont val="맑은 고딕"/>
        <family val="3"/>
        <charset val="129"/>
      </rPr>
      <t xml:space="preserve">4.35</t>
    </r>
    <r>
      <rPr>
        <sz val="10"/>
        <color theme="1"/>
        <rFont val="Noto Sans CJK SC"/>
        <family val="2"/>
      </rPr>
      <t xml:space="preserve">로 안내
</t>
    </r>
    <r>
      <rPr>
        <sz val="10"/>
        <color theme="1"/>
        <rFont val="맑은 고딕"/>
        <family val="3"/>
        <charset val="129"/>
      </rPr>
      <t xml:space="preserve">12-28</t>
    </r>
    <r>
      <rPr>
        <sz val="10"/>
        <color theme="1"/>
        <rFont val="Noto Sans CJK SC"/>
        <family val="2"/>
      </rPr>
      <t xml:space="preserve">일 다시 금리 확인 후 안내 예정</t>
    </r>
  </si>
  <si>
    <r>
      <rPr>
        <sz val="10"/>
        <color theme="1"/>
        <rFont val="맑은 고딕"/>
        <family val="3"/>
        <charset val="129"/>
      </rPr>
      <t xml:space="preserve">12-28 11:40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4.55)</t>
    </r>
  </si>
  <si>
    <t xml:space="preserve">4.10%
4.25%
4.55%</t>
  </si>
  <si>
    <r>
      <rPr>
        <sz val="10"/>
        <color theme="1"/>
        <rFont val="맑은 고딕"/>
        <family val="3"/>
        <charset val="129"/>
      </rPr>
      <t xml:space="preserve">12-28 13:40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- 4.55)</t>
    </r>
  </si>
  <si>
    <t xml:space="preserve">대리 최찬영</t>
  </si>
  <si>
    <r>
      <rPr>
        <sz val="10"/>
        <color theme="1"/>
        <rFont val="맑은 고딕"/>
        <family val="3"/>
        <charset val="129"/>
      </rPr>
      <t xml:space="preserve">12-29 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- 5.05)</t>
    </r>
  </si>
  <si>
    <t xml:space="preserve">지점장 현영수</t>
  </si>
  <si>
    <r>
      <rPr>
        <sz val="10"/>
        <color theme="1"/>
        <rFont val="맑은 고딕"/>
        <family val="3"/>
        <charset val="129"/>
      </rPr>
      <t xml:space="preserve">12-30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 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- 5.50
12</t>
    </r>
    <r>
      <rPr>
        <sz val="10"/>
        <color theme="1"/>
        <rFont val="Noto Sans CJK SC"/>
        <family val="2"/>
      </rPr>
      <t xml:space="preserve">개월 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5.59% - </t>
    </r>
    <r>
      <rPr>
        <sz val="10"/>
        <color theme="1"/>
        <rFont val="Noto Sans CJK SC"/>
        <family val="2"/>
      </rPr>
      <t xml:space="preserve">노마진 범위내 타행거래업체 신규유치 위해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로 제시</t>
    </r>
  </si>
  <si>
    <r>
      <rPr>
        <sz val="10"/>
        <color theme="1"/>
        <rFont val="맑은 고딕"/>
        <family val="3"/>
        <charset val="129"/>
      </rPr>
      <t xml:space="preserve">12-30 12:35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 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- 5.50
12</t>
    </r>
    <r>
      <rPr>
        <sz val="10"/>
        <color theme="1"/>
        <rFont val="Noto Sans CJK SC"/>
        <family val="2"/>
      </rPr>
      <t xml:space="preserve">개월 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5.59% - </t>
    </r>
    <r>
      <rPr>
        <sz val="10"/>
        <color theme="1"/>
        <rFont val="Noto Sans CJK SC"/>
        <family val="2"/>
      </rPr>
      <t xml:space="preserve">노마진 범위내 타행거래업체 신규유치 위해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로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0.20 </t>
    </r>
    <r>
      <rPr>
        <sz val="10"/>
        <color theme="1"/>
        <rFont val="Noto Sans CJK SC"/>
        <family val="2"/>
      </rPr>
      <t xml:space="preserve">빼고 최고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</t>
    </r>
    <r>
      <rPr>
        <sz val="10"/>
        <color theme="1"/>
        <rFont val="맑은 고딕"/>
        <family val="3"/>
        <charset val="129"/>
      </rPr>
      <t xml:space="preserve">!</t>
    </r>
  </si>
  <si>
    <t xml:space="preserve">4.15%
4.55%
4.90%
5.05%</t>
  </si>
  <si>
    <r>
      <rPr>
        <sz val="10"/>
        <color theme="1"/>
        <rFont val="맑은 고딕"/>
        <family val="3"/>
        <charset val="129"/>
      </rPr>
      <t xml:space="preserve">01-02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4.35,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</si>
  <si>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4.10%
4.55%</t>
  </si>
  <si>
    <r>
      <rPr>
        <sz val="10"/>
        <color theme="1"/>
        <rFont val="맑은 고딕"/>
        <family val="3"/>
        <charset val="129"/>
      </rPr>
      <t xml:space="preserve">01-09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4.45, 3M - LBBW SL 4.77)
01-09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4.55)</t>
    </r>
  </si>
  <si>
    <r>
      <rPr>
        <sz val="10"/>
        <color theme="1"/>
        <rFont val="맑은 고딕"/>
        <family val="3"/>
        <charset val="129"/>
      </rPr>
      <t xml:space="preserve">01-10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</si>
  <si>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0"/>
        <color theme="1"/>
        <rFont val="맑은 고딕"/>
        <family val="3"/>
        <charset val="129"/>
      </rPr>
      <t xml:space="preserve">01-11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4.45)
01-11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4.10)</t>
    </r>
  </si>
  <si>
    <t xml:space="preserve">4.10%
4.50%</t>
  </si>
  <si>
    <r>
      <rPr>
        <sz val="10"/>
        <color theme="1"/>
        <rFont val="맑은 고딕"/>
        <family val="3"/>
        <charset val="129"/>
      </rPr>
      <t xml:space="preserve">01-11 15:10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4.82)
01-11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</si>
  <si>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계장 백광명</t>
  </si>
  <si>
    <r>
      <rPr>
        <sz val="10"/>
        <color theme="1"/>
        <rFont val="맑은 고딕"/>
        <family val="3"/>
        <charset val="129"/>
      </rPr>
      <t xml:space="preserve">01-16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4.48)
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4.14   /  4.15</t>
    </r>
    <r>
      <rPr>
        <sz val="10"/>
        <color theme="1"/>
        <rFont val="Noto Sans CJK SC"/>
        <family val="2"/>
      </rPr>
      <t xml:space="preserve">제시 했으나 타행이탈우려로 </t>
    </r>
    <r>
      <rPr>
        <sz val="10"/>
        <color theme="1"/>
        <rFont val="맑은 고딕"/>
        <family val="3"/>
        <charset val="129"/>
      </rPr>
      <t xml:space="preserve">4.20 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 </t>
    </r>
    <r>
      <rPr>
        <sz val="10"/>
        <color theme="1"/>
        <rFont val="맑은 고딕"/>
        <family val="3"/>
        <charset val="129"/>
      </rPr>
      <t xml:space="preserve">4.40,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4.19 </t>
    </r>
    <r>
      <rPr>
        <sz val="10"/>
        <color theme="1"/>
        <rFont val="Noto Sans CJK SC"/>
        <family val="2"/>
      </rPr>
      <t xml:space="preserve">제시받아옴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</si>
  <si>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01-16 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4.48)
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4.14)</t>
    </r>
  </si>
  <si>
    <t xml:space="preserve">지점장 제인해</t>
  </si>
  <si>
    <t xml:space="preserve">4.25%
4.60%
4.85%</t>
  </si>
  <si>
    <r>
      <rPr>
        <sz val="10"/>
        <color theme="1"/>
        <rFont val="맑은 고딕"/>
        <family val="3"/>
        <charset val="129"/>
      </rPr>
      <t xml:space="preserve">01-02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4.80)
</t>
    </r>
    <r>
      <rPr>
        <sz val="10"/>
        <color theme="1"/>
        <rFont val="Noto Sans CJK SC"/>
        <family val="2"/>
      </rPr>
      <t xml:space="preserve">타시중은행 대비 높은 금리 요구 업체</t>
    </r>
  </si>
  <si>
    <t xml:space="preserve">3.40%
4.30%
4.45%
4.60%
4.85%
5.00%</t>
  </si>
  <si>
    <r>
      <rPr>
        <sz val="10"/>
        <color theme="1"/>
        <rFont val="맑은 고딕"/>
        <family val="3"/>
        <charset val="129"/>
      </rPr>
      <t xml:space="preserve">01-17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4.29, 1M - lbbw sl 4.50, 2M - lbbw sl 4.65, 3M - lbbw sl 4.80,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5.08,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4.95)
01-17 11:00</t>
    </r>
    <r>
      <rPr>
        <sz val="10"/>
        <color theme="1"/>
        <rFont val="Noto Sans CJK SC"/>
        <family val="2"/>
      </rPr>
      <t xml:space="preserve">기준   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6M - </t>
    </r>
    <r>
      <rPr>
        <sz val="10"/>
        <color theme="1"/>
        <rFont val="Noto Sans CJK SC"/>
        <family val="2"/>
      </rPr>
      <t xml:space="preserve">기업홍콩 </t>
    </r>
    <r>
      <rPr>
        <sz val="10"/>
        <color theme="1"/>
        <rFont val="맑은 고딕"/>
        <family val="3"/>
        <charset val="129"/>
      </rPr>
      <t xml:space="preserve">5.17</t>
    </r>
  </si>
  <si>
    <t xml:space="preserve">1M
3M
6M
9M
12M</t>
  </si>
  <si>
    <t xml:space="preserve">4.30%
4.60%
4.80%
4.85%
5.00%</t>
  </si>
  <si>
    <r>
      <rPr>
        <sz val="10"/>
        <color theme="1"/>
        <rFont val="맑은 고딕"/>
        <family val="3"/>
        <charset val="129"/>
      </rPr>
      <t xml:space="preserve">01-18 14:40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4.51,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4.84,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</si>
  <si>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4.30%
4.60%
4.80%</t>
  </si>
  <si>
    <r>
      <rPr>
        <sz val="10"/>
        <color theme="1"/>
        <rFont val="맑은 고딕"/>
        <family val="3"/>
        <charset val="129"/>
      </rPr>
      <t xml:space="preserve">01-19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</si>
  <si>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4.60%
4.80%</t>
  </si>
  <si>
    <r>
      <rPr>
        <sz val="10"/>
        <color theme="1"/>
        <rFont val="맑은 고딕"/>
        <family val="3"/>
        <charset val="129"/>
      </rPr>
      <t xml:space="preserve">01-19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국책은행서울 오퍼 </t>
    </r>
    <r>
      <rPr>
        <sz val="10"/>
        <color theme="1"/>
        <rFont val="맑은 고딕"/>
        <family val="3"/>
        <charset val="129"/>
      </rPr>
      <t xml:space="preserve">5.18)
</t>
    </r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5%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- 4.80</t>
    </r>
    <r>
      <rPr>
        <sz val="10"/>
        <color theme="1"/>
        <rFont val="Noto Sans CJK SC"/>
        <family val="2"/>
      </rPr>
      <t xml:space="preserve">에서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상향제시</t>
    </r>
  </si>
  <si>
    <r>
      <rPr>
        <sz val="10"/>
        <color theme="1"/>
        <rFont val="맑은 고딕"/>
        <family val="3"/>
        <charset val="129"/>
      </rPr>
      <t xml:space="preserve">01-19 13:45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4.53)</t>
    </r>
  </si>
  <si>
    <t xml:space="preserve">4.30%
4.40%
4.60%</t>
  </si>
  <si>
    <r>
      <rPr>
        <sz val="10"/>
        <color theme="1"/>
        <rFont val="맑은 고딕"/>
        <family val="3"/>
        <charset val="129"/>
      </rPr>
      <t xml:space="preserve">01-20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4.57,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4.95)</t>
    </r>
  </si>
  <si>
    <t xml:space="preserve">4.55%
4.75%
5.00%</t>
  </si>
  <si>
    <r>
      <rPr>
        <sz val="10"/>
        <color theme="1"/>
        <rFont val="맑은 고딕"/>
        <family val="3"/>
        <charset val="129"/>
      </rPr>
      <t xml:space="preserve">01-25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4.49 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4.90)</t>
    </r>
  </si>
  <si>
    <t xml:space="preserve">3.40%
4.30%
4.40%
4.55%</t>
  </si>
  <si>
    <r>
      <rPr>
        <sz val="10"/>
        <color theme="1"/>
        <rFont val="맑은 고딕"/>
        <family val="3"/>
        <charset val="129"/>
      </rPr>
      <t xml:space="preserve">01-25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4.60, 2M - LBBW SL 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- 3.214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</si>
  <si>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01-26 11:20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 ,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LBBW SL 5.04)</t>
    </r>
  </si>
  <si>
    <t xml:space="preserve">4.30%
4.40%
4.55%</t>
  </si>
  <si>
    <r>
      <rPr>
        <sz val="10"/>
        <color theme="1"/>
        <rFont val="맑은 고딕"/>
        <family val="3"/>
        <charset val="129"/>
      </rPr>
      <t xml:space="preserve">01-26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4.65, 2M - LBBW SL 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</si>
  <si>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0"/>
        <color theme="1"/>
        <rFont val="맑은 고딕"/>
        <family val="3"/>
        <charset val="129"/>
      </rPr>
      <t xml:space="preserve">01-26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 ,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LBBW SL 5.04)
</t>
    </r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4.85%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- 4.80</t>
    </r>
    <r>
      <rPr>
        <sz val="10"/>
        <color theme="1"/>
        <rFont val="Noto Sans CJK SC"/>
        <family val="2"/>
      </rPr>
      <t xml:space="preserve">에서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상향제시</t>
    </r>
  </si>
  <si>
    <t xml:space="preserve">4.35%
4.60%</t>
  </si>
  <si>
    <r>
      <rPr>
        <sz val="10"/>
        <color theme="1"/>
        <rFont val="맑은 고딕"/>
        <family val="3"/>
        <charset val="129"/>
      </rPr>
      <t xml:space="preserve">01-27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</si>
  <si>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0"/>
        <color theme="1"/>
        <rFont val="맑은 고딕"/>
        <family val="3"/>
        <charset val="129"/>
      </rPr>
      <t xml:space="preserve">01-30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4.67)</t>
    </r>
  </si>
  <si>
    <r>
      <rPr>
        <sz val="10"/>
        <color theme="1"/>
        <rFont val="맑은 고딕"/>
        <family val="3"/>
        <charset val="129"/>
      </rPr>
      <t xml:space="preserve">01-30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</si>
  <si>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3.60%
4.35%
4.45%
4.60%</t>
  </si>
  <si>
    <t xml:space="preserve">3~4MIO</t>
  </si>
  <si>
    <r>
      <rPr>
        <sz val="10"/>
        <color theme="1"/>
        <rFont val="맑은 고딕"/>
        <family val="3"/>
        <charset val="129"/>
      </rPr>
      <t xml:space="preserve">02-07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4.66,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- 3.4045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</si>
  <si>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02-08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4.85)</t>
    </r>
  </si>
  <si>
    <r>
      <rPr>
        <sz val="10"/>
        <color theme="1"/>
        <rFont val="맑은 고딕"/>
        <family val="3"/>
        <charset val="129"/>
      </rPr>
      <t xml:space="preserve">02-09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4.57)</t>
    </r>
  </si>
  <si>
    <t xml:space="preserve">4.30%
4.60%
4.80%
5.00%</t>
  </si>
  <si>
    <r>
      <rPr>
        <sz val="10"/>
        <color theme="1"/>
        <rFont val="맑은 고딕"/>
        <family val="3"/>
        <charset val="129"/>
      </rPr>
      <t xml:space="preserve">02-09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4.87,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4.79,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</si>
  <si>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4.35%
4.45%
4.60%</t>
  </si>
  <si>
    <r>
      <rPr>
        <sz val="10"/>
        <color theme="1"/>
        <rFont val="맑은 고딕"/>
        <family val="3"/>
        <charset val="129"/>
      </rPr>
      <t xml:space="preserve">02-10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4.66,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4.96)</t>
    </r>
  </si>
  <si>
    <t xml:space="preserve">4.35%
4.45%
4.60%
4.80%
4.90%
5.05%</t>
  </si>
  <si>
    <r>
      <rPr>
        <sz val="10"/>
        <color theme="1"/>
        <rFont val="맑은 고딕"/>
        <family val="3"/>
        <charset val="129"/>
      </rPr>
      <t xml:space="preserve">02-16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4.65, 2M - LBBW SL 4.80,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5.03)</t>
    </r>
  </si>
  <si>
    <r>
      <rPr>
        <sz val="10"/>
        <color theme="1"/>
        <rFont val="맑은 고딕"/>
        <family val="3"/>
        <charset val="129"/>
      </rPr>
      <t xml:space="preserve">02-16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4.65, 2M - LBBW SL 4.80,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5.03)
-&gt;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요청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시장상황 큰 변화 없으면 </t>
    </r>
    <r>
      <rPr>
        <sz val="10"/>
        <color theme="1"/>
        <rFont val="맑은 고딕"/>
        <family val="3"/>
        <charset val="129"/>
      </rPr>
      <t xml:space="preserve">4.80 -&gt; 4.85 </t>
    </r>
    <r>
      <rPr>
        <sz val="10"/>
        <color theme="1"/>
        <rFont val="Noto Sans CJK SC"/>
        <family val="2"/>
      </rPr>
      <t xml:space="preserve">제시 가능 재안내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</si>
  <si>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4.69)</t>
    </r>
  </si>
  <si>
    <t xml:space="preserve">4.35%
4.60%
4.80%</t>
  </si>
  <si>
    <r>
      <rPr>
        <sz val="10"/>
        <color theme="1"/>
        <rFont val="맑은 고딕"/>
        <family val="3"/>
        <charset val="129"/>
      </rPr>
      <t xml:space="preserve">02-20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</t>
    </r>
  </si>
  <si>
    <t xml:space="preserve">4.65%
4.85%</t>
  </si>
  <si>
    <r>
      <rPr>
        <sz val="10"/>
        <color theme="1"/>
        <rFont val="맑은 고딕"/>
        <family val="3"/>
        <charset val="129"/>
      </rPr>
      <t xml:space="preserve">02-22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</t>
    </r>
  </si>
  <si>
    <t xml:space="preserve">4.65%
4.95%</t>
  </si>
  <si>
    <r>
      <rPr>
        <sz val="10"/>
        <color theme="1"/>
        <rFont val="맑은 고딕"/>
        <family val="3"/>
        <charset val="129"/>
      </rPr>
      <t xml:space="preserve">02-22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
-&gt; </t>
    </r>
    <r>
      <rPr>
        <sz val="10"/>
        <color theme="1"/>
        <rFont val="Noto Sans CJK SC"/>
        <family val="2"/>
      </rPr>
      <t xml:space="preserve">외환사업부 제시금리 </t>
    </r>
    <r>
      <rPr>
        <sz val="10"/>
        <color theme="1"/>
        <rFont val="맑은 고딕"/>
        <family val="3"/>
        <charset val="129"/>
      </rPr>
      <t xml:space="preserve">3M - 4.70  , 6M - 5.00</t>
    </r>
    <r>
      <rPr>
        <sz val="10"/>
        <color theme="1"/>
        <rFont val="Noto Sans CJK SC"/>
        <family val="2"/>
      </rPr>
      <t xml:space="preserve">로 제시가능 검토요청
</t>
    </r>
    <r>
      <rPr>
        <sz val="10"/>
        <color theme="1"/>
        <rFont val="맑은 고딕"/>
        <family val="3"/>
        <charset val="129"/>
      </rPr>
      <t xml:space="preserve">-&gt; 3M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4.65%,  6M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4.95% (</t>
    </r>
    <r>
      <rPr>
        <sz val="10"/>
        <color theme="1"/>
        <rFont val="Noto Sans CJK SC"/>
        <family val="2"/>
      </rPr>
      <t xml:space="preserve">타행 최고고시금리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로 제시</t>
    </r>
  </si>
  <si>
    <t xml:space="preserve">차장 박수희
지점장 서창호</t>
  </si>
  <si>
    <r>
      <rPr>
        <sz val="10"/>
        <color theme="1"/>
        <rFont val="맑은 고딕"/>
        <family val="3"/>
        <charset val="129"/>
      </rPr>
      <t xml:space="preserve">02-23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4.89,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4.99)
-&gt; </t>
    </r>
    <r>
      <rPr>
        <sz val="10"/>
        <color theme="1"/>
        <rFont val="Noto Sans CJK SC"/>
        <family val="2"/>
      </rPr>
      <t xml:space="preserve">신규유치 업체 </t>
    </r>
    <r>
      <rPr>
        <sz val="10"/>
        <color theme="1"/>
        <rFont val="맑은 고딕"/>
        <family val="3"/>
        <charset val="129"/>
      </rPr>
      <t xml:space="preserve">( </t>
    </r>
    <r>
      <rPr>
        <sz val="10"/>
        <color theme="1"/>
        <rFont val="Noto Sans CJK SC"/>
        <family val="2"/>
      </rPr>
      <t xml:space="preserve">성태문 상무님 섭외건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5.09 </t>
    </r>
    <r>
      <rPr>
        <sz val="10"/>
        <color theme="1"/>
        <rFont val="Noto Sans CJK SC"/>
        <family val="2"/>
      </rPr>
      <t xml:space="preserve">제시로 당행 </t>
    </r>
    <r>
      <rPr>
        <sz val="10"/>
        <color theme="1"/>
        <rFont val="맑은 고딕"/>
        <family val="3"/>
        <charset val="129"/>
      </rPr>
      <t xml:space="preserve">5.00</t>
    </r>
    <r>
      <rPr>
        <sz val="10"/>
        <color theme="1"/>
        <rFont val="Noto Sans CJK SC"/>
        <family val="2"/>
      </rPr>
      <t xml:space="preserve">가능시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백만불 당행 유치 가능</t>
    </r>
    <r>
      <rPr>
        <sz val="10"/>
        <color theme="1"/>
        <rFont val="맑은 고딕"/>
        <family val="3"/>
        <charset val="129"/>
      </rPr>
      <t xml:space="preserve">)
-&gt; </t>
    </r>
    <r>
      <rPr>
        <sz val="10"/>
        <color theme="1"/>
        <rFont val="Noto Sans CJK SC"/>
        <family val="2"/>
      </rPr>
      <t xml:space="preserve">성태문 상무님 섭외 및 신규유치로 </t>
    </r>
    <r>
      <rPr>
        <sz val="10"/>
        <color theme="1"/>
        <rFont val="맑은 고딕"/>
        <family val="3"/>
        <charset val="129"/>
      </rPr>
      <t xml:space="preserve">5.00% </t>
    </r>
    <r>
      <rPr>
        <sz val="10"/>
        <color theme="1"/>
        <rFont val="Noto Sans CJK SC"/>
        <family val="2"/>
      </rPr>
      <t xml:space="preserve">제시</t>
    </r>
  </si>
  <si>
    <t xml:space="preserve">4.35%
4.65%</t>
  </si>
  <si>
    <r>
      <rPr>
        <sz val="10"/>
        <color theme="1"/>
        <rFont val="맑은 고딕"/>
        <family val="3"/>
        <charset val="129"/>
      </rPr>
      <t xml:space="preserve">02-27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4.65,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4.95)</t>
    </r>
  </si>
  <si>
    <r>
      <rPr>
        <sz val="10"/>
        <color theme="1"/>
        <rFont val="맑은 고딕"/>
        <family val="3"/>
        <charset val="129"/>
      </rPr>
      <t xml:space="preserve">02-28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4.80)
</t>
    </r>
    <r>
      <rPr>
        <sz val="10"/>
        <color theme="1"/>
        <rFont val="Noto Sans CJK SC"/>
        <family val="2"/>
      </rPr>
      <t xml:space="preserve">하나은행에서도 </t>
    </r>
    <r>
      <rPr>
        <sz val="10"/>
        <color theme="1"/>
        <rFont val="맑은 고딕"/>
        <family val="3"/>
        <charset val="129"/>
      </rPr>
      <t xml:space="preserve">4.40 </t>
    </r>
    <r>
      <rPr>
        <sz val="10"/>
        <color theme="1"/>
        <rFont val="Noto Sans CJK SC"/>
        <family val="2"/>
      </rPr>
      <t xml:space="preserve">제시</t>
    </r>
  </si>
  <si>
    <t xml:space="preserve">4.75%
5.00%
5.20%</t>
  </si>
  <si>
    <r>
      <rPr>
        <sz val="10"/>
        <color theme="1"/>
        <rFont val="맑은 고딕"/>
        <family val="3"/>
        <charset val="129"/>
      </rPr>
      <t xml:space="preserve">03-02 10:02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5.05, 6M - </t>
    </r>
    <r>
      <rPr>
        <sz val="10"/>
        <color theme="1"/>
        <rFont val="Noto Sans CJK SC"/>
        <family val="2"/>
      </rPr>
      <t xml:space="preserve">한국계비드 </t>
    </r>
    <r>
      <rPr>
        <sz val="10"/>
        <color theme="1"/>
        <rFont val="맑은 고딕"/>
        <family val="3"/>
        <charset val="129"/>
      </rPr>
      <t xml:space="preserve">5.3, 12M - </t>
    </r>
    <r>
      <rPr>
        <sz val="10"/>
        <color theme="1"/>
        <rFont val="Noto Sans CJK SC"/>
        <family val="2"/>
      </rPr>
      <t xml:space="preserve">한국계 </t>
    </r>
    <r>
      <rPr>
        <sz val="10"/>
        <color theme="1"/>
        <rFont val="맑은 고딕"/>
        <family val="3"/>
        <charset val="129"/>
      </rPr>
      <t xml:space="preserve">BID 5.5,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4.61,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4.94,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5.17)</t>
    </r>
  </si>
  <si>
    <t xml:space="preserve">4.40%
4.70%</t>
  </si>
  <si>
    <r>
      <rPr>
        <sz val="10"/>
        <color theme="1"/>
        <rFont val="맑은 고딕"/>
        <family val="3"/>
        <charset val="129"/>
      </rPr>
      <t xml:space="preserve">03-06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</si>
  <si>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03-09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4.69, 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</si>
  <si>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3.65%
4.45%
4.60%
4.75%
5.10%
5.30%</t>
  </si>
  <si>
    <r>
      <rPr>
        <sz val="10"/>
        <color theme="1"/>
        <rFont val="맑은 고딕"/>
        <family val="3"/>
        <charset val="129"/>
      </rPr>
      <t xml:space="preserve">03-09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5.45)</t>
    </r>
  </si>
  <si>
    <t xml:space="preserve">1M
2M
3M
6M
9M</t>
  </si>
  <si>
    <t xml:space="preserve">4.50%
4.65%
4.80%
5.15%
5.20%</t>
  </si>
  <si>
    <r>
      <rPr>
        <sz val="10"/>
        <color theme="1"/>
        <rFont val="맑은 고딕"/>
        <family val="3"/>
        <charset val="129"/>
      </rPr>
      <t xml:space="preserve">03-13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5.30,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5.13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5.50)</t>
    </r>
  </si>
  <si>
    <t xml:space="preserve">4.50%
4.80%</t>
  </si>
  <si>
    <r>
      <rPr>
        <sz val="10"/>
        <color theme="1"/>
        <rFont val="맑은 고딕"/>
        <family val="3"/>
        <charset val="129"/>
      </rPr>
      <t xml:space="preserve">03-13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</si>
  <si>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3.65%
4.50%
4.65%
4.80%
5.10%
5.30%</t>
  </si>
  <si>
    <r>
      <rPr>
        <sz val="10"/>
        <color theme="1"/>
        <rFont val="맑은 고딕"/>
        <family val="3"/>
        <charset val="129"/>
      </rPr>
      <t xml:space="preserve">03-14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5.11,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5.33)</t>
    </r>
  </si>
  <si>
    <t xml:space="preserve">4.40%
4.60%
4.70%
4.80%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</si>
  <si>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5.09,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4.54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5.44)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</t>
    </r>
  </si>
  <si>
    <t xml:space="preserve">4.40%
4.60%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</si>
  <si>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</si>
  <si>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4.40%
4.60%
4.70%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</si>
  <si>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
</t>
    </r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</si>
  <si>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
* </t>
    </r>
    <r>
      <rPr>
        <sz val="10"/>
        <color theme="1"/>
        <rFont val="Noto Sans CJK SC"/>
        <family val="2"/>
      </rPr>
      <t xml:space="preserve">기업은행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4.85 </t>
    </r>
    <r>
      <rPr>
        <sz val="10"/>
        <color theme="1"/>
        <rFont val="Noto Sans CJK SC"/>
        <family val="2"/>
      </rPr>
      <t xml:space="preserve">제시 
</t>
    </r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</si>
  <si>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</t>
    </r>
  </si>
  <si>
    <t xml:space="preserve">대리 류길태</t>
  </si>
  <si>
    <t xml:space="preserve">4.40%
4.60%
4.50%
4.30%</t>
  </si>
  <si>
    <r>
      <rPr>
        <sz val="10"/>
        <color theme="1"/>
        <rFont val="맑은 고딕"/>
        <family val="3"/>
        <charset val="129"/>
      </rPr>
      <t xml:space="preserve">03-17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4.27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4.12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</t>
    </r>
  </si>
  <si>
    <t xml:space="preserve">4.70%
4.90%
4.50%</t>
  </si>
  <si>
    <r>
      <rPr>
        <sz val="10"/>
        <color theme="1"/>
        <rFont val="맑은 고딕"/>
        <family val="3"/>
        <charset val="129"/>
      </rPr>
      <t xml:space="preserve">03-17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4.27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4.12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
* </t>
    </r>
    <r>
      <rPr>
        <sz val="10"/>
        <color theme="1"/>
        <rFont val="Noto Sans CJK SC"/>
        <family val="2"/>
      </rPr>
      <t xml:space="preserve">기업은행 제시금리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- 4.70 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- 4.90 </t>
    </r>
    <r>
      <rPr>
        <sz val="10"/>
        <color theme="1"/>
        <rFont val="Noto Sans CJK SC"/>
        <family val="2"/>
      </rPr>
      <t xml:space="preserve">에 맞춰 제시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신규 유치 및 향후 거래 활성화 위해 마진 범위내 예외적 제시</t>
    </r>
  </si>
  <si>
    <t xml:space="preserve">4.75%
4.70%
4.60%</t>
  </si>
  <si>
    <r>
      <rPr>
        <sz val="10"/>
        <color theme="1"/>
        <rFont val="맑은 고딕"/>
        <family val="3"/>
        <charset val="129"/>
      </rPr>
      <t xml:space="preserve">03-20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4.39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5.14)</t>
    </r>
  </si>
  <si>
    <t xml:space="preserve">4.45%
4.70%
4.65%</t>
  </si>
  <si>
    <r>
      <rPr>
        <sz val="10"/>
        <color theme="1"/>
        <rFont val="맑은 고딕"/>
        <family val="3"/>
        <charset val="129"/>
      </rPr>
      <t xml:space="preserve">03-20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</si>
  <si>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1M
3M
6M
9M</t>
  </si>
  <si>
    <t xml:space="preserve">4.45%
4.70%
4.65%
4.60%</t>
  </si>
  <si>
    <r>
      <rPr>
        <sz val="10"/>
        <color theme="1"/>
        <rFont val="맑은 고딕"/>
        <family val="3"/>
        <charset val="129"/>
      </rPr>
      <t xml:space="preserve">03-21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5.07, 3M - LBBW SL 5.10,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4.74,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4.44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4.69 )</t>
    </r>
  </si>
  <si>
    <t xml:space="preserve">3.65~3.70%</t>
  </si>
  <si>
    <r>
      <rPr>
        <sz val="10"/>
        <color theme="1"/>
        <rFont val="맑은 고딕"/>
        <family val="3"/>
        <charset val="129"/>
      </rPr>
      <t xml:space="preserve">03-21 ( MMDA - </t>
    </r>
    <r>
      <rPr>
        <sz val="10"/>
        <color theme="1"/>
        <rFont val="Noto Sans CJK SC"/>
        <family val="2"/>
      </rPr>
      <t xml:space="preserve">고시금리 </t>
    </r>
    <r>
      <rPr>
        <sz val="10"/>
        <color theme="1"/>
        <rFont val="맑은 고딕"/>
        <family val="3"/>
        <charset val="129"/>
      </rPr>
      <t xml:space="preserve">3.4401 -&gt; 0.20~ 0.25 </t>
    </r>
    <r>
      <rPr>
        <sz val="10"/>
        <color theme="1"/>
        <rFont val="Noto Sans CJK SC"/>
        <family val="2"/>
      </rPr>
      <t xml:space="preserve">가산 </t>
    </r>
    <r>
      <rPr>
        <sz val="10"/>
        <color theme="1"/>
        <rFont val="맑은 고딕"/>
        <family val="3"/>
        <charset val="129"/>
      </rPr>
      <t xml:space="preserve">-&gt; 3.65~ 3.70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
* </t>
    </r>
    <r>
      <rPr>
        <sz val="10"/>
        <color theme="1"/>
        <rFont val="Noto Sans CJK SC"/>
        <family val="2"/>
      </rPr>
      <t xml:space="preserve">타행거래고객 신규유치</t>
    </r>
  </si>
  <si>
    <r>
      <rPr>
        <sz val="10"/>
        <color theme="1"/>
        <rFont val="맑은 고딕"/>
        <family val="3"/>
        <charset val="129"/>
      </rPr>
      <t xml:space="preserve">03-22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4.38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4.65 )</t>
    </r>
  </si>
  <si>
    <t xml:space="preserve">4.45%
4.50%
4.70%
4.65%</t>
  </si>
  <si>
    <r>
      <rPr>
        <sz val="10"/>
        <color theme="1"/>
        <rFont val="맑은 고딕"/>
        <family val="3"/>
        <charset val="129"/>
      </rPr>
      <t xml:space="preserve">03-27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4.51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</t>
    </r>
  </si>
  <si>
    <t xml:space="preserve">3.85%
4.50%
4.55%
4.75%
4.75%
4.60%</t>
  </si>
  <si>
    <r>
      <rPr>
        <sz val="10"/>
        <color theme="1"/>
        <rFont val="맑은 고딕"/>
        <family val="3"/>
        <charset val="129"/>
      </rPr>
      <t xml:space="preserve">03-29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5.05,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4.85,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4.49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4.79)</t>
    </r>
  </si>
  <si>
    <t xml:space="preserve">4.50%
4.60%
4.75%
4.80%</t>
  </si>
  <si>
    <r>
      <rPr>
        <sz val="10"/>
        <color theme="1"/>
        <rFont val="맑은 고딕"/>
        <family val="3"/>
        <charset val="129"/>
      </rPr>
      <t xml:space="preserve">03-31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5.02,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4.90)</t>
    </r>
  </si>
  <si>
    <t xml:space="preserve">4.50%
4.75%
4.75%</t>
  </si>
  <si>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5.12,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5.12)</t>
    </r>
  </si>
  <si>
    <r>
      <rPr>
        <sz val="10"/>
        <color theme="1"/>
        <rFont val="맑은 고딕"/>
        <family val="3"/>
        <charset val="129"/>
      </rPr>
      <t xml:space="preserve">04-10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5.03)</t>
    </r>
  </si>
  <si>
    <t xml:space="preserve">4.50%
4.75%
4.75%
4.55%</t>
  </si>
  <si>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5.12,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- 4.55 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- 5.01)</t>
    </r>
  </si>
  <si>
    <t xml:space="preserve">4.55%
4.60%
4.80%</t>
  </si>
  <si>
    <r>
      <rPr>
        <sz val="10"/>
        <color theme="1"/>
        <rFont val="맑은 고딕"/>
        <family val="3"/>
        <charset val="129"/>
      </rPr>
      <t xml:space="preserve">04-12 16:20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2M - LBBW SL  5.13,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</si>
  <si>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r>
      <rPr>
        <sz val="10"/>
        <color theme="1"/>
        <rFont val="맑은 고딕"/>
        <family val="3"/>
        <charset val="129"/>
      </rPr>
      <t xml:space="preserve">04-14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</si>
  <si>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t xml:space="preserve">4.55%
4.80%
4.80%
4.60%</t>
  </si>
  <si>
    <r>
      <rPr>
        <sz val="10"/>
        <color theme="1"/>
        <rFont val="맑은 고딕"/>
        <family val="3"/>
        <charset val="129"/>
      </rPr>
      <t xml:space="preserve">04-17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5.20), 6M - </t>
    </r>
    <r>
      <rPr>
        <sz val="10"/>
        <color theme="1"/>
        <rFont val="Noto Sans CJK SC"/>
        <family val="2"/>
      </rPr>
      <t xml:space="preserve">시조오카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4.65,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5.06)</t>
    </r>
  </si>
  <si>
    <t xml:space="preserve">4.80%
4.85%
4.65%</t>
  </si>
  <si>
    <r>
      <rPr>
        <sz val="10"/>
        <color theme="1"/>
        <rFont val="맑은 고딕"/>
        <family val="3"/>
        <charset val="129"/>
      </rPr>
      <t xml:space="preserve">04-18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5.08,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6M - </t>
    </r>
    <r>
      <rPr>
        <sz val="10"/>
        <color theme="1"/>
        <rFont val="Noto Sans CJK SC"/>
        <family val="2"/>
      </rPr>
      <t xml:space="preserve">시조오카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4.75,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</si>
  <si>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5.15%
5.20%</t>
  </si>
  <si>
    <r>
      <rPr>
        <sz val="10"/>
        <color theme="1"/>
        <rFont val="맑은 고딕"/>
        <family val="3"/>
        <charset val="129"/>
      </rPr>
      <t xml:space="preserve">04-18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수출입은행 아시아법인 </t>
    </r>
    <r>
      <rPr>
        <sz val="10"/>
        <color theme="1"/>
        <rFont val="맑은 고딕"/>
        <family val="3"/>
        <charset val="129"/>
      </rPr>
      <t xml:space="preserve">5.30 , </t>
    </r>
    <r>
      <rPr>
        <sz val="10"/>
        <color theme="1"/>
        <rFont val="Noto Sans CJK SC"/>
        <family val="2"/>
      </rPr>
      <t xml:space="preserve">산업은행 아시아법인 </t>
    </r>
    <r>
      <rPr>
        <sz val="10"/>
        <color theme="1"/>
        <rFont val="맑은 고딕"/>
        <family val="3"/>
        <charset val="129"/>
      </rPr>
      <t xml:space="preserve">5.30 , </t>
    </r>
    <r>
      <rPr>
        <sz val="10"/>
        <color theme="1"/>
        <rFont val="Noto Sans CJK SC"/>
        <family val="2"/>
      </rPr>
      <t xml:space="preserve">롱</t>
    </r>
    <r>
      <rPr>
        <sz val="10"/>
        <color theme="1"/>
        <rFont val="맑은 고딕"/>
        <family val="3"/>
        <charset val="129"/>
      </rPr>
      <t xml:space="preserve">3M (103</t>
    </r>
    <r>
      <rPr>
        <sz val="10"/>
        <color theme="1"/>
        <rFont val="Noto Sans CJK SC"/>
        <family val="2"/>
      </rPr>
      <t xml:space="preserve">일물</t>
    </r>
    <r>
      <rPr>
        <sz val="10"/>
        <color theme="1"/>
        <rFont val="맑은 고딕"/>
        <family val="3"/>
        <charset val="129"/>
      </rPr>
      <t xml:space="preserve">) - </t>
    </r>
    <r>
      <rPr>
        <sz val="10"/>
        <color theme="1"/>
        <rFont val="Noto Sans CJK SC"/>
        <family val="2"/>
      </rPr>
      <t xml:space="preserve">워리홍콩 </t>
    </r>
    <r>
      <rPr>
        <sz val="10"/>
        <color theme="1"/>
        <rFont val="맑은 고딕"/>
        <family val="3"/>
        <charset val="129"/>
      </rPr>
      <t xml:space="preserve">5.37, 6M - </t>
    </r>
    <r>
      <rPr>
        <sz val="10"/>
        <color theme="1"/>
        <rFont val="Noto Sans CJK SC"/>
        <family val="2"/>
      </rPr>
      <t xml:space="preserve">워리홍콩 </t>
    </r>
    <r>
      <rPr>
        <sz val="10"/>
        <color theme="1"/>
        <rFont val="맑은 고딕"/>
        <family val="3"/>
        <charset val="129"/>
      </rPr>
      <t xml:space="preserve">5.40))
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산업은행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제시금리로 요구</t>
    </r>
    <r>
      <rPr>
        <sz val="10"/>
        <color theme="1"/>
        <rFont val="맑은 고딕"/>
        <family val="3"/>
        <charset val="129"/>
      </rPr>
      <t xml:space="preserve">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- 5.15 , 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- 5.28 
- 3</t>
    </r>
    <r>
      <rPr>
        <sz val="10"/>
        <color theme="1"/>
        <rFont val="Noto Sans CJK SC"/>
        <family val="2"/>
      </rPr>
      <t xml:space="preserve">개월로 신규 가능성 큼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신규당일 타행금리 수준 및 당행 제시가능금리 반드시 재확인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머니마켓 최고금리 및 종수시스템 마진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필요 안내함
</t>
    </r>
  </si>
  <si>
    <t xml:space="preserve">4.55%
4.80%
4.85%</t>
  </si>
  <si>
    <r>
      <rPr>
        <sz val="10"/>
        <color theme="1"/>
        <rFont val="맑은 고딕"/>
        <family val="3"/>
        <charset val="129"/>
      </rPr>
      <t xml:space="preserve">04-20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</si>
  <si>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석유공사 입찰</t>
  </si>
  <si>
    <r>
      <rPr>
        <sz val="10"/>
        <color theme="1"/>
        <rFont val="맑은 고딕"/>
        <family val="3"/>
        <charset val="129"/>
      </rPr>
      <t xml:space="preserve">04-24 </t>
    </r>
    <r>
      <rPr>
        <sz val="10"/>
        <color theme="1"/>
        <rFont val="Noto Sans CJK SC"/>
        <family val="2"/>
      </rPr>
      <t xml:space="preserve">석유공사 오전 </t>
    </r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시 금리입찰 마감 </t>
    </r>
    <r>
      <rPr>
        <sz val="10"/>
        <color theme="1"/>
        <rFont val="맑은 고딕"/>
        <family val="3"/>
        <charset val="129"/>
      </rPr>
      <t xml:space="preserve">- 9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50</t>
    </r>
    <r>
      <rPr>
        <sz val="10"/>
        <color theme="1"/>
        <rFont val="Noto Sans CJK SC"/>
        <family val="2"/>
      </rPr>
      <t xml:space="preserve">분까지 영업점에 금리 제시 하기로 함</t>
    </r>
    <r>
      <rPr>
        <sz val="10"/>
        <color theme="1"/>
        <rFont val="맑은 고딕"/>
        <family val="3"/>
        <charset val="129"/>
      </rPr>
      <t xml:space="preserve">.
- </t>
    </r>
    <r>
      <rPr>
        <sz val="10"/>
        <color theme="1"/>
        <rFont val="Noto Sans CJK SC"/>
        <family val="2"/>
      </rPr>
      <t xml:space="preserve">예금기간 </t>
    </r>
    <r>
      <rPr>
        <sz val="10"/>
        <color theme="1"/>
        <rFont val="맑은 고딕"/>
        <family val="3"/>
        <charset val="129"/>
      </rPr>
      <t xml:space="preserve">: 04.24 ~ 05.30 (1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일</t>
    </r>
    <r>
      <rPr>
        <sz val="10"/>
        <color theme="1"/>
        <rFont val="맑은 고딕"/>
        <family val="3"/>
        <charset val="129"/>
      </rPr>
      <t xml:space="preserve">)
- </t>
    </r>
    <r>
      <rPr>
        <sz val="10"/>
        <color theme="1"/>
        <rFont val="Noto Sans CJK SC"/>
        <family val="2"/>
      </rPr>
      <t xml:space="preserve">인포맥스 화면번호 </t>
    </r>
    <r>
      <rPr>
        <sz val="10"/>
        <color theme="1"/>
        <rFont val="맑은 고딕"/>
        <family val="3"/>
        <charset val="129"/>
      </rPr>
      <t xml:space="preserve">2231 , 2236
- </t>
    </r>
    <r>
      <rPr>
        <sz val="10"/>
        <color theme="1"/>
        <rFont val="Noto Sans CJK SC"/>
        <family val="2"/>
      </rPr>
      <t xml:space="preserve">넥스피아 화면번호 </t>
    </r>
    <r>
      <rPr>
        <sz val="10"/>
        <color theme="1"/>
        <rFont val="맑은 고딕"/>
        <family val="3"/>
        <charset val="129"/>
      </rPr>
      <t xml:space="preserve">7452
- </t>
    </r>
    <r>
      <rPr>
        <sz val="10"/>
        <color theme="1"/>
        <rFont val="Noto Sans CJK SC"/>
        <family val="2"/>
      </rPr>
      <t xml:space="preserve">종합수익관리시스템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자금원가 </t>
    </r>
    <r>
      <rPr>
        <sz val="10"/>
        <color theme="1"/>
        <rFont val="맑은 고딕"/>
        <family val="3"/>
        <charset val="129"/>
      </rPr>
      <t xml:space="preserve">-</t>
    </r>
    <r>
      <rPr>
        <sz val="10"/>
        <color theme="1"/>
        <rFont val="Noto Sans CJK SC"/>
        <family val="2"/>
      </rPr>
      <t xml:space="preserve">상품별 마진율 시뮬레이션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외화정기예금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기간 금리 통화 선택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조회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머니마켓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운용가능금리</t>
    </r>
  </si>
  <si>
    <r>
      <rPr>
        <sz val="10"/>
        <color theme="1"/>
        <rFont val="맑은 고딕"/>
        <family val="3"/>
        <charset val="129"/>
      </rPr>
      <t xml:space="preserve">04-24 14:20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</si>
  <si>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3.85%
4.70%
4.75%
4.90%
4.95%
4.85%</t>
  </si>
  <si>
    <r>
      <rPr>
        <sz val="10"/>
        <color theme="1"/>
        <rFont val="맑은 고딕"/>
        <family val="3"/>
        <charset val="129"/>
      </rPr>
      <t xml:space="preserve">04-25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5.25, 6M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5.40,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4.83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5.20)</t>
    </r>
  </si>
  <si>
    <r>
      <rPr>
        <sz val="10"/>
        <color theme="1"/>
        <rFont val="맑은 고딕"/>
        <family val="3"/>
        <charset val="129"/>
      </rPr>
      <t xml:space="preserve">04-28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5.30)</t>
    </r>
  </si>
  <si>
    <r>
      <rPr>
        <sz val="10"/>
        <color theme="1"/>
        <rFont val="맑은 고딕"/>
        <family val="3"/>
        <charset val="129"/>
      </rPr>
      <t xml:space="preserve">04-28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</si>
  <si>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05-03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SL  5.32)</t>
    </r>
  </si>
  <si>
    <t xml:space="preserve">4.95%
4.90%</t>
  </si>
  <si>
    <r>
      <rPr>
        <sz val="10"/>
        <color theme="1"/>
        <rFont val="맑은 고딕"/>
        <family val="3"/>
        <charset val="129"/>
      </rPr>
      <t xml:space="preserve">05-08 16:10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5.37 , 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5.35)</t>
    </r>
  </si>
  <si>
    <t xml:space="preserve">4.93%
4.88%</t>
  </si>
  <si>
    <r>
      <rPr>
        <sz val="10"/>
        <color theme="1"/>
        <rFont val="맑은 고딕"/>
        <family val="3"/>
        <charset val="129"/>
      </rPr>
      <t xml:space="preserve">05-09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</si>
  <si>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</si>
  <si>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</si>
  <si>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t xml:space="preserve">미정
(15일 이후~)</t>
  </si>
  <si>
    <t xml:space="preserve">4.07%
5.05%
5.15%</t>
  </si>
  <si>
    <r>
      <rPr>
        <sz val="10"/>
        <color theme="1"/>
        <rFont val="맑은 고딕"/>
        <family val="3"/>
        <charset val="129"/>
      </rPr>
      <t xml:space="preserve">05-10 17:30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  SMTB 5.25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</si>
  <si>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t xml:space="preserve">5.05%
4.95%</t>
  </si>
  <si>
    <r>
      <rPr>
        <sz val="10"/>
        <color theme="1"/>
        <rFont val="맑은 고딕"/>
        <family val="3"/>
        <charset val="129"/>
      </rPr>
      <t xml:space="preserve">05-18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4.81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4.70  </t>
    </r>
    <r>
      <rPr>
        <sz val="10"/>
        <color theme="1"/>
        <rFont val="Noto Sans CJK SC"/>
        <family val="2"/>
      </rPr>
      <t xml:space="preserve">최고금리 </t>
    </r>
    <r>
      <rPr>
        <sz val="10"/>
        <color theme="1"/>
        <rFont val="맑은 고딕"/>
        <family val="3"/>
        <charset val="129"/>
      </rPr>
      <t xml:space="preserve">4.99)
12</t>
    </r>
    <r>
      <rPr>
        <sz val="10"/>
        <color theme="1"/>
        <rFont val="Noto Sans CJK SC"/>
        <family val="2"/>
      </rPr>
      <t xml:space="preserve">개월은 거래호가가 없어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제시금리에서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개월타행평균과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개월타행평균 차이</t>
    </r>
    <r>
      <rPr>
        <sz val="10"/>
        <color theme="1"/>
        <rFont val="맑은 고딕"/>
        <family val="3"/>
        <charset val="129"/>
      </rPr>
      <t xml:space="preserve">(10bp)</t>
    </r>
    <r>
      <rPr>
        <sz val="10"/>
        <color theme="1"/>
        <rFont val="Noto Sans CJK SC"/>
        <family val="2"/>
      </rPr>
      <t xml:space="preserve">만큼 차감</t>
    </r>
  </si>
  <si>
    <r>
      <rPr>
        <sz val="10"/>
        <color theme="1"/>
        <rFont val="맑은 고딕"/>
        <family val="3"/>
        <charset val="129"/>
      </rPr>
      <t xml:space="preserve">05-18 17:30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(BGC </t>
    </r>
    <r>
      <rPr>
        <sz val="10"/>
        <color theme="1"/>
        <rFont val="Noto Sans CJK SC"/>
        <family val="2"/>
      </rPr>
      <t xml:space="preserve">김상희 부장 </t>
    </r>
    <r>
      <rPr>
        <sz val="10"/>
        <color theme="1"/>
        <rFont val="맑은 고딕"/>
        <family val="3"/>
        <charset val="129"/>
      </rPr>
      <t xml:space="preserve">3M - </t>
    </r>
    <r>
      <rPr>
        <sz val="10"/>
        <color theme="1"/>
        <rFont val="Noto Sans CJK SC"/>
        <family val="2"/>
      </rPr>
      <t xml:space="preserve">우리서울 </t>
    </r>
    <r>
      <rPr>
        <sz val="10"/>
        <color theme="1"/>
        <rFont val="맑은 고딕"/>
        <family val="3"/>
        <charset val="129"/>
      </rPr>
      <t xml:space="preserve">5.41%)
-5-23 </t>
    </r>
    <r>
      <rPr>
        <sz val="10"/>
        <color theme="1"/>
        <rFont val="Noto Sans CJK SC"/>
        <family val="2"/>
      </rPr>
      <t xml:space="preserve">신규예정일 금리 재화인 필요 강조 안내</t>
    </r>
  </si>
  <si>
    <t xml:space="preserve">4.90%
5.05%
5.10%</t>
  </si>
  <si>
    <r>
      <rPr>
        <sz val="10"/>
        <color theme="1"/>
        <rFont val="맑은 고딕"/>
        <family val="3"/>
        <charset val="129"/>
      </rPr>
      <t xml:space="preserve">05-22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5.33,  3M - LBBS SL 5.40,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5.40)</t>
    </r>
  </si>
  <si>
    <t xml:space="preserve">미정
(재예치)</t>
  </si>
  <si>
    <t xml:space="preserve">4.95%
5.05%
5.10%</t>
  </si>
  <si>
    <r>
      <rPr>
        <sz val="10"/>
        <color theme="1"/>
        <rFont val="맑은 고딕"/>
        <family val="3"/>
        <charset val="129"/>
      </rPr>
      <t xml:space="preserve">05-26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5.35,  2M - LBBW SL 5.45, 3M - LBBW SL 5.50)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40bp </t>
    </r>
    <r>
      <rPr>
        <sz val="10"/>
        <color theme="1"/>
        <rFont val="Noto Sans CJK SC"/>
        <family val="2"/>
      </rPr>
      <t xml:space="preserve">차감 후 제시</t>
    </r>
  </si>
  <si>
    <t xml:space="preserve">4.10%
4.40%</t>
  </si>
  <si>
    <r>
      <rPr>
        <sz val="10"/>
        <color theme="1"/>
        <rFont val="맑은 고딕"/>
        <family val="3"/>
        <charset val="129"/>
      </rPr>
      <t xml:space="preserve">05-31 17:00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resona 5.25 ,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4.41)</t>
    </r>
  </si>
  <si>
    <t xml:space="preserve">기본고시금리 +0.20 ~ 0.25 범위내 제시</t>
  </si>
  <si>
    <r>
      <rPr>
        <sz val="10"/>
        <color theme="1"/>
        <rFont val="맑은 고딕"/>
        <family val="3"/>
        <charset val="129"/>
      </rPr>
      <t xml:space="preserve">06-02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</si>
  <si>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06-09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5.42)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</si>
  <si>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대성산업</t>
  </si>
  <si>
    <r>
      <rPr>
        <sz val="10"/>
        <color theme="1"/>
        <rFont val="맑은 고딕"/>
        <family val="3"/>
        <charset val="129"/>
      </rPr>
      <t xml:space="preserve">06-12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</si>
  <si>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4.95%
5.15%
5.25%</t>
  </si>
  <si>
    <r>
      <rPr>
        <sz val="10"/>
        <color theme="1"/>
        <rFont val="맑은 고딕"/>
        <family val="3"/>
        <charset val="129"/>
      </rPr>
      <t xml:space="preserve">06-20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5.34,  3M - LBBW SL 5.53,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 /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5.27(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5.65~5.75)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</si>
  <si>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평택지점</t>
  </si>
  <si>
    <t xml:space="preserve">계장 고수민</t>
  </si>
  <si>
    <t xml:space="preserve">4.95%
5.15%</t>
  </si>
  <si>
    <r>
      <rPr>
        <sz val="10"/>
        <color theme="1"/>
        <rFont val="맑은 고딕"/>
        <family val="3"/>
        <charset val="129"/>
      </rPr>
      <t xml:space="preserve">06-21 14:20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5.38,  3M - LBBW SL 5.53)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</si>
  <si>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06-22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5.38,  3M - LBBW SL 5.55, 6M - </t>
    </r>
    <r>
      <rPr>
        <sz val="10"/>
        <color theme="1"/>
        <rFont val="Noto Sans CJK SC"/>
        <family val="2"/>
      </rPr>
      <t xml:space="preserve">타행평균     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최고    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5.70~5.80)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</si>
  <si>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06-27 
~
07.10</t>
  </si>
  <si>
    <r>
      <rPr>
        <sz val="10"/>
        <color theme="1"/>
        <rFont val="맑은 고딕"/>
        <family val="3"/>
        <charset val="129"/>
      </rPr>
      <t xml:space="preserve">13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</si>
  <si>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5.24)</t>
    </r>
  </si>
  <si>
    <t xml:space="preserve">06-27 
~
07.21</t>
  </si>
  <si>
    <r>
      <rPr>
        <sz val="10"/>
        <color theme="1"/>
        <rFont val="맑은 고딕"/>
        <family val="3"/>
        <charset val="129"/>
      </rPr>
      <t xml:space="preserve">24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(3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</si>
  <si>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5.24)
- 3</t>
    </r>
    <r>
      <rPr>
        <sz val="10"/>
        <color theme="1"/>
        <rFont val="Noto Sans CJK SC"/>
        <family val="2"/>
      </rPr>
      <t xml:space="preserve">주 운용 불가능시에도 오버나잇 금리 </t>
    </r>
    <r>
      <rPr>
        <sz val="10"/>
        <color theme="1"/>
        <rFont val="맑은 고딕"/>
        <family val="3"/>
        <charset val="129"/>
      </rPr>
      <t xml:space="preserve">5.10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(20bp</t>
    </r>
    <r>
      <rPr>
        <sz val="10"/>
        <color theme="1"/>
        <rFont val="Noto Sans CJK SC"/>
        <family val="2"/>
      </rPr>
      <t xml:space="preserve">차감 </t>
    </r>
    <r>
      <rPr>
        <sz val="10"/>
        <color theme="1"/>
        <rFont val="맑은 고딕"/>
        <family val="3"/>
        <charset val="129"/>
      </rPr>
      <t xml:space="preserve">- 4.90) </t>
    </r>
    <r>
      <rPr>
        <sz val="10"/>
        <color theme="1"/>
        <rFont val="Noto Sans CJK SC"/>
        <family val="2"/>
      </rPr>
      <t xml:space="preserve">운용가능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오버나잇 노마진금리 </t>
    </r>
    <r>
      <rPr>
        <sz val="10"/>
        <color theme="1"/>
        <rFont val="맑은 고딕"/>
        <family val="3"/>
        <charset val="129"/>
      </rPr>
      <t xml:space="preserve">4.90 </t>
    </r>
  </si>
  <si>
    <r>
      <rPr>
        <sz val="10"/>
        <color theme="1"/>
        <rFont val="맑은 고딕"/>
        <family val="3"/>
        <charset val="129"/>
      </rPr>
      <t xml:space="preserve">07-06 15:00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5.29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5.33)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</si>
  <si>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07-07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</si>
  <si>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4.95%
5.10%
5.25%</t>
  </si>
  <si>
    <t xml:space="preserve">1.50m</t>
  </si>
  <si>
    <r>
      <rPr>
        <sz val="10"/>
        <color theme="1"/>
        <rFont val="맑은 고딕"/>
        <family val="3"/>
        <charset val="129"/>
      </rPr>
      <t xml:space="preserve">07-10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5.30, 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5.45, 6M - </t>
    </r>
    <r>
      <rPr>
        <sz val="10"/>
        <color theme="1"/>
        <rFont val="Noto Sans CJK SC"/>
        <family val="2"/>
      </rPr>
      <t xml:space="preserve">타행평균      </t>
    </r>
    <r>
      <rPr>
        <sz val="10"/>
        <color theme="1"/>
        <rFont val="맑은 고딕"/>
        <family val="3"/>
        <charset val="129"/>
      </rPr>
      <t xml:space="preserve">/      (</t>
    </r>
    <r>
      <rPr>
        <sz val="10"/>
        <color theme="1"/>
        <rFont val="Noto Sans CJK SC"/>
        <family val="2"/>
      </rPr>
      <t xml:space="preserve">수협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</si>
  <si>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차장 김대원</t>
  </si>
  <si>
    <r>
      <rPr>
        <sz val="10"/>
        <color theme="1"/>
        <rFont val="맑은 고딕"/>
        <family val="3"/>
        <charset val="129"/>
      </rPr>
      <t xml:space="preserve">07-18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12M - </t>
    </r>
    <r>
      <rPr>
        <sz val="10"/>
        <color theme="1"/>
        <rFont val="Noto Sans CJK SC"/>
        <family val="2"/>
      </rPr>
      <t xml:space="preserve">머니마켓 운용금리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타행최고금리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5.47
- </t>
    </r>
    <r>
      <rPr>
        <sz val="10"/>
        <color theme="1"/>
        <rFont val="Noto Sans CJK SC"/>
        <family val="2"/>
      </rPr>
      <t xml:space="preserve">당일 신규 없음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추후 재확인</t>
    </r>
  </si>
  <si>
    <r>
      <rPr>
        <sz val="10"/>
        <color theme="1"/>
        <rFont val="맑은 고딕"/>
        <family val="3"/>
        <charset val="129"/>
      </rPr>
      <t xml:space="preserve">07-21 09:25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5.37,  3M - LBBW SL 5.55, 6M - LBBW SL 5.80 )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</si>
  <si>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5.05%
5.10%
5.20%</t>
  </si>
  <si>
    <r>
      <rPr>
        <sz val="10"/>
        <color theme="1"/>
        <rFont val="맑은 고딕"/>
        <family val="3"/>
        <charset val="129"/>
      </rPr>
      <t xml:space="preserve">07-26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</si>
  <si>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07-27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</si>
  <si>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07-27 
~
08-14</t>
  </si>
  <si>
    <r>
      <rPr>
        <sz val="10"/>
        <color theme="1"/>
        <rFont val="맑은 고딕"/>
        <family val="3"/>
        <charset val="129"/>
      </rPr>
      <t xml:space="preserve">18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</si>
  <si>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5.40)</t>
    </r>
  </si>
  <si>
    <t xml:space="preserve">07-27 
~
08-21</t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</si>
  <si>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(3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</si>
  <si>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5.42)
- 3</t>
    </r>
    <r>
      <rPr>
        <sz val="10"/>
        <color theme="1"/>
        <rFont val="Noto Sans CJK SC"/>
        <family val="2"/>
      </rPr>
      <t xml:space="preserve">주 운용 불가능시에도 오버나잇 금리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(20bp</t>
    </r>
    <r>
      <rPr>
        <sz val="10"/>
        <color theme="1"/>
        <rFont val="Noto Sans CJK SC"/>
        <family val="2"/>
      </rPr>
      <t xml:space="preserve">차감 </t>
    </r>
    <r>
      <rPr>
        <sz val="10"/>
        <color theme="1"/>
        <rFont val="맑은 고딕"/>
        <family val="3"/>
        <charset val="129"/>
      </rPr>
      <t xml:space="preserve">- 5.10) </t>
    </r>
    <r>
      <rPr>
        <sz val="10"/>
        <color theme="1"/>
        <rFont val="Noto Sans CJK SC"/>
        <family val="2"/>
      </rPr>
      <t xml:space="preserve">운용가능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오버나잇 노마진금리 </t>
    </r>
    <r>
      <rPr>
        <sz val="10"/>
        <color theme="1"/>
        <rFont val="맑은 고딕"/>
        <family val="3"/>
        <charset val="129"/>
      </rPr>
      <t xml:space="preserve">5.10</t>
    </r>
  </si>
  <si>
    <t xml:space="preserve">한국비철</t>
  </si>
  <si>
    <r>
      <rPr>
        <sz val="10"/>
        <color theme="1"/>
        <rFont val="맑은 고딕"/>
        <family val="3"/>
        <charset val="129"/>
      </rPr>
      <t xml:space="preserve">08-07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</si>
  <si>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세도캠핑</t>
  </si>
  <si>
    <t xml:space="preserve">5.15%
5.25%</t>
  </si>
  <si>
    <r>
      <rPr>
        <sz val="10"/>
        <color theme="1"/>
        <rFont val="맑은 고딕"/>
        <family val="3"/>
        <charset val="129"/>
      </rPr>
      <t xml:space="preserve">08-07 16:00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5.16 /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5.41(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5.75~5.85)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</si>
  <si>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08-07 16:25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업체에서 더 높은 금리 요구 </t>
    </r>
    <r>
      <rPr>
        <sz val="10"/>
        <color theme="1"/>
        <rFont val="맑은 고딕"/>
        <family val="3"/>
        <charset val="129"/>
      </rPr>
      <t xml:space="preserve">: 5bp </t>
    </r>
    <r>
      <rPr>
        <sz val="10"/>
        <color theme="1"/>
        <rFont val="Noto Sans CJK SC"/>
        <family val="2"/>
      </rPr>
      <t xml:space="preserve">가산</t>
    </r>
  </si>
  <si>
    <r>
      <rPr>
        <sz val="10"/>
        <color theme="1"/>
        <rFont val="맑은 고딕"/>
        <family val="3"/>
        <charset val="129"/>
      </rPr>
      <t xml:space="preserve">08-09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5.54)
-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5.39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자동우대금리 조건 충족시 자동우대금리 적용여부 확인 안내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자동우대금리가 자금부 승인 우대금리보다 높을 수 있음</t>
    </r>
    <r>
      <rPr>
        <sz val="10"/>
        <color theme="1"/>
        <rFont val="맑은 고딕"/>
        <family val="3"/>
        <charset val="129"/>
      </rPr>
      <t xml:space="preserve">)</t>
    </r>
  </si>
  <si>
    <t xml:space="preserve">계장 원동란</t>
  </si>
  <si>
    <r>
      <rPr>
        <sz val="10"/>
        <color theme="1"/>
        <rFont val="맑은 고딕"/>
        <family val="3"/>
        <charset val="129"/>
      </rPr>
      <t xml:space="preserve">08-10 11:10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</si>
  <si>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08-10 11:10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5.45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</t>
    </r>
  </si>
  <si>
    <t xml:space="preserve">5.05%
5.15%
5.25%</t>
  </si>
  <si>
    <t xml:space="preserve">부지점장 변영배</t>
  </si>
  <si>
    <r>
      <rPr>
        <sz val="10"/>
        <color theme="1"/>
        <rFont val="맑은 고딕"/>
        <family val="3"/>
        <charset val="129"/>
      </rPr>
      <t xml:space="preserve">08-14 10: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5.62)
-</t>
    </r>
    <r>
      <rPr>
        <sz val="10"/>
        <color theme="1"/>
        <rFont val="Noto Sans CJK SC"/>
        <family val="2"/>
      </rPr>
      <t xml:space="preserve">타기관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신영증권</t>
    </r>
    <r>
      <rPr>
        <sz val="10"/>
        <color theme="1"/>
        <rFont val="맑은 고딕"/>
        <family val="3"/>
        <charset val="129"/>
      </rPr>
      <t xml:space="preserve">)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5.45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5.40</t>
    </r>
    <r>
      <rPr>
        <sz val="10"/>
        <color theme="1"/>
        <rFont val="Noto Sans CJK SC"/>
        <family val="2"/>
      </rPr>
      <t xml:space="preserve">으로 제시</t>
    </r>
  </si>
  <si>
    <t xml:space="preserve">차장 곽기애</t>
  </si>
  <si>
    <t xml:space="preserve">5.10%
5.20%</t>
  </si>
  <si>
    <r>
      <rPr>
        <sz val="10"/>
        <color theme="1"/>
        <rFont val="맑은 고딕"/>
        <family val="3"/>
        <charset val="129"/>
      </rPr>
      <t xml:space="preserve">08-16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                     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</si>
  <si>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5.20%
5.35%</t>
  </si>
  <si>
    <r>
      <rPr>
        <sz val="10"/>
        <color theme="1"/>
        <rFont val="맑은 고딕"/>
        <family val="3"/>
        <charset val="129"/>
      </rPr>
      <t xml:space="preserve">08-16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                     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국민은행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5.20, 3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제시
  신한은행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미제시</t>
    </r>
    <r>
      <rPr>
        <sz val="10"/>
        <color theme="1"/>
        <rFont val="맑은 고딕"/>
        <family val="3"/>
        <charset val="129"/>
      </rPr>
      <t xml:space="preserve">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5.32</t>
    </r>
    <r>
      <rPr>
        <sz val="10"/>
        <color theme="1"/>
        <rFont val="Noto Sans CJK SC"/>
        <family val="2"/>
      </rPr>
      <t xml:space="preserve">제시
  타행 제시금리 수준으로 요청하여 상향 제시함</t>
    </r>
  </si>
  <si>
    <r>
      <rPr>
        <sz val="10"/>
        <color theme="1"/>
        <rFont val="맑은 고딕"/>
        <family val="3"/>
        <charset val="129"/>
      </rPr>
      <t xml:space="preserve">08-16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4.1016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</si>
  <si>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08-17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5.60)
- 08-16 </t>
    </r>
    <r>
      <rPr>
        <sz val="10"/>
        <color theme="1"/>
        <rFont val="Noto Sans CJK SC"/>
        <family val="2"/>
      </rPr>
      <t xml:space="preserve">제시금리 가능여부 재확인</t>
    </r>
  </si>
  <si>
    <t xml:space="preserve">기업지점장 박수동</t>
  </si>
  <si>
    <r>
      <rPr>
        <sz val="10"/>
        <color theme="1"/>
        <rFont val="맑은 고딕"/>
        <family val="3"/>
        <charset val="129"/>
      </rPr>
      <t xml:space="preserve">08-17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5.60)
- 08-16 </t>
    </r>
    <r>
      <rPr>
        <sz val="10"/>
        <color theme="1"/>
        <rFont val="Noto Sans CJK SC"/>
        <family val="2"/>
      </rPr>
      <t xml:space="preserve">제시금리 가능여부 재확인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기업지점장 박수동 </t>
    </r>
    <r>
      <rPr>
        <sz val="10"/>
        <color theme="1"/>
        <rFont val="맑은 고딕"/>
        <family val="3"/>
        <charset val="129"/>
      </rPr>
      <t xml:space="preserve">2bp </t>
    </r>
    <r>
      <rPr>
        <sz val="10"/>
        <color theme="1"/>
        <rFont val="Noto Sans CJK SC"/>
        <family val="2"/>
      </rPr>
      <t xml:space="preserve">상향 요청으로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재제시</t>
    </r>
  </si>
  <si>
    <t xml:space="preserve">5.10%
5.25%
5.35%
5.45%</t>
  </si>
  <si>
    <r>
      <rPr>
        <sz val="10"/>
        <color theme="1"/>
        <rFont val="맑은 고딕"/>
        <family val="3"/>
        <charset val="129"/>
      </rPr>
      <t xml:space="preserve">08-18 16:30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5.51,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LBBW SL 5.76, 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5.95)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</si>
  <si>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5.10%
5.25%
5.35%</t>
  </si>
  <si>
    <r>
      <rPr>
        <sz val="10"/>
        <color theme="1"/>
        <rFont val="맑은 고딕"/>
        <family val="3"/>
        <charset val="129"/>
      </rPr>
      <t xml:space="preserve">08-21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5.59, 6M - LBBW SL 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</si>
  <si>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대구혁신도시지점</t>
  </si>
  <si>
    <t xml:space="preserve">대리 최준영</t>
  </si>
  <si>
    <t xml:space="preserve">4.30~4.35%</t>
  </si>
  <si>
    <t xml:space="preserve">10~50</t>
  </si>
  <si>
    <r>
      <rPr>
        <sz val="10"/>
        <color theme="1"/>
        <rFont val="맑은 고딕"/>
        <family val="3"/>
        <charset val="129"/>
      </rPr>
      <t xml:space="preserve">08-22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4.1024 + 0.20 ~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4.30 ~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</si>
  <si>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09-04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4.1119 + 0.20 ~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4.30 ~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</si>
  <si>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09-07 17:20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</si>
  <si>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5.15%
5.30%
5.40%</t>
  </si>
  <si>
    <r>
      <rPr>
        <sz val="10"/>
        <color theme="1"/>
        <rFont val="맑은 고딕"/>
        <family val="3"/>
        <charset val="129"/>
      </rPr>
      <t xml:space="preserve">09-11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5.67,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5.80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5.19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</si>
  <si>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09-15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4.1048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</si>
  <si>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09-21 11:20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LBBW SL 5.90, </t>
    </r>
    <r>
      <rPr>
        <sz val="10"/>
        <color theme="1"/>
        <rFont val="Noto Sans CJK SC"/>
        <family val="2"/>
      </rPr>
      <t xml:space="preserve">신한 싱가폴 </t>
    </r>
    <r>
      <rPr>
        <sz val="10"/>
        <color theme="1"/>
        <rFont val="맑은 고딕"/>
        <family val="3"/>
        <charset val="129"/>
      </rPr>
      <t xml:space="preserve">5.90)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</si>
  <si>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09-21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4.1108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</si>
  <si>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t xml:space="preserve">차장 곽귀애</t>
  </si>
  <si>
    <t xml:space="preserve">5.15%
5.30%</t>
  </si>
  <si>
    <t xml:space="preserve">외화정기예금</t>
  </si>
  <si>
    <r>
      <rPr>
        <sz val="10"/>
        <color theme="1"/>
        <rFont val="맑은 고딕"/>
        <family val="3"/>
        <charset val="129"/>
      </rPr>
      <t xml:space="preserve">15:33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UOB </t>
    </r>
    <r>
      <rPr>
        <sz val="10"/>
        <color theme="1"/>
        <rFont val="Noto Sans CJK SC"/>
        <family val="2"/>
      </rPr>
      <t xml:space="preserve">서울 </t>
    </r>
    <r>
      <rPr>
        <sz val="10"/>
        <color theme="1"/>
        <rFont val="맑은 고딕"/>
        <family val="3"/>
        <charset val="129"/>
      </rPr>
      <t xml:space="preserve">5.45%,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</si>
  <si>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정기</t>
  </si>
  <si>
    <r>
      <rPr>
        <sz val="10"/>
        <color theme="1"/>
        <rFont val="맑은 고딕"/>
        <family val="3"/>
        <charset val="129"/>
      </rPr>
      <t xml:space="preserve">10-10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5.58)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</si>
  <si>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10-16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4.1131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
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</si>
  <si>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행원 강경욱</t>
  </si>
  <si>
    <r>
      <rPr>
        <sz val="10"/>
        <color theme="1"/>
        <rFont val="맑은 고딕"/>
        <family val="3"/>
        <charset val="129"/>
      </rPr>
      <t xml:space="preserve">13:15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5.54% 
10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18</t>
    </r>
    <r>
      <rPr>
        <sz val="10"/>
        <color theme="1"/>
        <rFont val="Noto Sans CJK SC"/>
        <family val="2"/>
      </rPr>
      <t xml:space="preserve">일에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5.15%</t>
    </r>
    <r>
      <rPr>
        <sz val="10"/>
        <color theme="1"/>
        <rFont val="Noto Sans CJK SC"/>
        <family val="2"/>
      </rPr>
      <t xml:space="preserve">로 안내했으나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네고 가능한지 물어와 </t>
    </r>
    <r>
      <rPr>
        <sz val="10"/>
        <color theme="1"/>
        <rFont val="맑은 고딕"/>
        <family val="3"/>
        <charset val="129"/>
      </rPr>
      <t xml:space="preserve">5.20</t>
    </r>
    <r>
      <rPr>
        <sz val="10"/>
        <color theme="1"/>
        <rFont val="Noto Sans CJK SC"/>
        <family val="2"/>
      </rPr>
      <t xml:space="preserve">제시함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업체에서 타 증권사에서 </t>
    </r>
    <r>
      <rPr>
        <sz val="10"/>
        <color theme="1"/>
        <rFont val="맑은 고딕"/>
        <family val="3"/>
        <charset val="129"/>
      </rPr>
      <t xml:space="preserve">5.5% </t>
    </r>
    <r>
      <rPr>
        <sz val="10"/>
        <color theme="1"/>
        <rFont val="Noto Sans CJK SC"/>
        <family val="2"/>
      </rPr>
      <t xml:space="preserve">정도 제시받았다고 함</t>
    </r>
    <r>
      <rPr>
        <sz val="10"/>
        <color theme="1"/>
        <rFont val="맑은 고딕"/>
        <family val="3"/>
        <charset val="129"/>
      </rPr>
      <t xml:space="preserve">.</t>
    </r>
  </si>
  <si>
    <t xml:space="preserve">5.35%
5.45%
5.55%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</si>
  <si>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5.83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5.53, 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5.29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5.62)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</si>
  <si>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계장 박예슬
부지점장 이성규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</si>
  <si>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5.83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5.53, 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5.29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5.62)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기업은행에서 </t>
    </r>
    <r>
      <rPr>
        <sz val="10"/>
        <color theme="1"/>
        <rFont val="맑은 고딕"/>
        <family val="3"/>
        <charset val="129"/>
      </rPr>
      <t xml:space="preserve">5.72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5.65</t>
    </r>
    <r>
      <rPr>
        <sz val="10"/>
        <color theme="1"/>
        <rFont val="Noto Sans CJK SC"/>
        <family val="2"/>
      </rPr>
      <t xml:space="preserve">까지 인상가능 여부 문의옴</t>
    </r>
    <r>
      <rPr>
        <sz val="10"/>
        <color theme="1"/>
        <rFont val="맑은 고딕"/>
        <family val="3"/>
        <charset val="129"/>
      </rPr>
      <t xml:space="preserve">.
  </t>
    </r>
    <r>
      <rPr>
        <sz val="10"/>
        <color theme="1"/>
        <rFont val="Noto Sans CJK SC"/>
        <family val="2"/>
      </rPr>
      <t xml:space="preserve">성서공단영업부 외화예끔취급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예금주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한국 본사</t>
    </r>
    <r>
      <rPr>
        <sz val="10"/>
        <color theme="1"/>
        <rFont val="맑은 고딕"/>
        <family val="3"/>
        <charset val="129"/>
      </rPr>
      <t xml:space="preserve">) -&gt; </t>
    </r>
    <r>
      <rPr>
        <sz val="10"/>
        <color theme="1"/>
        <rFont val="Noto Sans CJK SC"/>
        <family val="2"/>
      </rPr>
      <t xml:space="preserve">상해지점 담보대출 취급 예정건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차주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중국 자회사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</si>
  <si>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5.85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5.51, 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 </t>
    </r>
    <r>
      <rPr>
        <sz val="10"/>
        <color theme="1"/>
        <rFont val="Noto Sans CJK SC"/>
        <family val="2"/>
      </rPr>
      <t xml:space="preserve">수협 </t>
    </r>
    <r>
      <rPr>
        <sz val="10"/>
        <color theme="1"/>
        <rFont val="맑은 고딕"/>
        <family val="3"/>
        <charset val="129"/>
      </rPr>
      <t xml:space="preserve">5.995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5.27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5.58)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</si>
  <si>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5.15%
5.20%
5.35%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</si>
  <si>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5.55,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</si>
  <si>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5.15 ~ 5.20%</t>
  </si>
  <si>
    <r>
      <rPr>
        <sz val="10"/>
        <color theme="1"/>
        <rFont val="맑은 고딕"/>
        <family val="3"/>
        <charset val="129"/>
      </rPr>
      <t xml:space="preserve">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5.53)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</si>
  <si>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r>
      <rPr>
        <sz val="10"/>
        <color theme="1"/>
        <rFont val="맑은 고딕"/>
        <family val="3"/>
        <charset val="129"/>
      </rPr>
      <t xml:space="preserve">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</si>
  <si>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화신</t>
  </si>
  <si>
    <t xml:space="preserve">4.35%
5.15%
5.35%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</si>
  <si>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</si>
  <si>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계장 원동란
부지점장 변영배</t>
  </si>
  <si>
    <t xml:space="preserve">5.25%
5.45%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</si>
  <si>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10bp</t>
    </r>
    <r>
      <rPr>
        <sz val="10"/>
        <color theme="1"/>
        <rFont val="Noto Sans CJK SC"/>
        <family val="2"/>
      </rPr>
      <t xml:space="preserve">씩 상향</t>
    </r>
  </si>
  <si>
    <t xml:space="preserve">5.30%
5.50%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</si>
  <si>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5bp</t>
    </r>
    <r>
      <rPr>
        <sz val="10"/>
        <color theme="1"/>
        <rFont val="Noto Sans CJK SC"/>
        <family val="2"/>
      </rPr>
      <t xml:space="preserve">씩 상향</t>
    </r>
  </si>
  <si>
    <r>
      <rPr>
        <sz val="10"/>
        <color theme="1"/>
        <rFont val="맑은 고딕"/>
        <family val="3"/>
        <charset val="129"/>
      </rPr>
      <t xml:space="preserve">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기업은행에서 </t>
    </r>
    <r>
      <rPr>
        <sz val="10"/>
        <color theme="1"/>
        <rFont val="맑은 고딕"/>
        <family val="3"/>
        <charset val="129"/>
      </rPr>
      <t xml:space="preserve">5.72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5.65</t>
    </r>
    <r>
      <rPr>
        <sz val="10"/>
        <color theme="1"/>
        <rFont val="Noto Sans CJK SC"/>
        <family val="2"/>
      </rPr>
      <t xml:space="preserve">까지 인상가능 여부 문의옴</t>
    </r>
    <r>
      <rPr>
        <sz val="10"/>
        <color theme="1"/>
        <rFont val="맑은 고딕"/>
        <family val="3"/>
        <charset val="129"/>
      </rPr>
      <t xml:space="preserve">.
  </t>
    </r>
    <r>
      <rPr>
        <sz val="10"/>
        <color theme="1"/>
        <rFont val="Noto Sans CJK SC"/>
        <family val="2"/>
      </rPr>
      <t xml:space="preserve">성서공단영업부 외화예끔취급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예금주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한국 본사</t>
    </r>
    <r>
      <rPr>
        <sz val="10"/>
        <color theme="1"/>
        <rFont val="맑은 고딕"/>
        <family val="3"/>
        <charset val="129"/>
      </rPr>
      <t xml:space="preserve">) -&gt; </t>
    </r>
    <r>
      <rPr>
        <sz val="10"/>
        <color theme="1"/>
        <rFont val="Noto Sans CJK SC"/>
        <family val="2"/>
      </rPr>
      <t xml:space="preserve">상해지점 담보대출 취급 예정건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차주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중국 자회사</t>
    </r>
    <r>
      <rPr>
        <sz val="10"/>
        <color theme="1"/>
        <rFont val="맑은 고딕"/>
        <family val="3"/>
        <charset val="129"/>
      </rPr>
      <t xml:space="preserve">)</t>
    </r>
  </si>
  <si>
    <t xml:space="preserve">4.35%
5.30%
5.50%</t>
  </si>
  <si>
    <r>
      <rPr>
        <sz val="10"/>
        <color theme="1"/>
        <rFont val="맑은 고딕"/>
        <family val="3"/>
        <charset val="129"/>
      </rPr>
      <t xml:space="preserve">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5bp</t>
    </r>
    <r>
      <rPr>
        <sz val="10"/>
        <color theme="1"/>
        <rFont val="Noto Sans CJK SC"/>
        <family val="2"/>
      </rPr>
      <t xml:space="preserve">씩 상향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입찰결과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삼성증권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5.75</t>
    </r>
    <r>
      <rPr>
        <sz val="10"/>
        <color theme="1"/>
        <rFont val="Noto Sans CJK SC"/>
        <family val="2"/>
      </rPr>
      <t xml:space="preserve">제시로 낙찰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향후 대구은행 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로 일부금액 신규 가능</t>
    </r>
  </si>
  <si>
    <t xml:space="preserve">5.15~5.25%</t>
  </si>
  <si>
    <r>
      <rPr>
        <sz val="10"/>
        <color theme="1"/>
        <rFont val="맑은 고딕"/>
        <family val="3"/>
        <charset val="129"/>
      </rPr>
      <t xml:space="preserve">10:50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5.48)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5.25</t>
    </r>
    <r>
      <rPr>
        <sz val="10"/>
        <color theme="1"/>
        <rFont val="Noto Sans CJK SC"/>
        <family val="2"/>
      </rPr>
      <t xml:space="preserve">까지 가능 재안내</t>
    </r>
  </si>
  <si>
    <t xml:space="preserve">오스템임플란트</t>
  </si>
  <si>
    <t xml:space="preserve">11.16
~
11.30</t>
  </si>
  <si>
    <r>
      <rPr>
        <sz val="10"/>
        <color theme="1"/>
        <rFont val="맑은 고딕"/>
        <family val="3"/>
        <charset val="129"/>
      </rPr>
      <t xml:space="preserve">14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</si>
  <si>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11-16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(ON - 5.33 ,  1W - </t>
    </r>
    <r>
      <rPr>
        <sz val="10"/>
        <color theme="1"/>
        <rFont val="Noto Sans CJK SC"/>
        <family val="2"/>
      </rPr>
      <t xml:space="preserve">미즈로 동경</t>
    </r>
    <r>
      <rPr>
        <sz val="10"/>
        <color theme="1"/>
        <rFont val="맑은 고딕"/>
        <family val="3"/>
        <charset val="129"/>
      </rPr>
      <t xml:space="preserve">/ LBBW </t>
    </r>
    <r>
      <rPr>
        <sz val="10"/>
        <color theme="1"/>
        <rFont val="Noto Sans CJK SC"/>
        <family val="2"/>
      </rPr>
      <t xml:space="preserve">싱가폴 </t>
    </r>
    <r>
      <rPr>
        <sz val="10"/>
        <color theme="1"/>
        <rFont val="맑은 고딕"/>
        <family val="3"/>
        <charset val="129"/>
      </rPr>
      <t xml:space="preserve">5.37   , 2W - SMBC 5.37)
</t>
    </r>
    <r>
      <rPr>
        <sz val="10"/>
        <color theme="1"/>
        <rFont val="Noto Sans CJK SC"/>
        <family val="2"/>
      </rPr>
      <t xml:space="preserve">오버나잇 또는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주 운용시에도 역마진 안나오는 수준 </t>
    </r>
    <r>
      <rPr>
        <sz val="10"/>
        <color theme="1"/>
        <rFont val="맑은 고딕"/>
        <family val="3"/>
        <charset val="129"/>
      </rPr>
      <t xml:space="preserve">5.10</t>
    </r>
    <r>
      <rPr>
        <sz val="10"/>
        <color theme="1"/>
        <rFont val="Noto Sans CJK SC"/>
        <family val="2"/>
      </rPr>
      <t xml:space="preserve">으로 제시</t>
    </r>
    <r>
      <rPr>
        <sz val="10"/>
        <color theme="1"/>
        <rFont val="맑은 고딕"/>
        <family val="3"/>
        <charset val="129"/>
      </rPr>
      <t xml:space="preserve">!
</t>
    </r>
    <r>
      <rPr>
        <sz val="10"/>
        <color theme="1"/>
        <rFont val="Noto Sans CJK SC"/>
        <family val="2"/>
      </rPr>
      <t xml:space="preserve">현재부터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월 이후까지 자금 상황 부족으로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억불 까지 입찰 참여</t>
    </r>
  </si>
  <si>
    <t xml:space="preserve">대우로지스틱스</t>
  </si>
  <si>
    <r>
      <rPr>
        <sz val="10"/>
        <color theme="1"/>
        <rFont val="맑은 고딕"/>
        <family val="3"/>
        <charset val="129"/>
      </rPr>
      <t xml:space="preserve">11-21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직전 승인금리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으로 연장</t>
    </r>
  </si>
  <si>
    <r>
      <rPr>
        <sz val="10"/>
        <color theme="1"/>
        <rFont val="맑은 고딕"/>
        <family val="3"/>
        <charset val="129"/>
      </rPr>
      <t xml:space="preserve">15:20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5.42 /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0.2559)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예금 신규유치 목적 우대금리 요청건</t>
    </r>
    <r>
      <rPr>
        <sz val="10"/>
        <color theme="1"/>
        <rFont val="맑은 고딕"/>
        <family val="3"/>
        <charset val="129"/>
      </rPr>
      <t xml:space="preserve">. 
 11</t>
    </r>
    <r>
      <rPr>
        <sz val="10"/>
        <color theme="1"/>
        <rFont val="Noto Sans CJK SC"/>
        <family val="2"/>
      </rPr>
      <t xml:space="preserve">월</t>
    </r>
    <r>
      <rPr>
        <sz val="10"/>
        <color theme="1"/>
        <rFont val="맑은 고딕"/>
        <family val="3"/>
        <charset val="129"/>
      </rPr>
      <t xml:space="preserve">7</t>
    </r>
    <r>
      <rPr>
        <sz val="10"/>
        <color theme="1"/>
        <rFont val="Noto Sans CJK SC"/>
        <family val="2"/>
      </rPr>
      <t xml:space="preserve">일자 상해지점 대출연계 예금신규시 제시금리 동일하게 적용 요청</t>
    </r>
    <r>
      <rPr>
        <sz val="10"/>
        <color theme="1"/>
        <rFont val="맑은 고딕"/>
        <family val="3"/>
        <charset val="129"/>
      </rPr>
      <t xml:space="preserve">. -&gt; 5.65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</si>
  <si>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11-22 12:00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직전 승인금리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으로 연장</t>
    </r>
  </si>
  <si>
    <t xml:space="preserve">한국가스공사</t>
  </si>
  <si>
    <t xml:space="preserve">MMDA
11.23~24
11.23~28</t>
  </si>
  <si>
    <t xml:space="preserve">30M
30M</t>
  </si>
  <si>
    <r>
      <rPr>
        <sz val="10"/>
        <color theme="1"/>
        <rFont val="맑은 고딕"/>
        <family val="3"/>
        <charset val="129"/>
      </rPr>
      <t xml:space="preserve">11-23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4.1146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총입찰금액 </t>
    </r>
    <r>
      <rPr>
        <sz val="10"/>
        <color theme="1"/>
        <rFont val="맑은 고딕"/>
        <family val="3"/>
        <charset val="129"/>
      </rPr>
      <t xml:space="preserve">150</t>
    </r>
    <r>
      <rPr>
        <sz val="10"/>
        <color theme="1"/>
        <rFont val="Noto Sans CJK SC"/>
        <family val="2"/>
      </rPr>
      <t xml:space="preserve">백만불 중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일물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</t>
    </r>
    <r>
      <rPr>
        <sz val="10"/>
        <color theme="1"/>
        <rFont val="맑은 고딕"/>
        <family val="3"/>
        <charset val="129"/>
      </rPr>
      <t xml:space="preserve">, 5</t>
    </r>
    <r>
      <rPr>
        <sz val="10"/>
        <color theme="1"/>
        <rFont val="Noto Sans CJK SC"/>
        <family val="2"/>
      </rPr>
      <t xml:space="preserve">일물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총 </t>
    </r>
    <r>
      <rPr>
        <sz val="10"/>
        <color theme="1"/>
        <rFont val="맑은 고딕"/>
        <family val="3"/>
        <charset val="129"/>
      </rPr>
      <t xml:space="preserve">60</t>
    </r>
    <r>
      <rPr>
        <sz val="10"/>
        <color theme="1"/>
        <rFont val="Noto Sans CJK SC"/>
        <family val="2"/>
      </rPr>
      <t xml:space="preserve">백만불만 입찰 참여</t>
    </r>
  </si>
  <si>
    <t xml:space="preserve">한국비앤씨</t>
  </si>
  <si>
    <r>
      <rPr>
        <sz val="10"/>
        <color theme="1"/>
        <rFont val="맑은 고딕"/>
        <family val="3"/>
        <charset val="129"/>
      </rPr>
      <t xml:space="preserve">14:00 (</t>
    </r>
    <r>
      <rPr>
        <sz val="10"/>
        <color theme="1"/>
        <rFont val="Noto Sans CJK SC"/>
        <family val="2"/>
      </rPr>
      <t xml:space="preserve">머니마켓 호가 없음 </t>
    </r>
    <r>
      <rPr>
        <sz val="10"/>
        <color theme="1"/>
        <rFont val="맑은 고딕"/>
        <family val="3"/>
        <charset val="129"/>
      </rPr>
      <t xml:space="preserve">/ 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기존 </t>
    </r>
    <r>
      <rPr>
        <sz val="10"/>
        <color theme="1"/>
        <rFont val="맑은 고딕"/>
        <family val="3"/>
        <charset val="129"/>
      </rPr>
      <t xml:space="preserve">5.15 </t>
    </r>
    <r>
      <rPr>
        <sz val="10"/>
        <color theme="1"/>
        <rFont val="Noto Sans CJK SC"/>
        <family val="2"/>
      </rPr>
      <t xml:space="preserve">승인건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기존 자금마진과 동일한 수준으로 제시</t>
    </r>
  </si>
  <si>
    <r>
      <rPr>
        <sz val="10"/>
        <color theme="1"/>
        <rFont val="맑은 고딕"/>
        <family val="3"/>
        <charset val="129"/>
      </rPr>
      <t xml:space="preserve">12-11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5.65)
- </t>
    </r>
    <r>
      <rPr>
        <sz val="10"/>
        <color theme="1"/>
        <rFont val="Noto Sans CJK SC"/>
        <family val="2"/>
      </rPr>
      <t xml:space="preserve">기적용 우대금리로 제시</t>
    </r>
  </si>
  <si>
    <r>
      <rPr>
        <sz val="10"/>
        <color theme="1"/>
        <rFont val="맑은 고딕"/>
        <family val="3"/>
        <charset val="129"/>
      </rPr>
      <t xml:space="preserve">12-13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4.1262
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</si>
  <si>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12-15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SMTB 5.70)</t>
    </r>
  </si>
  <si>
    <r>
      <rPr>
        <sz val="10"/>
        <color theme="1"/>
        <rFont val="맑은 고딕"/>
        <family val="3"/>
        <charset val="129"/>
      </rPr>
      <t xml:space="preserve">12-18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4.1171
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</si>
  <si>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12-18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5.73)</t>
    </r>
  </si>
  <si>
    <t xml:space="preserve">5.20%
5.40%
5.35%
5.30%
5.25%</t>
  </si>
  <si>
    <r>
      <rPr>
        <sz val="10"/>
        <color theme="1"/>
        <rFont val="맑은 고딕"/>
        <family val="3"/>
        <charset val="129"/>
      </rPr>
      <t xml:space="preserve">12-21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5.73,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4.98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5.34,
                         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4.95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5.27,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4.73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5.20)
- </t>
    </r>
    <r>
      <rPr>
        <sz val="10"/>
        <color theme="1"/>
        <rFont val="Noto Sans CJK SC"/>
        <family val="2"/>
      </rPr>
      <t xml:space="preserve">당행 기본고시금리 기간별 차이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타행금리 기간별 차이 만큼 비슷하게 차등 제시</t>
    </r>
  </si>
  <si>
    <t xml:space="preserve">5.25%
5.35%</t>
  </si>
  <si>
    <r>
      <rPr>
        <sz val="10"/>
        <color theme="1"/>
        <rFont val="맑은 고딕"/>
        <family val="3"/>
        <charset val="129"/>
      </rPr>
      <t xml:space="preserve">10:30 </t>
    </r>
    <r>
      <rPr>
        <sz val="10"/>
        <color theme="1"/>
        <rFont val="Noto Sans CJK SC"/>
        <family val="2"/>
      </rPr>
      <t xml:space="preserve">기준 머니마켓 호가 없음 </t>
    </r>
    <r>
      <rPr>
        <sz val="10"/>
        <color theme="1"/>
        <rFont val="맑은 고딕"/>
        <family val="3"/>
        <charset val="129"/>
      </rPr>
      <t xml:space="preserve">(12m </t>
    </r>
    <r>
      <rPr>
        <sz val="10"/>
        <color theme="1"/>
        <rFont val="Noto Sans CJK SC"/>
        <family val="2"/>
      </rPr>
      <t xml:space="preserve">타행제시 </t>
    </r>
    <r>
      <rPr>
        <sz val="10"/>
        <color theme="1"/>
        <rFont val="맑은 고딕"/>
        <family val="3"/>
        <charset val="129"/>
      </rPr>
      <t xml:space="preserve">4.78% / </t>
    </r>
    <r>
      <rPr>
        <sz val="10"/>
        <color theme="1"/>
        <rFont val="Noto Sans CJK SC"/>
        <family val="2"/>
      </rPr>
      <t xml:space="preserve">타행 최고 </t>
    </r>
    <r>
      <rPr>
        <sz val="10"/>
        <color theme="1"/>
        <rFont val="맑은 고딕"/>
        <family val="3"/>
        <charset val="129"/>
      </rPr>
      <t xml:space="preserve">5.08)
- 5.10% </t>
    </r>
    <r>
      <rPr>
        <sz val="10"/>
        <color theme="1"/>
        <rFont val="Noto Sans CJK SC"/>
        <family val="2"/>
      </rPr>
      <t xml:space="preserve">시 자금마진 </t>
    </r>
    <r>
      <rPr>
        <sz val="10"/>
        <color theme="1"/>
        <rFont val="맑은 고딕"/>
        <family val="3"/>
        <charset val="129"/>
      </rPr>
      <t xml:space="preserve">0.3779 / 5% </t>
    </r>
    <r>
      <rPr>
        <sz val="10"/>
        <color theme="1"/>
        <rFont val="Noto Sans CJK SC"/>
        <family val="2"/>
      </rPr>
      <t xml:space="preserve">정도에서 협의 요청함</t>
    </r>
  </si>
  <si>
    <t xml:space="preserve">5.25%
5.15%
5.05%</t>
  </si>
  <si>
    <r>
      <rPr>
        <sz val="10"/>
        <color theme="1"/>
        <rFont val="맑은 고딕"/>
        <family val="3"/>
        <charset val="129"/>
      </rPr>
      <t xml:space="preserve">15:30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광주 </t>
    </r>
    <r>
      <rPr>
        <sz val="10"/>
        <color theme="1"/>
        <rFont val="맑은 고딕"/>
        <family val="3"/>
        <charset val="129"/>
      </rPr>
      <t xml:space="preserve">5.5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4.99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5.29(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)) /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5.24(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4.68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5.16(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
</t>
    </r>
    <r>
      <rPr>
        <sz val="10"/>
        <color theme="1"/>
        <rFont val="Noto Sans CJK SC"/>
        <family val="2"/>
      </rPr>
      <t xml:space="preserve">투금부 관련 업체</t>
    </r>
  </si>
  <si>
    <t xml:space="preserve">업체에서 4.40%까지 올려달라고 요청함. 작년에 4.35% 수준에서 나갔기 때문에 급격한 상승은 힘들다고 알림.</t>
  </si>
  <si>
    <r>
      <rPr>
        <sz val="10"/>
        <color theme="1"/>
        <rFont val="맑은 고딕"/>
        <family val="3"/>
        <charset val="129"/>
      </rPr>
      <t xml:space="preserve">09:10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4.87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5.19(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</si>
  <si>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09-:40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4.60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5.04 (SC) ) / </t>
    </r>
    <r>
      <rPr>
        <sz val="10"/>
        <color theme="1"/>
        <rFont val="Noto Sans CJK SC"/>
        <family val="2"/>
      </rPr>
      <t xml:space="preserve">자금마진 </t>
    </r>
    <r>
      <rPr>
        <sz val="10"/>
        <color theme="1"/>
        <rFont val="맑은 고딕"/>
        <family val="3"/>
        <charset val="129"/>
      </rPr>
      <t xml:space="preserve">0.2227 </t>
    </r>
    <r>
      <rPr>
        <sz val="10"/>
        <color theme="1"/>
        <rFont val="Noto Sans CJK SC"/>
        <family val="2"/>
      </rPr>
      <t xml:space="preserve">수준으로 안내함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타행대비 최고 수준</t>
    </r>
  </si>
  <si>
    <r>
      <rPr>
        <sz val="10"/>
        <color theme="1"/>
        <rFont val="맑은 고딕"/>
        <family val="3"/>
        <charset val="129"/>
      </rPr>
      <t xml:space="preserve">04:30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3M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5.48 / 20BP </t>
    </r>
    <r>
      <rPr>
        <sz val="10"/>
        <color theme="1"/>
        <rFont val="Noto Sans CJK SC"/>
        <family val="2"/>
      </rPr>
      <t xml:space="preserve">차감한 최고 수준으로 안내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자금마진 </t>
    </r>
    <r>
      <rPr>
        <sz val="10"/>
        <color theme="1"/>
        <rFont val="맑은 고딕"/>
        <family val="3"/>
        <charset val="129"/>
      </rPr>
      <t xml:space="preserve">0.2967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5.28(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</t>
    </r>
  </si>
  <si>
    <t xml:space="preserve">차장 이호형</t>
  </si>
  <si>
    <t xml:space="preserve">5.15~5.18%</t>
  </si>
  <si>
    <t xml:space="preserve">5.20
5.30</t>
  </si>
  <si>
    <r>
      <rPr>
        <sz val="10"/>
        <color theme="1"/>
        <rFont val="맑은 고딕"/>
        <family val="3"/>
        <charset val="129"/>
      </rPr>
      <t xml:space="preserve">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5.42%, 3M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5.47%</t>
    </r>
  </si>
  <si>
    <r>
      <rPr>
        <sz val="10"/>
        <color theme="1"/>
        <rFont val="맑은 고딕"/>
        <family val="3"/>
        <charset val="129"/>
      </rPr>
      <t xml:space="preserve">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5.43%</t>
    </r>
  </si>
  <si>
    <t xml:space="preserve">5.2%
5.25
5.30
5.30</t>
  </si>
  <si>
    <r>
      <rPr>
        <sz val="10"/>
        <color theme="1"/>
        <rFont val="맑은 고딕"/>
        <family val="3"/>
        <charset val="129"/>
      </rPr>
      <t xml:space="preserve">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5.43% / 2M 5.47 / 3M 5.48</t>
    </r>
  </si>
  <si>
    <t xml:space="preserve">행원 황제석</t>
  </si>
  <si>
    <t xml:space="preserve">㈜한국비철</t>
  </si>
  <si>
    <r>
      <rPr>
        <sz val="10"/>
        <color theme="1"/>
        <rFont val="맑은 고딕"/>
        <family val="3"/>
        <charset val="129"/>
      </rPr>
      <t xml:space="preserve">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5.49</t>
    </r>
  </si>
  <si>
    <t xml:space="preserve">5.2%
5.30
5.30</t>
  </si>
  <si>
    <r>
      <rPr>
        <sz val="10"/>
        <color theme="1"/>
        <rFont val="맑은 고딕"/>
        <family val="3"/>
        <charset val="129"/>
      </rPr>
      <t xml:space="preserve">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5.49% / / 3M 5.47</t>
    </r>
  </si>
  <si>
    <t xml:space="preserve">5.23
5.25%</t>
  </si>
  <si>
    <r>
      <rPr>
        <sz val="10"/>
        <color theme="1"/>
        <rFont val="맑은 고딕"/>
        <family val="3"/>
        <charset val="129"/>
      </rPr>
      <t xml:space="preserve">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 / 3M 5.25</t>
    </r>
  </si>
  <si>
    <t xml:space="preserve">5.23
5.26
5.33%</t>
  </si>
  <si>
    <r>
      <rPr>
        <sz val="10"/>
        <color theme="1"/>
        <rFont val="맑은 고딕"/>
        <family val="3"/>
        <charset val="129"/>
      </rPr>
      <t xml:space="preserve">09:20 </t>
    </r>
    <r>
      <rPr>
        <sz val="10"/>
        <color theme="1"/>
        <rFont val="Noto Sans CJK SC"/>
        <family val="2"/>
      </rPr>
      <t xml:space="preserve">기준 시즈오카 동경 </t>
    </r>
    <r>
      <rPr>
        <sz val="10"/>
        <color theme="1"/>
        <rFont val="맑은 고딕"/>
        <family val="3"/>
        <charset val="129"/>
      </rPr>
      <t xml:space="preserve">1M 5.47 / 3M 5.50</t>
    </r>
  </si>
  <si>
    <t xml:space="preserve">부지점장 전용진</t>
  </si>
  <si>
    <t xml:space="preserve">미상(신규섭외)</t>
  </si>
  <si>
    <t xml:space="preserve">5.20
5.30
5.30
5.40%</t>
  </si>
  <si>
    <t xml:space="preserve"> 과장 박준형 </t>
  </si>
  <si>
    <r>
      <rPr>
        <sz val="10"/>
        <color theme="1"/>
        <rFont val="맑은 고딕"/>
        <family val="3"/>
        <charset val="129"/>
      </rPr>
      <t xml:space="preserve">11:00 </t>
    </r>
    <r>
      <rPr>
        <sz val="10"/>
        <color theme="1"/>
        <rFont val="Noto Sans CJK SC"/>
        <family val="2"/>
      </rPr>
      <t xml:space="preserve">기준 시즈오카 동경 </t>
    </r>
    <r>
      <rPr>
        <sz val="10"/>
        <color theme="1"/>
        <rFont val="맑은 고딕"/>
        <family val="3"/>
        <charset val="129"/>
      </rPr>
      <t xml:space="preserve">1M 5.45</t>
    </r>
  </si>
  <si>
    <t xml:space="preserve">계장백승미</t>
  </si>
  <si>
    <t xml:space="preserve">12d
22d</t>
  </si>
  <si>
    <t xml:space="preserve">28.00m</t>
  </si>
  <si>
    <r>
      <rPr>
        <sz val="10"/>
        <color theme="1"/>
        <rFont val="맑은 고딕"/>
        <family val="3"/>
        <charset val="129"/>
      </rPr>
      <t xml:space="preserve">9:00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2w 5.42 / 3w 5.46</t>
    </r>
  </si>
  <si>
    <t xml:space="preserve">김다예대리</t>
  </si>
  <si>
    <t xml:space="preserve">mmda</t>
  </si>
  <si>
    <r>
      <rPr>
        <sz val="10"/>
        <color theme="1"/>
        <rFont val="맑은 고딕"/>
        <family val="3"/>
        <charset val="129"/>
      </rPr>
      <t xml:space="preserve">(6/14-7/15)</t>
    </r>
    <r>
      <rPr>
        <sz val="10"/>
        <color theme="1"/>
        <rFont val="Noto Sans CJK SC"/>
        <family val="2"/>
      </rPr>
      <t xml:space="preserve">기산일건 </t>
    </r>
  </si>
  <si>
    <t xml:space="preserve">이수스페셜케미컬</t>
  </si>
  <si>
    <r>
      <rPr>
        <sz val="10"/>
        <color theme="1"/>
        <rFont val="맑은 고딕"/>
        <family val="3"/>
        <charset val="129"/>
      </rPr>
      <t xml:space="preserve">(7/3-8/5) </t>
    </r>
    <r>
      <rPr>
        <sz val="10"/>
        <color theme="1"/>
        <rFont val="Noto Sans CJK SC"/>
        <family val="2"/>
      </rPr>
      <t xml:space="preserve">기산일건 </t>
    </r>
  </si>
  <si>
    <t xml:space="preserve">7/15~8/15</t>
  </si>
  <si>
    <t xml:space="preserve">5.20%
5.20%
5.22%</t>
  </si>
  <si>
    <t xml:space="preserve">10.00m</t>
  </si>
  <si>
    <t xml:space="preserve">1m 5.48~5.50 / 2m 5.53~ 5.58 / 3m 5.55~5.60</t>
  </si>
  <si>
    <t xml:space="preserve">대리 이혜경 </t>
  </si>
  <si>
    <t xml:space="preserve">1m 5.48~5.50 </t>
  </si>
  <si>
    <t xml:space="preserve">40d</t>
  </si>
  <si>
    <t xml:space="preserve">1m 5.45</t>
  </si>
  <si>
    <t xml:space="preserve">부지점장 양성욱 </t>
  </si>
  <si>
    <r>
      <rPr>
        <sz val="10"/>
        <color theme="1"/>
        <rFont val="맑은 고딕"/>
        <family val="3"/>
        <charset val="129"/>
      </rPr>
      <t xml:space="preserve">8/14</t>
    </r>
    <r>
      <rPr>
        <sz val="10"/>
        <color theme="1"/>
        <rFont val="Noto Sans CJK SC"/>
        <family val="2"/>
      </rPr>
      <t xml:space="preserve">일 만기건으로 금리 제안서 작성 차 문의주심 </t>
    </r>
  </si>
  <si>
    <r>
      <rPr>
        <sz val="10"/>
        <color theme="1"/>
        <rFont val="맑은 고딕"/>
        <family val="3"/>
        <charset val="129"/>
      </rPr>
      <t xml:space="preserve">8/16</t>
    </r>
    <r>
      <rPr>
        <sz val="10"/>
        <color theme="1"/>
        <rFont val="Noto Sans CJK SC"/>
        <family val="2"/>
      </rPr>
      <t xml:space="preserve">일 만기건으로 금리 제안서 작성 차 문의주심 </t>
    </r>
    <r>
      <rPr>
        <sz val="10"/>
        <color theme="1"/>
        <rFont val="맑은 고딕"/>
        <family val="3"/>
        <charset val="129"/>
      </rPr>
      <t xml:space="preserve">(6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4.70%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</si>
  <si>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반월공단지점 </t>
  </si>
  <si>
    <t xml:space="preserve">과장 정재경</t>
  </si>
  <si>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 신규 예정건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금리 문의 </t>
    </r>
  </si>
  <si>
    <t xml:space="preserve">부지점장 배정호 </t>
  </si>
  <si>
    <t xml:space="preserve">한국비엔씨 </t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</si>
  <si>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 예금 만기건 </t>
    </r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1m 2m 3m 4.50% </t>
    </r>
    <r>
      <rPr>
        <sz val="10"/>
        <color theme="1"/>
        <rFont val="Noto Sans CJK SC"/>
        <family val="2"/>
      </rPr>
      <t xml:space="preserve">안내드림 </t>
    </r>
    <r>
      <rPr>
        <sz val="10"/>
        <color theme="1"/>
        <rFont val="맑은 고딕"/>
        <family val="3"/>
        <charset val="129"/>
      </rPr>
      <t xml:space="preserve">, 10/28</t>
    </r>
    <r>
      <rPr>
        <sz val="10"/>
        <color theme="1"/>
        <rFont val="Noto Sans CJK SC"/>
        <family val="2"/>
      </rPr>
      <t xml:space="preserve">일 </t>
    </r>
    <r>
      <rPr>
        <sz val="10"/>
        <color theme="1"/>
        <rFont val="맑은 고딕"/>
        <family val="3"/>
        <charset val="129"/>
      </rPr>
      <t xml:space="preserve">4.60% </t>
    </r>
    <r>
      <rPr>
        <sz val="10"/>
        <color theme="1"/>
        <rFont val="Noto Sans CJK SC"/>
        <family val="2"/>
      </rPr>
      <t xml:space="preserve">까지 제시드렸으나 검토해 보시고 </t>
    </r>
    <r>
      <rPr>
        <sz val="10"/>
        <color theme="1"/>
        <rFont val="맑은 고딕"/>
        <family val="3"/>
        <charset val="129"/>
      </rPr>
      <t xml:space="preserve">11/1</t>
    </r>
    <r>
      <rPr>
        <sz val="10"/>
        <color theme="1"/>
        <rFont val="Noto Sans CJK SC"/>
        <family val="2"/>
      </rPr>
      <t xml:space="preserve">일에 신규 할 예정이라고 함</t>
    </r>
    <r>
      <rPr>
        <sz val="10"/>
        <color theme="1"/>
        <rFont val="맑은 고딕"/>
        <family val="3"/>
        <charset val="129"/>
      </rPr>
      <t xml:space="preserve">. </t>
    </r>
  </si>
  <si>
    <t xml:space="preserve">7 D</t>
  </si>
  <si>
    <r>
      <rPr>
        <sz val="10"/>
        <color theme="1"/>
        <rFont val="맑은 고딕"/>
        <family val="3"/>
        <charset val="129"/>
      </rPr>
      <t xml:space="preserve">130</t>
    </r>
    <r>
      <rPr>
        <sz val="10"/>
        <color theme="1"/>
        <rFont val="Noto Sans CJK SC"/>
        <family val="2"/>
      </rPr>
      <t xml:space="preserve">백만불 정기예금요청건으로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정기예금 신규 </t>
    </r>
    <r>
      <rPr>
        <sz val="10"/>
        <color theme="1"/>
        <rFont val="맑은 고딕"/>
        <family val="3"/>
        <charset val="129"/>
      </rPr>
      <t xml:space="preserve">4.85~4.90 </t>
    </r>
    <r>
      <rPr>
        <sz val="10"/>
        <color theme="1"/>
        <rFont val="Noto Sans CJK SC"/>
        <family val="2"/>
      </rPr>
      <t xml:space="preserve">사이 커버 완료 </t>
    </r>
  </si>
  <si>
    <r>
      <rPr>
        <sz val="10"/>
        <color theme="1"/>
        <rFont val="맑은 고딕"/>
        <family val="3"/>
        <charset val="129"/>
      </rPr>
      <t xml:space="preserve">11/11~12/11 </t>
    </r>
    <r>
      <rPr>
        <sz val="10"/>
        <color theme="1"/>
        <rFont val="Noto Sans CJK SC"/>
        <family val="2"/>
      </rPr>
      <t xml:space="preserve">금리 </t>
    </r>
    <r>
      <rPr>
        <sz val="10"/>
        <color theme="1"/>
        <rFont val="맑은 고딕"/>
        <family val="3"/>
        <charset val="129"/>
      </rPr>
      <t xml:space="preserve">25bp </t>
    </r>
    <r>
      <rPr>
        <sz val="10"/>
        <color theme="1"/>
        <rFont val="Noto Sans CJK SC"/>
        <family val="2"/>
      </rPr>
      <t xml:space="preserve">인하되어 </t>
    </r>
    <r>
      <rPr>
        <sz val="10"/>
        <color theme="1"/>
        <rFont val="맑은 고딕"/>
        <family val="3"/>
        <charset val="129"/>
      </rPr>
      <t xml:space="preserve">3.95% </t>
    </r>
    <r>
      <rPr>
        <sz val="10"/>
        <color theme="1"/>
        <rFont val="Noto Sans CJK SC"/>
        <family val="2"/>
      </rPr>
      <t xml:space="preserve">제시해드렸으나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거래 관계 활성화 차원에서 </t>
    </r>
    <r>
      <rPr>
        <sz val="10"/>
        <color theme="1"/>
        <rFont val="맑은 고딕"/>
        <family val="3"/>
        <charset val="129"/>
      </rPr>
      <t xml:space="preserve">4% </t>
    </r>
    <r>
      <rPr>
        <sz val="10"/>
        <color theme="1"/>
        <rFont val="Noto Sans CJK SC"/>
        <family val="2"/>
      </rPr>
      <t xml:space="preserve">네고 요청하심</t>
    </r>
    <r>
      <rPr>
        <sz val="10"/>
        <color theme="1"/>
        <rFont val="맑은 고딕"/>
        <family val="3"/>
        <charset val="129"/>
      </rPr>
      <t xml:space="preserve">. / 4% </t>
    </r>
    <r>
      <rPr>
        <sz val="10"/>
        <color theme="1"/>
        <rFont val="Noto Sans CJK SC"/>
        <family val="2"/>
      </rPr>
      <t xml:space="preserve">연장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타행에서 </t>
    </r>
    <r>
      <rPr>
        <sz val="10"/>
        <color theme="1"/>
        <rFont val="맑은 고딕"/>
        <family val="3"/>
        <charset val="129"/>
      </rPr>
      <t xml:space="preserve">4.15%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 </t>
    </r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</si>
  <si>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 예금 만기건 </t>
    </r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1m 4.35% </t>
    </r>
    <r>
      <rPr>
        <sz val="10"/>
        <color theme="1"/>
        <rFont val="Noto Sans CJK SC"/>
        <family val="2"/>
      </rPr>
      <t xml:space="preserve">안내드림  </t>
    </r>
    <r>
      <rPr>
        <sz val="10"/>
        <color theme="1"/>
        <rFont val="맑은 고딕"/>
        <family val="3"/>
        <charset val="129"/>
      </rPr>
      <t xml:space="preserve">12/2</t>
    </r>
    <r>
      <rPr>
        <sz val="10"/>
        <color theme="1"/>
        <rFont val="Noto Sans CJK SC"/>
        <family val="2"/>
      </rPr>
      <t xml:space="preserve">일 만기건 한국비앤씨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 국민 </t>
    </r>
    <r>
      <rPr>
        <sz val="10"/>
        <color theme="1"/>
        <rFont val="맑은 고딕"/>
        <family val="3"/>
        <charset val="129"/>
      </rPr>
      <t xml:space="preserve">4.45% </t>
    </r>
    <r>
      <rPr>
        <sz val="10"/>
        <color theme="1"/>
        <rFont val="Noto Sans CJK SC"/>
        <family val="2"/>
      </rPr>
      <t xml:space="preserve">이탈 가능성 高</t>
    </r>
    <r>
      <rPr>
        <sz val="10"/>
        <color theme="1"/>
        <rFont val="맑은 고딕"/>
        <family val="3"/>
        <charset val="129"/>
      </rPr>
      <t xml:space="preserve">)</t>
    </r>
  </si>
  <si>
    <t xml:space="preserve">거림테크 </t>
  </si>
  <si>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일만기건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4.30/3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4.40/6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4.25/12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4.25 </t>
    </r>
    <r>
      <rPr>
        <sz val="10"/>
        <color theme="1"/>
        <rFont val="Noto Sans CJK SC"/>
        <family val="2"/>
      </rPr>
      <t xml:space="preserve">제시드림 </t>
    </r>
  </si>
  <si>
    <t xml:space="preserve">9 D</t>
  </si>
  <si>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정기예금 요청건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4.20% </t>
    </r>
    <r>
      <rPr>
        <sz val="10"/>
        <color theme="1"/>
        <rFont val="Noto Sans CJK SC"/>
        <family val="2"/>
      </rPr>
      <t xml:space="preserve">제시하여 유찰됨</t>
    </r>
    <r>
      <rPr>
        <sz val="10"/>
        <color theme="1"/>
        <rFont val="맑은 고딕"/>
        <family val="3"/>
        <charset val="129"/>
      </rPr>
      <t xml:space="preserve">. (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2231 1</t>
    </r>
    <r>
      <rPr>
        <sz val="10"/>
        <color theme="1"/>
        <rFont val="Noto Sans CJK SC"/>
        <family val="2"/>
      </rPr>
      <t xml:space="preserve">주 산업은행 </t>
    </r>
    <r>
      <rPr>
        <sz val="10"/>
        <color theme="1"/>
        <rFont val="맑은 고딕"/>
        <family val="3"/>
        <charset val="129"/>
      </rPr>
      <t xml:space="preserve">4.17%) </t>
    </r>
  </si>
  <si>
    <t xml:space="preserve">화성지점 </t>
  </si>
  <si>
    <t xml:space="preserve">와이투솔루션 </t>
  </si>
  <si>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1/31</t>
    </r>
    <r>
      <rPr>
        <sz val="10"/>
        <color theme="1"/>
        <rFont val="Noto Sans CJK SC"/>
        <family val="2"/>
      </rPr>
      <t xml:space="preserve">일 만기 요청건 </t>
    </r>
    <r>
      <rPr>
        <sz val="10"/>
        <color theme="1"/>
        <rFont val="맑은 고딕"/>
        <family val="3"/>
        <charset val="129"/>
      </rPr>
      <t xml:space="preserve">1m 4.10%/ 3m 4.22%/ 6m 4.20% </t>
    </r>
    <r>
      <rPr>
        <sz val="10"/>
        <color theme="1"/>
        <rFont val="Noto Sans CJK SC"/>
        <family val="2"/>
      </rPr>
      <t xml:space="preserve">제시드림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4.14 /4.26 </t>
    </r>
    <r>
      <rPr>
        <sz val="10"/>
        <color theme="1"/>
        <rFont val="Noto Sans CJK SC"/>
        <family val="2"/>
      </rPr>
      <t xml:space="preserve">에 맞춰주길원하심</t>
    </r>
    <r>
      <rPr>
        <sz val="10"/>
        <color theme="1"/>
        <rFont val="맑은 고딕"/>
        <family val="3"/>
        <charset val="129"/>
      </rPr>
      <t xml:space="preserve">) </t>
    </r>
  </si>
  <si>
    <t xml:space="preserve">약진통상</t>
  </si>
  <si>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1/23</t>
    </r>
    <r>
      <rPr>
        <sz val="10"/>
        <color theme="1"/>
        <rFont val="Noto Sans CJK SC"/>
        <family val="2"/>
      </rPr>
      <t xml:space="preserve">일 만기 요청건 </t>
    </r>
    <r>
      <rPr>
        <sz val="10"/>
        <color theme="1"/>
        <rFont val="맑은 고딕"/>
        <family val="3"/>
        <charset val="129"/>
      </rPr>
      <t xml:space="preserve">1m 4.12%/ 3m 4.22%/ mmda 3.86% </t>
    </r>
    <r>
      <rPr>
        <sz val="10"/>
        <color theme="1"/>
        <rFont val="Noto Sans CJK SC"/>
        <family val="2"/>
      </rPr>
      <t xml:space="preserve">까지 제시 </t>
    </r>
  </si>
  <si>
    <t xml:space="preserve">외화예금 우대금리 승인명세</t>
  </si>
  <si>
    <t xml:space="preserve">담당</t>
  </si>
  <si>
    <t xml:space="preserve">부장</t>
  </si>
  <si>
    <t xml:space="preserve">번호</t>
  </si>
  <si>
    <t xml:space="preserve">신규/연장</t>
  </si>
  <si>
    <t xml:space="preserve">상품</t>
  </si>
  <si>
    <t xml:space="preserve">지점명</t>
  </si>
  <si>
    <t xml:space="preserve">고객명</t>
  </si>
  <si>
    <t xml:space="preserve">적용금리</t>
  </si>
  <si>
    <t xml:space="preserve">지준비용률</t>
  </si>
  <si>
    <t xml:space="preserve">자금마진율</t>
  </si>
  <si>
    <t xml:space="preserve">연장</t>
  </si>
  <si>
    <t xml:space="preserve">USD</t>
  </si>
  <si>
    <t xml:space="preserve">↓</t>
  </si>
  <si>
    <t xml:space="preserve">값붙여넣기</t>
  </si>
  <si>
    <t xml:space="preserve">입력란</t>
  </si>
  <si>
    <t xml:space="preserve">거래 내역</t>
  </si>
  <si>
    <t xml:space="preserve">통화등록란</t>
  </si>
  <si>
    <t xml:space="preserve">Near</t>
  </si>
  <si>
    <t xml:space="preserve">거래방향</t>
  </si>
  <si>
    <t xml:space="preserve">Sell/Buy</t>
  </si>
  <si>
    <t xml:space="preserve">표시법</t>
  </si>
  <si>
    <t xml:space="preserve">가격표시</t>
  </si>
  <si>
    <t xml:space="preserve">Near Cur1</t>
  </si>
  <si>
    <t xml:space="preserve">Near Cur2</t>
  </si>
  <si>
    <t xml:space="preserve">Far Cur1</t>
  </si>
  <si>
    <t xml:space="preserve">Far Cur2</t>
  </si>
  <si>
    <t xml:space="preserve">거래통화</t>
  </si>
  <si>
    <t xml:space="preserve">KRW</t>
  </si>
  <si>
    <t xml:space="preserve">Near
Leg</t>
  </si>
  <si>
    <t xml:space="preserve">European</t>
  </si>
  <si>
    <t xml:space="preserve">American</t>
  </si>
  <si>
    <t xml:space="preserve">EUR</t>
  </si>
  <si>
    <t xml:space="preserve">Rate</t>
  </si>
  <si>
    <t xml:space="preserve">Near Date</t>
  </si>
  <si>
    <t xml:space="preserve">AUD</t>
  </si>
  <si>
    <t xml:space="preserve">Far Date</t>
  </si>
  <si>
    <t xml:space="preserve">CHF</t>
  </si>
  <si>
    <t xml:space="preserve">Near Leg Rate</t>
  </si>
  <si>
    <t xml:space="preserve">Far
Leg</t>
  </si>
  <si>
    <t xml:space="preserve">DKK</t>
  </si>
  <si>
    <t xml:space="preserve">Swap Point</t>
  </si>
  <si>
    <t xml:space="preserve">GBP</t>
  </si>
  <si>
    <t xml:space="preserve">Far Leg Rate</t>
  </si>
  <si>
    <t xml:space="preserve">SAR</t>
  </si>
  <si>
    <t xml:space="preserve">SEK</t>
  </si>
  <si>
    <t xml:space="preserve">고금리 통화</t>
  </si>
  <si>
    <t xml:space="preserve">SGD</t>
  </si>
  <si>
    <t xml:space="preserve">저금리 통화</t>
  </si>
  <si>
    <t xml:space="preserve">THB</t>
  </si>
  <si>
    <t xml:space="preserve">스왑포인트</t>
  </si>
  <si>
    <t xml:space="preserve">NZD</t>
  </si>
  <si>
    <r>
      <rPr>
        <b val="true"/>
        <sz val="10"/>
        <color theme="1"/>
        <rFont val="맑은 고딕"/>
        <family val="3"/>
        <charset val="129"/>
      </rPr>
      <t xml:space="preserve">USD/KRW </t>
    </r>
    <r>
      <rPr>
        <b val="true"/>
        <sz val="10"/>
        <color theme="1"/>
        <rFont val="Noto Sans CJK SC"/>
        <family val="2"/>
      </rPr>
      <t xml:space="preserve">환율</t>
    </r>
  </si>
  <si>
    <t xml:space="preserve">스왑 비이자손익</t>
  </si>
  <si>
    <t xml:space="preserve">HKD</t>
  </si>
  <si>
    <r>
      <rPr>
        <b val="true"/>
        <sz val="10"/>
        <color theme="1"/>
        <rFont val="맑은 고딕"/>
        <family val="3"/>
        <charset val="129"/>
      </rPr>
      <t xml:space="preserve">USD </t>
    </r>
    <r>
      <rPr>
        <b val="true"/>
        <sz val="10"/>
        <color theme="1"/>
        <rFont val="Noto Sans CJK SC"/>
        <family val="2"/>
      </rPr>
      <t xml:space="preserve">운용금리</t>
    </r>
  </si>
  <si>
    <t xml:space="preserve">NOK</t>
  </si>
  <si>
    <r>
      <rPr>
        <b val="true"/>
        <sz val="10"/>
        <color theme="1"/>
        <rFont val="맑은 고딕"/>
        <family val="3"/>
        <charset val="129"/>
      </rPr>
      <t xml:space="preserve">USD </t>
    </r>
    <r>
      <rPr>
        <b val="true"/>
        <sz val="10"/>
        <color theme="1"/>
        <rFont val="Noto Sans CJK SC"/>
        <family val="2"/>
      </rPr>
      <t xml:space="preserve">조달금리</t>
    </r>
  </si>
  <si>
    <t xml:space="preserve">연환산금리</t>
  </si>
  <si>
    <t xml:space="preserve">CAD</t>
  </si>
  <si>
    <t xml:space="preserve">USD SOFR</t>
  </si>
  <si>
    <t xml:space="preserve">순 손익
(운용 - 조달 ± 스왑)</t>
  </si>
  <si>
    <r>
      <rPr>
        <b val="true"/>
        <u val="single"/>
        <sz val="11"/>
        <color theme="1"/>
        <rFont val="맑은 고딕"/>
        <family val="3"/>
        <charset val="129"/>
      </rPr>
      <t xml:space="preserve">※ Swap Point </t>
    </r>
    <r>
      <rPr>
        <b val="true"/>
        <u val="single"/>
        <sz val="11"/>
        <color theme="1"/>
        <rFont val="Noto Sans CJK SC"/>
        <family val="2"/>
      </rPr>
      <t xml:space="preserve">입력 방법 </t>
    </r>
  </si>
  <si>
    <r>
      <rPr>
        <b val="true"/>
        <sz val="10"/>
        <rFont val="맑은 고딕"/>
        <family val="3"/>
        <charset val="129"/>
      </rPr>
      <t xml:space="preserve">USD/KRW : 0,000.01 = 100bp </t>
    </r>
    <r>
      <rPr>
        <b val="true"/>
        <sz val="10"/>
        <rFont val="Noto Sans CJK SC"/>
        <family val="2"/>
      </rPr>
      <t xml:space="preserve">로 입력</t>
    </r>
  </si>
  <si>
    <t xml:space="preserve">그 외통화 : 0.00010000 = 1bp 로 입력</t>
  </si>
  <si>
    <t xml:space="preserve">신규일자</t>
  </si>
  <si>
    <t xml:space="preserve">신규</t>
  </si>
  <si>
    <t xml:space="preserve">내규 - 여신/여신관리 - 여신운용지침 - 제6장 여신의종류(기업자금대출) - 제11절 외화대출</t>
  </si>
  <si>
    <t xml:space="preserve">제1관 통 칙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</si>
  <si>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대출종류  </t>
    </r>
  </si>
  <si>
    <t xml:space="preserve">자금종류에 따라 다음과 같이 분류한다. </t>
  </si>
  <si>
    <t xml:space="preserve">가. 특별외화대출 </t>
  </si>
  <si>
    <t xml:space="preserve">한국은행으로부터 외화대출용 특별수탁금을 지원받아 취급하는 대출을 말한다. </t>
  </si>
  <si>
    <t xml:space="preserve">나. 일반외화대출 </t>
  </si>
  <si>
    <t xml:space="preserve">당행에서 조달한 외화자금으로 취급하는 대출을 말한다.  </t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</si>
  <si>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대출대상</t>
    </r>
    <r>
      <rPr>
        <sz val="11"/>
        <rFont val="돋움"/>
        <family val="3"/>
        <charset val="129"/>
      </rPr>
      <t xml:space="preserve">(2002.8.26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 </t>
    </r>
  </si>
  <si>
    <t xml:space="preserve">가. 기업체 운영에 필요한 운전자금 </t>
  </si>
  <si>
    <t xml:space="preserve">나. 기업체 시설투자와 관련한 시설자금  </t>
  </si>
  <si>
    <t xml:space="preserve"> </t>
  </si>
  <si>
    <r>
      <rPr>
        <b val="true"/>
        <sz val="11"/>
        <color rgb="FFFF0000"/>
        <rFont val="돋움"/>
        <family val="3"/>
        <charset val="129"/>
      </rPr>
      <t xml:space="preserve">3. </t>
    </r>
    <r>
      <rPr>
        <b val="true"/>
        <sz val="11"/>
        <color rgb="FFFF0000"/>
        <rFont val="Noto Sans CJK SC"/>
        <family val="2"/>
      </rPr>
      <t xml:space="preserve">자금용도 제한</t>
    </r>
    <r>
      <rPr>
        <b val="true"/>
        <sz val="11"/>
        <color rgb="FFFF0000"/>
        <rFont val="돋움"/>
        <family val="3"/>
        <charset val="129"/>
      </rPr>
      <t xml:space="preserve">(2007.8.10 </t>
    </r>
    <r>
      <rPr>
        <b val="true"/>
        <sz val="11"/>
        <color rgb="FFFF0000"/>
        <rFont val="Noto Sans CJK SC"/>
        <family val="2"/>
      </rPr>
      <t xml:space="preserve">신설</t>
    </r>
    <r>
      <rPr>
        <b val="true"/>
        <sz val="11"/>
        <color rgb="FFFF0000"/>
        <rFont val="돋움"/>
        <family val="3"/>
        <charset val="129"/>
      </rPr>
      <t xml:space="preserve">)  </t>
    </r>
  </si>
  <si>
    <t xml:space="preserve">가. 자금용도가 다음 각 호에 해당하는 경우에는 이 절에 의한 대출취급을 할 수 없다.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</si>
  <si>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원화로 환전하여 사용할 목적으로 제공하는 자금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</si>
  <si>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기타 해외에서 사용함을 목적으로 하지 않는 자금 </t>
    </r>
  </si>
  <si>
    <t xml:space="preserve">나. 위 '가'에 불구하고 2010년 6월 30일자 중소제조업체에 대한 국내 시설자금 대출잔액을 한도로 중소제조업체에 대하여 국내 시설자금 용도의 외화대출을 취급할 수 있다. </t>
  </si>
  <si>
    <t xml:space="preserve">다. 위 '나'의 중소제조업체는 「중소기업기본법」 제2조에서 정한 중소기업으로서 「한국표준산업분류」상의 제조업을 영위하는 업체를 말한다. </t>
  </si>
  <si>
    <t xml:space="preserve">라. 시설자금은 기업의 목적사업을 영위하기 위한 시설투자에 소요되는 자금으로서 자금용도가 다음 각 호에 해당하는 경우에만 이 절에 의한 대출 취급이 가능하다.(2008.1.31 신설)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</si>
  <si>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다음 각 호에 해당하는 업무용 부동산 등의 매입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임차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건축 및 개</t>
    </r>
    <r>
      <rPr>
        <sz val="11"/>
        <rFont val="돋움"/>
        <family val="3"/>
        <charset val="129"/>
      </rPr>
      <t xml:space="preserve">·</t>
    </r>
    <r>
      <rPr>
        <sz val="11"/>
        <rFont val="Noto Sans CJK SC"/>
        <family val="2"/>
      </rPr>
      <t xml:space="preserve">보수에 소요되는 자금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</si>
  <si>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공장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기계기구 및 공장부대시설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창고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관리실 내부 편의시설 등</t>
    </r>
    <r>
      <rPr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</si>
  <si>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사옥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영업장 및 사무실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연수시설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임직원 숙소 등 회사운영에 필요한 부대시설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</si>
  <si>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차량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선박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항공기 등 운송수단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</si>
  <si>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상기 </t>
    </r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이외에 실제 자금용도가 객관적인 증빙자료의 확인을 통하여 시설자금으로 취급하는 것이 적정하다고 인정되는 자금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</si>
  <si>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상기 </t>
    </r>
    <r>
      <rPr>
        <sz val="11"/>
        <rFont val="돋움"/>
        <family val="3"/>
        <charset val="129"/>
      </rPr>
      <t xml:space="preserve">(1), (2)</t>
    </r>
    <r>
      <rPr>
        <sz val="11"/>
        <rFont val="Noto Sans CJK SC"/>
        <family val="2"/>
      </rPr>
      <t xml:space="preserve">에 해당하는 자금을 이미 지급한 경우로서 당해 지급일로부터 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개월이 경과하지 아니한 자금 </t>
    </r>
  </si>
  <si>
    <t xml:space="preserve">마. 대출취급시 위‘가 내지 라’의 자금용도 제한에 해당하지 않음을 증빙서류를 통해 확인하고 그 사본을 보관하여야 한다. </t>
  </si>
  <si>
    <t xml:space="preserve">바. 시설자금 취급시에는 관계증빙서류 및 현물 또는 시설을 확인하는 등의 방법을 통하여 계획된 용도 및 시기에 맞추어 대출을 취급함으로서 시설자금 지원에 적정을 기하여야 한다.(2008.1.31 개정) </t>
  </si>
  <si>
    <t xml:space="preserve">사. 사후관리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</si>
  <si>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대출취급 이후 차주로부터 대출금 사용내역 및 관련 증빙서류 등을 받아 신청한 용도대로 사용하였는지를 확인하여야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</si>
  <si>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외화대출을 받은 차주가 다음 각 호에 해당하는 경우에는 해당 대출금을 지체없이 회수하여야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</si>
  <si>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위 ‘가’에서 명시한 자금용도 제한에 해당하는 용도로 대출금을 사용한 경우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</si>
  <si>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대출관련 서류를 허위로 작성하였거나 위조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변조한 사실이 발견되었을 경우  </t>
    </r>
  </si>
  <si>
    <r>
      <rPr>
        <sz val="11"/>
        <rFont val="돋움"/>
        <family val="3"/>
        <charset val="129"/>
      </rPr>
      <t xml:space="preserve">4. </t>
    </r>
    <r>
      <rPr>
        <sz val="11"/>
        <rFont val="Noto Sans CJK SC"/>
        <family val="2"/>
      </rPr>
      <t xml:space="preserve">대출취급통화  </t>
    </r>
  </si>
  <si>
    <t xml:space="preserve">외화대출은 미달러화, 유로화, 엔화로 취급함을 원칙으로 한다. 다만, 외화자금관리부서로부터 기타통화로 한도확인을 받은 경우에는 예외로 취급할 수 있다.  </t>
  </si>
  <si>
    <r>
      <rPr>
        <sz val="11"/>
        <rFont val="돋움"/>
        <family val="3"/>
        <charset val="129"/>
      </rPr>
      <t xml:space="preserve">5. </t>
    </r>
    <r>
      <rPr>
        <sz val="11"/>
        <rFont val="Noto Sans CJK SC"/>
        <family val="2"/>
      </rPr>
      <t xml:space="preserve">한도확인  </t>
    </r>
  </si>
  <si>
    <t xml:space="preserve">대출취급시에는 사전에 외화자금 관리부서에서 따로 정하는 바에 따라 한도확인을 받아야 한다.  </t>
  </si>
  <si>
    <r>
      <rPr>
        <sz val="11"/>
        <rFont val="돋움"/>
        <family val="3"/>
        <charset val="129"/>
      </rPr>
      <t xml:space="preserve">6. </t>
    </r>
    <r>
      <rPr>
        <sz val="11"/>
        <rFont val="Noto Sans CJK SC"/>
        <family val="2"/>
      </rPr>
      <t xml:space="preserve">원리금 상환  </t>
    </r>
  </si>
  <si>
    <t xml:space="preserve">가. 대출원금 및 이자는 외화로 회수(징수)함을 원칙으로 한다. 다만, 원화로 회수(징수)하는 경우에는 회수(징수)당일의 전신환매도율을 적용한다. </t>
  </si>
  <si>
    <t xml:space="preserve">나. 이자, 약정수수료의 일수계산은 1년을 360일로 한다. </t>
  </si>
  <si>
    <t xml:space="preserve">다. 3년초과 장기대출의 경우 원리금 상환방법은 다음에 의한다.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</si>
  <si>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원금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거치기간 경과후 연 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회이상 균분상환하되 </t>
    </r>
    <r>
      <rPr>
        <sz val="11"/>
        <rFont val="돋움"/>
        <family val="3"/>
        <charset val="129"/>
      </rPr>
      <t xml:space="preserve">100</t>
    </r>
    <r>
      <rPr>
        <sz val="11"/>
        <rFont val="Noto Sans CJK SC"/>
        <family val="2"/>
      </rPr>
      <t xml:space="preserve">미불</t>
    </r>
    <r>
      <rPr>
        <sz val="11"/>
        <rFont val="돋움"/>
        <family val="3"/>
        <charset val="129"/>
      </rPr>
      <t xml:space="preserve">, 100</t>
    </r>
    <r>
      <rPr>
        <sz val="11"/>
        <rFont val="Noto Sans CJK SC"/>
        <family val="2"/>
      </rPr>
      <t xml:space="preserve">유로</t>
    </r>
    <r>
      <rPr>
        <sz val="11"/>
        <rFont val="돋움"/>
        <family val="3"/>
        <charset val="129"/>
      </rPr>
      <t xml:space="preserve">, 10,000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환산한 경우 </t>
    </r>
    <r>
      <rPr>
        <sz val="11"/>
        <rFont val="돋움"/>
        <family val="3"/>
        <charset val="129"/>
      </rPr>
      <t xml:space="preserve">100,000</t>
    </r>
    <r>
      <rPr>
        <sz val="11"/>
        <rFont val="Noto Sans CJK SC"/>
        <family val="2"/>
      </rPr>
      <t xml:space="preserve">원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미만 단수는 초회 상환금액에 포함한다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</si>
  <si>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이자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매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 단위로 후취한다  </t>
    </r>
  </si>
  <si>
    <r>
      <rPr>
        <sz val="11"/>
        <rFont val="돋움"/>
        <family val="3"/>
        <charset val="129"/>
      </rPr>
      <t xml:space="preserve">7. </t>
    </r>
    <r>
      <rPr>
        <sz val="11"/>
        <rFont val="Noto Sans CJK SC"/>
        <family val="2"/>
      </rPr>
      <t xml:space="preserve">대출금리  </t>
    </r>
  </si>
  <si>
    <t xml:space="preserve">대출의 금리는 「여신금리적용지침」에서 정하는 바에 따른다.  </t>
  </si>
  <si>
    <r>
      <rPr>
        <sz val="11"/>
        <rFont val="돋움"/>
        <family val="3"/>
        <charset val="129"/>
      </rPr>
      <t xml:space="preserve">8. </t>
    </r>
    <r>
      <rPr>
        <sz val="11"/>
        <rFont val="Noto Sans CJK SC"/>
        <family val="2"/>
      </rPr>
      <t xml:space="preserve">약정수수료  </t>
    </r>
  </si>
  <si>
    <t xml:space="preserve">약정수수료는 「외국환업무지침」에서 정하는 바에 따른다  </t>
  </si>
  <si>
    <r>
      <rPr>
        <sz val="11"/>
        <rFont val="돋움"/>
        <family val="3"/>
        <charset val="129"/>
      </rPr>
      <t xml:space="preserve">9. </t>
    </r>
    <r>
      <rPr>
        <sz val="11"/>
        <rFont val="Noto Sans CJK SC"/>
        <family val="2"/>
      </rPr>
      <t xml:space="preserve">채권보전  </t>
    </r>
  </si>
  <si>
    <t xml:space="preserve">근저당권 설정계약은 담보운용지침에서 정한 소정율의 당해대출통화표시 근저당권 설정을 원칙으로 한다. 다만, 기존 담보물에 대한 원화(또는 외화)표시 설정금액이 충분하여 채권보전에 지장이 없는 경우에는 당해대출통화표시 근저당권설정을 하지 아니할 수 있다.  </t>
  </si>
  <si>
    <r>
      <rPr>
        <sz val="11"/>
        <rFont val="돋움"/>
        <family val="3"/>
        <charset val="129"/>
      </rPr>
      <t xml:space="preserve">10. </t>
    </r>
    <r>
      <rPr>
        <sz val="11"/>
        <rFont val="Noto Sans CJK SC"/>
        <family val="2"/>
      </rPr>
      <t xml:space="preserve">통화전환</t>
    </r>
    <r>
      <rPr>
        <sz val="11"/>
        <rFont val="돋움"/>
        <family val="3"/>
        <charset val="129"/>
      </rPr>
      <t xml:space="preserve">(2003.1.20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 </t>
    </r>
  </si>
  <si>
    <t xml:space="preserve">차주의 요청이 있을 경우 대출금의 전부 또는 일부를 다음과 같이 원화대출로 대환할 수 있다. </t>
  </si>
  <si>
    <t xml:space="preserve">가. 대상 대출금 : 일반 외화대출금 </t>
  </si>
  <si>
    <t xml:space="preserve">나. 통화전환에 대한 특별약정 체결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</si>
  <si>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약정시기 </t>
    </r>
  </si>
  <si>
    <t xml:space="preserve">최초 여신거래약정서 징구시 약정한다. </t>
  </si>
  <si>
    <r>
      <rPr>
        <b val="true"/>
        <sz val="11"/>
        <rFont val="돋움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대출 중 특별약정 체결은 불가</t>
    </r>
    <r>
      <rPr>
        <b val="true"/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</si>
  <si>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약정내용 </t>
    </r>
  </si>
  <si>
    <t xml:space="preserve">여신거래약정서의 특약사항란에 (별표 1)의 내용을 기재후 날인을 받는다 </t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</si>
  <si>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한도확인 </t>
    </r>
  </si>
  <si>
    <t xml:space="preserve">통화전환에 관한 특별약정을 체결하고자 할 경우는 사전에 외화자금 담당 부서에 한도확인을 받아야 한다 </t>
  </si>
  <si>
    <t xml:space="preserve">다. 통화전환 가능 통화 </t>
  </si>
  <si>
    <t xml:space="preserve">통화전환은 외화에서 원화로만 가능하다 </t>
  </si>
  <si>
    <t xml:space="preserve">라. 통화전환 방법 및 조건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</si>
  <si>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통화전환 신청은 전환예정일의 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영업일전까지 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2)</t>
    </r>
    <r>
      <rPr>
        <sz val="11"/>
        <rFont val="Noto Sans CJK SC"/>
        <family val="2"/>
      </rPr>
      <t xml:space="preserve">의 서식에 의거 신청하여야 한다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</si>
  <si>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통화전환은 대출기간이내에서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회에 한하여 신청할 수 있으며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통화를 전환한 경우 재전환은 할 수 없다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</si>
  <si>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원화대출의 취급조건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</si>
  <si>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통화를 전환할 경우 원화대출의 이자율 등 제조건은 전환시점의 여신 관련 지침에 의한다</t>
    </r>
    <r>
      <rPr>
        <sz val="11"/>
        <rFont val="돋움"/>
        <family val="3"/>
        <charset val="129"/>
      </rPr>
      <t xml:space="preserve">. </t>
    </r>
  </si>
  <si>
    <t xml:space="preserve">다만, 대출기간은 외화대출의 당초 대출기일 이내로 약정하여야 한다 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</si>
  <si>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시설자금을 일부전환한 경우는 잔여금액에 대하여 분할상환계획을 수정하여야 한다 </t>
    </r>
  </si>
  <si>
    <r>
      <rPr>
        <sz val="11"/>
        <rFont val="돋움"/>
        <family val="3"/>
        <charset val="129"/>
      </rPr>
      <t xml:space="preserve">(4) </t>
    </r>
    <r>
      <rPr>
        <sz val="11"/>
        <rFont val="Noto Sans CJK SC"/>
        <family val="2"/>
      </rPr>
      <t xml:space="preserve">적용환율 </t>
    </r>
  </si>
  <si>
    <t xml:space="preserve">주무부서에서 고시한 전환당일의 전신환 매도율을 적용한다 </t>
  </si>
  <si>
    <t xml:space="preserve">마. 전결권 행사 </t>
  </si>
  <si>
    <t xml:space="preserve">통화전환으로 인한 원화대출의 취급은 영업점장 전결로 취급한다. </t>
  </si>
  <si>
    <t xml:space="preserve">바. 통화전환의 제한 </t>
  </si>
  <si>
    <t xml:space="preserve">원금 또는 이자가 연체된 계좌는 통화전환 할 수 없다. </t>
  </si>
  <si>
    <t xml:space="preserve">사. 통화전환수수료 </t>
  </si>
  <si>
    <t xml:space="preserve">통화전환수수료는 여신금리적용지침에 의한다  </t>
  </si>
  <si>
    <t xml:space="preserve">여신금리적용지침</t>
  </si>
  <si>
    <t xml:space="preserve">제2장 외화대출금리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</si>
  <si>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금리적용  </t>
    </r>
  </si>
  <si>
    <t xml:space="preserve">외화대출의 금리적용은 다음에 의한다. </t>
  </si>
  <si>
    <t xml:space="preserve">가. 특별외화대출금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</si>
  <si>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적용이율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수탁금리 </t>
    </r>
    <r>
      <rPr>
        <sz val="11"/>
        <rFont val="돋움"/>
        <family val="3"/>
        <charset val="129"/>
      </rPr>
      <t xml:space="preserve">+ 0.75%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</si>
  <si>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수탁금리는 한국은행 수탁시 적용하는 금리를 말한다</t>
    </r>
    <r>
      <rPr>
        <sz val="11"/>
        <rFont val="돋움"/>
        <family val="3"/>
        <charset val="129"/>
      </rPr>
      <t xml:space="preserve">. </t>
    </r>
  </si>
  <si>
    <t xml:space="preserve">나. 일반외화대출금 (2008.3.21 개정)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</si>
  <si>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적용이율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외화시장기준금리 </t>
    </r>
    <r>
      <rPr>
        <sz val="11"/>
        <rFont val="돋움"/>
        <family val="3"/>
        <charset val="129"/>
      </rPr>
      <t xml:space="preserve">+ </t>
    </r>
    <r>
      <rPr>
        <sz val="11"/>
        <rFont val="Noto Sans CJK SC"/>
        <family val="2"/>
      </rPr>
      <t xml:space="preserve">가산금리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</si>
  <si>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외화시장기준금리 </t>
    </r>
  </si>
  <si>
    <t xml:space="preserve">외화대출기준금리는 공신력 있는 통신회사(Reuters)로부터 제공받는 직전 영업일의 통화별, 기간별 금리로 결정하여 외화자금부서장이 매일 고시한다.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</si>
  <si>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가산금리는 여신금리시스템을 통하여 산정함을 원칙으로 한다</t>
    </r>
    <r>
      <rPr>
        <sz val="11"/>
        <rFont val="돋움"/>
        <family val="3"/>
        <charset val="129"/>
      </rPr>
      <t xml:space="preserve">.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</si>
  <si>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외화대출 리스크프리미엄</t>
    </r>
  </si>
  <si>
    <t xml:space="preserve">당행의 조달비용을 감안하여 외화자금관리업무 소관 주무부서에서 별도 고시한 여신기간별 외화대출금리와 약정 기준금리의 차이로 산정한다.</t>
  </si>
  <si>
    <r>
      <rPr>
        <sz val="11"/>
        <color rgb="FFFF0000"/>
        <rFont val="돋움"/>
        <family val="3"/>
        <charset val="129"/>
      </rPr>
      <t xml:space="preserve"> - </t>
    </r>
    <r>
      <rPr>
        <sz val="11"/>
        <color rgb="FFFF0000"/>
        <rFont val="Noto Sans CJK SC"/>
        <family val="2"/>
      </rPr>
      <t xml:space="preserve">외화대출 리스크프리미엄 </t>
    </r>
    <r>
      <rPr>
        <sz val="11"/>
        <color rgb="FFFF0000"/>
        <rFont val="돋움"/>
        <family val="3"/>
        <charset val="129"/>
      </rPr>
      <t xml:space="preserve">= </t>
    </r>
    <r>
      <rPr>
        <sz val="11"/>
        <color rgb="FFFF0000"/>
        <rFont val="Noto Sans CJK SC"/>
        <family val="2"/>
      </rPr>
      <t xml:space="preserve">여신기간별 외화대출기준금리 </t>
    </r>
    <r>
      <rPr>
        <sz val="11"/>
        <color rgb="FFFF0000"/>
        <rFont val="돋움"/>
        <family val="3"/>
        <charset val="129"/>
      </rPr>
      <t xml:space="preserve">- </t>
    </r>
    <r>
      <rPr>
        <sz val="11"/>
        <color rgb="FFFF0000"/>
        <rFont val="Noto Sans CJK SC"/>
        <family val="2"/>
      </rPr>
      <t xml:space="preserve">약정 기준금리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</si>
  <si>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금리조정 </t>
    </r>
  </si>
  <si>
    <t xml:space="preserve">가. 위 ‘1’에서 정한 금리 미만으로 감면 적용하고자 할 경우에는 「제1장 제3절 1항」의 원화대출금 금리감면 승인기준을 준용한다.(2008.3.21 개정) </t>
  </si>
  <si>
    <t xml:space="preserve">나. 일반외화대출의 경우에는 원화대출금의 영업점장 전결가능 금리적용 기준에 의거 금리를 가감하여 적용할 수 있다.(2008.3.21 개정)  </t>
  </si>
  <si>
    <t xml:space="preserve">제4장 원화지급보증료율 및 수수료</t>
  </si>
  <si>
    <r>
      <rPr>
        <sz val="11"/>
        <rFont val="돋움"/>
        <family val="3"/>
        <charset val="129"/>
      </rPr>
      <t xml:space="preserve">2.</t>
    </r>
    <r>
      <rPr>
        <sz val="11"/>
        <rFont val="Noto Sans CJK SC"/>
        <family val="2"/>
      </rPr>
      <t xml:space="preserve">수수료율</t>
    </r>
  </si>
  <si>
    <t xml:space="preserve">수수료율은(별표2)에 의한다</t>
  </si>
  <si>
    <r>
      <rPr>
        <sz val="11"/>
        <rFont val="돋움"/>
        <family val="3"/>
        <charset val="129"/>
      </rPr>
      <t xml:space="preserve">4.</t>
    </r>
    <r>
      <rPr>
        <sz val="11"/>
        <rFont val="Noto Sans CJK SC"/>
        <family val="2"/>
      </rPr>
      <t xml:space="preserve">징수기준 및 징수방법</t>
    </r>
  </si>
  <si>
    <t xml:space="preserve">바.통화전환수수료</t>
  </si>
  <si>
    <r>
      <rPr>
        <sz val="11"/>
        <color rgb="FFFF0000"/>
        <rFont val="돋움"/>
        <family val="3"/>
        <charset val="129"/>
      </rPr>
      <t xml:space="preserve">(1)</t>
    </r>
    <r>
      <rPr>
        <sz val="11"/>
        <color rgb="FFFF0000"/>
        <rFont val="Noto Sans CJK SC"/>
        <family val="2"/>
      </rPr>
      <t xml:space="preserve">징구대상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통화전환 권리를 부여하는 일반외화대출</t>
    </r>
  </si>
  <si>
    <r>
      <rPr>
        <sz val="11"/>
        <color rgb="FFFF0000"/>
        <rFont val="돋움"/>
        <family val="3"/>
        <charset val="129"/>
      </rPr>
      <t xml:space="preserve">(2)</t>
    </r>
    <r>
      <rPr>
        <sz val="11"/>
        <color rgb="FFFF0000"/>
        <rFont val="Noto Sans CJK SC"/>
        <family val="2"/>
      </rPr>
      <t xml:space="preserve">징구시기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통화전환 약정시에 </t>
    </r>
    <r>
      <rPr>
        <sz val="11"/>
        <color rgb="FFFF0000"/>
        <rFont val="돋움"/>
        <family val="3"/>
        <charset val="129"/>
      </rPr>
      <t xml:space="preserve">0.1%</t>
    </r>
    <r>
      <rPr>
        <sz val="11"/>
        <color rgb="FFFF0000"/>
        <rFont val="Noto Sans CJK SC"/>
        <family val="2"/>
      </rPr>
      <t xml:space="preserve">를 징구하고 통화전환일에 나머지를 징구한다</t>
    </r>
  </si>
  <si>
    <t xml:space="preserve">수수료의 감면 </t>
  </si>
  <si>
    <t xml:space="preserve">차주의 제반 거래실적, 기여도, 향후 기대수익 및 기타 신청사유 등을 감안하여 통화 전환 수수료는 감액 또는 면제 할 수 있다. </t>
  </si>
  <si>
    <r>
      <rPr>
        <sz val="11"/>
        <rFont val="돋움"/>
        <family val="3"/>
        <charset val="129"/>
      </rPr>
      <t xml:space="preserve">11. </t>
    </r>
    <r>
      <rPr>
        <sz val="11"/>
        <rFont val="Noto Sans CJK SC"/>
        <family val="2"/>
      </rPr>
      <t xml:space="preserve">준용규정  </t>
    </r>
  </si>
  <si>
    <t xml:space="preserve">이 절에서 정하지 아니한 사항은 여신관련 규정 및 지침에서 정하는 바에 따른다  </t>
  </si>
  <si>
    <t xml:space="preserve">제2관 외화대출 모범규준 </t>
  </si>
  <si>
    <t xml:space="preserve">제1목 총 칙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</si>
  <si>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이 규준은 차주에 대한 위험 고지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환헤지 안내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차주의 환리스크 관리능력을 반영한 여신심사 등 외화대출을 취급함에 있어 준수하여야 하는 업무처리절차를 정함으로써 금융소비자의 권익을 보호하고 여심심사체계를 개선함을 목적으로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</si>
  <si>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이 규준에서 사용되는 용어의 정의는 다음과 같다</t>
    </r>
    <r>
      <rPr>
        <sz val="11"/>
        <rFont val="돋움"/>
        <family val="3"/>
        <charset val="129"/>
      </rPr>
      <t xml:space="preserve">.  </t>
    </r>
  </si>
  <si>
    <t xml:space="preserve">가. "외화대출"이란 「외국환거래법」제3조 제1항 제14호의 "거주자"에 대하여 취급하는 「은행업감독업무시행세칙」&lt;별표4-1&gt;'외국환계정 회계처리기준'의 "외화대출금"중 "외화대출","외화표시 원화대출","기타" 및 "외화사모사채"를 포함한다. </t>
  </si>
  <si>
    <t xml:space="preserve">나. "차주"란 외화대출을 제공받거나 외화대출에 대해 보증 또는 담보를 제공함으로써 채무를 부담하는 자로서 금융업을 영위하지 않는 자를 말한다. </t>
  </si>
  <si>
    <t xml:space="preserve">다. "환헤지 상품"이란 「외국환거래규정」제1-2조 제20-2호에서 규정하는 통화를 기초자산으로 하는 파생상품으로서 외화대출의 환리스크를 부분적으로 또는 전부 회피하기 위한 것을 말한다.  </t>
  </si>
  <si>
    <t xml:space="preserve">제2목 금융소비자 보호 강화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</si>
  <si>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차주에게 외화대출 관련 리스크를 사전에 고지하고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대출실행 이후에도 차주가 관련 리스크를 관리할 수 있도록 다음과 같은 절차를 통해 필요한 정보를 제공하여야 한다</t>
    </r>
    <r>
      <rPr>
        <sz val="11"/>
        <rFont val="돋움"/>
        <family val="3"/>
        <charset val="129"/>
      </rPr>
      <t xml:space="preserve">.  </t>
    </r>
  </si>
  <si>
    <t xml:space="preserve">가. 대출 실행 이전에 외화대출의 구조 및 리스크를 충분히 설명하고 리스크 요인에 대한 질문 형식의 위험 고지 확인서(별표 1)를 차주의 자필서명을 포함하여 제출받아야 하며, 외화대출의 리스크 요인을 구체적으로 설명한 안내책자(handbook)를 차주에게 교부하여야 한다. </t>
  </si>
  <si>
    <t xml:space="preserve">나. 외화대출의 위험 고지가 적정하였는지 여부에 대해 사후 점검하여야 한다. 사후점검은 다음과 같이 실시한다.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</si>
  <si>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시기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외화대출 실행후 </t>
    </r>
    <r>
      <rPr>
        <sz val="11"/>
        <rFont val="돋움"/>
        <family val="3"/>
        <charset val="129"/>
      </rPr>
      <t xml:space="preserve">5</t>
    </r>
    <r>
      <rPr>
        <sz val="11"/>
        <rFont val="Noto Sans CJK SC"/>
        <family val="2"/>
      </rPr>
      <t xml:space="preserve">영업일 이내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</si>
  <si>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방법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고객감동센터에서 불완전판매에 대한 사후점검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모니터링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실시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</si>
  <si>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사후점검 내용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</si>
  <si>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확인서 제출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외화대출 핸드북 교부 등 위험 고지절차의 적정성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</si>
  <si>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차주가 확인서 상의 외화대출 관련 리스크에 대해 충분히 인지하고 있는지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</si>
  <si>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외화대출에 대한 환헤지 필요성 및 환헤지 상품을 안내 받았는지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</si>
  <si>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기타 차주의 외화대출 관련 불만사항 </t>
    </r>
  </si>
  <si>
    <r>
      <rPr>
        <sz val="11"/>
        <rFont val="돋움"/>
        <family val="3"/>
        <charset val="129"/>
      </rPr>
      <t xml:space="preserve">(4) </t>
    </r>
    <r>
      <rPr>
        <sz val="11"/>
        <rFont val="Noto Sans CJK SC"/>
        <family val="2"/>
      </rPr>
      <t xml:space="preserve">점검 결과 위험 고지가 미흡하다고 판단되는 경우 지체없이 영업점에 통보하고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영업점 담당자는 차주에게 보완 설명하고 이를 기록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보관하여야 한다</t>
    </r>
    <r>
      <rPr>
        <sz val="11"/>
        <rFont val="돋움"/>
        <family val="3"/>
        <charset val="129"/>
      </rPr>
      <t xml:space="preserve">. </t>
    </r>
  </si>
  <si>
    <t xml:space="preserve">다. 외화대출 차주가 원하는 경우 '외화대출 알리미 서비스 신청서'(별표 2)를 징구하여, 대출기간중 환율 및 금리 변동현황 등 차주의 환리스크 관리에 필요한 정보를 주무부서에서 월 1회 주기적으로 제공하여야 한다.  </t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</si>
  <si>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환헤지 상품을 이용할 경우 환리스크를 축소할 수 있다는 사실을 차주에게 충분히 설명하고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「자본시장과 금융투자업에 관한 법률」등에서 정하는 바에 따라 환헤지 상품의 종류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특성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비용 및 환헤지 효과를 차주에게 안내하여야 하며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차주가 원하는 경우 차주의 환리스크 축소를 위하여 노력하여야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</si>
  <si>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돋움"/>
        <family val="3"/>
        <charset val="129"/>
      </rPr>
      <t xml:space="preserve">3. </t>
    </r>
    <r>
      <rPr>
        <sz val="11"/>
        <rFont val="Noto Sans CJK SC"/>
        <family val="2"/>
      </rPr>
      <t xml:space="preserve">외화대출을 취급함에 있어 차주의 금리선택권 보호를 위해 고정금리 대출 상품을 제공하거나 차주가 원하는 경우 「자본시장과 금융투자업에 관한 법률」등에서 정하는 바에 따라 별도의 금리스왑 거래를 실행하여 대출기간 중 차주가 대출금리를 고정할 수 있도록 노력하여야 한다</t>
    </r>
    <r>
      <rPr>
        <sz val="11"/>
        <rFont val="돋움"/>
        <family val="3"/>
        <charset val="129"/>
      </rPr>
      <t xml:space="preserve">.   </t>
    </r>
  </si>
  <si>
    <t xml:space="preserve">제3목 여신심사체계 개선 </t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</si>
  <si>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외화대출의 심사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승인시 차주로 하여금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 현황 및 외화대출 관리 계획</t>
    </r>
    <r>
      <rPr>
        <sz val="11"/>
        <rFont val="돋움"/>
        <family val="3"/>
        <charset val="129"/>
      </rPr>
      <t xml:space="preserve">'(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3)</t>
    </r>
    <r>
      <rPr>
        <sz val="11"/>
        <rFont val="Noto Sans CJK SC"/>
        <family val="2"/>
      </rPr>
      <t xml:space="preserve">을 제출토록 하고 차주의 환리스크 관리능력을 종합적으로 평가하여 대출 승인 여부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대출금액 및 대출금리 결정시 반영하여야 한다</t>
    </r>
    <r>
      <rPr>
        <sz val="11"/>
        <rFont val="돋움"/>
        <family val="3"/>
        <charset val="129"/>
      </rPr>
      <t xml:space="preserve">.  </t>
    </r>
  </si>
  <si>
    <t xml:space="preserve">가. 외환리스크 관리 현황 및 외화대출 관리 계획은 다음의 내용을 포함한다.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</si>
  <si>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환리스크 관리조직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규정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담당인력의 전문성 등 외환리스크관리 체계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</si>
  <si>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환리스크 한도 설정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환포지션 관리 현황 등 외환리스크 관리실태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</si>
  <si>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외화대출의 자금용도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환헤지여부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상환 재원 등 </t>
    </r>
  </si>
  <si>
    <t xml:space="preserve">나. 제출대상 : 외화대출을 받고자 하는 대기업,중소기업(개인사업자 포함) </t>
  </si>
  <si>
    <t xml:space="preserve">다. 제출시기 : 외화대출 상담시 </t>
  </si>
  <si>
    <t xml:space="preserve">라. 평가방법 : 차주로부터 '외환리스크 관리 현황 및 외화대출 관리 계획'을 제출받아 '외환리스크 관리현황 및 외화대출 관리계획 배점기준'(별표4)에 의거 '외환리스크 관리현황 및 외화대출 관리계획 평점표;(별표5)를 작성하여 평점결과를 대출승인 여부 및 대출금리 결정시 반영한다. </t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</si>
  <si>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100</t>
    </r>
    <r>
      <rPr>
        <sz val="11"/>
        <rFont val="Noto Sans CJK SC"/>
        <family val="2"/>
      </rPr>
      <t xml:space="preserve">점 이상인 경우 전결권자의 승인을 받아 취급 가능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</si>
  <si>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60</t>
    </r>
    <r>
      <rPr>
        <sz val="11"/>
        <rFont val="Noto Sans CJK SC"/>
        <family val="2"/>
      </rPr>
      <t xml:space="preserve">점 이상인 경우 외화대출 관리계획을 보완하여 제출토록 요구 및 환헤지를 조건으로 취급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</si>
  <si>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60</t>
    </r>
    <r>
      <rPr>
        <sz val="11"/>
        <rFont val="Noto Sans CJK SC"/>
        <family val="2"/>
      </rPr>
      <t xml:space="preserve">점 미만인 경우 여신거절  </t>
    </r>
  </si>
  <si>
    <t xml:space="preserve">외화대출한도 승인명세</t>
  </si>
  <si>
    <t xml:space="preserve">신규/연기</t>
  </si>
  <si>
    <t xml:space="preserve">대출일자</t>
  </si>
  <si>
    <t xml:space="preserve">용도</t>
  </si>
  <si>
    <t xml:space="preserve">통화전환약정</t>
  </si>
  <si>
    <t xml:space="preserve">연기</t>
  </si>
  <si>
    <t xml:space="preserve">운전자금</t>
  </si>
  <si>
    <t xml:space="preserve">외화운전자금대출</t>
  </si>
  <si>
    <t xml:space="preserve">대신동지점</t>
  </si>
  <si>
    <t xml:space="preserve">이태희</t>
  </si>
  <si>
    <t xml:space="preserve">김태수</t>
  </si>
  <si>
    <t xml:space="preserve">X</t>
  </si>
  <si>
    <t xml:space="preserve">김유빈</t>
  </si>
  <si>
    <t xml:space="preserve">최종훈</t>
  </si>
  <si>
    <t xml:space="preserve">월배영업부</t>
  </si>
  <si>
    <t xml:space="preserve">유영호</t>
  </si>
  <si>
    <t xml:space="preserve">김석범</t>
  </si>
  <si>
    <t xml:space="preserve">강석호</t>
  </si>
  <si>
    <t xml:space="preserve">손창호</t>
  </si>
  <si>
    <t xml:space="preserve">신규 : 본건 운전자금 용도의 외화대출 신규신청건으로 만기까지 한도(USD) 사용을 승인함</t>
  </si>
  <si>
    <t xml:space="preserve">연기 : 본건 기사용 외화대출연기 신청건으로 만기까지 한도(USD) 사용을 승인함</t>
  </si>
  <si>
    <t xml:space="preserve">신규/연기/상담</t>
  </si>
  <si>
    <t xml:space="preserve">신청일</t>
  </si>
  <si>
    <t xml:space="preserve">지점</t>
  </si>
  <si>
    <t xml:space="preserve">환산환율</t>
  </si>
  <si>
    <t xml:space="preserve">대미환산</t>
  </si>
  <si>
    <t xml:space="preserve">통화옵션</t>
  </si>
  <si>
    <t xml:space="preserve">심사</t>
  </si>
  <si>
    <t xml:space="preserve">서부산지점</t>
  </si>
  <si>
    <t xml:space="preserve">김창수</t>
  </si>
  <si>
    <t xml:space="preserve">노효선</t>
  </si>
  <si>
    <t xml:space="preserve">시설재</t>
  </si>
  <si>
    <t xml:space="preserve">김진태</t>
  </si>
  <si>
    <t xml:space="preserve">문성완</t>
  </si>
  <si>
    <t xml:space="preserve">안동지점</t>
  </si>
  <si>
    <t xml:space="preserve">손무백</t>
  </si>
  <si>
    <t xml:space="preserve">정성원</t>
  </si>
  <si>
    <t xml:space="preserve">팔달영업부</t>
  </si>
  <si>
    <t xml:space="preserve">김순호</t>
  </si>
  <si>
    <t xml:space="preserve">양찬수</t>
  </si>
  <si>
    <t xml:space="preserve">홍현주</t>
  </si>
  <si>
    <t xml:space="preserve">㈜케이티지</t>
  </si>
  <si>
    <t xml:space="preserve">반야월지점</t>
  </si>
  <si>
    <t xml:space="preserve">권영섭</t>
  </si>
  <si>
    <t xml:space="preserve">김진도</t>
  </si>
  <si>
    <t xml:space="preserve">대신동영업부</t>
  </si>
  <si>
    <t xml:space="preserve">배구현</t>
  </si>
  <si>
    <t xml:space="preserve">김수현</t>
  </si>
  <si>
    <t xml:space="preserve">유통단지지점</t>
  </si>
  <si>
    <t xml:space="preserve">손종득</t>
  </si>
  <si>
    <t xml:space="preserve">박윤희</t>
  </si>
  <si>
    <t xml:space="preserve">이승원</t>
  </si>
  <si>
    <t xml:space="preserve">박미희</t>
  </si>
  <si>
    <t xml:space="preserve">홍원화</t>
  </si>
  <si>
    <t xml:space="preserve">칠곡지점</t>
  </si>
  <si>
    <t xml:space="preserve">김성훈</t>
  </si>
  <si>
    <t xml:space="preserve">㈜퓨전소프트</t>
  </si>
  <si>
    <t xml:space="preserve">정정일</t>
  </si>
  <si>
    <t xml:space="preserve">예병대</t>
  </si>
  <si>
    <t xml:space="preserve">㈜서경메디텍</t>
  </si>
  <si>
    <t xml:space="preserve">정경준</t>
  </si>
  <si>
    <t xml:space="preserve">고정찬</t>
  </si>
  <si>
    <t xml:space="preserve">정동성</t>
  </si>
  <si>
    <t xml:space="preserve">최복용</t>
  </si>
  <si>
    <t xml:space="preserve">㈜철쟁이</t>
  </si>
  <si>
    <t xml:space="preserve">아양로지점</t>
  </si>
  <si>
    <t xml:space="preserve">백창한</t>
  </si>
  <si>
    <t xml:space="preserve">고정욱</t>
  </si>
  <si>
    <t xml:space="preserve">구미영업부</t>
  </si>
  <si>
    <t xml:space="preserve">조찬종</t>
  </si>
  <si>
    <t xml:space="preserve">경대물산</t>
  </si>
  <si>
    <t xml:space="preserve">강평무</t>
  </si>
  <si>
    <t xml:space="preserve">송재환</t>
  </si>
  <si>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공단영업부</t>
    </r>
  </si>
  <si>
    <t xml:space="preserve">김영덕</t>
  </si>
  <si>
    <t xml:space="preserve">류수웅</t>
  </si>
  <si>
    <t xml:space="preserve">이상학</t>
  </si>
  <si>
    <t xml:space="preserve">장우식</t>
  </si>
  <si>
    <t xml:space="preserve">김오권</t>
  </si>
  <si>
    <t xml:space="preserve">김동호</t>
  </si>
  <si>
    <t xml:space="preserve">장준기</t>
  </si>
  <si>
    <t xml:space="preserve">이성룡</t>
  </si>
  <si>
    <t xml:space="preserve">고광미</t>
  </si>
  <si>
    <t xml:space="preserve">최정모</t>
  </si>
  <si>
    <t xml:space="preserve">안현둘</t>
  </si>
  <si>
    <t xml:space="preserve">신동준</t>
  </si>
  <si>
    <t xml:space="preserve">김병수</t>
  </si>
  <si>
    <t xml:space="preserve">반월당지점</t>
  </si>
  <si>
    <t xml:space="preserve">최정훈</t>
  </si>
  <si>
    <t xml:space="preserve">김병준</t>
  </si>
  <si>
    <t xml:space="preserve">차기욱</t>
  </si>
  <si>
    <t xml:space="preserve">소영섭</t>
  </si>
  <si>
    <t xml:space="preserve">㈜우성택시</t>
  </si>
  <si>
    <t xml:space="preserve">본점기업영업부</t>
  </si>
  <si>
    <t xml:space="preserve">강문성</t>
  </si>
  <si>
    <t xml:space="preserve">김분남</t>
  </si>
  <si>
    <t xml:space="preserve">㈜대구플라스틱</t>
  </si>
  <si>
    <t xml:space="preserve">유두욱</t>
  </si>
  <si>
    <t xml:space="preserve">조경호</t>
  </si>
  <si>
    <t xml:space="preserve">최관석</t>
  </si>
  <si>
    <t xml:space="preserve">고령지점</t>
  </si>
  <si>
    <t xml:space="preserve">임병기</t>
  </si>
  <si>
    <t xml:space="preserve">김석균</t>
  </si>
  <si>
    <t xml:space="preserve">이명진</t>
  </si>
  <si>
    <t xml:space="preserve">㈜성원텍스</t>
  </si>
  <si>
    <t xml:space="preserve">이상섭</t>
  </si>
  <si>
    <t xml:space="preserve">석은삼</t>
  </si>
  <si>
    <t xml:space="preserve">강창규</t>
  </si>
  <si>
    <t xml:space="preserve">와룡지점</t>
  </si>
  <si>
    <t xml:space="preserve">김정호</t>
  </si>
  <si>
    <t xml:space="preserve">가야유치원</t>
  </si>
  <si>
    <t xml:space="preserve">임욱희</t>
  </si>
  <si>
    <t xml:space="preserve">김호중</t>
  </si>
  <si>
    <t xml:space="preserve">정재환</t>
  </si>
  <si>
    <t xml:space="preserve">㈜유나이티드 오션</t>
  </si>
  <si>
    <t xml:space="preserve">조승현</t>
  </si>
  <si>
    <t xml:space="preserve">박현숙</t>
  </si>
  <si>
    <t xml:space="preserve">구은진</t>
  </si>
  <si>
    <t xml:space="preserve">㈜경대물산</t>
  </si>
  <si>
    <t xml:space="preserve">남미숙</t>
  </si>
  <si>
    <t xml:space="preserve">류성업</t>
  </si>
  <si>
    <t xml:space="preserve">곽동환</t>
  </si>
  <si>
    <t xml:space="preserve">허인재</t>
  </si>
  <si>
    <t xml:space="preserve">두올섬유</t>
  </si>
  <si>
    <t xml:space="preserve">황성윤</t>
  </si>
  <si>
    <t xml:space="preserve">박주한</t>
  </si>
  <si>
    <t xml:space="preserve">박웅</t>
  </si>
  <si>
    <t xml:space="preserve">전종철</t>
  </si>
  <si>
    <t xml:space="preserve">김창훈</t>
  </si>
  <si>
    <t xml:space="preserve">황호영</t>
  </si>
  <si>
    <t xml:space="preserve">시설재자금</t>
  </si>
  <si>
    <t xml:space="preserve">김재현</t>
  </si>
  <si>
    <t xml:space="preserve">한성곤</t>
  </si>
  <si>
    <t xml:space="preserve">㈜영일무역</t>
  </si>
  <si>
    <t xml:space="preserve">문혜숙</t>
  </si>
  <si>
    <t xml:space="preserve">201-08-31</t>
  </si>
  <si>
    <t xml:space="preserve">지앤비모터스주식회사</t>
  </si>
  <si>
    <t xml:space="preserve">관음지점</t>
  </si>
  <si>
    <t xml:space="preserve">1830188</t>
  </si>
  <si>
    <t xml:space="preserve">최규수</t>
  </si>
  <si>
    <t xml:space="preserve">1951485</t>
  </si>
  <si>
    <t xml:space="preserve">진정호</t>
  </si>
  <si>
    <t xml:space="preserve">1870340</t>
  </si>
  <si>
    <t xml:space="preserve">염태수</t>
  </si>
  <si>
    <t xml:space="preserve">상담</t>
  </si>
  <si>
    <t xml:space="preserve">포항영업부</t>
  </si>
  <si>
    <t xml:space="preserve">제일염화</t>
  </si>
  <si>
    <t xml:space="preserve">1870389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</si>
  <si>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청우</t>
    </r>
  </si>
  <si>
    <t xml:space="preserve">이규우</t>
  </si>
  <si>
    <t xml:space="preserve">1950586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</si>
  <si>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신한정밀</t>
    </r>
  </si>
  <si>
    <t xml:space="preserve">죽도동지점</t>
  </si>
  <si>
    <t xml:space="preserve">2060378</t>
  </si>
  <si>
    <t xml:space="preserve">최학수</t>
  </si>
  <si>
    <t xml:space="preserve">2040169</t>
  </si>
  <si>
    <t xml:space="preserve">성삼모</t>
  </si>
  <si>
    <t xml:space="preserve">조양래</t>
  </si>
  <si>
    <t xml:space="preserve">1951097</t>
  </si>
  <si>
    <t xml:space="preserve">결제자금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</si>
  <si>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고려케미칼</t>
    </r>
  </si>
  <si>
    <t xml:space="preserve">2110571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</si>
  <si>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경대물산</t>
    </r>
  </si>
  <si>
    <t xml:space="preserve">이영순</t>
  </si>
  <si>
    <t xml:space="preserve">이경규</t>
  </si>
  <si>
    <t xml:space="preserve">1920380</t>
  </si>
  <si>
    <t xml:space="preserve">신택산업(주)</t>
  </si>
  <si>
    <t xml:space="preserve">수입</t>
  </si>
  <si>
    <t xml:space="preserve">1880974</t>
  </si>
  <si>
    <t xml:space="preserve">전영애</t>
  </si>
  <si>
    <t xml:space="preserve">시설자금</t>
  </si>
  <si>
    <t xml:space="preserve">왜관공단지점</t>
  </si>
  <si>
    <t xml:space="preserve">1960527</t>
  </si>
  <si>
    <t xml:space="preserve">동호합섬(주)</t>
  </si>
  <si>
    <t xml:space="preserve">1892453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</si>
  <si>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남원</t>
    </r>
    <r>
      <rPr>
        <sz val="11"/>
        <rFont val="돋움"/>
        <family val="3"/>
        <charset val="129"/>
      </rPr>
      <t xml:space="preserve">TEXWELL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</si>
  <si>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루브캠코리아</t>
    </r>
  </si>
  <si>
    <t xml:space="preserve">1950052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</si>
  <si>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금창</t>
    </r>
  </si>
  <si>
    <t xml:space="preserve">공장설립</t>
  </si>
  <si>
    <t xml:space="preserve">복현지점</t>
  </si>
  <si>
    <t xml:space="preserve">1880928</t>
  </si>
  <si>
    <r>
      <rPr>
        <sz val="11"/>
        <rFont val="굴림체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굴림체"/>
        <family val="3"/>
        <charset val="129"/>
      </rPr>
      <t xml:space="preserve">)</t>
    </r>
    <r>
      <rPr>
        <sz val="11"/>
        <rFont val="Noto Sans CJK SC"/>
        <family val="2"/>
      </rPr>
      <t xml:space="preserve">대동정공</t>
    </r>
  </si>
  <si>
    <t xml:space="preserve">1920116</t>
  </si>
  <si>
    <t xml:space="preserve">이상제</t>
  </si>
  <si>
    <t xml:space="preserve">해외투자</t>
  </si>
  <si>
    <t xml:space="preserve">㈜오씨아이상사</t>
  </si>
  <si>
    <t xml:space="preserve">김영호</t>
  </si>
  <si>
    <t xml:space="preserve">㈜풍산</t>
  </si>
  <si>
    <t xml:space="preserve">㈜비에스비스틸</t>
  </si>
  <si>
    <t xml:space="preserve">창원지점</t>
  </si>
  <si>
    <t xml:space="preserve">김관우</t>
  </si>
  <si>
    <t xml:space="preserve">진영훈</t>
  </si>
  <si>
    <t xml:space="preserve">㈜JVM</t>
  </si>
  <si>
    <t xml:space="preserve">박제상</t>
  </si>
  <si>
    <t xml:space="preserve">박세웅</t>
  </si>
  <si>
    <t xml:space="preserve">㈜기풍</t>
  </si>
  <si>
    <t xml:space="preserve">㈜신도하이텍</t>
  </si>
  <si>
    <t xml:space="preserve">동원산업㈜</t>
  </si>
  <si>
    <t xml:space="preserve">김규훈</t>
  </si>
  <si>
    <t xml:space="preserve">신암동지점</t>
  </si>
  <si>
    <t xml:space="preserve">이원호</t>
  </si>
  <si>
    <t xml:space="preserve">인덕건설㈜</t>
  </si>
  <si>
    <t xml:space="preserve">이춘우</t>
  </si>
  <si>
    <t xml:space="preserve">박영삼</t>
  </si>
  <si>
    <t xml:space="preserve">㈜범양</t>
  </si>
  <si>
    <r>
      <rPr>
        <sz val="11"/>
        <color rgb="FF000000"/>
        <rFont val="돋움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공단영업부</t>
    </r>
  </si>
  <si>
    <t xml:space="preserve">최정욱</t>
  </si>
  <si>
    <t xml:space="preserve">김진남</t>
  </si>
  <si>
    <t xml:space="preserve">박윤태</t>
  </si>
  <si>
    <t xml:space="preserve">한규상</t>
  </si>
  <si>
    <t xml:space="preserve">세진금속㈜</t>
  </si>
  <si>
    <t xml:space="preserve">서영민</t>
  </si>
  <si>
    <t xml:space="preserve">이현곤</t>
  </si>
  <si>
    <t xml:space="preserve">이종한</t>
  </si>
  <si>
    <t xml:space="preserve">㈜썬시카방수</t>
  </si>
  <si>
    <t xml:space="preserve">이병직</t>
  </si>
  <si>
    <t xml:space="preserve">㈜웰코</t>
  </si>
  <si>
    <t xml:space="preserve">ㅇ</t>
  </si>
  <si>
    <t xml:space="preserve">㈜신한글로벌</t>
  </si>
  <si>
    <t xml:space="preserve">양상복</t>
  </si>
  <si>
    <t xml:space="preserve">㈜루브캠코리아</t>
  </si>
  <si>
    <t xml:space="preserve">㈜남원texwell</t>
  </si>
  <si>
    <t xml:space="preserve">신광컴텍㈜</t>
  </si>
  <si>
    <t xml:space="preserve">용산롯데캐슬지점</t>
  </si>
  <si>
    <t xml:space="preserve">양달모</t>
  </si>
  <si>
    <t xml:space="preserve">까나베나㈜</t>
  </si>
  <si>
    <t xml:space="preserve">와이제이특수강㈜</t>
  </si>
  <si>
    <t xml:space="preserve">㈜태성비철</t>
  </si>
  <si>
    <t xml:space="preserve">이현공단지점</t>
  </si>
  <si>
    <t xml:space="preserve">권용민</t>
  </si>
  <si>
    <t xml:space="preserve">㈜대성나사산업</t>
  </si>
  <si>
    <t xml:space="preserve">㈜태평양정공</t>
  </si>
  <si>
    <t xml:space="preserve">최영섭</t>
  </si>
  <si>
    <t xml:space="preserve">이창옥</t>
  </si>
  <si>
    <t xml:space="preserve">도재구</t>
  </si>
  <si>
    <t xml:space="preserve">조영구</t>
  </si>
  <si>
    <t xml:space="preserve">김덕규</t>
  </si>
  <si>
    <t xml:space="preserve">글로벌산업㈜</t>
  </si>
  <si>
    <t xml:space="preserve">강정호</t>
  </si>
  <si>
    <t xml:space="preserve">김준형</t>
  </si>
  <si>
    <t xml:space="preserve">김용만</t>
  </si>
  <si>
    <t xml:space="preserve">마필재</t>
  </si>
  <si>
    <t xml:space="preserve">김천기</t>
  </si>
  <si>
    <t xml:space="preserve">김권태</t>
  </si>
  <si>
    <t xml:space="preserve">박준언</t>
  </si>
  <si>
    <t xml:space="preserve">태경인더스트리</t>
  </si>
  <si>
    <t xml:space="preserve">이보형</t>
  </si>
  <si>
    <t xml:space="preserve">김흥식</t>
  </si>
  <si>
    <t xml:space="preserve">박영임</t>
  </si>
  <si>
    <t xml:space="preserve">㈜케이디프랜지</t>
  </si>
  <si>
    <t xml:space="preserve">이장희</t>
  </si>
  <si>
    <t xml:space="preserve">이은숙</t>
  </si>
  <si>
    <t xml:space="preserve">㈜탑캐스트</t>
  </si>
  <si>
    <t xml:space="preserve">함장섭</t>
  </si>
  <si>
    <t xml:space="preserve">김용범</t>
  </si>
  <si>
    <t xml:space="preserve">김정우</t>
  </si>
  <si>
    <t xml:space="preserve">㈜덴티스</t>
  </si>
  <si>
    <t xml:space="preserve">김순희</t>
  </si>
  <si>
    <t xml:space="preserve">김진수</t>
  </si>
  <si>
    <t xml:space="preserve">㈜청우</t>
  </si>
  <si>
    <t xml:space="preserve">정귀락</t>
  </si>
  <si>
    <t xml:space="preserve">㈜동성플러스</t>
  </si>
  <si>
    <t xml:space="preserve">정정호</t>
  </si>
  <si>
    <t xml:space="preserve">㈜아이온에프앤지</t>
  </si>
  <si>
    <t xml:space="preserve">㈜뉴코텍</t>
  </si>
  <si>
    <t xml:space="preserve">㈜에이치에스테크</t>
  </si>
  <si>
    <t xml:space="preserve">㈜해인창호</t>
  </si>
  <si>
    <t xml:space="preserve">안흔주</t>
  </si>
  <si>
    <t xml:space="preserve">박준호</t>
  </si>
  <si>
    <t xml:space="preserve">임세운</t>
  </si>
  <si>
    <t xml:space="preserve">최태곤</t>
  </si>
  <si>
    <t xml:space="preserve">김양락</t>
  </si>
  <si>
    <t xml:space="preserve">㈜대욱금속</t>
  </si>
  <si>
    <t xml:space="preserve">㈜재은씨엔씨</t>
  </si>
  <si>
    <t xml:space="preserve">권영민</t>
  </si>
  <si>
    <t xml:space="preserve">강현수</t>
  </si>
  <si>
    <t xml:space="preserve">권기욱</t>
  </si>
  <si>
    <t xml:space="preserve">㈜디엔테크</t>
  </si>
  <si>
    <t xml:space="preserve">오세혁</t>
  </si>
  <si>
    <t xml:space="preserve">서진덕</t>
  </si>
  <si>
    <t xml:space="preserve">이병목</t>
  </si>
  <si>
    <t xml:space="preserve">㈜한국하이테크</t>
  </si>
  <si>
    <t xml:space="preserve">양재율</t>
  </si>
  <si>
    <t xml:space="preserve">김종설</t>
  </si>
  <si>
    <t xml:space="preserve">윤광호</t>
  </si>
  <si>
    <t xml:space="preserve">㈜한신금속</t>
  </si>
  <si>
    <t xml:space="preserve">장미영</t>
  </si>
  <si>
    <t xml:space="preserve">장금상선㈜</t>
  </si>
  <si>
    <t xml:space="preserve">오영진</t>
  </si>
  <si>
    <t xml:space="preserve">㈜국제금속</t>
  </si>
  <si>
    <t xml:space="preserve">이선모</t>
  </si>
  <si>
    <t xml:space="preserve">진양공업㈜</t>
  </si>
  <si>
    <t xml:space="preserve">최대성</t>
  </si>
  <si>
    <t xml:space="preserve">김진해</t>
  </si>
  <si>
    <t xml:space="preserve">한국프라스틱㈜</t>
  </si>
  <si>
    <t xml:space="preserve">㈜티와이</t>
  </si>
  <si>
    <t xml:space="preserve">김윤태</t>
  </si>
  <si>
    <t xml:space="preserve">㈜시호텍</t>
  </si>
  <si>
    <t xml:space="preserve">장태기</t>
  </si>
  <si>
    <t xml:space="preserve">㈜구미개발</t>
  </si>
  <si>
    <t xml:space="preserve">투자금</t>
  </si>
  <si>
    <t xml:space="preserve">이상근</t>
  </si>
  <si>
    <t xml:space="preserve">시설대</t>
  </si>
  <si>
    <t xml:space="preserve">㈜태경인더스트리</t>
  </si>
  <si>
    <t xml:space="preserve">㈜세창</t>
  </si>
  <si>
    <t xml:space="preserve">성구용</t>
  </si>
  <si>
    <t xml:space="preserve">㈜대은밸브</t>
  </si>
  <si>
    <t xml:space="preserve">㈜제이티 무역</t>
  </si>
  <si>
    <t xml:space="preserve">안호진</t>
  </si>
  <si>
    <t xml:space="preserve">박성훈</t>
  </si>
  <si>
    <t xml:space="preserve">배효수</t>
  </si>
  <si>
    <t xml:space="preserve">심영진</t>
  </si>
  <si>
    <t xml:space="preserve">손병우</t>
  </si>
  <si>
    <t xml:space="preserve">김무수</t>
  </si>
  <si>
    <t xml:space="preserve">포시틸㈜</t>
  </si>
  <si>
    <t xml:space="preserve">㈜에이스유리</t>
  </si>
  <si>
    <t xml:space="preserve">㈜문도기업</t>
  </si>
  <si>
    <t xml:space="preserve">박정숙</t>
  </si>
  <si>
    <t xml:space="preserve">해외직투</t>
  </si>
  <si>
    <t xml:space="preserve">박찬문</t>
  </si>
  <si>
    <t xml:space="preserve">쌍용자동차대구정비사업</t>
  </si>
  <si>
    <t xml:space="preserve">㈜에스제이이엔지</t>
  </si>
  <si>
    <t xml:space="preserve">㈜금창</t>
  </si>
  <si>
    <t xml:space="preserve">해외직접</t>
  </si>
  <si>
    <t xml:space="preserve">삼익오토텍㈜</t>
  </si>
  <si>
    <t xml:space="preserve">성동준</t>
  </si>
  <si>
    <t xml:space="preserve">북성로지점</t>
  </si>
  <si>
    <t xml:space="preserve">이순호</t>
  </si>
  <si>
    <t xml:space="preserve">기계구입</t>
  </si>
  <si>
    <t xml:space="preserve">박진하</t>
  </si>
  <si>
    <t xml:space="preserve">㈜에이씨에스</t>
  </si>
  <si>
    <t xml:space="preserve">수입결제</t>
  </si>
  <si>
    <t xml:space="preserve">신진오</t>
  </si>
  <si>
    <t xml:space="preserve">효목동지점</t>
  </si>
  <si>
    <t xml:space="preserve">허기영</t>
  </si>
  <si>
    <t xml:space="preserve">㈜대아에스엔에스</t>
  </si>
  <si>
    <t xml:space="preserve">이석현</t>
  </si>
  <si>
    <t xml:space="preserve">해창석유㈜</t>
  </si>
  <si>
    <t xml:space="preserve">김무성</t>
  </si>
  <si>
    <t xml:space="preserve">이정숙</t>
  </si>
  <si>
    <t xml:space="preserve">2013-04-04-</t>
  </si>
  <si>
    <t xml:space="preserve">조재호</t>
  </si>
  <si>
    <t xml:space="preserve">㈜화인</t>
  </si>
  <si>
    <t xml:space="preserve">김기철</t>
  </si>
  <si>
    <t xml:space="preserve">㈜대동정공</t>
  </si>
  <si>
    <t xml:space="preserve">정후영</t>
  </si>
  <si>
    <t xml:space="preserve">천승근</t>
  </si>
  <si>
    <t xml:space="preserve">한영주</t>
  </si>
  <si>
    <t xml:space="preserve">금동삼</t>
  </si>
  <si>
    <t xml:space="preserve">김대영</t>
  </si>
  <si>
    <t xml:space="preserve">서인성</t>
  </si>
  <si>
    <t xml:space="preserve">유창화</t>
  </si>
  <si>
    <t xml:space="preserve">문점숙</t>
  </si>
  <si>
    <t xml:space="preserve">이선옥</t>
  </si>
  <si>
    <t xml:space="preserve">신택산업㈜</t>
  </si>
  <si>
    <t xml:space="preserve">성서3단지지점</t>
  </si>
  <si>
    <t xml:space="preserve">송상록</t>
  </si>
  <si>
    <t xml:space="preserve">김대경</t>
  </si>
  <si>
    <t xml:space="preserve">신성종합물류</t>
  </si>
  <si>
    <t xml:space="preserve">홍준선</t>
  </si>
  <si>
    <t xml:space="preserve">박일준</t>
  </si>
  <si>
    <t xml:space="preserve">권상석</t>
  </si>
  <si>
    <t xml:space="preserve">이호균</t>
  </si>
  <si>
    <t xml:space="preserve">성서비지니스</t>
  </si>
  <si>
    <t xml:space="preserve">권선일</t>
  </si>
  <si>
    <t xml:space="preserve">주식회사대송목재</t>
  </si>
  <si>
    <t xml:space="preserve">계산동지점</t>
  </si>
  <si>
    <t xml:space="preserve">남해숙</t>
  </si>
  <si>
    <t xml:space="preserve">이병용</t>
  </si>
  <si>
    <t xml:space="preserve">정의록</t>
  </si>
  <si>
    <t xml:space="preserve">㈜한국통상</t>
  </si>
  <si>
    <t xml:space="preserve">홍삼만</t>
  </si>
  <si>
    <t xml:space="preserve">승우이엔씨㈜</t>
  </si>
  <si>
    <t xml:space="preserve">평리동지점</t>
  </si>
  <si>
    <t xml:space="preserve">김배길</t>
  </si>
  <si>
    <t xml:space="preserve">김태홍</t>
  </si>
  <si>
    <t xml:space="preserve">전숙</t>
  </si>
  <si>
    <t xml:space="preserve">㈜선일플라스틱</t>
  </si>
  <si>
    <t xml:space="preserve">홍호철</t>
  </si>
  <si>
    <t xml:space="preserve">이중렬</t>
  </si>
  <si>
    <t xml:space="preserve">이성호</t>
  </si>
  <si>
    <t xml:space="preserve">노동부지정리더직업전문학교</t>
  </si>
  <si>
    <t xml:space="preserve">㈜큐테크</t>
  </si>
  <si>
    <t xml:space="preserve">효목시장지점</t>
  </si>
  <si>
    <t xml:space="preserve">이창재</t>
  </si>
  <si>
    <t xml:space="preserve">윤경규</t>
  </si>
  <si>
    <t xml:space="preserve">권상식</t>
  </si>
  <si>
    <t xml:space="preserve">㈜명성정비</t>
  </si>
  <si>
    <t xml:space="preserve">㈜남일엔피아이</t>
  </si>
  <si>
    <t xml:space="preserve">진양특수강㈜</t>
  </si>
  <si>
    <t xml:space="preserve">대병일</t>
  </si>
  <si>
    <t xml:space="preserve">이진향</t>
  </si>
  <si>
    <t xml:space="preserve">김재붕</t>
  </si>
  <si>
    <t xml:space="preserve">이승연</t>
  </si>
  <si>
    <t xml:space="preserve">김태형</t>
  </si>
  <si>
    <t xml:space="preserve">설귀주</t>
  </si>
  <si>
    <t xml:space="preserve">금경미</t>
  </si>
  <si>
    <t xml:space="preserve">㈜대한옵티칼엔터프라이즈</t>
  </si>
  <si>
    <t xml:space="preserve">반도에이치씨㈜</t>
  </si>
  <si>
    <t xml:space="preserve">권용미</t>
  </si>
  <si>
    <t xml:space="preserve">강남영엽부</t>
  </si>
  <si>
    <t xml:space="preserve">이용</t>
  </si>
  <si>
    <t xml:space="preserve">윤석진</t>
  </si>
  <si>
    <t xml:space="preserve">나성갑</t>
  </si>
  <si>
    <t xml:space="preserve">㈜태백GDS</t>
  </si>
  <si>
    <t xml:space="preserve">김병억</t>
  </si>
  <si>
    <t xml:space="preserve">최효주</t>
  </si>
  <si>
    <t xml:space="preserve">박충환</t>
  </si>
  <si>
    <t xml:space="preserve">진방윤</t>
  </si>
  <si>
    <t xml:space="preserve">하이스틸</t>
  </si>
  <si>
    <t xml:space="preserve">정영우</t>
  </si>
  <si>
    <t xml:space="preserve">이재철</t>
  </si>
  <si>
    <t xml:space="preserve">㈜대양산업개발</t>
  </si>
  <si>
    <r>
      <rPr>
        <sz val="11"/>
        <color rgb="FFFF0000"/>
        <rFont val="돋움"/>
        <family val="3"/>
        <charset val="129"/>
      </rPr>
      <t xml:space="preserve">(</t>
    </r>
    <r>
      <rPr>
        <sz val="11"/>
        <color rgb="FFFF0000"/>
        <rFont val="Noto Sans CJK SC"/>
        <family val="2"/>
      </rPr>
      <t xml:space="preserve">주</t>
    </r>
    <r>
      <rPr>
        <sz val="11"/>
        <color rgb="FFFF0000"/>
        <rFont val="돋움"/>
        <family val="3"/>
        <charset val="129"/>
      </rPr>
      <t xml:space="preserve">)</t>
    </r>
    <r>
      <rPr>
        <sz val="11"/>
        <color rgb="FFFF0000"/>
        <rFont val="Noto Sans CJK SC"/>
        <family val="2"/>
      </rPr>
      <t xml:space="preserve">재은건설로 차주 변경</t>
    </r>
  </si>
  <si>
    <t xml:space="preserve">㈜티지켐</t>
  </si>
  <si>
    <t xml:space="preserve">상환자금</t>
  </si>
  <si>
    <t xml:space="preserve">김충희</t>
  </si>
  <si>
    <t xml:space="preserve">서부지원지점</t>
  </si>
  <si>
    <t xml:space="preserve">유대성</t>
  </si>
  <si>
    <t xml:space="preserve">정환섭</t>
  </si>
  <si>
    <t xml:space="preserve">㈜로젠서대구지점</t>
  </si>
  <si>
    <t xml:space="preserve">청도지점</t>
  </si>
  <si>
    <t xml:space="preserve">김종봉</t>
  </si>
  <si>
    <t xml:space="preserve">㈜유화코포레이션</t>
  </si>
  <si>
    <t xml:space="preserve">㈜대호종합중기정비</t>
  </si>
  <si>
    <t xml:space="preserve">최용준</t>
  </si>
  <si>
    <t xml:space="preserve">이순이</t>
  </si>
  <si>
    <t xml:space="preserve">길용성</t>
  </si>
  <si>
    <t xml:space="preserve"> 시설재</t>
  </si>
  <si>
    <t xml:space="preserve">김천지점</t>
  </si>
  <si>
    <t xml:space="preserve">김국환</t>
  </si>
  <si>
    <t xml:space="preserve">박상완</t>
  </si>
  <si>
    <t xml:space="preserve">차입상환</t>
  </si>
  <si>
    <t xml:space="preserve">박종욱</t>
  </si>
  <si>
    <t xml:space="preserve">㈜두올섬유</t>
  </si>
  <si>
    <t xml:space="preserve">황재현</t>
  </si>
  <si>
    <t xml:space="preserve">이승엽</t>
  </si>
  <si>
    <t xml:space="preserve">㈜신한정밀</t>
  </si>
  <si>
    <t xml:space="preserve">박치열</t>
  </si>
  <si>
    <t xml:space="preserve">류충영</t>
  </si>
  <si>
    <t xml:space="preserve">이현정</t>
  </si>
  <si>
    <t xml:space="preserve">대동정공</t>
  </si>
  <si>
    <t xml:space="preserve">강현수처리</t>
  </si>
  <si>
    <t xml:space="preserve">㈜남원TEXWELL</t>
  </si>
  <si>
    <t xml:space="preserve">폴라리스쉬핑㈜</t>
  </si>
  <si>
    <t xml:space="preserve">정인수</t>
  </si>
  <si>
    <t xml:space="preserve">㈜대구프라스틱</t>
  </si>
  <si>
    <t xml:space="preserve">김성민</t>
  </si>
  <si>
    <t xml:space="preserve">김인수</t>
  </si>
  <si>
    <t xml:space="preserve">㈜제이티무역</t>
  </si>
  <si>
    <t xml:space="preserve">㈜SG세계물산</t>
  </si>
  <si>
    <t xml:space="preserve">김덕규 </t>
  </si>
  <si>
    <t xml:space="preserve">㈜푸르밀</t>
  </si>
  <si>
    <t xml:space="preserve">㈜제이엠캐스트</t>
  </si>
  <si>
    <t xml:space="preserve">경대지점</t>
  </si>
  <si>
    <t xml:space="preserve">서종민</t>
  </si>
  <si>
    <t xml:space="preserve">박정태</t>
  </si>
  <si>
    <t xml:space="preserve">최진호</t>
  </si>
  <si>
    <t xml:space="preserve">㈜유성에프티</t>
  </si>
  <si>
    <t xml:space="preserve">만기일 2018년 으로 연장, 2015년 6월부터 3개월마다 11백만엔씩 분할상환예정(이근식차장 6/25일 17시 40분 통화)</t>
  </si>
  <si>
    <t xml:space="preserve">영산해운㈜</t>
  </si>
  <si>
    <t xml:space="preserve">최재명</t>
  </si>
  <si>
    <t xml:space="preserve">이정애</t>
  </si>
  <si>
    <t xml:space="preserve">해외직접투자자금</t>
  </si>
  <si>
    <t xml:space="preserve">박종필</t>
  </si>
  <si>
    <t xml:space="preserve">박상준</t>
  </si>
  <si>
    <t xml:space="preserve">㈜에이스유리철강</t>
  </si>
  <si>
    <t xml:space="preserve">㈜에스씨산찬</t>
  </si>
  <si>
    <t xml:space="preserve">㈜창영하이텍</t>
  </si>
  <si>
    <t xml:space="preserve">이대현</t>
  </si>
  <si>
    <t xml:space="preserve">정성란</t>
  </si>
  <si>
    <t xml:space="preserve">위 성동준 채무인수건</t>
  </si>
  <si>
    <t xml:space="preserve">김성두</t>
  </si>
  <si>
    <t xml:space="preserve">에스아이오토모티브㈜</t>
  </si>
  <si>
    <t xml:space="preserve">제인해</t>
  </si>
  <si>
    <t xml:space="preserve">최재호</t>
  </si>
  <si>
    <t xml:space="preserve">㈜모뉴엘</t>
  </si>
  <si>
    <t xml:space="preserve">원리금 분할상환</t>
  </si>
  <si>
    <t xml:space="preserve">만기일시상환</t>
  </si>
  <si>
    <t xml:space="preserve">왜관지점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</si>
  <si>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어연의료재단</t>
    </r>
  </si>
  <si>
    <t xml:space="preserve">최성용</t>
  </si>
  <si>
    <t xml:space="preserve">조화경</t>
  </si>
  <si>
    <t xml:space="preserve">홍혜정</t>
  </si>
  <si>
    <t xml:space="preserve">신성종합물산㈜</t>
  </si>
  <si>
    <t xml:space="preserve">JPY </t>
  </si>
  <si>
    <t xml:space="preserve">성서비즈니스센터지점</t>
  </si>
  <si>
    <t xml:space="preserve">이도희</t>
  </si>
  <si>
    <t xml:space="preserve">시설재수입자금</t>
  </si>
  <si>
    <t xml:space="preserve">㈜부즈</t>
  </si>
  <si>
    <t xml:space="preserve">USD </t>
  </si>
  <si>
    <t xml:space="preserve">권택경</t>
  </si>
  <si>
    <t xml:space="preserve">전정렬</t>
  </si>
  <si>
    <t xml:space="preserve">㈜대광테크</t>
  </si>
  <si>
    <t xml:space="preserve">박정철</t>
  </si>
  <si>
    <t xml:space="preserve">양성욱</t>
  </si>
  <si>
    <t xml:space="preserve">조건변경(차주)</t>
  </si>
  <si>
    <t xml:space="preserve">민미혜</t>
  </si>
  <si>
    <t xml:space="preserve">기거래자 사망에 따른 상속</t>
  </si>
  <si>
    <t xml:space="preserve">이병휘</t>
  </si>
  <si>
    <t xml:space="preserve">태광득</t>
  </si>
  <si>
    <t xml:space="preserve">부국철강㈜</t>
  </si>
  <si>
    <t xml:space="preserve">채영우</t>
  </si>
  <si>
    <t xml:space="preserve">이상한</t>
  </si>
  <si>
    <t xml:space="preserve">정경호</t>
  </si>
  <si>
    <t xml:space="preserve">황수덕</t>
  </si>
  <si>
    <t xml:space="preserve">㈜유나이티드온션</t>
  </si>
  <si>
    <t xml:space="preserve">백승기</t>
  </si>
  <si>
    <t xml:space="preserve">최융준</t>
  </si>
  <si>
    <t xml:space="preserve">김성수</t>
  </si>
  <si>
    <t xml:space="preserve">정용희</t>
  </si>
  <si>
    <t xml:space="preserve">지엔비모터스주식회사</t>
  </si>
  <si>
    <t xml:space="preserve">김순진</t>
  </si>
  <si>
    <t xml:space="preserve">성상모</t>
  </si>
  <si>
    <t xml:space="preserve">외화차입상환금</t>
  </si>
  <si>
    <t xml:space="preserve">김응우</t>
  </si>
  <si>
    <t xml:space="preserve">효성베트남</t>
  </si>
  <si>
    <t xml:space="preserve">박창규</t>
  </si>
  <si>
    <t xml:space="preserve">한국프라틱스㈜</t>
  </si>
  <si>
    <t xml:space="preserve">문재혁</t>
  </si>
  <si>
    <t xml:space="preserve">김성호</t>
  </si>
  <si>
    <t xml:space="preserve">㈜에이스 유리철강</t>
  </si>
  <si>
    <t xml:space="preserve">㈜명아스틸</t>
  </si>
  <si>
    <t xml:space="preserve">이은일</t>
  </si>
  <si>
    <t xml:space="preserve">정상국</t>
  </si>
  <si>
    <t xml:space="preserve">창원영업부</t>
  </si>
  <si>
    <t xml:space="preserve">박세동</t>
  </si>
  <si>
    <t xml:space="preserve">오주환</t>
  </si>
  <si>
    <t xml:space="preserve">손정헌</t>
  </si>
  <si>
    <t xml:space="preserve">㈜우전앤한단</t>
  </si>
  <si>
    <t xml:space="preserve">임정혁</t>
  </si>
  <si>
    <t xml:space="preserve">임태산</t>
  </si>
  <si>
    <t xml:space="preserve">김월명</t>
  </si>
  <si>
    <t xml:space="preserve">은종욱</t>
  </si>
  <si>
    <t xml:space="preserve">강부덕</t>
  </si>
  <si>
    <t xml:space="preserve">이근식</t>
  </si>
  <si>
    <t xml:space="preserve">서진원</t>
  </si>
  <si>
    <t xml:space="preserve">동구청지점</t>
  </si>
  <si>
    <t xml:space="preserve">이재준</t>
  </si>
  <si>
    <t xml:space="preserve">㈜재은건설</t>
  </si>
  <si>
    <t xml:space="preserve">박영규</t>
  </si>
  <si>
    <t xml:space="preserve">장금마리타임㈜</t>
  </si>
  <si>
    <t xml:space="preserve">신성국</t>
  </si>
  <si>
    <t xml:space="preserve">박종원</t>
  </si>
  <si>
    <t xml:space="preserve">박형식</t>
  </si>
  <si>
    <t xml:space="preserve">이형식</t>
  </si>
  <si>
    <t xml:space="preserve">Jpy</t>
  </si>
  <si>
    <t xml:space="preserve">박대연</t>
  </si>
  <si>
    <t xml:space="preserve">제일연마공업㈜</t>
  </si>
  <si>
    <t xml:space="preserve">김준영</t>
  </si>
  <si>
    <t xml:space="preserve">박창수</t>
  </si>
  <si>
    <t xml:space="preserve"> ㈜청우</t>
  </si>
  <si>
    <t xml:space="preserve">채무인수(연기)</t>
  </si>
  <si>
    <t xml:space="preserve">이소라</t>
  </si>
  <si>
    <t xml:space="preserve">김경모</t>
  </si>
  <si>
    <t xml:space="preserve">김재풍</t>
  </si>
  <si>
    <t xml:space="preserve">206-04-14</t>
  </si>
  <si>
    <t xml:space="preserve">박세훈</t>
  </si>
  <si>
    <t xml:space="preserve">㈜영신금속공업</t>
  </si>
  <si>
    <t xml:space="preserve">박판용</t>
  </si>
  <si>
    <t xml:space="preserve">박정근</t>
  </si>
  <si>
    <t xml:space="preserve">서영주</t>
  </si>
  <si>
    <t xml:space="preserve">박홍훈</t>
  </si>
  <si>
    <t xml:space="preserve">GST GLOBAL GMBH </t>
  </si>
  <si>
    <t xml:space="preserve">김민철</t>
  </si>
  <si>
    <t xml:space="preserve">송유숙</t>
  </si>
  <si>
    <t xml:space="preserve">이은훈</t>
  </si>
  <si>
    <t xml:space="preserve">외동공단지점</t>
  </si>
  <si>
    <t xml:space="preserve">유상호</t>
  </si>
  <si>
    <t xml:space="preserve">동성로지점</t>
  </si>
  <si>
    <t xml:space="preserve">배병기</t>
  </si>
  <si>
    <t xml:space="preserve">월배지점</t>
  </si>
  <si>
    <t xml:space="preserve">최선욱</t>
  </si>
  <si>
    <t xml:space="preserve">이성우</t>
  </si>
  <si>
    <t xml:space="preserve">성기완</t>
  </si>
  <si>
    <t xml:space="preserve">강영수</t>
  </si>
  <si>
    <t xml:space="preserve">이은호</t>
  </si>
  <si>
    <t xml:space="preserve">최우택</t>
  </si>
  <si>
    <t xml:space="preserve">㈜제이스골프클럽</t>
  </si>
  <si>
    <t xml:space="preserve">㈜시사이드골프클럽</t>
  </si>
  <si>
    <t xml:space="preserve">㈜대한무역</t>
  </si>
  <si>
    <t xml:space="preserve">시노코페트로케미컬</t>
  </si>
  <si>
    <t xml:space="preserve">해동엔지니어링</t>
  </si>
  <si>
    <t xml:space="preserve">이승한</t>
  </si>
  <si>
    <t xml:space="preserve">이석봉</t>
  </si>
  <si>
    <t xml:space="preserve">㈜ 만도 독일법인</t>
  </si>
  <si>
    <t xml:space="preserve">배한억</t>
  </si>
  <si>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년차입 조달원가 </t>
    </r>
    <r>
      <rPr>
        <sz val="11"/>
        <color rgb="FFFF0000"/>
        <rFont val="돋움"/>
        <family val="3"/>
        <charset val="129"/>
      </rPr>
      <t xml:space="preserve">0.80% = 3M EUR LIBOR (-</t>
    </r>
    <r>
      <rPr>
        <sz val="11"/>
        <color rgb="FFFF0000"/>
        <rFont val="Noto Sans CJK SC"/>
        <family val="2"/>
      </rPr>
      <t xml:space="preserve">일경우 </t>
    </r>
    <r>
      <rPr>
        <sz val="11"/>
        <color rgb="FFFF0000"/>
        <rFont val="돋움"/>
        <family val="3"/>
        <charset val="129"/>
      </rPr>
      <t xml:space="preserve">0</t>
    </r>
    <r>
      <rPr>
        <sz val="11"/>
        <color rgb="FFFF0000"/>
        <rFont val="Noto Sans CJK SC"/>
        <family val="2"/>
      </rPr>
      <t xml:space="preserve">으로</t>
    </r>
    <r>
      <rPr>
        <sz val="11"/>
        <color rgb="FFFF0000"/>
        <rFont val="돋움"/>
        <family val="3"/>
        <charset val="129"/>
      </rPr>
      <t xml:space="preserve">) + 0.70% (LBBW) + 0.10%(</t>
    </r>
    <r>
      <rPr>
        <sz val="11"/>
        <color rgb="FFFF0000"/>
        <rFont val="Noto Sans CJK SC"/>
        <family val="2"/>
      </rPr>
      <t xml:space="preserve">건전성부담금</t>
    </r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년이지만 </t>
    </r>
    <r>
      <rPr>
        <sz val="11"/>
        <color rgb="FFFF0000"/>
        <rFont val="돋움"/>
        <family val="3"/>
        <charset val="129"/>
      </rPr>
      <t xml:space="preserve">1</t>
    </r>
    <r>
      <rPr>
        <sz val="11"/>
        <color rgb="FFFF0000"/>
        <rFont val="Noto Sans CJK SC"/>
        <family val="2"/>
      </rPr>
      <t xml:space="preserve">년단위 조달도 고려하여 보수적으로 </t>
    </r>
    <r>
      <rPr>
        <sz val="11"/>
        <color rgb="FFFF0000"/>
        <rFont val="돋움"/>
        <family val="3"/>
        <charset val="129"/>
      </rPr>
      <t xml:space="preserve">0.10% </t>
    </r>
    <r>
      <rPr>
        <sz val="11"/>
        <color rgb="FFFF0000"/>
        <rFont val="Noto Sans CJK SC"/>
        <family val="2"/>
      </rPr>
      <t xml:space="preserve">책정</t>
    </r>
    <r>
      <rPr>
        <sz val="11"/>
        <color rgb="FFFF0000"/>
        <rFont val="돋움"/>
        <family val="3"/>
        <charset val="129"/>
      </rPr>
      <t xml:space="preserve">)</t>
    </r>
  </si>
  <si>
    <r>
      <rPr>
        <sz val="11"/>
        <color rgb="FFFF0000"/>
        <rFont val="돋움"/>
        <family val="3"/>
        <charset val="129"/>
      </rPr>
      <t xml:space="preserve">EUR</t>
    </r>
    <r>
      <rPr>
        <sz val="11"/>
        <color rgb="FFFF0000"/>
        <rFont val="Noto Sans CJK SC"/>
        <family val="2"/>
      </rPr>
      <t xml:space="preserve">조달금리 </t>
    </r>
    <r>
      <rPr>
        <sz val="11"/>
        <color rgb="FFFF0000"/>
        <rFont val="돋움"/>
        <family val="3"/>
        <charset val="129"/>
      </rPr>
      <t xml:space="preserve">(3M 2.48%(SMB) , 6M 2.65%(SMB) , 12M 3.10%(BMO) , 24M </t>
    </r>
  </si>
  <si>
    <t xml:space="preserve">이형주</t>
  </si>
  <si>
    <r>
      <rPr>
        <sz val="11"/>
        <color rgb="FFFF0000"/>
        <rFont val="돋움"/>
        <family val="3"/>
        <charset val="129"/>
      </rPr>
      <t xml:space="preserve">USD</t>
    </r>
    <r>
      <rPr>
        <sz val="11"/>
        <color rgb="FFFF0000"/>
        <rFont val="Noto Sans CJK SC"/>
        <family val="2"/>
      </rPr>
      <t xml:space="preserve">조달금리 </t>
    </r>
    <r>
      <rPr>
        <sz val="11"/>
        <color rgb="FFFF0000"/>
        <rFont val="돋움"/>
        <family val="3"/>
        <charset val="129"/>
      </rPr>
      <t xml:space="preserve">(3M 2.48%(SMB) , 6M 2.65%(SMB) , 12M 2.95%(BMO) , 24M 3.05%(LBBW) , 36M 3.25%(LBBW) </t>
    </r>
  </si>
  <si>
    <t xml:space="preserve">EUR/USDB/S 3M +86.57 (2.7539%)   6M +178.53 (2.8394%)  12M +386.63 (3.0597%) </t>
  </si>
  <si>
    <t xml:space="preserve">구     분</t>
  </si>
  <si>
    <t xml:space="preserve">24M</t>
  </si>
  <si>
    <t xml:space="preserve">36M</t>
  </si>
  <si>
    <t xml:space="preserve">스왑
조달</t>
  </si>
  <si>
    <r>
      <rPr>
        <sz val="11"/>
        <rFont val="돋움"/>
        <family val="3"/>
        <charset val="129"/>
      </rPr>
      <t xml:space="preserve">USD</t>
    </r>
    <r>
      <rPr>
        <sz val="11"/>
        <rFont val="Noto Sans CJK SC"/>
        <family val="2"/>
      </rPr>
      <t xml:space="preserve">차입조달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부담금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전</t>
    </r>
    <r>
      <rPr>
        <sz val="11"/>
        <rFont val="돋움"/>
        <family val="3"/>
        <charset val="129"/>
      </rPr>
      <t xml:space="preserve">)</t>
    </r>
  </si>
  <si>
    <t xml:space="preserve">실제 조달금리 3년 0.70%</t>
  </si>
  <si>
    <r>
      <rPr>
        <sz val="11"/>
        <rFont val="돋움"/>
        <family val="3"/>
        <charset val="129"/>
      </rPr>
      <t xml:space="preserve">USD</t>
    </r>
    <r>
      <rPr>
        <sz val="11"/>
        <rFont val="Noto Sans CJK SC"/>
        <family val="2"/>
      </rPr>
      <t xml:space="preserve">차입조달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부담금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후</t>
    </r>
    <r>
      <rPr>
        <sz val="11"/>
        <rFont val="돋움"/>
        <family val="3"/>
        <charset val="129"/>
      </rPr>
      <t xml:space="preserve">)</t>
    </r>
  </si>
  <si>
    <t xml:space="preserve">해당기간 USD LIBOR</t>
  </si>
  <si>
    <t xml:space="preserve">해당기간 스프레드 (3ML + X )</t>
  </si>
  <si>
    <r>
      <rPr>
        <sz val="11"/>
        <rFont val="돋움"/>
        <family val="3"/>
        <charset val="129"/>
      </rPr>
      <t xml:space="preserve">EUR/USD B/S </t>
    </r>
    <r>
      <rPr>
        <sz val="11"/>
        <rFont val="Noto Sans CJK SC"/>
        <family val="2"/>
      </rPr>
      <t xml:space="preserve">스왑비용</t>
    </r>
  </si>
  <si>
    <r>
      <rPr>
        <sz val="11"/>
        <rFont val="돋움"/>
        <family val="3"/>
        <charset val="129"/>
      </rPr>
      <t xml:space="preserve">EUR </t>
    </r>
    <r>
      <rPr>
        <sz val="11"/>
        <rFont val="Noto Sans CJK SC"/>
        <family val="2"/>
      </rPr>
      <t xml:space="preserve">조달비용</t>
    </r>
  </si>
  <si>
    <t xml:space="preserve">차입조달</t>
  </si>
  <si>
    <t xml:space="preserve">EUR LIBOR</t>
  </si>
  <si>
    <t xml:space="preserve">스프레드</t>
  </si>
  <si>
    <t xml:space="preserve">외화대출기준금리</t>
  </si>
  <si>
    <t xml:space="preserve">김진우</t>
  </si>
  <si>
    <t xml:space="preserve">최중원</t>
  </si>
  <si>
    <t xml:space="preserve">전승리</t>
  </si>
  <si>
    <t xml:space="preserve">임상훈</t>
  </si>
  <si>
    <t xml:space="preserve">서희동</t>
  </si>
  <si>
    <t xml:space="preserve">신남순</t>
  </si>
  <si>
    <t xml:space="preserve">안정현</t>
  </si>
  <si>
    <t xml:space="preserve">합의처결재대기중</t>
  </si>
  <si>
    <t xml:space="preserve">정한별</t>
  </si>
  <si>
    <t xml:space="preserve">㈜동인티앤에스</t>
  </si>
  <si>
    <t xml:space="preserve">박인호</t>
  </si>
  <si>
    <t xml:space="preserve">이재복</t>
  </si>
  <si>
    <t xml:space="preserve">박상국</t>
  </si>
  <si>
    <t xml:space="preserve">김소미</t>
  </si>
  <si>
    <t xml:space="preserve">윤종배</t>
  </si>
  <si>
    <t xml:space="preserve">홍영일</t>
  </si>
  <si>
    <t xml:space="preserve">류길태</t>
  </si>
  <si>
    <t xml:space="preserve">HYOSUNG VINA CHEMICALS</t>
  </si>
  <si>
    <t xml:space="preserve">검단공단지점</t>
  </si>
  <si>
    <t xml:space="preserve">구영회</t>
  </si>
  <si>
    <t xml:space="preserve">만촌역지점</t>
  </si>
  <si>
    <t xml:space="preserve">박지훈</t>
  </si>
  <si>
    <t xml:space="preserve">신덕순</t>
  </si>
  <si>
    <t xml:space="preserve">㈜기도스포츠</t>
  </si>
  <si>
    <t xml:space="preserve">정대교</t>
  </si>
  <si>
    <t xml:space="preserve">안세진</t>
  </si>
  <si>
    <t xml:space="preserve">나영준</t>
  </si>
  <si>
    <t xml:space="preserve">㈜경북무역</t>
  </si>
  <si>
    <t xml:space="preserve">최은혜</t>
  </si>
  <si>
    <t xml:space="preserve">㈜서경물산</t>
  </si>
  <si>
    <t xml:space="preserve">박민석</t>
  </si>
  <si>
    <t xml:space="preserve">한도대출</t>
  </si>
  <si>
    <t xml:space="preserve">김대웅</t>
  </si>
  <si>
    <t xml:space="preserve">이진석</t>
  </si>
  <si>
    <t xml:space="preserve">김대원</t>
  </si>
  <si>
    <t xml:space="preserve">장은선</t>
  </si>
  <si>
    <t xml:space="preserve">이종관</t>
  </si>
  <si>
    <r>
      <rPr>
        <sz val="11"/>
        <rFont val="돋움"/>
        <family val="3"/>
        <charset val="129"/>
      </rPr>
      <t xml:space="preserve">Cam Capital PLC (DGB</t>
    </r>
    <r>
      <rPr>
        <sz val="11"/>
        <rFont val="Noto Sans CJK SC"/>
        <family val="2"/>
      </rPr>
      <t xml:space="preserve">캐피탈 캄보디아 법인</t>
    </r>
    <r>
      <rPr>
        <sz val="11"/>
        <rFont val="돋움"/>
        <family val="3"/>
        <charset val="129"/>
      </rPr>
      <t xml:space="preserve">)</t>
    </r>
  </si>
  <si>
    <t xml:space="preserve">김재석</t>
  </si>
  <si>
    <t xml:space="preserve">배서현</t>
  </si>
  <si>
    <t xml:space="preserve">김기원</t>
  </si>
  <si>
    <t xml:space="preserve">장정훈</t>
  </si>
  <si>
    <t xml:space="preserve">신동훈</t>
  </si>
  <si>
    <t xml:space="preserve">양철갑</t>
  </si>
  <si>
    <r>
      <rPr>
        <sz val="11"/>
        <rFont val="돋움"/>
        <family val="3"/>
        <charset val="129"/>
      </rPr>
      <t xml:space="preserve">DGB LAO LEASING CO (DGB</t>
    </r>
    <r>
      <rPr>
        <sz val="11"/>
        <rFont val="Noto Sans CJK SC"/>
        <family val="2"/>
      </rPr>
      <t xml:space="preserve">캐피탈 라오스 법인</t>
    </r>
    <r>
      <rPr>
        <sz val="11"/>
        <rFont val="돋움"/>
        <family val="3"/>
        <charset val="129"/>
      </rPr>
      <t xml:space="preserve">)</t>
    </r>
  </si>
  <si>
    <t xml:space="preserve">㈜네오플램</t>
  </si>
  <si>
    <t xml:space="preserve">강동균</t>
  </si>
  <si>
    <t xml:space="preserve">인천지점</t>
  </si>
  <si>
    <t xml:space="preserve">김유진</t>
  </si>
  <si>
    <t xml:space="preserve">㈜에이치에스우드</t>
  </si>
  <si>
    <t xml:space="preserve">조상인</t>
  </si>
  <si>
    <t xml:space="preserve">김선수</t>
  </si>
  <si>
    <t xml:space="preserve">정현정</t>
  </si>
  <si>
    <r>
      <rPr>
        <sz val="11"/>
        <color rgb="FFFF0000"/>
        <rFont val="돋움"/>
        <family val="3"/>
        <charset val="129"/>
      </rPr>
      <t xml:space="preserve">6</t>
    </r>
    <r>
      <rPr>
        <sz val="11"/>
        <color rgb="FFFF0000"/>
        <rFont val="Noto Sans CJK SC"/>
        <family val="2"/>
      </rPr>
      <t xml:space="preserve">개월 후 연장불가 상환조건</t>
    </r>
  </si>
  <si>
    <t xml:space="preserve">한유리</t>
  </si>
  <si>
    <t xml:space="preserve">변영배</t>
  </si>
  <si>
    <t xml:space="preserve">장기철</t>
  </si>
  <si>
    <t xml:space="preserve">이용주</t>
  </si>
  <si>
    <t xml:space="preserve">조영수</t>
  </si>
  <si>
    <t xml:space="preserve">테크노폴리스지점</t>
  </si>
  <si>
    <t xml:space="preserve">하연주</t>
  </si>
  <si>
    <t xml:space="preserve">대윤지오텍㈜</t>
  </si>
  <si>
    <t xml:space="preserve">권세훈</t>
  </si>
  <si>
    <t xml:space="preserve">박재완</t>
  </si>
  <si>
    <t xml:space="preserve">박철희</t>
  </si>
  <si>
    <t xml:space="preserve">강서영업부</t>
  </si>
  <si>
    <t xml:space="preserve">신선화</t>
  </si>
  <si>
    <t xml:space="preserve">㈜와이지에스</t>
  </si>
  <si>
    <t xml:space="preserve">김주석</t>
  </si>
  <si>
    <t xml:space="preserve">㈜피앤에스네트웍스</t>
  </si>
  <si>
    <t xml:space="preserve">손보원</t>
  </si>
  <si>
    <t xml:space="preserve">이수환</t>
  </si>
  <si>
    <t xml:space="preserve">케이티지</t>
  </si>
  <si>
    <t xml:space="preserve">전혜연</t>
  </si>
  <si>
    <t xml:space="preserve">외화시장기준금리는 기간별 LIBOR에 대응하여 결정하고, 당행의 자금사정, 경제여건, 시장의 경쟁력 등을 감안하여 주무부서장이 매일 고시한다. 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</si>
  <si>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가산금리는 원화대출금리지침의 가산금리 및 조정금리 체계를 적용한다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</si>
  <si>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 중 기간별 가산금리는 당행의 조달비용을 감안하여 주무부서에서 별도 고시한다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</si>
  <si>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(2) LIBOR</t>
    </r>
    <r>
      <rPr>
        <sz val="11"/>
        <rFont val="Noto Sans CJK SC"/>
        <family val="2"/>
      </rPr>
      <t xml:space="preserve">는 이자기산일 현재 이자수납 단위기간에 상응하는 만기물의 </t>
    </r>
    <r>
      <rPr>
        <sz val="11"/>
        <rFont val="돋움"/>
        <family val="3"/>
        <charset val="129"/>
      </rPr>
      <t xml:space="preserve">LIBOR</t>
    </r>
    <r>
      <rPr>
        <sz val="11"/>
        <rFont val="Noto Sans CJK SC"/>
        <family val="2"/>
      </rPr>
      <t xml:space="preserve">를 말한다</t>
    </r>
    <r>
      <rPr>
        <sz val="11"/>
        <rFont val="돋움"/>
        <family val="3"/>
        <charset val="129"/>
      </rPr>
      <t xml:space="preserve">.  </t>
    </r>
  </si>
  <si>
    <t xml:space="preserve">차주</t>
  </si>
  <si>
    <t xml:space="preserve">달러/엔 환율</t>
  </si>
  <si>
    <t xml:space="preserve">감면율</t>
  </si>
  <si>
    <t xml:space="preserve">승인조건</t>
  </si>
  <si>
    <t xml:space="preserve">심사의견</t>
  </si>
  <si>
    <t xml:space="preserve">통화전환수수료 면제</t>
  </si>
  <si>
    <t xml:space="preserve">외화대출의 조기상환에 따라 외화조달운용 미스매치 발생하는 점을 감안하여 원화대출 금리 산정시 적절히 반영하시기 바랍니다.</t>
  </si>
  <si>
    <t xml:space="preserve">외화대출금액 37,500,000엔(잔존만기 5개월)의 원화대출로의 통화전환에 따른 수수료(0.25%)를 신청의견을 반영하여 면제함.</t>
  </si>
  <si>
    <t xml:space="preserve">외화대출금액43,830,000엔(잔존만기 1개월미만)의 원화대출로의 통화전환에 따른 수수료(0.25%)를 신청의견을 반영하여 면제함.</t>
  </si>
  <si>
    <t xml:space="preserve">구태훈</t>
  </si>
  <si>
    <t xml:space="preserve">외화대출금액43,830,000엔(잔존만기 1개월미만)의 원화대출로의 통화전환에 따른 수수료(0.25%)를 신청의견을 반영하여 면제함. (2014.07.10 예정)</t>
  </si>
  <si>
    <t xml:space="preserve">일부 상환 및 일부전환</t>
  </si>
  <si>
    <t xml:space="preserve">외화대출 75,700,000엔의 원화대출로의 통화전환에 따른 미징구수수료(0.15%,잔존만기 1년미만)를 신청의견 반영하여 면제함.</t>
  </si>
  <si>
    <t xml:space="preserve">외화대출 239,400,000엔의 원화대출로의 통화전환에 따른 미징구수수료(0.15%,잔존만기 1년미만)를 신청의견 반영하여 면제함.</t>
  </si>
  <si>
    <t xml:space="preserve">경산영업부 </t>
  </si>
  <si>
    <t xml:space="preserve">외화대출 20,000,000엔의 원화대출로의 통화전환에 따른 미징구수수료(0.15%,잔존만기 1년미만)를 신청의견 반영하여 면제함.</t>
  </si>
  <si>
    <t xml:space="preserve">외화대출 66,000,000엔의 원화대출로의 통화전환에 따른 미징구수수료(0.15%,잔존만기 1년미만)를 신청의견 반영하여 면제함.</t>
  </si>
  <si>
    <t xml:space="preserve">김종석</t>
  </si>
  <si>
    <t xml:space="preserve">장훈</t>
  </si>
  <si>
    <t xml:space="preserve">외화대출 36,000,000엔의 원화대출로의 통화전환에 따른 미징구수수료(0.15%,잔존만기 1년미만)를 신청의견 반영하여 면제함.</t>
  </si>
  <si>
    <t xml:space="preserve">김숙희</t>
  </si>
  <si>
    <t xml:space="preserve">외화대출 54,000,000엔의 원화대출로의 통화전환에 따른 미징구수수료(0.15%,잔존만기 1년미만)를 신청의견 반영하여 면제함.</t>
  </si>
  <si>
    <t xml:space="preserve">㈜용진스테코</t>
  </si>
  <si>
    <t xml:space="preserve">본건 기운용중인 일본엔화 외화대출 통화전환 수수료 면제 신청건으로 우수고객 거래기여도 우수하며 통화전환에 따른 유동성관리에 큰 문제가 없어 승인코자 함.</t>
  </si>
  <si>
    <t xml:space="preserve">신규 외화대출한도 신규 관리대장(넥스피아 이후 2102 - 1003)</t>
  </si>
  <si>
    <t xml:space="preserve">외화정기예금 대림산업(주) USD 20,000,000 기본금리(0.3161)에 가산금리(0.1339)를 추가하여 최종적용금리(0.45)로 승인함.</t>
  </si>
  <si>
    <r>
      <rPr>
        <b val="true"/>
        <u val="single"/>
        <sz val="14"/>
        <color rgb="FFFF0000"/>
        <rFont val="돋움"/>
        <family val="3"/>
        <charset val="129"/>
      </rPr>
      <t xml:space="preserve">920</t>
    </r>
    <r>
      <rPr>
        <b val="true"/>
        <u val="single"/>
        <sz val="14"/>
        <color rgb="FFFF0000"/>
        <rFont val="Noto Sans CJK SC"/>
        <family val="2"/>
      </rPr>
      <t xml:space="preserve">정하고</t>
    </r>
  </si>
  <si>
    <t xml:space="preserve">기본금리</t>
  </si>
  <si>
    <t xml:space="preserve">가산금리</t>
  </si>
  <si>
    <t xml:space="preserve">취급일</t>
  </si>
  <si>
    <t xml:space="preserve">만기</t>
  </si>
  <si>
    <t xml:space="preserve">성명희</t>
  </si>
  <si>
    <t xml:space="preserve">유브이피에이치아이</t>
  </si>
  <si>
    <t xml:space="preserve">외화보통예금MMDA</t>
  </si>
  <si>
    <t xml:space="preserve">조창호</t>
  </si>
  <si>
    <t xml:space="preserve">이관수</t>
  </si>
  <si>
    <t xml:space="preserve">에스엘㈜</t>
  </si>
  <si>
    <t xml:space="preserve">내당동지점</t>
  </si>
  <si>
    <t xml:space="preserve">박미정</t>
  </si>
  <si>
    <t xml:space="preserve">문명숙</t>
  </si>
  <si>
    <t xml:space="preserve">㈜팬택</t>
  </si>
  <si>
    <t xml:space="preserve">신제열</t>
  </si>
  <si>
    <t xml:space="preserve">강남영업부 </t>
  </si>
  <si>
    <t xml:space="preserve">계명지점</t>
  </si>
  <si>
    <t xml:space="preserve">조후만</t>
  </si>
  <si>
    <t xml:space="preserve">㈜민커뮤니케이션</t>
  </si>
  <si>
    <t xml:space="preserve">신욱동</t>
  </si>
  <si>
    <t xml:space="preserve">이순정</t>
  </si>
  <si>
    <t xml:space="preserve">㈜국민은행</t>
  </si>
  <si>
    <t xml:space="preserve">USD  </t>
  </si>
  <si>
    <r>
      <rPr>
        <sz val="11"/>
        <rFont val="돋움"/>
        <family val="3"/>
        <charset val="129"/>
      </rPr>
      <t xml:space="preserve">00002 (</t>
    </r>
    <r>
      <rPr>
        <sz val="11"/>
        <rFont val="Noto Sans CJK SC"/>
        <family val="2"/>
      </rPr>
      <t xml:space="preserve">취소</t>
    </r>
    <r>
      <rPr>
        <sz val="11"/>
        <rFont val="돋움"/>
        <family val="3"/>
        <charset val="129"/>
      </rPr>
      <t xml:space="preserve">)</t>
    </r>
  </si>
  <si>
    <t xml:space="preserve">최태석</t>
  </si>
  <si>
    <r>
      <rPr>
        <sz val="11"/>
        <rFont val="돋움"/>
        <family val="3"/>
        <charset val="129"/>
      </rPr>
      <t xml:space="preserve">OCI</t>
    </r>
    <r>
      <rPr>
        <sz val="11"/>
        <rFont val="Noto Sans CJK SC"/>
        <family val="2"/>
      </rPr>
      <t xml:space="preserve">상사</t>
    </r>
  </si>
  <si>
    <t xml:space="preserve">유강점</t>
  </si>
  <si>
    <t xml:space="preserve">이송희</t>
  </si>
  <si>
    <t xml:space="preserve">시그노드코리아㈜</t>
  </si>
  <si>
    <t xml:space="preserve">취소</t>
  </si>
  <si>
    <t xml:space="preserve">김경한</t>
  </si>
  <si>
    <t xml:space="preserve">00001</t>
  </si>
  <si>
    <t xml:space="preserve">선물환등 추가전속거래를 위한 승인</t>
  </si>
  <si>
    <t xml:space="preserve">유빙청</t>
  </si>
  <si>
    <t xml:space="preserve">삼성중공업(영파)유한</t>
  </si>
  <si>
    <t xml:space="preserve">A4091005 / A4091148</t>
  </si>
  <si>
    <t xml:space="preserve">A4113167 / A4113358</t>
  </si>
  <si>
    <t xml:space="preserve">A4123971 / A4124136</t>
  </si>
  <si>
    <t xml:space="preserve">시청영업부</t>
  </si>
  <si>
    <t xml:space="preserve">이주영</t>
  </si>
  <si>
    <t xml:space="preserve">대구시 도시철도건설본부</t>
  </si>
  <si>
    <t xml:space="preserve">00003</t>
  </si>
  <si>
    <t xml:space="preserve">거래구분오류(현찰-대체)인한 담당자 취소</t>
  </si>
  <si>
    <t xml:space="preserve">00005</t>
  </si>
  <si>
    <t xml:space="preserve">상담(19.6억엔) 후 추가로 19.6억엔 타행(국민)에서 이체후 신규 - 선물환,현물환등 추가전속거래를 위한 승인(현재 국민은행 거래중)</t>
  </si>
  <si>
    <t xml:space="preserve">가스공사지점</t>
  </si>
  <si>
    <t xml:space="preserve">황정이</t>
  </si>
  <si>
    <t xml:space="preserve">한국가스공사 여유자금(1일~) MMDA우대금리 확인 / MMDA로 우대금리 어려우며 7일이라도 만기가 있는 정기예금으로 유도 안내 / 금액 확정해서 연락주기로함</t>
  </si>
  <si>
    <t xml:space="preserve">대동농기(안휘)유한공사</t>
  </si>
  <si>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</t>
    </r>
  </si>
  <si>
    <t xml:space="preserve">A4226970 / A4227019</t>
  </si>
  <si>
    <t xml:space="preserve">남경헌</t>
  </si>
  <si>
    <t xml:space="preserve">삼성재산보험(중국)유한</t>
  </si>
  <si>
    <t xml:space="preserve">A4231610 / A4231661</t>
  </si>
  <si>
    <t xml:space="preserve">신청일자</t>
  </si>
  <si>
    <t xml:space="preserve">승인코드</t>
  </si>
  <si>
    <t xml:space="preserve">일련번호</t>
  </si>
  <si>
    <t xml:space="preserve">본부승인명</t>
  </si>
  <si>
    <t xml:space="preserve">승인상태</t>
  </si>
  <si>
    <t xml:space="preserve">신청고객번호</t>
  </si>
  <si>
    <t xml:space="preserve">신청자행번</t>
  </si>
  <si>
    <t xml:space="preserve">완료</t>
  </si>
  <si>
    <t xml:space="preserve">1003</t>
  </si>
  <si>
    <t xml:space="preserve">외화예금 금리승인 신청</t>
  </si>
  <si>
    <t xml:space="preserve">99</t>
  </si>
  <si>
    <t xml:space="preserve">112421292</t>
  </si>
  <si>
    <t xml:space="preserve">동****업(주)</t>
  </si>
  <si>
    <t xml:space="preserve">1968577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</si>
  <si>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</si>
  <si>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</si>
  <si>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</si>
  <si>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</si>
  <si>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</si>
  <si>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157422933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</si>
  <si>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이엠에스에이</t>
    </r>
  </si>
  <si>
    <t xml:space="preserve">2120462</t>
  </si>
  <si>
    <t xml:space="preserve">10</t>
  </si>
  <si>
    <t xml:space="preserve">11</t>
  </si>
  <si>
    <t xml:space="preserve">12</t>
  </si>
  <si>
    <t xml:space="preserve">13</t>
  </si>
  <si>
    <t xml:space="preserve">165163727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</si>
  <si>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수엑사켐</t>
    </r>
  </si>
  <si>
    <t xml:space="preserve">2035147</t>
  </si>
  <si>
    <t xml:space="preserve">14</t>
  </si>
  <si>
    <t xml:space="preserve">148712384</t>
  </si>
  <si>
    <t xml:space="preserve">유****자선물(주)</t>
  </si>
  <si>
    <t xml:space="preserve">1921104</t>
  </si>
  <si>
    <t xml:space="preserve">15</t>
  </si>
  <si>
    <t xml:space="preserve">166587649</t>
  </si>
  <si>
    <t xml:space="preserve">한****유공사</t>
  </si>
  <si>
    <t xml:space="preserve">1912443</t>
  </si>
  <si>
    <t xml:space="preserve">16</t>
  </si>
  <si>
    <t xml:space="preserve">17</t>
  </si>
  <si>
    <t xml:space="preserve">18</t>
  </si>
  <si>
    <t xml:space="preserve">145542746</t>
  </si>
  <si>
    <t xml:space="preserve">한****력공사</t>
  </si>
  <si>
    <t xml:space="preserve">1951574</t>
  </si>
  <si>
    <t xml:space="preserve">19</t>
  </si>
  <si>
    <t xml:space="preserve">20</t>
  </si>
  <si>
    <t xml:space="preserve">21</t>
  </si>
  <si>
    <t xml:space="preserve">22</t>
  </si>
  <si>
    <t xml:space="preserve">101050069</t>
  </si>
  <si>
    <t xml:space="preserve">윤**윤</t>
  </si>
  <si>
    <t xml:space="preserve">2131334</t>
  </si>
  <si>
    <t xml:space="preserve">23</t>
  </si>
  <si>
    <t xml:space="preserve">24</t>
  </si>
  <si>
    <t xml:space="preserve">2026408</t>
  </si>
  <si>
    <t xml:space="preserve">25</t>
  </si>
  <si>
    <t xml:space="preserve">26</t>
  </si>
  <si>
    <t xml:space="preserve">151309148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</si>
  <si>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인플러스</t>
    </r>
  </si>
  <si>
    <t xml:space="preserve">2140956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</si>
  <si>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</si>
  <si>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</si>
  <si>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</si>
  <si>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</si>
  <si>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</si>
  <si>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</si>
  <si>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</si>
  <si>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</si>
  <si>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</si>
  <si>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</si>
  <si>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144139033</t>
  </si>
  <si>
    <t xml:space="preserve">에****이하이닉스(주)</t>
  </si>
  <si>
    <t xml:space="preserve">37</t>
  </si>
  <si>
    <t xml:space="preserve">38</t>
  </si>
  <si>
    <t xml:space="preserve">151492206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</si>
  <si>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이엔테크</t>
    </r>
  </si>
  <si>
    <t xml:space="preserve">2040144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</si>
  <si>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</si>
  <si>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</si>
  <si>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</si>
  <si>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</si>
  <si>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</si>
  <si>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</si>
  <si>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148352919</t>
  </si>
  <si>
    <t xml:space="preserve">현****지니어링(주)</t>
  </si>
  <si>
    <t xml:space="preserve">1950861</t>
  </si>
  <si>
    <t xml:space="preserve">45</t>
  </si>
  <si>
    <t xml:space="preserve">46</t>
  </si>
  <si>
    <t xml:space="preserve">160451465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</si>
  <si>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스엠티</t>
    </r>
  </si>
  <si>
    <t xml:space="preserve">1961166</t>
  </si>
  <si>
    <t xml:space="preserve">47</t>
  </si>
  <si>
    <t xml:space="preserve">157794197</t>
  </si>
  <si>
    <t xml:space="preserve">( ****I</t>
  </si>
  <si>
    <t xml:space="preserve">48</t>
  </si>
  <si>
    <t xml:space="preserve">152460017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</si>
  <si>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에스시</t>
    </r>
  </si>
  <si>
    <t xml:space="preserve">2075323</t>
  </si>
  <si>
    <t xml:space="preserve">49</t>
  </si>
  <si>
    <t xml:space="preserve">167521570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</si>
  <si>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오스</t>
    </r>
  </si>
  <si>
    <t xml:space="preserve">2080410</t>
  </si>
  <si>
    <t xml:space="preserve">50</t>
  </si>
  <si>
    <t xml:space="preserve">51</t>
  </si>
  <si>
    <t xml:space="preserve">52</t>
  </si>
  <si>
    <t xml:space="preserve">167523949</t>
  </si>
  <si>
    <t xml:space="preserve">현****설기계(주)</t>
  </si>
  <si>
    <t xml:space="preserve">53</t>
  </si>
  <si>
    <t xml:space="preserve">54</t>
  </si>
  <si>
    <t xml:space="preserve">2106313</t>
  </si>
  <si>
    <t xml:space="preserve">55</t>
  </si>
  <si>
    <t xml:space="preserve">151779280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</si>
  <si>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진기전</t>
    </r>
  </si>
  <si>
    <t xml:space="preserve">1986486</t>
  </si>
  <si>
    <t xml:space="preserve">56</t>
  </si>
  <si>
    <t xml:space="preserve">1971185</t>
  </si>
  <si>
    <t xml:space="preserve">57</t>
  </si>
  <si>
    <t xml:space="preserve">58</t>
  </si>
  <si>
    <t xml:space="preserve">2131087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</si>
  <si>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</si>
  <si>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</si>
  <si>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</si>
  <si>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</si>
  <si>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</si>
  <si>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</si>
  <si>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</si>
  <si>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</si>
  <si>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</si>
  <si>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</si>
  <si>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</si>
  <si>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</si>
  <si>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</si>
  <si>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</si>
  <si>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</si>
  <si>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</si>
  <si>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167354383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</si>
  <si>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라 인 코리아</t>
    </r>
  </si>
  <si>
    <t xml:space="preserve">75</t>
  </si>
  <si>
    <t xml:space="preserve">76</t>
  </si>
  <si>
    <t xml:space="preserve">137264719</t>
  </si>
  <si>
    <t xml:space="preserve">도****업(주)</t>
  </si>
  <si>
    <t xml:space="preserve">1980331</t>
  </si>
  <si>
    <t xml:space="preserve">77</t>
  </si>
  <si>
    <t xml:space="preserve">78</t>
  </si>
  <si>
    <t xml:space="preserve">162279724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</si>
  <si>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정테크</t>
    </r>
  </si>
  <si>
    <t xml:space="preserve">2100246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</si>
  <si>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</si>
  <si>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</si>
  <si>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</si>
  <si>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</si>
  <si>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</si>
  <si>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146377044</t>
  </si>
  <si>
    <t xml:space="preserve">무****앤피(주)</t>
  </si>
  <si>
    <t xml:space="preserve">2065336</t>
  </si>
  <si>
    <t xml:space="preserve">84</t>
  </si>
  <si>
    <t xml:space="preserve">111179497</t>
  </si>
  <si>
    <t xml:space="preserve">무****이퍼(주)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</si>
  <si>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</si>
  <si>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</si>
  <si>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</si>
  <si>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</si>
  <si>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</si>
  <si>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158081201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</si>
  <si>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진쎄미켐</t>
    </r>
  </si>
  <si>
    <t xml:space="preserve">2015995</t>
  </si>
  <si>
    <t xml:space="preserve">90</t>
  </si>
  <si>
    <t xml:space="preserve">91</t>
  </si>
  <si>
    <t xml:space="preserve">167523956</t>
  </si>
  <si>
    <t xml:space="preserve">현****렉트릭앤에너지시스템(주)</t>
  </si>
  <si>
    <t xml:space="preserve">92</t>
  </si>
  <si>
    <t xml:space="preserve">2160567</t>
  </si>
  <si>
    <t xml:space="preserve">93</t>
  </si>
  <si>
    <t xml:space="preserve">94</t>
  </si>
  <si>
    <t xml:space="preserve">114486376</t>
  </si>
  <si>
    <t xml:space="preserve">상****레이크(주)</t>
  </si>
  <si>
    <t xml:space="preserve">2025128</t>
  </si>
  <si>
    <t xml:space="preserve">95</t>
  </si>
  <si>
    <t xml:space="preserve">96</t>
  </si>
  <si>
    <t xml:space="preserve">97</t>
  </si>
  <si>
    <t xml:space="preserve">137264582</t>
  </si>
  <si>
    <t xml:space="preserve">대****업(주)</t>
  </si>
  <si>
    <t xml:space="preserve">98</t>
  </si>
  <si>
    <t xml:space="preserve">167467627</t>
  </si>
  <si>
    <t xml:space="preserve">현****공업지주(주)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</si>
  <si>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</si>
  <si>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</si>
  <si>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</si>
  <si>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</si>
  <si>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</si>
  <si>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</si>
  <si>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</si>
  <si>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141349675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</si>
  <si>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앤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피</t>
    </r>
  </si>
  <si>
    <t xml:space="preserve">2170239</t>
  </si>
  <si>
    <t xml:space="preserve">107</t>
  </si>
  <si>
    <t xml:space="preserve">108</t>
  </si>
  <si>
    <t xml:space="preserve">139130470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</si>
  <si>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커뮤니케이션</t>
    </r>
  </si>
  <si>
    <t xml:space="preserve">2045974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</si>
  <si>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</si>
  <si>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</si>
  <si>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</si>
  <si>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</si>
  <si>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</si>
  <si>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r>
      <rPr>
        <b val="true"/>
        <sz val="11"/>
        <color theme="1"/>
        <rFont val="맑은 고딕"/>
        <family val="3"/>
        <charset val="129"/>
      </rPr>
      <t xml:space="preserve">      (1) </t>
    </r>
    <r>
      <rPr>
        <b val="true"/>
        <sz val="11"/>
        <color theme="1"/>
        <rFont val="Noto Sans CJK SC"/>
        <family val="2"/>
      </rPr>
      <t xml:space="preserve">잔액유지조건 有 </t>
    </r>
    <r>
      <rPr>
        <b val="true"/>
        <sz val="11"/>
        <color theme="1"/>
        <rFont val="맑은 고딕"/>
        <family val="3"/>
        <charset val="129"/>
      </rPr>
      <t xml:space="preserve">: 1</t>
    </r>
    <r>
      <rPr>
        <b val="true"/>
        <sz val="11"/>
        <color theme="1"/>
        <rFont val="Noto Sans CJK SC"/>
        <family val="2"/>
      </rPr>
      <t xml:space="preserve">개월 內 해당 기간금리 참조하여 협의</t>
    </r>
  </si>
  <si>
    <r>
      <rPr>
        <b val="true"/>
        <sz val="11"/>
        <color theme="1"/>
        <rFont val="맑은 고딕"/>
        <family val="3"/>
        <charset val="129"/>
      </rPr>
      <t xml:space="preserve">      (2) </t>
    </r>
    <r>
      <rPr>
        <b val="true"/>
        <sz val="11"/>
        <color theme="1"/>
        <rFont val="Noto Sans CJK SC"/>
        <family val="2"/>
      </rPr>
      <t xml:space="preserve">잔액유지조건 無 </t>
    </r>
    <r>
      <rPr>
        <b val="true"/>
        <sz val="11"/>
        <color theme="1"/>
        <rFont val="맑은 고딕"/>
        <family val="3"/>
        <charset val="129"/>
      </rPr>
      <t xml:space="preserve">: ~1</t>
    </r>
    <r>
      <rPr>
        <b val="true"/>
        <sz val="11"/>
        <color theme="1"/>
        <rFont val="Noto Sans CJK SC"/>
        <family val="2"/>
      </rPr>
      <t xml:space="preserve">주 또는 통지예금 금리 참조하여 협의</t>
    </r>
  </si>
  <si>
    <t xml:space="preserve">외부금리</t>
  </si>
  <si>
    <t xml:space="preserve">승인여부</t>
  </si>
  <si>
    <r>
      <rPr>
        <sz val="11"/>
        <color theme="1"/>
        <rFont val="맑은 고딕"/>
        <family val="2"/>
        <charset val="129"/>
      </rPr>
      <t xml:space="preserve">BEP</t>
    </r>
    <r>
      <rPr>
        <sz val="11"/>
        <color theme="1"/>
        <rFont val="Noto Sans CJK SC"/>
        <family val="2"/>
      </rPr>
      <t xml:space="preserve">금리</t>
    </r>
  </si>
  <si>
    <r>
      <rPr>
        <sz val="11"/>
        <color theme="1"/>
        <rFont val="맑은 고딕"/>
        <family val="3"/>
        <charset val="129"/>
      </rPr>
      <t xml:space="preserve">1M 1.90 2M 2.00 3M 2.27 6M 2.40 , </t>
    </r>
    <r>
      <rPr>
        <sz val="11"/>
        <color theme="1"/>
        <rFont val="Noto Sans CJK SC"/>
        <family val="2"/>
      </rPr>
      <t xml:space="preserve">전혜연계장</t>
    </r>
  </si>
  <si>
    <t xml:space="preserve">예보출연료, 지준율(FTP에)</t>
  </si>
  <si>
    <t xml:space="preserve">IFRS(</t>
  </si>
  <si>
    <t xml:space="preserve">.</t>
  </si>
</sst>
</file>

<file path=xl/styles.xml><?xml version="1.0" encoding="utf-8"?>
<styleSheet xmlns="http://schemas.openxmlformats.org/spreadsheetml/2006/main">
  <numFmts count="56">
    <numFmt numFmtId="164" formatCode="General"/>
    <numFmt numFmtId="165" formatCode="_ \₩* #,##0_ ;_ \₩* \-#,##0_ ;_ \₩* \-_ ;_ @_ "/>
    <numFmt numFmtId="166" formatCode="_ \₩* #,##0.00_ ;_ \₩* \-#,##0.00_ ;_ \₩* \-??_ ;_ @_ "/>
    <numFmt numFmtId="167" formatCode="_ * #,##0_ ;_ * \-#,##0_ ;_ * \-_ ;_ @_ "/>
    <numFmt numFmtId="168" formatCode="_ * #,##0.00_ ;_ * \-#,##0.00_ ;_ * \-??_ ;_ @_ "/>
    <numFmt numFmtId="169" formatCode="mmm\.yy"/>
    <numFmt numFmtId="170" formatCode="_ \₩* #,##0.00_ ;_ \₩* &quot;₩-&quot;#,##0.00_ ;_ \₩* \-??_ ;_ @_ "/>
    <numFmt numFmtId="171" formatCode="#,##0_);[RED]\(#,##0\)"/>
    <numFmt numFmtId="172" formatCode="0%"/>
    <numFmt numFmtId="173" formatCode="0.00%"/>
    <numFmt numFmtId="174" formatCode="#,##0"/>
    <numFmt numFmtId="175" formatCode="_(* #,##0_);_(* \(#,##0\);_(* \-_);_(@_)"/>
    <numFmt numFmtId="176" formatCode="_(* #,##0.00_);_(* \(#,##0.00\);_(* \-??_);_(@_)"/>
    <numFmt numFmtId="177" formatCode="_-\₩* #,##0_-;&quot;₩₩₩₩₩-₩&quot;* #,##0_-;_-\₩* \-_-;_-@_-"/>
    <numFmt numFmtId="178" formatCode="_-* #,##0_-;&quot;₩₩₩₩₩-&quot;* #,##0_-;_-* \-_-;_-@_-"/>
    <numFmt numFmtId="179" formatCode="_(\$* #,##0_);_(\$* \(#,##0\);_(\$* \-??_);_(@_)"/>
    <numFmt numFmtId="180" formatCode="_(\$* #,##0.00_);_(\$* \(#,##0.00\);_(\$* \-??_);_(@_)"/>
    <numFmt numFmtId="181" formatCode="m/d/yyyy"/>
    <numFmt numFmtId="182" formatCode="_-* #,##0_-;\-* #,##0_-;_-* \-_-;_-@_-"/>
    <numFmt numFmtId="183" formatCode="##\m"/>
    <numFmt numFmtId="184" formatCode="_-[$$-409]* #,##0.00_ ;_-[$$-409]* \-#,##0.00\ ;_-[$$-409]* \-??_ ;_-@_ "/>
    <numFmt numFmtId="185" formatCode="#,##0.00_);[RED]\(#,##0.00\)"/>
    <numFmt numFmtId="186" formatCode="0.00000%"/>
    <numFmt numFmtId="187" formatCode="0.0000%"/>
    <numFmt numFmtId="188" formatCode="00000"/>
    <numFmt numFmtId="189" formatCode="0_);[RED]\(0\)"/>
    <numFmt numFmtId="190" formatCode="General"/>
    <numFmt numFmtId="191" formatCode="[$CNY]\ #,##0.00"/>
    <numFmt numFmtId="192" formatCode="mm&quot;월 &quot;dd\일"/>
    <numFmt numFmtId="193" formatCode="0.000000%"/>
    <numFmt numFmtId="194" formatCode="yyyy\-mm\-dd&quot; (&quot;AAA\)"/>
    <numFmt numFmtId="195" formatCode="#,##0\건"/>
    <numFmt numFmtId="196" formatCode="#,##0.00"/>
    <numFmt numFmtId="197" formatCode="yyyy\-mm\-dd"/>
    <numFmt numFmtId="198" formatCode="##.00\m"/>
    <numFmt numFmtId="199" formatCode="@"/>
    <numFmt numFmtId="200" formatCode="_-* #,##0.00_-;\-* #,##0.00_-;_-* \-_-;_-@_-"/>
    <numFmt numFmtId="201" formatCode="0\일"/>
    <numFmt numFmtId="202" formatCode="#,##0.00_);\(#,##0.00\)"/>
    <numFmt numFmtId="203" formatCode="#,##0.00000000_);\(#,##0.00000000\)"/>
    <numFmt numFmtId="204" formatCode="#,##0.00000000_ ;[RED]\-#,##0.00000000\ "/>
    <numFmt numFmtId="205" formatCode="#,###.0000&quot; bp&quot;"/>
    <numFmt numFmtId="206" formatCode="_-* #,##0.00_-;\-* #,##0.00_-;_-* \-??_-;_-@_-"/>
    <numFmt numFmtId="207" formatCode="#,##0.0000_ "/>
    <numFmt numFmtId="208" formatCode="@&quot; 운용금리&quot;"/>
    <numFmt numFmtId="209" formatCode="@&quot; 조달금리&quot;"/>
    <numFmt numFmtId="210" formatCode="000"/>
    <numFmt numFmtId="211" formatCode="_-* #,##0.00000_-;\-* #,##0.00000_-;_-* \-_-;_-@_-"/>
    <numFmt numFmtId="212" formatCode="_-* #,##0.0000_-;\-* #,##0.0000_-;_-* \-_-;_-@_-"/>
    <numFmt numFmtId="213" formatCode="_-* #,##0.0000_-;\-* #,##0.0000_-;_-* \-??_-;_-@_-"/>
    <numFmt numFmtId="214" formatCode="0.00_ "/>
    <numFmt numFmtId="215" formatCode="0.0_ "/>
    <numFmt numFmtId="216" formatCode="0.00"/>
    <numFmt numFmtId="217" formatCode="0.0000"/>
    <numFmt numFmtId="218" formatCode="0.00000_);[RED]\(0.00000\)"/>
    <numFmt numFmtId="219" formatCode="#####"/>
  </numFmts>
  <fonts count="169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sz val="11"/>
      <color rgb="FF000000"/>
      <name val="맑은 고딕"/>
      <family val="3"/>
      <charset val="1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"/>
    </font>
    <font>
      <sz val="11"/>
      <color rgb="FFFFFFFF"/>
      <name val="맑은 고딕"/>
      <family val="3"/>
      <charset val="129"/>
    </font>
    <font>
      <sz val="20"/>
      <name val="돋움체"/>
      <family val="3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color rgb="FF800080"/>
      <name val="맑은 고딕"/>
      <family val="3"/>
      <charset val="1"/>
    </font>
    <font>
      <b val="true"/>
      <sz val="11"/>
      <color rgb="FFFF9900"/>
      <name val="맑은 고딕"/>
      <family val="3"/>
      <charset val="1"/>
    </font>
    <font>
      <b val="true"/>
      <sz val="10"/>
      <name val="Arial"/>
      <family val="2"/>
      <charset val="1"/>
    </font>
    <font>
      <b val="true"/>
      <sz val="14"/>
      <name val="돋움"/>
      <family val="3"/>
      <charset val="129"/>
    </font>
    <font>
      <b val="true"/>
      <sz val="11"/>
      <color rgb="FFFFFFFF"/>
      <name val="맑은 고딕"/>
      <family val="3"/>
      <charset val="1"/>
    </font>
    <font>
      <sz val="11"/>
      <name val="돋움"/>
      <family val="3"/>
      <charset val="129"/>
    </font>
    <font>
      <sz val="10"/>
      <name val="Arial"/>
      <family val="2"/>
      <charset val="1"/>
    </font>
    <font>
      <sz val="12"/>
      <name val="±¼¸²A¼"/>
      <family val="3"/>
      <charset val="1"/>
    </font>
    <font>
      <i val="true"/>
      <sz val="11"/>
      <color rgb="FF808080"/>
      <name val="맑은 고딕"/>
      <family val="3"/>
      <charset val="1"/>
    </font>
    <font>
      <sz val="11"/>
      <color rgb="FF008000"/>
      <name val="맑은 고딕"/>
      <family val="3"/>
      <charset val="1"/>
    </font>
    <font>
      <sz val="8"/>
      <name val="Arial"/>
      <family val="2"/>
      <charset val="1"/>
    </font>
    <font>
      <b val="true"/>
      <sz val="16"/>
      <name val="돋움"/>
      <family val="3"/>
      <charset val="129"/>
    </font>
    <font>
      <b val="true"/>
      <sz val="12"/>
      <name val="Arial"/>
      <family val="2"/>
      <charset val="1"/>
    </font>
    <font>
      <sz val="11"/>
      <name val="궁서체"/>
      <family val="1"/>
      <charset val="129"/>
    </font>
    <font>
      <sz val="11"/>
      <name val="바탕"/>
      <family val="1"/>
      <charset val="129"/>
    </font>
    <font>
      <b val="true"/>
      <sz val="15"/>
      <color rgb="FF003366"/>
      <name val="맑은 고딕"/>
      <family val="3"/>
      <charset val="1"/>
    </font>
    <font>
      <b val="true"/>
      <sz val="13"/>
      <color rgb="FF003366"/>
      <name val="맑은 고딕"/>
      <family val="3"/>
      <charset val="1"/>
    </font>
    <font>
      <b val="true"/>
      <sz val="11"/>
      <color rgb="FF003366"/>
      <name val="맑은 고딕"/>
      <family val="3"/>
      <charset val="1"/>
    </font>
    <font>
      <sz val="11"/>
      <color rgb="FF333399"/>
      <name val="맑은 고딕"/>
      <family val="3"/>
      <charset val="1"/>
    </font>
    <font>
      <sz val="11"/>
      <color rgb="FFFF9900"/>
      <name val="맑은 고딕"/>
      <family val="3"/>
      <charset val="1"/>
    </font>
    <font>
      <b val="true"/>
      <sz val="11"/>
      <name val="Arial"/>
      <family val="2"/>
      <charset val="1"/>
    </font>
    <font>
      <sz val="11"/>
      <name val="굴림"/>
      <family val="3"/>
      <charset val="129"/>
    </font>
    <font>
      <sz val="10"/>
      <name val="바탕체"/>
      <family val="1"/>
      <charset val="129"/>
    </font>
    <font>
      <sz val="11"/>
      <color rgb="FF993300"/>
      <name val="맑은 고딕"/>
      <family val="3"/>
      <charset val="1"/>
    </font>
    <font>
      <sz val="11"/>
      <name val="새굴림"/>
      <family val="1"/>
      <charset val="129"/>
    </font>
    <font>
      <b val="true"/>
      <sz val="11"/>
      <color rgb="FF333333"/>
      <name val="맑은 고딕"/>
      <family val="3"/>
      <charset val="1"/>
    </font>
    <font>
      <sz val="11"/>
      <name val="한컴돋움"/>
      <family val="1"/>
      <charset val="129"/>
    </font>
    <font>
      <b val="true"/>
      <sz val="18"/>
      <color rgb="FF003366"/>
      <name val="맑은 고딕"/>
      <family val="3"/>
      <charset val="1"/>
    </font>
    <font>
      <b val="true"/>
      <sz val="11"/>
      <color rgb="FF000000"/>
      <name val="맑은 고딕"/>
      <family val="3"/>
      <charset val="1"/>
    </font>
    <font>
      <sz val="11"/>
      <color rgb="FFFF0000"/>
      <name val="맑은 고딕"/>
      <family val="3"/>
      <charset val="1"/>
    </font>
    <font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u val="single"/>
      <sz val="10"/>
      <color rgb="FF800080"/>
      <name val="바탕체"/>
      <family val="1"/>
      <charset val="129"/>
    </font>
    <font>
      <sz val="11"/>
      <color rgb="FF993300"/>
      <name val="맑은 고딕"/>
      <family val="3"/>
      <charset val="129"/>
    </font>
    <font>
      <sz val="12"/>
      <name val="뼻뮝"/>
      <family val="3"/>
      <charset val="129"/>
    </font>
    <font>
      <i val="true"/>
      <sz val="11"/>
      <color rgb="FF808080"/>
      <name val="맑은 고딕"/>
      <family val="3"/>
      <charset val="129"/>
    </font>
    <font>
      <b val="true"/>
      <sz val="11"/>
      <color rgb="FFFFFFFF"/>
      <name val="맑은 고딕"/>
      <family val="3"/>
      <charset val="129"/>
    </font>
    <font>
      <sz val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F9900"/>
      <name val="맑은 고딕"/>
      <family val="3"/>
      <charset val="129"/>
    </font>
    <font>
      <b val="true"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 val="true"/>
      <sz val="15"/>
      <color rgb="FF003366"/>
      <name val="맑은 고딕"/>
      <family val="3"/>
      <charset val="129"/>
    </font>
    <font>
      <b val="true"/>
      <sz val="13"/>
      <color rgb="FF003366"/>
      <name val="맑은 고딕"/>
      <family val="3"/>
      <charset val="129"/>
    </font>
    <font>
      <b val="true"/>
      <sz val="11"/>
      <color rgb="FF003366"/>
      <name val="맑은 고딕"/>
      <family val="3"/>
      <charset val="129"/>
    </font>
    <font>
      <b val="true"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 val="true"/>
      <sz val="11"/>
      <color rgb="FF333333"/>
      <name val="맑은 고딕"/>
      <family val="3"/>
      <charset val="129"/>
    </font>
    <font>
      <sz val="10"/>
      <color rgb="FF000000"/>
      <name val="Arial"/>
      <family val="2"/>
      <charset val="1"/>
    </font>
    <font>
      <sz val="9"/>
      <color theme="1"/>
      <name val="맑은 고딕"/>
      <family val="3"/>
      <charset val="129"/>
    </font>
    <font>
      <u val="single"/>
      <sz val="11"/>
      <color theme="10"/>
      <name val="맑은 고딕"/>
      <family val="3"/>
      <charset val="129"/>
    </font>
    <font>
      <u val="single"/>
      <sz val="9.35"/>
      <color rgb="FF0000FF"/>
      <name val="돋움"/>
      <family val="3"/>
      <charset val="129"/>
    </font>
    <font>
      <sz val="10"/>
      <color rgb="FF000000"/>
      <name val="맑은 고딕"/>
      <family val="0"/>
      <charset val="1"/>
    </font>
    <font>
      <b val="true"/>
      <sz val="15"/>
      <color rgb="FF1F4E79"/>
      <name val="Noto Sans CJK SC"/>
      <family val="2"/>
    </font>
    <font>
      <b val="true"/>
      <sz val="12"/>
      <color rgb="FFFFFFFF"/>
      <name val="맑은 고딕"/>
      <family val="0"/>
      <charset val="1"/>
    </font>
    <font>
      <b val="true"/>
      <sz val="11"/>
      <color rgb="FF000000"/>
      <name val="Noto Sans CJK SC"/>
      <family val="2"/>
    </font>
    <font>
      <sz val="10"/>
      <color rgb="FF404040"/>
      <name val="Noto Sans CJK SC"/>
      <family val="2"/>
    </font>
    <font>
      <sz val="10"/>
      <color rgb="FF40404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1"/>
      <name val="돋움"/>
      <family val="3"/>
      <charset val="129"/>
    </font>
    <font>
      <b val="true"/>
      <sz val="15"/>
      <color rgb="FF1F4E79"/>
      <name val="맑은 고딕"/>
      <family val="0"/>
      <charset val="1"/>
    </font>
    <font>
      <sz val="9"/>
      <color rgb="FF808080"/>
      <name val="Noto Sans CJK SC"/>
      <family val="2"/>
    </font>
    <font>
      <sz val="9"/>
      <color rgb="FF808080"/>
      <name val="맑은 고딕"/>
      <family val="0"/>
      <charset val="1"/>
    </font>
    <font>
      <sz val="10.5"/>
      <color rgb="FF000000"/>
      <name val="맑은 고딕"/>
      <family val="0"/>
      <charset val="1"/>
    </font>
    <font>
      <b val="true"/>
      <sz val="12"/>
      <color rgb="FFFFFFFF"/>
      <name val="Noto Sans CJK SC"/>
      <family val="2"/>
    </font>
    <font>
      <sz val="10.5"/>
      <color rgb="FF000000"/>
      <name val="Noto Sans CJK SC"/>
      <family val="2"/>
    </font>
    <font>
      <sz val="11"/>
      <name val="맑은 고딕"/>
      <family val="3"/>
      <charset val="129"/>
    </font>
    <font>
      <sz val="11"/>
      <color theme="9" tint="-0.5"/>
      <name val="맑은 고딕"/>
      <family val="3"/>
      <charset val="129"/>
    </font>
    <font>
      <b val="true"/>
      <sz val="11"/>
      <color rgb="FFFF0000"/>
      <name val="Noto Sans CJK SC"/>
      <family val="2"/>
      <charset val="1"/>
    </font>
    <font>
      <sz val="11"/>
      <color rgb="FFFF0000"/>
      <name val="맑은 고딕"/>
      <family val="2"/>
      <charset val="129"/>
    </font>
    <font>
      <sz val="11"/>
      <name val="맑은 고딕"/>
      <family val="2"/>
      <charset val="129"/>
    </font>
    <font>
      <sz val="11"/>
      <color theme="9" tint="-0.5"/>
      <name val="맑은 고딕"/>
      <family val="2"/>
      <charset val="129"/>
    </font>
    <font>
      <b val="true"/>
      <sz val="11"/>
      <color theme="1"/>
      <name val="맑은 고딕"/>
      <family val="3"/>
      <charset val="129"/>
    </font>
    <font>
      <b val="true"/>
      <u val="single"/>
      <sz val="11"/>
      <color theme="1"/>
      <name val="맑은 고딕"/>
      <family val="3"/>
      <charset val="129"/>
    </font>
    <font>
      <b val="true"/>
      <u val="single"/>
      <sz val="11"/>
      <color theme="1"/>
      <name val="Noto Sans CJK SC"/>
      <family val="2"/>
    </font>
    <font>
      <b val="true"/>
      <sz val="11"/>
      <color rgb="FFFF0000"/>
      <name val="맑은 고딕"/>
      <family val="2"/>
      <charset val="129"/>
    </font>
    <font>
      <b val="true"/>
      <sz val="11"/>
      <name val="맑은 고딕"/>
      <family val="3"/>
      <charset val="129"/>
    </font>
    <font>
      <b val="true"/>
      <sz val="11"/>
      <color theme="9" tint="-0.5"/>
      <name val="맑은 고딕"/>
      <family val="2"/>
      <charset val="129"/>
    </font>
    <font>
      <b val="true"/>
      <sz val="11"/>
      <name val="맑은 고딕"/>
      <family val="2"/>
      <charset val="129"/>
    </font>
    <font>
      <b val="true"/>
      <sz val="11"/>
      <color theme="1"/>
      <name val="Noto Sans CJK SC"/>
      <family val="2"/>
    </font>
    <font>
      <sz val="11"/>
      <color theme="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FF0000"/>
      <name val="Noto Sans CJK SC"/>
      <family val="2"/>
    </font>
    <font>
      <sz val="11"/>
      <color rgb="FFFF0000"/>
      <name val="Noto Sans CJK SC"/>
      <family val="2"/>
      <charset val="1"/>
    </font>
    <font>
      <sz val="11"/>
      <name val="Noto Sans CJK SC"/>
      <family val="2"/>
      <charset val="1"/>
    </font>
    <font>
      <sz val="11"/>
      <color theme="1"/>
      <name val="Noto Sans CJK SC"/>
      <family val="2"/>
    </font>
    <font>
      <sz val="11"/>
      <name val="Noto Sans CJK SC"/>
      <family val="2"/>
    </font>
    <font>
      <sz val="10"/>
      <color theme="1"/>
      <name val="맑은 고딕"/>
      <family val="3"/>
      <charset val="129"/>
    </font>
    <font>
      <sz val="10"/>
      <color theme="1"/>
      <name val="Noto Sans CJK SC"/>
      <family val="2"/>
    </font>
    <font>
      <sz val="10"/>
      <color theme="1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 val="true"/>
      <sz val="14"/>
      <color rgb="FF1F4E79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color rgb="FF000000"/>
      <name val="Noto Sans CJK SC"/>
      <family val="2"/>
      <charset val="1"/>
    </font>
    <font>
      <b val="true"/>
      <sz val="10"/>
      <color rgb="FF0000FF"/>
      <name val="맑은 고딕"/>
      <family val="0"/>
      <charset val="1"/>
    </font>
    <font>
      <sz val="9"/>
      <color rgb="FF808080"/>
      <name val="Noto Sans CJK SC"/>
      <family val="2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2"/>
      <color theme="1"/>
      <name val="맑은 고딕"/>
      <family val="2"/>
      <charset val="129"/>
    </font>
    <font>
      <b val="true"/>
      <sz val="12"/>
      <color theme="1"/>
      <name val="Noto Sans CJK SC"/>
      <family val="2"/>
      <charset val="1"/>
    </font>
    <font>
      <sz val="10"/>
      <color theme="1"/>
      <name val="맑은 고딕"/>
      <family val="2"/>
      <charset val="129"/>
    </font>
    <font>
      <b val="true"/>
      <sz val="20"/>
      <name val="Noto Sans CJK SC"/>
      <family val="2"/>
      <charset val="1"/>
    </font>
    <font>
      <b val="true"/>
      <sz val="20"/>
      <name val="맑은 고딕"/>
      <family val="3"/>
      <charset val="129"/>
    </font>
    <font>
      <b val="true"/>
      <sz val="11"/>
      <name val="Noto Sans CJK SC"/>
      <family val="2"/>
      <charset val="1"/>
    </font>
    <font>
      <sz val="12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</font>
    <font>
      <b val="true"/>
      <sz val="11"/>
      <color theme="0"/>
      <name val="Noto Sans CJK SC"/>
      <family val="2"/>
      <charset val="1"/>
    </font>
    <font>
      <b val="true"/>
      <sz val="12"/>
      <color rgb="FFFFFF00"/>
      <name val="Noto Sans CJK SC"/>
      <family val="2"/>
      <charset val="1"/>
    </font>
    <font>
      <b val="true"/>
      <sz val="11"/>
      <color rgb="FFFF0000"/>
      <name val="맑은 고딕"/>
      <family val="3"/>
      <charset val="129"/>
    </font>
    <font>
      <sz val="11"/>
      <color rgb="FF0000FF"/>
      <name val="맑은 고딕"/>
      <family val="2"/>
      <charset val="129"/>
    </font>
    <font>
      <b val="true"/>
      <sz val="11"/>
      <color rgb="FF0000FF"/>
      <name val="맑은 고딕"/>
      <family val="3"/>
      <charset val="129"/>
    </font>
    <font>
      <b val="true"/>
      <sz val="11"/>
      <color rgb="FFFFFF00"/>
      <name val="맑은 고딕"/>
      <family val="3"/>
      <charset val="129"/>
    </font>
    <font>
      <b val="true"/>
      <sz val="14"/>
      <color theme="1"/>
      <name val="맑은 고딕"/>
      <family val="3"/>
      <charset val="129"/>
    </font>
    <font>
      <b val="true"/>
      <sz val="18"/>
      <color theme="1"/>
      <name val="맑은 고딕"/>
      <family val="3"/>
      <charset val="129"/>
    </font>
    <font>
      <b val="true"/>
      <sz val="10"/>
      <color theme="1"/>
      <name val="Noto Sans CJK SC"/>
      <family val="2"/>
      <charset val="1"/>
    </font>
    <font>
      <b val="true"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</font>
    <font>
      <sz val="10"/>
      <color rgb="FF0000FF"/>
      <name val="맑은 고딕"/>
      <family val="3"/>
      <charset val="129"/>
    </font>
    <font>
      <sz val="10"/>
      <color rgb="FF00B050"/>
      <name val="맑은 고딕"/>
      <family val="2"/>
      <charset val="129"/>
    </font>
    <font>
      <b val="true"/>
      <sz val="10"/>
      <color rgb="FFFF0000"/>
      <name val="맑은 고딕"/>
      <family val="3"/>
      <charset val="129"/>
    </font>
    <font>
      <b val="true"/>
      <sz val="10"/>
      <color theme="1"/>
      <name val="Noto Sans CJK SC"/>
      <family val="2"/>
    </font>
    <font>
      <b val="true"/>
      <sz val="10"/>
      <color theme="0"/>
      <name val="Noto Sans CJK SC"/>
      <family val="2"/>
      <charset val="1"/>
    </font>
    <font>
      <b val="true"/>
      <sz val="10"/>
      <color theme="0"/>
      <name val="맑은 고딕"/>
      <family val="3"/>
      <charset val="129"/>
    </font>
    <font>
      <b val="true"/>
      <sz val="10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Noto Sans CJK SC"/>
      <family val="2"/>
      <charset val="1"/>
    </font>
    <font>
      <b val="true"/>
      <sz val="12"/>
      <name val="Noto Sans CJK SC"/>
      <family val="2"/>
      <charset val="1"/>
    </font>
    <font>
      <b val="true"/>
      <sz val="12"/>
      <name val="맑은 고딕"/>
      <family val="3"/>
      <charset val="129"/>
    </font>
    <font>
      <sz val="14"/>
      <name val="맑은 고딕"/>
      <family val="3"/>
      <charset val="129"/>
    </font>
    <font>
      <sz val="14"/>
      <name val="Noto Sans CJK SC"/>
      <family val="2"/>
      <charset val="1"/>
    </font>
    <font>
      <sz val="14"/>
      <color theme="1"/>
      <name val="맑은 고딕"/>
      <family val="3"/>
      <charset val="129"/>
    </font>
    <font>
      <b val="true"/>
      <u val="single"/>
      <sz val="11"/>
      <color rgb="FF0070C0"/>
      <name val="Noto Sans CJK SC"/>
      <family val="2"/>
      <charset val="1"/>
    </font>
    <font>
      <b val="true"/>
      <sz val="11"/>
      <color rgb="FFFF0000"/>
      <name val="돋움"/>
      <family val="3"/>
      <charset val="129"/>
    </font>
    <font>
      <b val="true"/>
      <sz val="11"/>
      <color rgb="FFFF0000"/>
      <name val="Noto Sans CJK SC"/>
      <family val="2"/>
    </font>
    <font>
      <sz val="11"/>
      <color rgb="FFFF0000"/>
      <name val="돋움"/>
      <family val="3"/>
      <charset val="129"/>
    </font>
    <font>
      <b val="true"/>
      <sz val="11"/>
      <name val="Noto Sans CJK SC"/>
      <family val="2"/>
    </font>
    <font>
      <b val="true"/>
      <u val="single"/>
      <sz val="11"/>
      <color rgb="FFFF0000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 val="true"/>
      <u val="single"/>
      <sz val="10"/>
      <color rgb="FF0070C0"/>
      <name val="Noto Sans CJK SC"/>
      <family val="2"/>
      <charset val="1"/>
    </font>
    <font>
      <sz val="11"/>
      <color rgb="FF0070C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name val="굴림체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Noto Sans CJK SC"/>
      <family val="2"/>
    </font>
    <font>
      <sz val="12"/>
      <name val="돋움"/>
      <family val="3"/>
      <charset val="129"/>
    </font>
    <font>
      <b val="true"/>
      <u val="single"/>
      <sz val="14"/>
      <name val="Noto Sans CJK SC"/>
      <family val="2"/>
      <charset val="1"/>
    </font>
    <font>
      <b val="true"/>
      <u val="single"/>
      <sz val="14"/>
      <name val="돋움"/>
      <family val="3"/>
      <charset val="129"/>
    </font>
    <font>
      <b val="true"/>
      <u val="single"/>
      <sz val="14"/>
      <color rgb="FFFF0000"/>
      <name val="돋움"/>
      <family val="3"/>
      <charset val="129"/>
    </font>
    <font>
      <b val="true"/>
      <u val="single"/>
      <sz val="14"/>
      <color rgb="FFFF0000"/>
      <name val="Noto Sans CJK SC"/>
      <family val="2"/>
    </font>
    <font>
      <sz val="11"/>
      <color theme="9" tint="-0.5"/>
      <name val="Noto Sans CJK SC"/>
      <family val="2"/>
      <charset val="1"/>
    </font>
  </fonts>
  <fills count="56">
    <fill>
      <patternFill patternType="none"/>
    </fill>
    <fill>
      <patternFill patternType="gray125"/>
    </fill>
    <fill>
      <patternFill patternType="solid">
        <fgColor rgb="FFCBCCFF"/>
        <bgColor rgb="FFD9D9D9"/>
      </patternFill>
    </fill>
    <fill>
      <patternFill patternType="solid">
        <fgColor rgb="FFFF99CC"/>
        <bgColor rgb="FFFD8484"/>
      </patternFill>
    </fill>
    <fill>
      <patternFill patternType="solid">
        <fgColor rgb="FFCCFFCC"/>
        <bgColor rgb="FFC6EFCE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D9B"/>
        <bgColor rgb="FFFAC090"/>
      </patternFill>
    </fill>
    <fill>
      <patternFill patternType="solid">
        <fgColor theme="4" tint="0.7999"/>
        <bgColor rgb="FFEEECE2"/>
      </patternFill>
    </fill>
    <fill>
      <patternFill patternType="solid">
        <fgColor theme="5" tint="0.7999"/>
        <bgColor rgb="FFEEECE2"/>
      </patternFill>
    </fill>
    <fill>
      <patternFill patternType="solid">
        <fgColor theme="6" tint="0.7999"/>
        <bgColor rgb="FFEEECE2"/>
      </patternFill>
    </fill>
    <fill>
      <patternFill patternType="darkGray">
        <fgColor theme="7" tint="0.7999"/>
        <bgColor rgb="FFF8E7DC"/>
      </patternFill>
    </fill>
    <fill>
      <patternFill patternType="solid">
        <fgColor theme="8" tint="0.7999"/>
        <bgColor rgb="FFEBF1DE"/>
      </patternFill>
    </fill>
    <fill>
      <patternFill patternType="solid">
        <fgColor theme="9" tint="0.7999"/>
        <bgColor rgb="FFEEECE2"/>
      </patternFill>
    </fill>
    <fill>
      <patternFill patternType="solid">
        <fgColor rgb="FF99CCFF"/>
        <bgColor rgb="FF93CDDD"/>
      </patternFill>
    </fill>
    <fill>
      <patternFill patternType="solid">
        <fgColor rgb="FFFD8484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darkGray">
        <fgColor theme="4" tint="0.5999"/>
        <bgColor rgb="FFC6C0CD"/>
      </patternFill>
    </fill>
    <fill>
      <patternFill patternType="darkGray">
        <fgColor theme="5" tint="0.5999"/>
        <bgColor rgb="FFFAC090"/>
      </patternFill>
    </fill>
    <fill>
      <patternFill patternType="darkGray">
        <fgColor theme="6" tint="0.5999"/>
        <bgColor rgb="FFD9D9D9"/>
      </patternFill>
    </fill>
    <fill>
      <patternFill patternType="solid">
        <fgColor theme="7" tint="0.5999"/>
        <bgColor rgb="FFC0C0C1"/>
      </patternFill>
    </fill>
    <fill>
      <patternFill patternType="solid">
        <fgColor theme="8" tint="0.5999"/>
        <bgColor rgb="FFC6EFCE"/>
      </patternFill>
    </fill>
    <fill>
      <patternFill patternType="darkGray">
        <fgColor theme="9" tint="0.5999"/>
        <bgColor rgb="FFFFCD9B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9C0006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FFC000"/>
      </patternFill>
    </fill>
    <fill>
      <patternFill patternType="solid">
        <fgColor rgb="FF3E319B"/>
        <bgColor rgb="FF1F5174"/>
      </patternFill>
    </fill>
    <fill>
      <patternFill patternType="solid">
        <fgColor rgb="FFFF0000"/>
        <bgColor rgb="FFC00000"/>
      </patternFill>
    </fill>
    <fill>
      <patternFill patternType="darkGray">
        <fgColor rgb="FF149B71"/>
        <bgColor rgb="FF4F81BD"/>
      </patternFill>
    </fill>
    <fill>
      <patternFill patternType="solid">
        <fgColor rgb="FFFF6600"/>
        <bgColor rgb="FFFF9900"/>
      </patternFill>
    </fill>
    <fill>
      <patternFill patternType="solid">
        <fgColor rgb="FFC0C0C1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rgb="FFFFFF00"/>
        <bgColor rgb="FFFFFF4B"/>
      </patternFill>
    </fill>
    <fill>
      <patternFill patternType="solid">
        <fgColor rgb="FFFFFB99"/>
        <bgColor rgb="FFFFFFCC"/>
      </patternFill>
    </fill>
    <fill>
      <patternFill patternType="solid">
        <fgColor theme="4"/>
        <bgColor rgb="FF7F7F7F"/>
      </patternFill>
    </fill>
    <fill>
      <patternFill patternType="solid">
        <fgColor rgb="FF1F5174"/>
        <bgColor rgb="FF003066"/>
      </patternFill>
    </fill>
    <fill>
      <patternFill patternType="solid">
        <fgColor rgb="FFDDECF7"/>
        <bgColor rgb="FFEEECE2"/>
      </patternFill>
    </fill>
    <fill>
      <patternFill patternType="solid">
        <fgColor rgb="FF92D050"/>
        <bgColor rgb="FFC3D69B"/>
      </patternFill>
    </fill>
    <fill>
      <patternFill patternType="solid">
        <fgColor rgb="FFFFC000"/>
        <bgColor rgb="FFFFCC00"/>
      </patternFill>
    </fill>
    <fill>
      <patternFill patternType="solid">
        <fgColor theme="0" tint="-0.25"/>
        <bgColor rgb="FFC0C0C1"/>
      </patternFill>
    </fill>
    <fill>
      <patternFill patternType="solid">
        <fgColor theme="9" tint="0.3999"/>
        <bgColor rgb="FFFFCD9B"/>
      </patternFill>
    </fill>
    <fill>
      <patternFill patternType="solid">
        <fgColor theme="0" tint="-0.15"/>
        <bgColor rgb="FFDDECF7"/>
      </patternFill>
    </fill>
    <fill>
      <patternFill patternType="solid">
        <fgColor theme="2"/>
        <bgColor rgb="FFEBF1DE"/>
      </patternFill>
    </fill>
    <fill>
      <patternFill patternType="mediumGray">
        <fgColor rgb="FFFFFFCC"/>
        <bgColor rgb="FFF8E7DC"/>
      </patternFill>
    </fill>
    <fill>
      <patternFill patternType="solid">
        <fgColor theme="1" tint="0.4999"/>
        <bgColor rgb="FF808080"/>
      </patternFill>
    </fill>
    <fill>
      <patternFill patternType="solid">
        <fgColor theme="1"/>
        <bgColor rgb="FF003066"/>
      </patternFill>
    </fill>
    <fill>
      <patternFill patternType="solid">
        <fgColor rgb="FF003066"/>
        <bgColor rgb="FF353535"/>
      </patternFill>
    </fill>
    <fill>
      <patternFill patternType="solid">
        <fgColor theme="9" tint="-0.5"/>
        <bgColor rgb="FF96361F"/>
      </patternFill>
    </fill>
    <fill>
      <patternFill patternType="solid">
        <fgColor theme="8" tint="0.3999"/>
        <bgColor rgb="FF99CCFF"/>
      </patternFill>
    </fill>
    <fill>
      <patternFill patternType="solid">
        <fgColor theme="8" tint="-0.5"/>
        <bgColor rgb="FF353535"/>
      </patternFill>
    </fill>
    <fill>
      <patternFill patternType="solid">
        <fgColor rgb="FFFFFF4B"/>
        <bgColor rgb="FFFFFF00"/>
      </patternFill>
    </fill>
    <fill>
      <patternFill patternType="solid">
        <fgColor rgb="FF00B0F0"/>
        <bgColor rgb="FF33CCCC"/>
      </patternFill>
    </fill>
  </fills>
  <borders count="76">
    <border diagonalUp="false" diagonalDown="false">
      <left/>
      <right/>
      <top/>
      <bottom/>
      <diagonal/>
    </border>
    <border diagonalUp="false" diagonalDown="false">
      <left style="thin">
        <color rgb="FF7B8A4E"/>
      </left>
      <right style="thin">
        <color rgb="FF7B8A4E"/>
      </right>
      <top style="thin">
        <color rgb="FF7B8A4E"/>
      </top>
      <bottom style="thin">
        <color rgb="FF7B8A4E"/>
      </bottom>
      <diagonal/>
    </border>
    <border diagonalUp="false" diagonalDown="false">
      <left style="double">
        <color rgb="FF353535"/>
      </left>
      <right style="double">
        <color rgb="FF353535"/>
      </right>
      <top style="double">
        <color rgb="FF353535"/>
      </top>
      <bottom style="double">
        <color rgb="FF35353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>
        <color rgb="FF3E319B"/>
      </bottom>
      <diagonal/>
    </border>
    <border diagonalUp="false" diagonalDown="false">
      <left/>
      <right/>
      <top/>
      <bottom style="thick">
        <color rgb="FFC6C0CD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C6C0CD"/>
      </left>
      <right style="thin">
        <color rgb="FFC6C0CD"/>
      </right>
      <top style="thin">
        <color rgb="FFC6C0CD"/>
      </top>
      <bottom style="thin">
        <color rgb="FFC6C0CD"/>
      </bottom>
      <diagonal/>
    </border>
    <border diagonalUp="false" diagonalDown="false">
      <left style="thin">
        <color rgb="FF353535"/>
      </left>
      <right style="thin">
        <color rgb="FF353535"/>
      </right>
      <top style="thin">
        <color rgb="FF353535"/>
      </top>
      <bottom style="thin">
        <color rgb="FF353535"/>
      </bottom>
      <diagonal/>
    </border>
    <border diagonalUp="false" diagonalDown="false">
      <left/>
      <right/>
      <top style="thin">
        <color rgb="FF3E319B"/>
      </top>
      <bottom style="double">
        <color rgb="FF3E319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ashed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hair"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/>
      <right style="thin"/>
      <top style="hair"/>
      <bottom style="medium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hair"/>
      <right/>
      <top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double"/>
      <diagonal/>
    </border>
  </borders>
  <cellStyleXfs count="134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2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3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3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2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4" borderId="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34" borderId="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18" fillId="7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7" borderId="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7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3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2" fillId="35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3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36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4" fontId="18" fillId="36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1" fillId="0" borderId="1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3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8" fillId="4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4" fontId="18" fillId="4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7" fillId="32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34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8" fillId="34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4" fillId="32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5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5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3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0" fillId="33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1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4" fillId="0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5" fillId="7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6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7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0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1" fillId="32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98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8" fillId="3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2" fillId="4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8" fillId="3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2" fillId="4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6" fontId="0" fillId="0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0" fillId="0" borderId="0" xfId="33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43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36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1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1" fillId="41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2" fillId="42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81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4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5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6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85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8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87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8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8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8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87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90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87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91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92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93" fillId="0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7" fontId="95" fillId="34" borderId="0" xfId="3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4" borderId="16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5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1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89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1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8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4" borderId="19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0" borderId="1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34" borderId="1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6" fillId="34" borderId="1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5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9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24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0" borderId="2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0" borderId="18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96" fillId="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8" fillId="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6" fillId="36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6" fillId="41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6" fillId="42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2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0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43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5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2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1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3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4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3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5" fillId="4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3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43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1" fillId="43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3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3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3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3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3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3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43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3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3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43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43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3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2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3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81" fontId="0" fillId="4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9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0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0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0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0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81" fontId="0" fillId="43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3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5" fillId="4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1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3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3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3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3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43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3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3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9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4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2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43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43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96" fillId="4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43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0" fillId="43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2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6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0" fillId="0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1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1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1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1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1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41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1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41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1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41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84" fillId="43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4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1" borderId="2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84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84" fontId="0" fillId="41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4" fillId="41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6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6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6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8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6" fillId="4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4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1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4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1" fontId="0" fillId="4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4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6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6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6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36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6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6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36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6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4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4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4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4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4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4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96" fillId="4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0" fontId="85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5" fillId="4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9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1" fillId="4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81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9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1" fillId="4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81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1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81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81" fillId="44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1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1" fillId="4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1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4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4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1" fillId="4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0" fillId="4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5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4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5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4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5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5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5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5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5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5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45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45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45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4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5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1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1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1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1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1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1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10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81" fillId="1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1" fillId="1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4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10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10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0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4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4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4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3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4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34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02" fillId="3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102" fillId="4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10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10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102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96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04" fillId="4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6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104" fillId="4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2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1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34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9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5" fillId="3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8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9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1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8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81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81" fillId="34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1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1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3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1" fillId="3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2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4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4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4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4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34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34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4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34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34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34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34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34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3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96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6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81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6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4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6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4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6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46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6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6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6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5" fillId="4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4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4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6" borderId="2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6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81" fillId="4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1" fillId="4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1" fillId="4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81" fillId="4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4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1" fillId="4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6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104" fillId="3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2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2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2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81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1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1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81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2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42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2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1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43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42" borderId="3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1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2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8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81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81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1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2" fillId="34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5" fillId="42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43" fillId="36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8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43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8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43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43" fillId="36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3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43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3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1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9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1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4" fontId="110" fillId="4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95" fontId="1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6" fontId="1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95" fontId="7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3" fillId="3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6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6" fontId="66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0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0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10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0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10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10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0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10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0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0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0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8" fontId="10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0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17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10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10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0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8" fontId="10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0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9" fontId="81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81" fillId="0" borderId="0" xfId="3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1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81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8" fillId="0" borderId="0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119" fillId="0" borderId="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0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28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21" fillId="45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2" fillId="45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45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1" fillId="45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45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3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21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3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23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3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1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4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4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9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9" fillId="0" borderId="0" xfId="3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9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81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81" fillId="0" borderId="0" xfId="3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7" fillId="4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0" fontId="87" fillId="4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0" fontId="87" fillId="4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7" fillId="4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5" fillId="4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5" fillId="49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4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127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7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8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49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4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49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7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7" fillId="4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27" fillId="4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27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49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49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9" fillId="4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30" fillId="4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29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6" fillId="45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37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30" fillId="5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2" fillId="45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6" fillId="4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4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34" fillId="4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34" fillId="4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45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35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4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4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34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134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2" fillId="45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7" fillId="3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4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2" fontId="134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4" fillId="4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4" fillId="35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5" fillId="4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136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3" fontId="13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4" fillId="4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34" fillId="35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35" fillId="4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1" fontId="1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1" fontId="13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7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4" fontId="134" fillId="35" borderId="4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1" fontId="13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134" fillId="35" borderId="4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5" fontId="135" fillId="4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2" fontId="13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7" fillId="4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8" fillId="4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4" fillId="45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4" fontId="134" fillId="45" borderId="5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8" fillId="4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99" fontId="133" fillId="4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4" fillId="35" borderId="35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34" fillId="4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7" fillId="4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0" fillId="4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202" fontId="13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33" fillId="45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4" fillId="35" borderId="5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5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3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7" fontId="134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5" borderId="0" xfId="3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4" fillId="45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34" fillId="35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3" fillId="44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1" fontId="134" fillId="4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34" fillId="4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4" fillId="45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4" fillId="35" borderId="57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29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4" fillId="44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4" fillId="4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7" fillId="35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0" fillId="51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41" fillId="51" borderId="6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87" fillId="3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4" fillId="4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4" fillId="35" borderId="42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3" fillId="52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1" fontId="134" fillId="52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34" fillId="5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17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45" borderId="0" xfId="33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4" fillId="5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4" fillId="52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34" fillId="4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4" fillId="35" borderId="3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0" fillId="53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41" fillId="53" borderId="6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134" fillId="45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4" fillId="35" borderId="5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8" fillId="54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2" fillId="54" borderId="6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4" fillId="54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3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5" fillId="0" borderId="0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6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146" fillId="0" borderId="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6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21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2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1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36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48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8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47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47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1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49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9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1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81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1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3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150" fillId="0" borderId="0" xfId="80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9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1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3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8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9" fillId="36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5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123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2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4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3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3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3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4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24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56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3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3" xfId="389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57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8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0" fontId="158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58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58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58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3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20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0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74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0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20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20" fillId="36" borderId="3" xfId="3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0" fillId="0" borderId="3" xfId="38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9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0" fontId="17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0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61" fillId="0" borderId="3" xfId="38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1" fontId="159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59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6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9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59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59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9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9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6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9" fillId="42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8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53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53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53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53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53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3" fillId="0" borderId="3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3" fillId="0" borderId="1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9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59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64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5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36" borderId="66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1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0" xfId="80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12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7" fillId="43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69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36" borderId="69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36" borderId="7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42" borderId="71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42" borderId="1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42" borderId="72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9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7" fillId="0" borderId="64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7" fillId="0" borderId="65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66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7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74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59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0" borderId="64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17" fillId="0" borderId="65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3" fillId="0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56" fillId="43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53" fillId="43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43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43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43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43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43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7" fillId="43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43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3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7" fillId="55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56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41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41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7" fillId="41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1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99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1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41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9" fillId="34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34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34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34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7" fillId="34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34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34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4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7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36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3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7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7" fillId="0" borderId="0" xfId="3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7" fillId="0" borderId="0" xfId="3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3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45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5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5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5" fillId="36" borderId="20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5" fillId="36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5" fillId="36" borderId="3" xfId="80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3" fillId="0" borderId="0" xfId="8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7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7" fillId="0" borderId="3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3" xfId="80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214" fontId="99" fillId="0" borderId="3" xfId="80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1" fontId="99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3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7" fillId="0" borderId="20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20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3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7" fillId="0" borderId="3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80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5" fontId="17" fillId="0" borderId="3" xfId="80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216" fontId="17" fillId="0" borderId="3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7" fontId="17" fillId="0" borderId="0" xfId="80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9" fontId="164" fillId="0" borderId="28" xfId="80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5" fillId="0" borderId="28" xfId="80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5" fillId="0" borderId="28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65" fillId="0" borderId="28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65" fillId="0" borderId="28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4" fillId="0" borderId="28" xfId="80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7" fontId="166" fillId="0" borderId="28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6" fillId="0" borderId="28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9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6" fillId="36" borderId="3" xfId="3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7" fontId="99" fillId="36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36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0" fontId="17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9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7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17" fillId="36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17" fillId="0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9" fillId="42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7" borderId="3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7" fontId="17" fillId="0" borderId="20" xfId="80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0" borderId="3" xfId="80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96" fillId="0" borderId="3" xfId="3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6" fillId="0" borderId="3" xfId="3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9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219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2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99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6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9" fillId="0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68" fillId="42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9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6" fillId="36" borderId="2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36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82" fillId="42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8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1" fillId="0" borderId="2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0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0" borderId="20" xfId="3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6" borderId="20" xfId="33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2" fillId="42" borderId="2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2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9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3" fontId="84" fillId="36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6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8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96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3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&#10;386grabber=M" xfId="20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강조색1 2" xfId="27"/>
    <cellStyle name="20% - 강조색1 2 2" xfId="28"/>
    <cellStyle name="20% - 강조색1 2 3" xfId="29"/>
    <cellStyle name="20% - 강조색1 2 4" xfId="30"/>
    <cellStyle name="20% - 강조색1 2 5" xfId="31"/>
    <cellStyle name="20% - 강조색1 2 6" xfId="32"/>
    <cellStyle name="20% - 강조색1 3" xfId="33"/>
    <cellStyle name="20% - 강조색2 2" xfId="34"/>
    <cellStyle name="20% - 강조색2 2 2" xfId="35"/>
    <cellStyle name="20% - 강조색2 2 3" xfId="36"/>
    <cellStyle name="20% - 강조색2 2 4" xfId="37"/>
    <cellStyle name="20% - 강조색2 2 5" xfId="38"/>
    <cellStyle name="20% - 강조색2 2 6" xfId="39"/>
    <cellStyle name="20% - 강조색2 3" xfId="40"/>
    <cellStyle name="20% - 강조색3 2" xfId="41"/>
    <cellStyle name="20% - 강조색3 2 2" xfId="42"/>
    <cellStyle name="20% - 강조색3 2 3" xfId="43"/>
    <cellStyle name="20% - 강조색3 2 4" xfId="44"/>
    <cellStyle name="20% - 강조색3 2 5" xfId="45"/>
    <cellStyle name="20% - 강조색3 2 6" xfId="46"/>
    <cellStyle name="20% - 강조색3 3" xfId="47"/>
    <cellStyle name="20% - 강조색4 2" xfId="48"/>
    <cellStyle name="20% - 강조색4 2 2" xfId="49"/>
    <cellStyle name="20% - 강조색4 2 3" xfId="50"/>
    <cellStyle name="20% - 강조색4 2 4" xfId="51"/>
    <cellStyle name="20% - 강조색4 2 5" xfId="52"/>
    <cellStyle name="20% - 강조색4 2 6" xfId="53"/>
    <cellStyle name="20% - 강조색4 3" xfId="54"/>
    <cellStyle name="20% - 강조색5 2" xfId="55"/>
    <cellStyle name="20% - 강조색5 2 2" xfId="56"/>
    <cellStyle name="20% - 강조색5 2 3" xfId="57"/>
    <cellStyle name="20% - 강조색5 2 4" xfId="58"/>
    <cellStyle name="20% - 강조색5 2 5" xfId="59"/>
    <cellStyle name="20% - 강조색5 2 6" xfId="60"/>
    <cellStyle name="20% - 강조색5 3" xfId="61"/>
    <cellStyle name="20% - 강조색6 2" xfId="62"/>
    <cellStyle name="20% - 강조색6 2 2" xfId="63"/>
    <cellStyle name="20% - 강조색6 2 3" xfId="64"/>
    <cellStyle name="20% - 강조색6 2 4" xfId="65"/>
    <cellStyle name="20% - 강조색6 2 5" xfId="66"/>
    <cellStyle name="20% - 강조색6 2 6" xfId="67"/>
    <cellStyle name="20% - 강조색6 3" xfId="68"/>
    <cellStyle name="40% - Accent1" xfId="69"/>
    <cellStyle name="40% - Accent2" xfId="70"/>
    <cellStyle name="40% - Accent3" xfId="71"/>
    <cellStyle name="40% - Accent4" xfId="72"/>
    <cellStyle name="40% - Accent5" xfId="73"/>
    <cellStyle name="40% - Accent6" xfId="74"/>
    <cellStyle name="40% - 강조색1 2" xfId="75"/>
    <cellStyle name="40% - 강조색1 2 2" xfId="76"/>
    <cellStyle name="40% - 강조색1 2 3" xfId="77"/>
    <cellStyle name="40% - 강조색1 2 4" xfId="78"/>
    <cellStyle name="40% - 강조색1 2 5" xfId="79"/>
    <cellStyle name="40% - 강조색1 2 6" xfId="80"/>
    <cellStyle name="40% - 강조색1 3" xfId="81"/>
    <cellStyle name="40% - 강조색2 2" xfId="82"/>
    <cellStyle name="40% - 강조색2 2 2" xfId="83"/>
    <cellStyle name="40% - 강조색2 2 3" xfId="84"/>
    <cellStyle name="40% - 강조색2 2 4" xfId="85"/>
    <cellStyle name="40% - 강조색2 2 5" xfId="86"/>
    <cellStyle name="40% - 강조색2 2 6" xfId="87"/>
    <cellStyle name="40% - 강조색2 3" xfId="88"/>
    <cellStyle name="40% - 강조색3 2" xfId="89"/>
    <cellStyle name="40% - 강조색3 2 2" xfId="90"/>
    <cellStyle name="40% - 강조색3 2 3" xfId="91"/>
    <cellStyle name="40% - 강조색3 2 4" xfId="92"/>
    <cellStyle name="40% - 강조색3 2 5" xfId="93"/>
    <cellStyle name="40% - 강조색3 2 6" xfId="94"/>
    <cellStyle name="40% - 강조색3 3" xfId="95"/>
    <cellStyle name="40% - 강조색4 2" xfId="96"/>
    <cellStyle name="40% - 강조색4 2 2" xfId="97"/>
    <cellStyle name="40% - 강조색4 2 3" xfId="98"/>
    <cellStyle name="40% - 강조색4 2 4" xfId="99"/>
    <cellStyle name="40% - 강조색4 2 5" xfId="100"/>
    <cellStyle name="40% - 강조색4 2 6" xfId="101"/>
    <cellStyle name="40% - 강조색4 3" xfId="102"/>
    <cellStyle name="40% - 강조색5 2" xfId="103"/>
    <cellStyle name="40% - 강조색5 2 2" xfId="104"/>
    <cellStyle name="40% - 강조색5 2 3" xfId="105"/>
    <cellStyle name="40% - 강조색5 2 4" xfId="106"/>
    <cellStyle name="40% - 강조색5 2 5" xfId="107"/>
    <cellStyle name="40% - 강조색5 2 6" xfId="108"/>
    <cellStyle name="40% - 강조색5 3" xfId="109"/>
    <cellStyle name="40% - 강조색6 2" xfId="110"/>
    <cellStyle name="40% - 강조색6 2 2" xfId="111"/>
    <cellStyle name="40% - 강조색6 2 3" xfId="112"/>
    <cellStyle name="40% - 강조색6 2 4" xfId="113"/>
    <cellStyle name="40% - 강조색6 2 5" xfId="114"/>
    <cellStyle name="40% - 강조색6 2 6" xfId="115"/>
    <cellStyle name="40% - 강조색6 3" xfId="116"/>
    <cellStyle name="60% - Accent1" xfId="117"/>
    <cellStyle name="60% - Accent2" xfId="118"/>
    <cellStyle name="60% - Accent3" xfId="119"/>
    <cellStyle name="60% - Accent4" xfId="120"/>
    <cellStyle name="60% - Accent5" xfId="121"/>
    <cellStyle name="60% - Accent6" xfId="122"/>
    <cellStyle name="60% - 강조색1 2" xfId="123"/>
    <cellStyle name="60% - 강조색2 2" xfId="124"/>
    <cellStyle name="60% - 강조색3 2" xfId="125"/>
    <cellStyle name="60% - 강조색4 2" xfId="126"/>
    <cellStyle name="60% - 강조색5 2" xfId="127"/>
    <cellStyle name="60% - 강조색6 2" xfId="128"/>
    <cellStyle name="=today()" xfId="129"/>
    <cellStyle name="??&amp;O?&amp;H?_x0008__x000f__x0007_?_x0007__x0001__x0001_" xfId="130"/>
    <cellStyle name="Accent1" xfId="131"/>
    <cellStyle name="Accent2" xfId="132"/>
    <cellStyle name="Accent3" xfId="133"/>
    <cellStyle name="Accent4" xfId="134"/>
    <cellStyle name="Accent5" xfId="135"/>
    <cellStyle name="Accent6" xfId="136"/>
    <cellStyle name="AeE­ [0]_±aA¸" xfId="137"/>
    <cellStyle name="AeE­_±aA¸" xfId="138"/>
    <cellStyle name="AÞ¸¶ [0]_±aA¸" xfId="139"/>
    <cellStyle name="AÞ¸¶_±aA¸" xfId="140"/>
    <cellStyle name="Bad 1" xfId="141"/>
    <cellStyle name="Calculation" xfId="142"/>
    <cellStyle name="category" xfId="143"/>
    <cellStyle name="category 2" xfId="144"/>
    <cellStyle name="category 2 2" xfId="145"/>
    <cellStyle name="category 3" xfId="146"/>
    <cellStyle name="category 4" xfId="147"/>
    <cellStyle name="category 5" xfId="148"/>
    <cellStyle name="Check Cell" xfId="149"/>
    <cellStyle name="comma zerodec" xfId="150"/>
    <cellStyle name="Comma_ SG&amp;A Bridge " xfId="151"/>
    <cellStyle name="Currency1" xfId="152"/>
    <cellStyle name="Currency1 2" xfId="153"/>
    <cellStyle name="Currency1 3" xfId="154"/>
    <cellStyle name="Currency_ SG&amp;A Bridge " xfId="155"/>
    <cellStyle name="C￥AØ_¸AAa.¼OAI " xfId="156"/>
    <cellStyle name="Dollar (zero dec)" xfId="157"/>
    <cellStyle name="Explanatory Text" xfId="158"/>
    <cellStyle name="Good 2" xfId="159"/>
    <cellStyle name="Grey" xfId="160"/>
    <cellStyle name="Grey 2" xfId="161"/>
    <cellStyle name="Grey 2 2" xfId="162"/>
    <cellStyle name="Grey 3" xfId="163"/>
    <cellStyle name="Grey 4" xfId="164"/>
    <cellStyle name="Grey 5" xfId="165"/>
    <cellStyle name="greyed" xfId="166"/>
    <cellStyle name="HEADER" xfId="167"/>
    <cellStyle name="HEADER 2" xfId="168"/>
    <cellStyle name="HEADER 2 2" xfId="169"/>
    <cellStyle name="HEADER 3" xfId="170"/>
    <cellStyle name="HEADER 4" xfId="171"/>
    <cellStyle name="HEADER 5" xfId="172"/>
    <cellStyle name="Header1" xfId="173"/>
    <cellStyle name="Header1 2" xfId="174"/>
    <cellStyle name="Header1 2 2" xfId="175"/>
    <cellStyle name="Header1 3" xfId="176"/>
    <cellStyle name="Header1 4" xfId="177"/>
    <cellStyle name="Header1 5" xfId="178"/>
    <cellStyle name="Header2" xfId="179"/>
    <cellStyle name="Header2 2" xfId="180"/>
    <cellStyle name="Header2 2 2" xfId="181"/>
    <cellStyle name="Header2 3" xfId="182"/>
    <cellStyle name="Header2 4" xfId="183"/>
    <cellStyle name="Header2 5" xfId="184"/>
    <cellStyle name="Heading 1 3" xfId="185"/>
    <cellStyle name="Heading 2 2" xfId="186"/>
    <cellStyle name="Heading 2 3" xfId="187"/>
    <cellStyle name="Heading 2 4" xfId="188"/>
    <cellStyle name="Heading 3" xfId="189"/>
    <cellStyle name="Heading 4" xfId="190"/>
    <cellStyle name="HeadingTable 2 2" xfId="191"/>
    <cellStyle name="HeadingTable 3" xfId="192"/>
    <cellStyle name="highlightPercentage" xfId="193"/>
    <cellStyle name="highlightText" xfId="194"/>
    <cellStyle name="Input" xfId="195"/>
    <cellStyle name="Input [yellow]" xfId="196"/>
    <cellStyle name="Input [yellow] 2" xfId="197"/>
    <cellStyle name="Input [yellow] 2 2" xfId="198"/>
    <cellStyle name="Input [yellow] 3" xfId="199"/>
    <cellStyle name="Input [yellow] 4" xfId="200"/>
    <cellStyle name="Input [yellow] 5" xfId="201"/>
    <cellStyle name="inputExposure" xfId="202"/>
    <cellStyle name="inputExposure 13" xfId="203"/>
    <cellStyle name="Linked Cell" xfId="204"/>
    <cellStyle name="Millares [0]_PERSONAL" xfId="205"/>
    <cellStyle name="Millares_PERSONAL" xfId="206"/>
    <cellStyle name="Model" xfId="207"/>
    <cellStyle name="Model 2" xfId="208"/>
    <cellStyle name="Model 2 2" xfId="209"/>
    <cellStyle name="Model 3" xfId="210"/>
    <cellStyle name="Model 4" xfId="211"/>
    <cellStyle name="Model 5" xfId="212"/>
    <cellStyle name="Moneda [0]_CONTENCION CONDELL 25.051" xfId="213"/>
    <cellStyle name="Moneda_CONTENCION CONDELL 25.051" xfId="214"/>
    <cellStyle name="Neutral 5" xfId="215"/>
    <cellStyle name="Normal - Style1" xfId="216"/>
    <cellStyle name="Normal - Style1 2" xfId="217"/>
    <cellStyle name="Normal - Style1 2 2" xfId="218"/>
    <cellStyle name="Normal - Style1 3" xfId="219"/>
    <cellStyle name="Normal - Style1 4" xfId="220"/>
    <cellStyle name="Normal - Style1 5" xfId="221"/>
    <cellStyle name="Normal_ SG&amp;A Bridge " xfId="222"/>
    <cellStyle name="Note 6" xfId="223"/>
    <cellStyle name="optionalExposure" xfId="224"/>
    <cellStyle name="optionalExposure 12" xfId="225"/>
    <cellStyle name="Output" xfId="226"/>
    <cellStyle name="Percent [2]" xfId="227"/>
    <cellStyle name="Percent [2] 2" xfId="228"/>
    <cellStyle name="Percent [2] 2 2" xfId="229"/>
    <cellStyle name="Percent [2] 3" xfId="230"/>
    <cellStyle name="Percent [2] 4" xfId="231"/>
    <cellStyle name="Percent [2] 5" xfId="232"/>
    <cellStyle name="showExposure" xfId="233"/>
    <cellStyle name="showParameterE 2" xfId="234"/>
    <cellStyle name="subhead" xfId="235"/>
    <cellStyle name="subhead 2" xfId="236"/>
    <cellStyle name="subhead 2 2" xfId="237"/>
    <cellStyle name="subhead 3" xfId="238"/>
    <cellStyle name="subhead 4" xfId="239"/>
    <cellStyle name="subhead 5" xfId="240"/>
    <cellStyle name="Title" xfId="241"/>
    <cellStyle name="Total" xfId="242"/>
    <cellStyle name="Warning Text" xfId="243"/>
    <cellStyle name="常规 2" xfId="244"/>
    <cellStyle name="강조색1 2" xfId="245"/>
    <cellStyle name="강조색1 2 10" xfId="246"/>
    <cellStyle name="강조색1 2 11" xfId="247"/>
    <cellStyle name="강조색1 2 12" xfId="248"/>
    <cellStyle name="강조색1 2 13" xfId="249"/>
    <cellStyle name="강조색1 2 14" xfId="250"/>
    <cellStyle name="강조색1 2 15" xfId="251"/>
    <cellStyle name="강조색1 2 16" xfId="252"/>
    <cellStyle name="강조색1 2 17" xfId="253"/>
    <cellStyle name="강조색1 2 18" xfId="254"/>
    <cellStyle name="강조색1 2 19" xfId="255"/>
    <cellStyle name="강조색1 2 2" xfId="256"/>
    <cellStyle name="강조색1 2 20" xfId="257"/>
    <cellStyle name="강조색1 2 21" xfId="258"/>
    <cellStyle name="강조색1 2 22" xfId="259"/>
    <cellStyle name="강조색1 2 23" xfId="260"/>
    <cellStyle name="강조색1 2 24" xfId="261"/>
    <cellStyle name="강조색1 2 25" xfId="262"/>
    <cellStyle name="강조색1 2 26" xfId="263"/>
    <cellStyle name="강조색1 2 27" xfId="264"/>
    <cellStyle name="강조색1 2 28" xfId="265"/>
    <cellStyle name="강조색1 2 29" xfId="266"/>
    <cellStyle name="강조색1 2 3" xfId="267"/>
    <cellStyle name="강조색1 2 30" xfId="268"/>
    <cellStyle name="강조색1 2 31" xfId="269"/>
    <cellStyle name="강조색1 2 32" xfId="270"/>
    <cellStyle name="강조색1 2 33" xfId="271"/>
    <cellStyle name="강조색1 2 34" xfId="272"/>
    <cellStyle name="강조색1 2 35" xfId="273"/>
    <cellStyle name="강조색1 2 36" xfId="274"/>
    <cellStyle name="강조색1 2 37" xfId="275"/>
    <cellStyle name="강조색1 2 38" xfId="276"/>
    <cellStyle name="강조색1 2 39" xfId="277"/>
    <cellStyle name="강조색1 2 4" xfId="278"/>
    <cellStyle name="강조색1 2 40" xfId="279"/>
    <cellStyle name="강조색1 2 41" xfId="280"/>
    <cellStyle name="강조색1 2 42" xfId="281"/>
    <cellStyle name="강조색1 2 43" xfId="282"/>
    <cellStyle name="강조색1 2 44" xfId="283"/>
    <cellStyle name="강조색1 2 45" xfId="284"/>
    <cellStyle name="강조색1 2 46" xfId="285"/>
    <cellStyle name="강조색1 2 47" xfId="286"/>
    <cellStyle name="강조색1 2 48" xfId="287"/>
    <cellStyle name="강조색1 2 49" xfId="288"/>
    <cellStyle name="강조색1 2 5" xfId="289"/>
    <cellStyle name="강조색1 2 50" xfId="290"/>
    <cellStyle name="강조색1 2 51" xfId="291"/>
    <cellStyle name="강조색1 2 52" xfId="292"/>
    <cellStyle name="강조색1 2 53" xfId="293"/>
    <cellStyle name="강조색1 2 54" xfId="294"/>
    <cellStyle name="강조색1 2 55" xfId="295"/>
    <cellStyle name="강조색1 2 6" xfId="296"/>
    <cellStyle name="강조색1 2 7" xfId="297"/>
    <cellStyle name="강조색1 2 8" xfId="298"/>
    <cellStyle name="강조색1 2 9" xfId="299"/>
    <cellStyle name="강조색2 2" xfId="300"/>
    <cellStyle name="강조색3 2" xfId="301"/>
    <cellStyle name="강조색4 2" xfId="302"/>
    <cellStyle name="강조색5 2" xfId="303"/>
    <cellStyle name="강조색6 2" xfId="304"/>
    <cellStyle name="경고문 2" xfId="305"/>
    <cellStyle name="계산 2" xfId="306"/>
    <cellStyle name="나쁨 2" xfId="307"/>
    <cellStyle name="뒤에 오는 하이퍼링크_예대금리차7월" xfId="308"/>
    <cellStyle name="메모 2" xfId="309"/>
    <cellStyle name="메모 2 2" xfId="310"/>
    <cellStyle name="메모 2 3" xfId="311"/>
    <cellStyle name="메모 2 4" xfId="312"/>
    <cellStyle name="메모 2 5" xfId="313"/>
    <cellStyle name="메모 2 6" xfId="314"/>
    <cellStyle name="메모 3" xfId="315"/>
    <cellStyle name="메모 4" xfId="316"/>
    <cellStyle name="백분율 2" xfId="317"/>
    <cellStyle name="백분율 2 2" xfId="318"/>
    <cellStyle name="백분율 2 2 2" xfId="319"/>
    <cellStyle name="백분율 2 3" xfId="320"/>
    <cellStyle name="백분율 2 4" xfId="321"/>
    <cellStyle name="백분율 2 5" xfId="322"/>
    <cellStyle name="백분율 2 6" xfId="323"/>
    <cellStyle name="백분율 2 7" xfId="324"/>
    <cellStyle name="백분율 3" xfId="325"/>
    <cellStyle name="백분율 4" xfId="326"/>
    <cellStyle name="백분율 4 2" xfId="327"/>
    <cellStyle name="백분율 4 3" xfId="328"/>
    <cellStyle name="백분율 5" xfId="329"/>
    <cellStyle name="백분율 5 2" xfId="330"/>
    <cellStyle name="백분율 6" xfId="331"/>
    <cellStyle name="백분율 7" xfId="332"/>
    <cellStyle name="보통 2" xfId="333"/>
    <cellStyle name="뷭?_BOOKSHIP" xfId="334"/>
    <cellStyle name="설명 텍스트 2" xfId="335"/>
    <cellStyle name="셀 확인 2" xfId="336"/>
    <cellStyle name="쉼표 [0] 10" xfId="337"/>
    <cellStyle name="쉼표 [0] 10 2" xfId="338"/>
    <cellStyle name="쉼표 [0] 10 3" xfId="339"/>
    <cellStyle name="쉼표 [0] 10 4" xfId="340"/>
    <cellStyle name="쉼표 [0] 10 5" xfId="341"/>
    <cellStyle name="쉼표 [0] 10 6" xfId="342"/>
    <cellStyle name="쉼표 [0] 10 7" xfId="343"/>
    <cellStyle name="쉼표 [0] 10 8" xfId="344"/>
    <cellStyle name="쉼표 [0] 10 9" xfId="345"/>
    <cellStyle name="쉼표 [0] 11" xfId="346"/>
    <cellStyle name="쉼표 [0] 11 2" xfId="347"/>
    <cellStyle name="쉼표 [0] 11 3" xfId="348"/>
    <cellStyle name="쉼표 [0] 11 4" xfId="349"/>
    <cellStyle name="쉼표 [0] 11 5" xfId="350"/>
    <cellStyle name="쉼표 [0] 11 6" xfId="351"/>
    <cellStyle name="쉼표 [0] 11 7" xfId="352"/>
    <cellStyle name="쉼표 [0] 11 8" xfId="353"/>
    <cellStyle name="쉼표 [0] 12" xfId="354"/>
    <cellStyle name="쉼표 [0] 12 2" xfId="355"/>
    <cellStyle name="쉼표 [0] 12 3" xfId="356"/>
    <cellStyle name="쉼표 [0] 12 4" xfId="357"/>
    <cellStyle name="쉼표 [0] 13" xfId="358"/>
    <cellStyle name="쉼표 [0] 13 2" xfId="359"/>
    <cellStyle name="쉼표 [0] 13 3" xfId="360"/>
    <cellStyle name="쉼표 [0] 14" xfId="361"/>
    <cellStyle name="쉼표 [0] 14 2" xfId="362"/>
    <cellStyle name="쉼표 [0] 14 3" xfId="363"/>
    <cellStyle name="쉼표 [0] 15" xfId="364"/>
    <cellStyle name="쉼표 [0] 15 2" xfId="365"/>
    <cellStyle name="쉼표 [0] 15 3" xfId="366"/>
    <cellStyle name="쉼표 [0] 16" xfId="367"/>
    <cellStyle name="쉼표 [0] 16 2" xfId="368"/>
    <cellStyle name="쉼표 [0] 16 3" xfId="369"/>
    <cellStyle name="쉼표 [0] 17" xfId="370"/>
    <cellStyle name="쉼표 [0] 18" xfId="371"/>
    <cellStyle name="쉼표 [0] 19" xfId="372"/>
    <cellStyle name="쉼표 [0] 2" xfId="373"/>
    <cellStyle name="쉼표 [0] 2 10" xfId="374"/>
    <cellStyle name="쉼표 [0] 2 10 2" xfId="375"/>
    <cellStyle name="쉼표 [0] 2 11" xfId="376"/>
    <cellStyle name="쉼표 [0] 2 11 2" xfId="377"/>
    <cellStyle name="쉼표 [0] 2 12" xfId="378"/>
    <cellStyle name="쉼표 [0] 2 13" xfId="379"/>
    <cellStyle name="쉼표 [0] 2 14" xfId="380"/>
    <cellStyle name="쉼표 [0] 2 15" xfId="381"/>
    <cellStyle name="쉼표 [0] 2 16" xfId="382"/>
    <cellStyle name="쉼표 [0] 2 17" xfId="383"/>
    <cellStyle name="쉼표 [0] 2 18" xfId="384"/>
    <cellStyle name="쉼표 [0] 2 18 2" xfId="385"/>
    <cellStyle name="쉼표 [0] 2 18 2 2" xfId="386"/>
    <cellStyle name="쉼표 [0] 2 18 3" xfId="387"/>
    <cellStyle name="쉼표 [0] 2 18 3 2" xfId="388"/>
    <cellStyle name="쉼표 [0] 2 18 4" xfId="389"/>
    <cellStyle name="쉼표 [0] 2 19" xfId="390"/>
    <cellStyle name="쉼표 [0] 2 19 2" xfId="391"/>
    <cellStyle name="쉼표 [0] 2 19 2 2" xfId="392"/>
    <cellStyle name="쉼표 [0] 2 19 3" xfId="393"/>
    <cellStyle name="쉼표 [0] 2 19 3 2" xfId="394"/>
    <cellStyle name="쉼표 [0] 2 19 4" xfId="395"/>
    <cellStyle name="쉼표 [0] 2 2" xfId="396"/>
    <cellStyle name="쉼표 [0] 2 2 10" xfId="397"/>
    <cellStyle name="쉼표 [0] 2 2 11" xfId="398"/>
    <cellStyle name="쉼표 [0] 2 2 11 2" xfId="399"/>
    <cellStyle name="쉼표 [0] 2 2 12" xfId="400"/>
    <cellStyle name="쉼표 [0] 2 2 12 2" xfId="401"/>
    <cellStyle name="쉼표 [0] 2 2 13" xfId="402"/>
    <cellStyle name="쉼표 [0] 2 2 2" xfId="403"/>
    <cellStyle name="쉼표 [0] 2 2 2 2" xfId="404"/>
    <cellStyle name="쉼표 [0] 2 2 2 3" xfId="405"/>
    <cellStyle name="쉼표 [0] 2 2 2 4" xfId="406"/>
    <cellStyle name="쉼표 [0] 2 2 2 5" xfId="407"/>
    <cellStyle name="쉼표 [0] 2 2 3" xfId="408"/>
    <cellStyle name="쉼표 [0] 2 2 4" xfId="409"/>
    <cellStyle name="쉼표 [0] 2 2 5" xfId="410"/>
    <cellStyle name="쉼표 [0] 2 2 6" xfId="411"/>
    <cellStyle name="쉼표 [0] 2 2 7" xfId="412"/>
    <cellStyle name="쉼표 [0] 2 2 8" xfId="413"/>
    <cellStyle name="쉼표 [0] 2 2 9" xfId="414"/>
    <cellStyle name="쉼표 [0] 2 20" xfId="415"/>
    <cellStyle name="쉼표 [0] 2 20 2" xfId="416"/>
    <cellStyle name="쉼표 [0] 2 20 2 2" xfId="417"/>
    <cellStyle name="쉼표 [0] 2 20 3" xfId="418"/>
    <cellStyle name="쉼표 [0] 2 20 3 2" xfId="419"/>
    <cellStyle name="쉼표 [0] 2 20 4" xfId="420"/>
    <cellStyle name="쉼표 [0] 2 21" xfId="421"/>
    <cellStyle name="쉼표 [0] 2 21 2" xfId="422"/>
    <cellStyle name="쉼표 [0] 2 21 2 2" xfId="423"/>
    <cellStyle name="쉼표 [0] 2 21 3" xfId="424"/>
    <cellStyle name="쉼표 [0] 2 21 3 2" xfId="425"/>
    <cellStyle name="쉼표 [0] 2 21 4" xfId="426"/>
    <cellStyle name="쉼표 [0] 2 22" xfId="427"/>
    <cellStyle name="쉼표 [0] 2 22 2" xfId="428"/>
    <cellStyle name="쉼표 [0] 2 22 2 2" xfId="429"/>
    <cellStyle name="쉼표 [0] 2 22 3" xfId="430"/>
    <cellStyle name="쉼표 [0] 2 22 3 2" xfId="431"/>
    <cellStyle name="쉼표 [0] 2 22 4" xfId="432"/>
    <cellStyle name="쉼표 [0] 2 23" xfId="433"/>
    <cellStyle name="쉼표 [0] 2 23 2" xfId="434"/>
    <cellStyle name="쉼표 [0] 2 23 2 2" xfId="435"/>
    <cellStyle name="쉼표 [0] 2 23 3" xfId="436"/>
    <cellStyle name="쉼표 [0] 2 23 3 2" xfId="437"/>
    <cellStyle name="쉼표 [0] 2 23 4" xfId="438"/>
    <cellStyle name="쉼표 [0] 2 24" xfId="439"/>
    <cellStyle name="쉼표 [0] 2 24 2" xfId="440"/>
    <cellStyle name="쉼표 [0] 2 24 2 2" xfId="441"/>
    <cellStyle name="쉼표 [0] 2 24 3" xfId="442"/>
    <cellStyle name="쉼표 [0] 2 24 3 2" xfId="443"/>
    <cellStyle name="쉼표 [0] 2 24 4" xfId="444"/>
    <cellStyle name="쉼표 [0] 2 25" xfId="445"/>
    <cellStyle name="쉼표 [0] 2 25 2" xfId="446"/>
    <cellStyle name="쉼표 [0] 2 25 2 2" xfId="447"/>
    <cellStyle name="쉼표 [0] 2 25 3" xfId="448"/>
    <cellStyle name="쉼표 [0] 2 25 3 2" xfId="449"/>
    <cellStyle name="쉼표 [0] 2 25 4" xfId="450"/>
    <cellStyle name="쉼표 [0] 2 26" xfId="451"/>
    <cellStyle name="쉼표 [0] 2 3" xfId="452"/>
    <cellStyle name="쉼표 [0] 2 3 2" xfId="453"/>
    <cellStyle name="쉼표 [0] 2 3 3" xfId="454"/>
    <cellStyle name="쉼표 [0] 2 4" xfId="455"/>
    <cellStyle name="쉼표 [0] 2 4 2" xfId="456"/>
    <cellStyle name="쉼표 [0] 2 4 3" xfId="457"/>
    <cellStyle name="쉼표 [0] 2 5" xfId="458"/>
    <cellStyle name="쉼표 [0] 2 5 2" xfId="459"/>
    <cellStyle name="쉼표 [0] 2 5 3" xfId="460"/>
    <cellStyle name="쉼표 [0] 2 6" xfId="461"/>
    <cellStyle name="쉼표 [0] 2 6 2" xfId="462"/>
    <cellStyle name="쉼표 [0] 2 6 3" xfId="463"/>
    <cellStyle name="쉼표 [0] 2 7" xfId="464"/>
    <cellStyle name="쉼표 [0] 2 7 2" xfId="465"/>
    <cellStyle name="쉼표 [0] 2 8" xfId="466"/>
    <cellStyle name="쉼표 [0] 2 8 2" xfId="467"/>
    <cellStyle name="쉼표 [0] 2 9" xfId="468"/>
    <cellStyle name="쉼표 [0] 2 9 2" xfId="469"/>
    <cellStyle name="쉼표 [0] 3" xfId="470"/>
    <cellStyle name="쉼표 [0] 3 2" xfId="471"/>
    <cellStyle name="쉼표 [0] 3 3" xfId="472"/>
    <cellStyle name="쉼표 [0] 3 3 2" xfId="473"/>
    <cellStyle name="쉼표 [0] 3 3 2 2" xfId="474"/>
    <cellStyle name="쉼표 [0] 3 3 2 3" xfId="475"/>
    <cellStyle name="쉼표 [0] 3 3 2 4" xfId="476"/>
    <cellStyle name="쉼표 [0] 3 3 2 5" xfId="477"/>
    <cellStyle name="쉼표 [0] 3 3 2 6" xfId="478"/>
    <cellStyle name="쉼표 [0] 3 3 2 7" xfId="479"/>
    <cellStyle name="쉼표 [0] 3 4" xfId="480"/>
    <cellStyle name="쉼표 [0] 3 4 2" xfId="481"/>
    <cellStyle name="쉼표 [0] 3 5" xfId="482"/>
    <cellStyle name="쉼표 [0] 3 5 2" xfId="483"/>
    <cellStyle name="쉼표 [0] 3 5 3" xfId="484"/>
    <cellStyle name="쉼표 [0] 3 5 4" xfId="485"/>
    <cellStyle name="쉼표 [0] 3 5 5" xfId="486"/>
    <cellStyle name="쉼표 [0] 3 5 6" xfId="487"/>
    <cellStyle name="쉼표 [0] 3 5 7" xfId="488"/>
    <cellStyle name="쉼표 [0] 3 5 8" xfId="489"/>
    <cellStyle name="쉼표 [0] 3 6" xfId="490"/>
    <cellStyle name="쉼표 [0] 3 7" xfId="491"/>
    <cellStyle name="쉼표 [0] 3 8" xfId="492"/>
    <cellStyle name="쉼표 [0] 3 9" xfId="493"/>
    <cellStyle name="쉼표 [0] 4" xfId="494"/>
    <cellStyle name="쉼표 [0] 4 2" xfId="495"/>
    <cellStyle name="쉼표 [0] 5" xfId="496"/>
    <cellStyle name="쉼표 [0] 5 2" xfId="497"/>
    <cellStyle name="쉼표 [0] 6" xfId="498"/>
    <cellStyle name="쉼표 [0] 6 2" xfId="499"/>
    <cellStyle name="쉼표 [0] 6 3" xfId="500"/>
    <cellStyle name="쉼표 [0] 7" xfId="501"/>
    <cellStyle name="쉼표 [0] 7 10" xfId="502"/>
    <cellStyle name="쉼표 [0] 7 11" xfId="503"/>
    <cellStyle name="쉼표 [0] 7 12" xfId="504"/>
    <cellStyle name="쉼표 [0] 7 13" xfId="505"/>
    <cellStyle name="쉼표 [0] 7 14" xfId="506"/>
    <cellStyle name="쉼표 [0] 7 15" xfId="507"/>
    <cellStyle name="쉼표 [0] 7 2" xfId="508"/>
    <cellStyle name="쉼표 [0] 7 2 2" xfId="509"/>
    <cellStyle name="쉼표 [0] 7 3" xfId="510"/>
    <cellStyle name="쉼표 [0] 7 4" xfId="511"/>
    <cellStyle name="쉼표 [0] 7 5" xfId="512"/>
    <cellStyle name="쉼표 [0] 7 6" xfId="513"/>
    <cellStyle name="쉼표 [0] 7 7" xfId="514"/>
    <cellStyle name="쉼표 [0] 7 8" xfId="515"/>
    <cellStyle name="쉼표 [0] 7 8 2" xfId="516"/>
    <cellStyle name="쉼표 [0] 7 8 3" xfId="517"/>
    <cellStyle name="쉼표 [0] 7 8 4" xfId="518"/>
    <cellStyle name="쉼표 [0] 7 8 5" xfId="519"/>
    <cellStyle name="쉼표 [0] 7 8 6" xfId="520"/>
    <cellStyle name="쉼표 [0] 7 8 7" xfId="521"/>
    <cellStyle name="쉼표 [0] 7 8 8" xfId="522"/>
    <cellStyle name="쉼표 [0] 7 9" xfId="523"/>
    <cellStyle name="쉼표 [0] 7 9 2" xfId="524"/>
    <cellStyle name="쉼표 [0] 7 9 3" xfId="525"/>
    <cellStyle name="쉼표 [0] 7 9 4" xfId="526"/>
    <cellStyle name="쉼표 [0] 7 9 5" xfId="527"/>
    <cellStyle name="쉼표 [0] 7 9 6" xfId="528"/>
    <cellStyle name="쉼표 [0] 8" xfId="529"/>
    <cellStyle name="쉼표 [0] 8 10" xfId="530"/>
    <cellStyle name="쉼표 [0] 8 11" xfId="531"/>
    <cellStyle name="쉼표 [0] 8 12" xfId="532"/>
    <cellStyle name="쉼표 [0] 8 13" xfId="533"/>
    <cellStyle name="쉼표 [0] 8 14" xfId="534"/>
    <cellStyle name="쉼표 [0] 8 15" xfId="535"/>
    <cellStyle name="쉼표 [0] 8 2" xfId="536"/>
    <cellStyle name="쉼표 [0] 8 2 2" xfId="537"/>
    <cellStyle name="쉼표 [0] 8 3" xfId="538"/>
    <cellStyle name="쉼표 [0] 8 3 2" xfId="539"/>
    <cellStyle name="쉼표 [0] 8 4" xfId="540"/>
    <cellStyle name="쉼표 [0] 8 5" xfId="541"/>
    <cellStyle name="쉼표 [0] 8 6" xfId="542"/>
    <cellStyle name="쉼표 [0] 8 7" xfId="543"/>
    <cellStyle name="쉼표 [0] 8 8" xfId="544"/>
    <cellStyle name="쉼표 [0] 8 8 2" xfId="545"/>
    <cellStyle name="쉼표 [0] 8 8 3" xfId="546"/>
    <cellStyle name="쉼표 [0] 8 8 4" xfId="547"/>
    <cellStyle name="쉼표 [0] 8 8 5" xfId="548"/>
    <cellStyle name="쉼표 [0] 8 8 6" xfId="549"/>
    <cellStyle name="쉼표 [0] 8 8 7" xfId="550"/>
    <cellStyle name="쉼표 [0] 8 8 8" xfId="551"/>
    <cellStyle name="쉼표 [0] 8 9" xfId="552"/>
    <cellStyle name="쉼표 [0] 8 9 2" xfId="553"/>
    <cellStyle name="쉼표 [0] 8 9 3" xfId="554"/>
    <cellStyle name="쉼표 [0] 8 9 4" xfId="555"/>
    <cellStyle name="쉼표 [0] 8 9 5" xfId="556"/>
    <cellStyle name="쉼표 [0] 8 9 6" xfId="557"/>
    <cellStyle name="쉼표 [0] 9" xfId="558"/>
    <cellStyle name="쉼표 [0] 9 10" xfId="559"/>
    <cellStyle name="쉼표 [0] 9 11" xfId="560"/>
    <cellStyle name="쉼표 [0] 9 12" xfId="561"/>
    <cellStyle name="쉼표 [0] 9 13" xfId="562"/>
    <cellStyle name="쉼표 [0] 9 14" xfId="563"/>
    <cellStyle name="쉼표 [0] 9 2" xfId="564"/>
    <cellStyle name="쉼표 [0] 9 2 2" xfId="565"/>
    <cellStyle name="쉼표 [0] 9 3" xfId="566"/>
    <cellStyle name="쉼표 [0] 9 3 2" xfId="567"/>
    <cellStyle name="쉼표 [0] 9 4" xfId="568"/>
    <cellStyle name="쉼표 [0] 9 5" xfId="569"/>
    <cellStyle name="쉼표 [0] 9 6" xfId="570"/>
    <cellStyle name="쉼표 [0] 9 7" xfId="571"/>
    <cellStyle name="쉼표 [0] 9 7 2" xfId="572"/>
    <cellStyle name="쉼표 [0] 9 7 3" xfId="573"/>
    <cellStyle name="쉼표 [0] 9 7 4" xfId="574"/>
    <cellStyle name="쉼표 [0] 9 7 5" xfId="575"/>
    <cellStyle name="쉼표 [0] 9 7 6" xfId="576"/>
    <cellStyle name="쉼표 [0] 9 7 7" xfId="577"/>
    <cellStyle name="쉼표 [0] 9 7 8" xfId="578"/>
    <cellStyle name="쉼표 [0] 9 8" xfId="579"/>
    <cellStyle name="쉼표 [0] 9 8 2" xfId="580"/>
    <cellStyle name="쉼표 [0] 9 8 3" xfId="581"/>
    <cellStyle name="쉼표 [0] 9 8 4" xfId="582"/>
    <cellStyle name="쉼표 [0] 9 8 5" xfId="583"/>
    <cellStyle name="쉼표 [0] 9 8 6" xfId="584"/>
    <cellStyle name="쉼표 [0] 9 9" xfId="585"/>
    <cellStyle name="스타일 1" xfId="586"/>
    <cellStyle name="연결된 셀 2" xfId="587"/>
    <cellStyle name="요약 2" xfId="588"/>
    <cellStyle name="입력 2" xfId="589"/>
    <cellStyle name="제목 1 2" xfId="590"/>
    <cellStyle name="제목 2 2" xfId="591"/>
    <cellStyle name="제목 3 2" xfId="592"/>
    <cellStyle name="제목 4 2" xfId="593"/>
    <cellStyle name="제목 5" xfId="594"/>
    <cellStyle name="좋음 2" xfId="595"/>
    <cellStyle name="출력 2" xfId="596"/>
    <cellStyle name="콤마 [0]_010819IRFORM200109" xfId="597"/>
    <cellStyle name="콤마_010819IRFORM200109" xfId="598"/>
    <cellStyle name="통화 2" xfId="599"/>
    <cellStyle name="표준 10" xfId="600"/>
    <cellStyle name="표준 10 2" xfId="601"/>
    <cellStyle name="표준 10 3" xfId="602"/>
    <cellStyle name="표준 10 3 2" xfId="603"/>
    <cellStyle name="표준 10 4" xfId="604"/>
    <cellStyle name="표준 10 5" xfId="605"/>
    <cellStyle name="표준 11" xfId="606"/>
    <cellStyle name="표준 11 10" xfId="607"/>
    <cellStyle name="표준 11 11" xfId="608"/>
    <cellStyle name="표준 11 12" xfId="609"/>
    <cellStyle name="표준 11 13" xfId="610"/>
    <cellStyle name="표준 11 14" xfId="611"/>
    <cellStyle name="표준 11 15" xfId="612"/>
    <cellStyle name="표준 11 2" xfId="613"/>
    <cellStyle name="표준 11 3" xfId="614"/>
    <cellStyle name="표준 11 3 2" xfId="615"/>
    <cellStyle name="표준 11 4" xfId="616"/>
    <cellStyle name="표준 11 5" xfId="617"/>
    <cellStyle name="표준 11 6" xfId="618"/>
    <cellStyle name="표준 11 7" xfId="619"/>
    <cellStyle name="표준 11 8" xfId="620"/>
    <cellStyle name="표준 11 8 2" xfId="621"/>
    <cellStyle name="표준 11 8 3" xfId="622"/>
    <cellStyle name="표준 11 8 4" xfId="623"/>
    <cellStyle name="표준 11 8 5" xfId="624"/>
    <cellStyle name="표준 11 8 6" xfId="625"/>
    <cellStyle name="표준 11 8 7" xfId="626"/>
    <cellStyle name="표준 11 8 8" xfId="627"/>
    <cellStyle name="표준 11 9" xfId="628"/>
    <cellStyle name="표준 11 9 2" xfId="629"/>
    <cellStyle name="표준 11 9 3" xfId="630"/>
    <cellStyle name="표준 11 9 4" xfId="631"/>
    <cellStyle name="표준 11 9 5" xfId="632"/>
    <cellStyle name="표준 11 9 6" xfId="633"/>
    <cellStyle name="표준 12" xfId="634"/>
    <cellStyle name="표준 12 2" xfId="635"/>
    <cellStyle name="표준 12 4 2" xfId="636"/>
    <cellStyle name="표준 12 4 2 2" xfId="637"/>
    <cellStyle name="표준 12 4 2 3" xfId="638"/>
    <cellStyle name="표준 12 4 2 4" xfId="639"/>
    <cellStyle name="표준 12 4 2 5" xfId="640"/>
    <cellStyle name="표준 12 4 2 6" xfId="641"/>
    <cellStyle name="표준 12 4 2 7" xfId="642"/>
    <cellStyle name="표준 13" xfId="643"/>
    <cellStyle name="표준 13 10" xfId="644"/>
    <cellStyle name="표준 13 11" xfId="645"/>
    <cellStyle name="표준 13 12" xfId="646"/>
    <cellStyle name="표준 13 13" xfId="647"/>
    <cellStyle name="표준 13 14" xfId="648"/>
    <cellStyle name="표준 13 15" xfId="649"/>
    <cellStyle name="표준 13 2" xfId="650"/>
    <cellStyle name="표준 13 2 2" xfId="651"/>
    <cellStyle name="표준 13 3" xfId="652"/>
    <cellStyle name="표준 13 4" xfId="653"/>
    <cellStyle name="표준 13 5" xfId="654"/>
    <cellStyle name="표준 13 6" xfId="655"/>
    <cellStyle name="표준 13 7" xfId="656"/>
    <cellStyle name="표준 13 8" xfId="657"/>
    <cellStyle name="표준 13 8 2" xfId="658"/>
    <cellStyle name="표준 13 8 3" xfId="659"/>
    <cellStyle name="표준 13 8 4" xfId="660"/>
    <cellStyle name="표준 13 8 5" xfId="661"/>
    <cellStyle name="표준 13 8 6" xfId="662"/>
    <cellStyle name="표준 13 8 7" xfId="663"/>
    <cellStyle name="표준 13 8 8" xfId="664"/>
    <cellStyle name="표준 13 9" xfId="665"/>
    <cellStyle name="표준 13 9 2" xfId="666"/>
    <cellStyle name="표준 13 9 3" xfId="667"/>
    <cellStyle name="표준 13 9 4" xfId="668"/>
    <cellStyle name="표준 13 9 5" xfId="669"/>
    <cellStyle name="표준 13 9 6" xfId="670"/>
    <cellStyle name="표준 14" xfId="671"/>
    <cellStyle name="표준 14 2" xfId="672"/>
    <cellStyle name="표준 14 3" xfId="673"/>
    <cellStyle name="표준 15" xfId="674"/>
    <cellStyle name="표준 15 10" xfId="675"/>
    <cellStyle name="표준 15 11" xfId="676"/>
    <cellStyle name="표준 15 12" xfId="677"/>
    <cellStyle name="표준 15 13" xfId="678"/>
    <cellStyle name="표준 15 14" xfId="679"/>
    <cellStyle name="표준 15 15" xfId="680"/>
    <cellStyle name="표준 15 2" xfId="681"/>
    <cellStyle name="표준 15 2 2" xfId="682"/>
    <cellStyle name="표준 15 3" xfId="683"/>
    <cellStyle name="표준 15 4" xfId="684"/>
    <cellStyle name="표준 15 5" xfId="685"/>
    <cellStyle name="표준 15 6" xfId="686"/>
    <cellStyle name="표준 15 7" xfId="687"/>
    <cellStyle name="표준 15 8" xfId="688"/>
    <cellStyle name="표준 15 8 2" xfId="689"/>
    <cellStyle name="표준 15 8 3" xfId="690"/>
    <cellStyle name="표준 15 8 4" xfId="691"/>
    <cellStyle name="표준 15 8 5" xfId="692"/>
    <cellStyle name="표준 15 8 6" xfId="693"/>
    <cellStyle name="표준 15 8 7" xfId="694"/>
    <cellStyle name="표준 15 8 8" xfId="695"/>
    <cellStyle name="표준 15 9" xfId="696"/>
    <cellStyle name="표준 15 9 2" xfId="697"/>
    <cellStyle name="표준 15 9 3" xfId="698"/>
    <cellStyle name="표준 15 9 4" xfId="699"/>
    <cellStyle name="표준 15 9 5" xfId="700"/>
    <cellStyle name="표준 15 9 6" xfId="701"/>
    <cellStyle name="표준 16" xfId="702"/>
    <cellStyle name="표준 16 10" xfId="703"/>
    <cellStyle name="표준 16 11" xfId="704"/>
    <cellStyle name="표준 16 12" xfId="705"/>
    <cellStyle name="표준 16 13" xfId="706"/>
    <cellStyle name="표준 16 14" xfId="707"/>
    <cellStyle name="표준 16 2" xfId="708"/>
    <cellStyle name="표준 16 2 2" xfId="709"/>
    <cellStyle name="표준 16 3" xfId="710"/>
    <cellStyle name="표준 16 4" xfId="711"/>
    <cellStyle name="표준 16 5" xfId="712"/>
    <cellStyle name="표준 16 6" xfId="713"/>
    <cellStyle name="표준 16 7" xfId="714"/>
    <cellStyle name="표준 16 7 2" xfId="715"/>
    <cellStyle name="표준 16 7 3" xfId="716"/>
    <cellStyle name="표준 16 7 4" xfId="717"/>
    <cellStyle name="표준 16 7 5" xfId="718"/>
    <cellStyle name="표준 16 7 6" xfId="719"/>
    <cellStyle name="표준 16 7 7" xfId="720"/>
    <cellStyle name="표준 16 7 8" xfId="721"/>
    <cellStyle name="표준 16 8" xfId="722"/>
    <cellStyle name="표준 16 8 2" xfId="723"/>
    <cellStyle name="표준 16 8 3" xfId="724"/>
    <cellStyle name="표준 16 8 4" xfId="725"/>
    <cellStyle name="표준 16 8 5" xfId="726"/>
    <cellStyle name="표준 16 8 6" xfId="727"/>
    <cellStyle name="표준 16 9" xfId="728"/>
    <cellStyle name="표준 17" xfId="729"/>
    <cellStyle name="표준 17 10" xfId="730"/>
    <cellStyle name="표준 17 11" xfId="731"/>
    <cellStyle name="표준 17 12" xfId="732"/>
    <cellStyle name="표준 17 13" xfId="733"/>
    <cellStyle name="표준 17 14" xfId="734"/>
    <cellStyle name="표준 17 2" xfId="735"/>
    <cellStyle name="표준 17 2 2" xfId="736"/>
    <cellStyle name="표준 17 3" xfId="737"/>
    <cellStyle name="표준 17 3 2" xfId="738"/>
    <cellStyle name="표준 17 4" xfId="739"/>
    <cellStyle name="표준 17 4 2" xfId="740"/>
    <cellStyle name="표준 17 5" xfId="741"/>
    <cellStyle name="표준 17 6" xfId="742"/>
    <cellStyle name="표준 17 7" xfId="743"/>
    <cellStyle name="표준 17 7 2" xfId="744"/>
    <cellStyle name="표준 17 7 3" xfId="745"/>
    <cellStyle name="표준 17 7 4" xfId="746"/>
    <cellStyle name="표준 17 7 5" xfId="747"/>
    <cellStyle name="표준 17 7 6" xfId="748"/>
    <cellStyle name="표준 17 7 7" xfId="749"/>
    <cellStyle name="표준 17 7 8" xfId="750"/>
    <cellStyle name="표준 17 8" xfId="751"/>
    <cellStyle name="표준 17 8 2" xfId="752"/>
    <cellStyle name="표준 17 8 3" xfId="753"/>
    <cellStyle name="표준 17 8 4" xfId="754"/>
    <cellStyle name="표준 17 8 5" xfId="755"/>
    <cellStyle name="표준 17 8 6" xfId="756"/>
    <cellStyle name="표준 17 9" xfId="757"/>
    <cellStyle name="표준 18" xfId="758"/>
    <cellStyle name="표준 18 10" xfId="759"/>
    <cellStyle name="표준 18 11" xfId="760"/>
    <cellStyle name="표준 18 12" xfId="761"/>
    <cellStyle name="표준 18 13" xfId="762"/>
    <cellStyle name="표준 18 14" xfId="763"/>
    <cellStyle name="표준 18 2" xfId="764"/>
    <cellStyle name="표준 18 3" xfId="765"/>
    <cellStyle name="표준 18 4" xfId="766"/>
    <cellStyle name="표준 18 5" xfId="767"/>
    <cellStyle name="표준 18 6" xfId="768"/>
    <cellStyle name="표준 18 7" xfId="769"/>
    <cellStyle name="표준 18 7 2" xfId="770"/>
    <cellStyle name="표준 18 7 3" xfId="771"/>
    <cellStyle name="표준 18 7 4" xfId="772"/>
    <cellStyle name="표준 18 7 5" xfId="773"/>
    <cellStyle name="표준 18 7 6" xfId="774"/>
    <cellStyle name="표준 18 7 7" xfId="775"/>
    <cellStyle name="표준 18 7 8" xfId="776"/>
    <cellStyle name="표준 18 8" xfId="777"/>
    <cellStyle name="표준 18 8 2" xfId="778"/>
    <cellStyle name="표준 18 8 3" xfId="779"/>
    <cellStyle name="표준 18 8 4" xfId="780"/>
    <cellStyle name="표준 18 8 5" xfId="781"/>
    <cellStyle name="표준 18 8 6" xfId="782"/>
    <cellStyle name="표준 18 9" xfId="783"/>
    <cellStyle name="표준 19" xfId="784"/>
    <cellStyle name="표준 19 2" xfId="785"/>
    <cellStyle name="표준 19 3" xfId="786"/>
    <cellStyle name="표준 2" xfId="787"/>
    <cellStyle name="표준 2 10" xfId="788"/>
    <cellStyle name="표준 2 10 2" xfId="789"/>
    <cellStyle name="표준 2 10 3" xfId="790"/>
    <cellStyle name="표준 2 11" xfId="791"/>
    <cellStyle name="표준 2 11 2" xfId="792"/>
    <cellStyle name="표준 2 12" xfId="793"/>
    <cellStyle name="표준 2 12 2" xfId="794"/>
    <cellStyle name="표준 2 13" xfId="795"/>
    <cellStyle name="표준 2 13 2" xfId="796"/>
    <cellStyle name="표준 2 14" xfId="797"/>
    <cellStyle name="표준 2 14 2" xfId="798"/>
    <cellStyle name="표준 2 15" xfId="799"/>
    <cellStyle name="표준 2 15 2" xfId="800"/>
    <cellStyle name="표준 2 16" xfId="801"/>
    <cellStyle name="표준 2 16 2" xfId="802"/>
    <cellStyle name="표준 2 17" xfId="803"/>
    <cellStyle name="표준 2 17 2" xfId="804"/>
    <cellStyle name="표준 2 18" xfId="805"/>
    <cellStyle name="표준 2 18 2" xfId="806"/>
    <cellStyle name="표준 2 19" xfId="807"/>
    <cellStyle name="표준 2 19 2" xfId="808"/>
    <cellStyle name="표준 2 19 2 2" xfId="809"/>
    <cellStyle name="표준 2 19 3" xfId="810"/>
    <cellStyle name="표준 2 19 3 2" xfId="811"/>
    <cellStyle name="표준 2 19 4" xfId="812"/>
    <cellStyle name="표준 2 19 5" xfId="813"/>
    <cellStyle name="표준 2 2" xfId="814"/>
    <cellStyle name="표준 2 2 10" xfId="815"/>
    <cellStyle name="표준 2 2 11" xfId="816"/>
    <cellStyle name="표준 2 2 11 2" xfId="817"/>
    <cellStyle name="표준 2 2 11 3" xfId="818"/>
    <cellStyle name="표준 2 2 12" xfId="819"/>
    <cellStyle name="표준 2 2 12 2" xfId="820"/>
    <cellStyle name="표준 2 2 12 3" xfId="821"/>
    <cellStyle name="표준 2 2 13" xfId="822"/>
    <cellStyle name="표준 2 2 13 2" xfId="823"/>
    <cellStyle name="표준 2 2 14" xfId="824"/>
    <cellStyle name="표준 2 2 15" xfId="825"/>
    <cellStyle name="표준 2 2 16" xfId="826"/>
    <cellStyle name="표준 2 2 17" xfId="827"/>
    <cellStyle name="표준 2 2 18" xfId="828"/>
    <cellStyle name="표준 2 2 19" xfId="829"/>
    <cellStyle name="표준 2 2 2" xfId="830"/>
    <cellStyle name="표준 2 2 2 2" xfId="831"/>
    <cellStyle name="표준 2 2 2 3" xfId="832"/>
    <cellStyle name="표준 2 2 2 4" xfId="833"/>
    <cellStyle name="표준 2 2 2 5" xfId="834"/>
    <cellStyle name="표준 2 2 2 6" xfId="835"/>
    <cellStyle name="표준 2 2 20" xfId="836"/>
    <cellStyle name="표준 2 2 21" xfId="837"/>
    <cellStyle name="표준 2 2 22" xfId="838"/>
    <cellStyle name="표준 2 2 23" xfId="839"/>
    <cellStyle name="표준 2 2 24" xfId="840"/>
    <cellStyle name="표준 2 2 25" xfId="841"/>
    <cellStyle name="표준 2 2 26" xfId="842"/>
    <cellStyle name="표준 2 2 27" xfId="843"/>
    <cellStyle name="표준 2 2 28" xfId="844"/>
    <cellStyle name="표준 2 2 29" xfId="845"/>
    <cellStyle name="표준 2 2 3" xfId="846"/>
    <cellStyle name="표준 2 2 30" xfId="847"/>
    <cellStyle name="표준 2 2 31" xfId="848"/>
    <cellStyle name="표준 2 2 32" xfId="849"/>
    <cellStyle name="표준 2 2 33" xfId="850"/>
    <cellStyle name="표준 2 2 34" xfId="851"/>
    <cellStyle name="표준 2 2 35" xfId="852"/>
    <cellStyle name="표준 2 2 36" xfId="853"/>
    <cellStyle name="표준 2 2 37" xfId="854"/>
    <cellStyle name="표준 2 2 38" xfId="855"/>
    <cellStyle name="표준 2 2 39" xfId="856"/>
    <cellStyle name="표준 2 2 4" xfId="857"/>
    <cellStyle name="표준 2 2 4 2" xfId="858"/>
    <cellStyle name="표준 2 2 40" xfId="859"/>
    <cellStyle name="표준 2 2 41" xfId="860"/>
    <cellStyle name="표준 2 2 42" xfId="861"/>
    <cellStyle name="표준 2 2 43" xfId="862"/>
    <cellStyle name="표준 2 2 44" xfId="863"/>
    <cellStyle name="표준 2 2 45" xfId="864"/>
    <cellStyle name="표준 2 2 46" xfId="865"/>
    <cellStyle name="표준 2 2 47" xfId="866"/>
    <cellStyle name="표준 2 2 48" xfId="867"/>
    <cellStyle name="표준 2 2 49" xfId="868"/>
    <cellStyle name="표준 2 2 5" xfId="869"/>
    <cellStyle name="표준 2 2 50" xfId="870"/>
    <cellStyle name="표준 2 2 51" xfId="871"/>
    <cellStyle name="표준 2 2 52" xfId="872"/>
    <cellStyle name="표준 2 2 53" xfId="873"/>
    <cellStyle name="표준 2 2 54" xfId="874"/>
    <cellStyle name="표준 2 2 55" xfId="875"/>
    <cellStyle name="표준 2 2 56" xfId="876"/>
    <cellStyle name="표준 2 2 57" xfId="877"/>
    <cellStyle name="표준 2 2 6" xfId="878"/>
    <cellStyle name="표준 2 2 7" xfId="879"/>
    <cellStyle name="표준 2 2 8" xfId="880"/>
    <cellStyle name="표준 2 2 9" xfId="881"/>
    <cellStyle name="표준 2 20" xfId="882"/>
    <cellStyle name="표준 2 20 2" xfId="883"/>
    <cellStyle name="표준 2 20 2 2" xfId="884"/>
    <cellStyle name="표준 2 20 3" xfId="885"/>
    <cellStyle name="표준 2 20 3 2" xfId="886"/>
    <cellStyle name="표준 2 20 4" xfId="887"/>
    <cellStyle name="표준 2 20 5" xfId="888"/>
    <cellStyle name="표준 2 21" xfId="889"/>
    <cellStyle name="표준 2 21 2" xfId="890"/>
    <cellStyle name="표준 2 21 2 2" xfId="891"/>
    <cellStyle name="표준 2 21 3" xfId="892"/>
    <cellStyle name="표준 2 21 3 2" xfId="893"/>
    <cellStyle name="표준 2 21 4" xfId="894"/>
    <cellStyle name="표준 2 21 5" xfId="895"/>
    <cellStyle name="표준 2 22" xfId="896"/>
    <cellStyle name="표준 2 22 2" xfId="897"/>
    <cellStyle name="표준 2 22 2 2" xfId="898"/>
    <cellStyle name="표준 2 22 3" xfId="899"/>
    <cellStyle name="표준 2 22 3 2" xfId="900"/>
    <cellStyle name="표준 2 22 4" xfId="901"/>
    <cellStyle name="표준 2 22 5" xfId="902"/>
    <cellStyle name="표준 2 23" xfId="903"/>
    <cellStyle name="표준 2 23 2" xfId="904"/>
    <cellStyle name="표준 2 23 2 2" xfId="905"/>
    <cellStyle name="표준 2 23 3" xfId="906"/>
    <cellStyle name="표준 2 23 3 2" xfId="907"/>
    <cellStyle name="표준 2 23 4" xfId="908"/>
    <cellStyle name="표준 2 23 5" xfId="909"/>
    <cellStyle name="표준 2 24" xfId="910"/>
    <cellStyle name="표준 2 24 2" xfId="911"/>
    <cellStyle name="표준 2 24 2 2" xfId="912"/>
    <cellStyle name="표준 2 24 3" xfId="913"/>
    <cellStyle name="표준 2 24 3 2" xfId="914"/>
    <cellStyle name="표준 2 24 4" xfId="915"/>
    <cellStyle name="표준 2 24 5" xfId="916"/>
    <cellStyle name="표준 2 25" xfId="917"/>
    <cellStyle name="표준 2 25 2" xfId="918"/>
    <cellStyle name="표준 2 25 2 2" xfId="919"/>
    <cellStyle name="표준 2 25 3" xfId="920"/>
    <cellStyle name="표준 2 25 3 2" xfId="921"/>
    <cellStyle name="표준 2 25 4" xfId="922"/>
    <cellStyle name="표준 2 25 5" xfId="923"/>
    <cellStyle name="표준 2 26" xfId="924"/>
    <cellStyle name="표준 2 26 2" xfId="925"/>
    <cellStyle name="표준 2 26 2 2" xfId="926"/>
    <cellStyle name="표준 2 26 3" xfId="927"/>
    <cellStyle name="표준 2 26 3 2" xfId="928"/>
    <cellStyle name="표준 2 26 4" xfId="929"/>
    <cellStyle name="표준 2 26 5" xfId="930"/>
    <cellStyle name="표준 2 27" xfId="931"/>
    <cellStyle name="표준 2 27 2" xfId="932"/>
    <cellStyle name="표준 2 28" xfId="933"/>
    <cellStyle name="표준 2 28 2" xfId="934"/>
    <cellStyle name="표준 2 29" xfId="935"/>
    <cellStyle name="표준 2 3" xfId="936"/>
    <cellStyle name="표준 2 30" xfId="937"/>
    <cellStyle name="표준 2 31" xfId="938"/>
    <cellStyle name="표준 2 32" xfId="939"/>
    <cellStyle name="표준 2 33" xfId="940"/>
    <cellStyle name="표준 2 34" xfId="941"/>
    <cellStyle name="표준 2 35" xfId="942"/>
    <cellStyle name="표준 2 36" xfId="943"/>
    <cellStyle name="표준 2 37" xfId="944"/>
    <cellStyle name="표준 2 38" xfId="945"/>
    <cellStyle name="표준 2 39" xfId="946"/>
    <cellStyle name="표준 2 4" xfId="947"/>
    <cellStyle name="표준 2 40" xfId="948"/>
    <cellStyle name="표준 2 41" xfId="949"/>
    <cellStyle name="표준 2 42" xfId="950"/>
    <cellStyle name="표준 2 43" xfId="951"/>
    <cellStyle name="표준 2 44" xfId="952"/>
    <cellStyle name="표준 2 45" xfId="953"/>
    <cellStyle name="표준 2 46" xfId="954"/>
    <cellStyle name="표준 2 47" xfId="955"/>
    <cellStyle name="표준 2 48" xfId="956"/>
    <cellStyle name="표준 2 49" xfId="957"/>
    <cellStyle name="표준 2 5" xfId="958"/>
    <cellStyle name="표준 2 50" xfId="959"/>
    <cellStyle name="표준 2 51" xfId="960"/>
    <cellStyle name="표준 2 52" xfId="961"/>
    <cellStyle name="표준 2 53" xfId="962"/>
    <cellStyle name="표준 2 54" xfId="963"/>
    <cellStyle name="표준 2 55" xfId="964"/>
    <cellStyle name="표준 2 56" xfId="965"/>
    <cellStyle name="표준 2 57" xfId="966"/>
    <cellStyle name="표준 2 58" xfId="967"/>
    <cellStyle name="표준 2 59" xfId="968"/>
    <cellStyle name="표준 2 6" xfId="969"/>
    <cellStyle name="표준 2 60" xfId="970"/>
    <cellStyle name="표준 2 61" xfId="971"/>
    <cellStyle name="표준 2 62" xfId="972"/>
    <cellStyle name="표준 2 63" xfId="973"/>
    <cellStyle name="표준 2 7" xfId="974"/>
    <cellStyle name="표준 2 8" xfId="975"/>
    <cellStyle name="표준 2 9" xfId="976"/>
    <cellStyle name="표준 20" xfId="977"/>
    <cellStyle name="표준 20 2" xfId="978"/>
    <cellStyle name="표준 20 2 2" xfId="979"/>
    <cellStyle name="표준 20 2 3" xfId="980"/>
    <cellStyle name="표준 20 2 4" xfId="981"/>
    <cellStyle name="표준 20 2 5" xfId="982"/>
    <cellStyle name="표준 20 2 6" xfId="983"/>
    <cellStyle name="표준 20 2 7" xfId="984"/>
    <cellStyle name="표준 20 2 8" xfId="985"/>
    <cellStyle name="표준 20 2 9" xfId="986"/>
    <cellStyle name="표준 20 3" xfId="987"/>
    <cellStyle name="표준 20 3 2" xfId="988"/>
    <cellStyle name="표준 20 4" xfId="989"/>
    <cellStyle name="표준 20 5" xfId="990"/>
    <cellStyle name="표준 21" xfId="991"/>
    <cellStyle name="표준 21 2" xfId="992"/>
    <cellStyle name="표준 21 2 2" xfId="993"/>
    <cellStyle name="표준 21 2 3" xfId="994"/>
    <cellStyle name="표준 21 2 4" xfId="995"/>
    <cellStyle name="표준 21 2 5" xfId="996"/>
    <cellStyle name="표준 21 2 6" xfId="997"/>
    <cellStyle name="표준 21 2 7" xfId="998"/>
    <cellStyle name="표준 21 2 8" xfId="999"/>
    <cellStyle name="표준 22" xfId="1000"/>
    <cellStyle name="표준 22 2" xfId="1001"/>
    <cellStyle name="표준 23" xfId="1002"/>
    <cellStyle name="표준 24" xfId="1003"/>
    <cellStyle name="표준 24 2" xfId="1004"/>
    <cellStyle name="표준 25" xfId="1005"/>
    <cellStyle name="표준 26" xfId="1006"/>
    <cellStyle name="표준 27" xfId="1007"/>
    <cellStyle name="표준 28" xfId="1008"/>
    <cellStyle name="표준 28 2" xfId="1009"/>
    <cellStyle name="표준 28 2 2" xfId="1010"/>
    <cellStyle name="표준 28 2 3" xfId="1011"/>
    <cellStyle name="표준 28 2 4" xfId="1012"/>
    <cellStyle name="표준 28 2 5" xfId="1013"/>
    <cellStyle name="표준 28 2 6" xfId="1014"/>
    <cellStyle name="표준 28 3" xfId="1015"/>
    <cellStyle name="표준 28 4" xfId="1016"/>
    <cellStyle name="표준 28 5" xfId="1017"/>
    <cellStyle name="표준 28 6" xfId="1018"/>
    <cellStyle name="표준 28 7" xfId="1019"/>
    <cellStyle name="표준 28 8" xfId="1020"/>
    <cellStyle name="표준 28 9" xfId="1021"/>
    <cellStyle name="표준 29" xfId="1022"/>
    <cellStyle name="표준 29 2" xfId="1023"/>
    <cellStyle name="표준 29 2 2" xfId="1024"/>
    <cellStyle name="표준 29 2 3" xfId="1025"/>
    <cellStyle name="표준 29 2 4" xfId="1026"/>
    <cellStyle name="표준 29 2 5" xfId="1027"/>
    <cellStyle name="표준 29 2 6" xfId="1028"/>
    <cellStyle name="표준 29 3" xfId="1029"/>
    <cellStyle name="표준 29 4" xfId="1030"/>
    <cellStyle name="표준 29 5" xfId="1031"/>
    <cellStyle name="표준 29 6" xfId="1032"/>
    <cellStyle name="표준 29 7" xfId="1033"/>
    <cellStyle name="표준 29 8" xfId="1034"/>
    <cellStyle name="표준 29 9" xfId="1035"/>
    <cellStyle name="표준 2_외화대출월보(201001)" xfId="1036"/>
    <cellStyle name="표준 3" xfId="1037"/>
    <cellStyle name="표준 3 10" xfId="1038"/>
    <cellStyle name="표준 3 2" xfId="1039"/>
    <cellStyle name="표준 3 3" xfId="1040"/>
    <cellStyle name="표준 3 4" xfId="1041"/>
    <cellStyle name="표준 3 4 2" xfId="1042"/>
    <cellStyle name="표준 3 5" xfId="1043"/>
    <cellStyle name="표준 3 5 2" xfId="1044"/>
    <cellStyle name="표준 3 5 3" xfId="1045"/>
    <cellStyle name="표준 3 5 4" xfId="1046"/>
    <cellStyle name="표준 3 5 5" xfId="1047"/>
    <cellStyle name="표준 3 5 6" xfId="1048"/>
    <cellStyle name="표준 3 5 7" xfId="1049"/>
    <cellStyle name="표준 3 5 8" xfId="1050"/>
    <cellStyle name="표준 3 6" xfId="1051"/>
    <cellStyle name="표준 3 7" xfId="1052"/>
    <cellStyle name="표준 3 8" xfId="1053"/>
    <cellStyle name="표준 3 9" xfId="1054"/>
    <cellStyle name="표준 30" xfId="1055"/>
    <cellStyle name="표준 30 2" xfId="1056"/>
    <cellStyle name="표준 30 2 2" xfId="1057"/>
    <cellStyle name="표준 30 2 3" xfId="1058"/>
    <cellStyle name="표준 30 2 4" xfId="1059"/>
    <cellStyle name="표준 30 2 5" xfId="1060"/>
    <cellStyle name="표준 30 2 6" xfId="1061"/>
    <cellStyle name="표준 30 3" xfId="1062"/>
    <cellStyle name="표준 30 4" xfId="1063"/>
    <cellStyle name="표준 30 5" xfId="1064"/>
    <cellStyle name="표준 30 6" xfId="1065"/>
    <cellStyle name="표준 30 7" xfId="1066"/>
    <cellStyle name="표준 30 8" xfId="1067"/>
    <cellStyle name="표준 30 9" xfId="1068"/>
    <cellStyle name="표준 31" xfId="1069"/>
    <cellStyle name="표준 31 2" xfId="1070"/>
    <cellStyle name="표준 31 2 2" xfId="1071"/>
    <cellStyle name="표준 31 2 3" xfId="1072"/>
    <cellStyle name="표준 31 2 4" xfId="1073"/>
    <cellStyle name="표준 31 2 5" xfId="1074"/>
    <cellStyle name="표준 31 2 6" xfId="1075"/>
    <cellStyle name="표준 31 3" xfId="1076"/>
    <cellStyle name="표준 31 4" xfId="1077"/>
    <cellStyle name="표준 31 5" xfId="1078"/>
    <cellStyle name="표준 31 6" xfId="1079"/>
    <cellStyle name="표준 31 7" xfId="1080"/>
    <cellStyle name="표준 31 8" xfId="1081"/>
    <cellStyle name="표준 32" xfId="1082"/>
    <cellStyle name="표준 32 2" xfId="1083"/>
    <cellStyle name="표준 32 2 2" xfId="1084"/>
    <cellStyle name="표준 32 2 3" xfId="1085"/>
    <cellStyle name="표준 32 2 4" xfId="1086"/>
    <cellStyle name="표준 32 2 5" xfId="1087"/>
    <cellStyle name="표준 32 2 6" xfId="1088"/>
    <cellStyle name="표준 32 3" xfId="1089"/>
    <cellStyle name="표준 32 4" xfId="1090"/>
    <cellStyle name="표준 32 5" xfId="1091"/>
    <cellStyle name="표준 32 6" xfId="1092"/>
    <cellStyle name="표준 32 7" xfId="1093"/>
    <cellStyle name="표준 32 8" xfId="1094"/>
    <cellStyle name="표준 32 9" xfId="1095"/>
    <cellStyle name="표준 33" xfId="1096"/>
    <cellStyle name="표준 33 2" xfId="1097"/>
    <cellStyle name="표준 33 2 2" xfId="1098"/>
    <cellStyle name="표준 33 2 3" xfId="1099"/>
    <cellStyle name="표준 33 2 4" xfId="1100"/>
    <cellStyle name="표준 33 2 5" xfId="1101"/>
    <cellStyle name="표준 33 2 6" xfId="1102"/>
    <cellStyle name="표준 33 3" xfId="1103"/>
    <cellStyle name="표준 33 4" xfId="1104"/>
    <cellStyle name="표준 33 5" xfId="1105"/>
    <cellStyle name="표준 33 6" xfId="1106"/>
    <cellStyle name="표준 33 7" xfId="1107"/>
    <cellStyle name="표준 33 8" xfId="1108"/>
    <cellStyle name="표준 34" xfId="1109"/>
    <cellStyle name="표준 34 2" xfId="1110"/>
    <cellStyle name="표준 34 2 2" xfId="1111"/>
    <cellStyle name="표준 34 2 3" xfId="1112"/>
    <cellStyle name="표준 34 2 4" xfId="1113"/>
    <cellStyle name="표준 34 2 5" xfId="1114"/>
    <cellStyle name="표준 34 2 6" xfId="1115"/>
    <cellStyle name="표준 34 3" xfId="1116"/>
    <cellStyle name="표준 34 4" xfId="1117"/>
    <cellStyle name="표준 34 5" xfId="1118"/>
    <cellStyle name="표준 34 6" xfId="1119"/>
    <cellStyle name="표준 34 7" xfId="1120"/>
    <cellStyle name="표준 34 8" xfId="1121"/>
    <cellStyle name="표준 34 9" xfId="1122"/>
    <cellStyle name="표준 35" xfId="1123"/>
    <cellStyle name="표준 35 2" xfId="1124"/>
    <cellStyle name="표준 35 2 2" xfId="1125"/>
    <cellStyle name="표준 35 2 3" xfId="1126"/>
    <cellStyle name="표준 35 2 4" xfId="1127"/>
    <cellStyle name="표준 35 2 5" xfId="1128"/>
    <cellStyle name="표준 35 2 6" xfId="1129"/>
    <cellStyle name="표준 35 3" xfId="1130"/>
    <cellStyle name="표준 35 4" xfId="1131"/>
    <cellStyle name="표준 35 5" xfId="1132"/>
    <cellStyle name="표준 35 6" xfId="1133"/>
    <cellStyle name="표준 35 7" xfId="1134"/>
    <cellStyle name="표준 35 8" xfId="1135"/>
    <cellStyle name="표준 36" xfId="1136"/>
    <cellStyle name="표준 36 2" xfId="1137"/>
    <cellStyle name="표준 36 2 2" xfId="1138"/>
    <cellStyle name="표준 36 2 3" xfId="1139"/>
    <cellStyle name="표준 36 2 4" xfId="1140"/>
    <cellStyle name="표준 36 2 5" xfId="1141"/>
    <cellStyle name="표준 36 2 6" xfId="1142"/>
    <cellStyle name="표준 36 3" xfId="1143"/>
    <cellStyle name="표준 36 4" xfId="1144"/>
    <cellStyle name="표준 36 5" xfId="1145"/>
    <cellStyle name="표준 36 6" xfId="1146"/>
    <cellStyle name="표준 36 7" xfId="1147"/>
    <cellStyle name="표준 36 8" xfId="1148"/>
    <cellStyle name="표준 37" xfId="1149"/>
    <cellStyle name="표준 37 2" xfId="1150"/>
    <cellStyle name="표준 37 2 2" xfId="1151"/>
    <cellStyle name="표준 37 2 3" xfId="1152"/>
    <cellStyle name="표준 37 2 4" xfId="1153"/>
    <cellStyle name="표준 37 2 5" xfId="1154"/>
    <cellStyle name="표준 37 2 6" xfId="1155"/>
    <cellStyle name="표준 37 3" xfId="1156"/>
    <cellStyle name="표준 37 4" xfId="1157"/>
    <cellStyle name="표준 37 5" xfId="1158"/>
    <cellStyle name="표준 37 6" xfId="1159"/>
    <cellStyle name="표준 37 7" xfId="1160"/>
    <cellStyle name="표준 37 8" xfId="1161"/>
    <cellStyle name="표준 38" xfId="1162"/>
    <cellStyle name="표준 38 2" xfId="1163"/>
    <cellStyle name="표준 38 2 2" xfId="1164"/>
    <cellStyle name="표준 38 2 3" xfId="1165"/>
    <cellStyle name="표준 38 2 4" xfId="1166"/>
    <cellStyle name="표준 38 2 5" xfId="1167"/>
    <cellStyle name="표준 38 2 6" xfId="1168"/>
    <cellStyle name="표준 38 3" xfId="1169"/>
    <cellStyle name="표준 38 4" xfId="1170"/>
    <cellStyle name="표준 38 5" xfId="1171"/>
    <cellStyle name="표준 38 6" xfId="1172"/>
    <cellStyle name="표준 38 7" xfId="1173"/>
    <cellStyle name="표준 38 8" xfId="1174"/>
    <cellStyle name="표준 39" xfId="1175"/>
    <cellStyle name="표준 39 2" xfId="1176"/>
    <cellStyle name="표준 39 2 2" xfId="1177"/>
    <cellStyle name="표준 39 2 3" xfId="1178"/>
    <cellStyle name="표준 39 2 4" xfId="1179"/>
    <cellStyle name="표준 39 2 5" xfId="1180"/>
    <cellStyle name="표준 39 2 6" xfId="1181"/>
    <cellStyle name="표준 39 3" xfId="1182"/>
    <cellStyle name="표준 39 4" xfId="1183"/>
    <cellStyle name="표준 39 5" xfId="1184"/>
    <cellStyle name="표준 39 6" xfId="1185"/>
    <cellStyle name="표준 39 7" xfId="1186"/>
    <cellStyle name="표준 39 8" xfId="1187"/>
    <cellStyle name="표준 4" xfId="1188"/>
    <cellStyle name="표준 4 2" xfId="1189"/>
    <cellStyle name="표준 4 2 2" xfId="1190"/>
    <cellStyle name="표준 4 3" xfId="1191"/>
    <cellStyle name="표준 4 4" xfId="1192"/>
    <cellStyle name="표준 40" xfId="1193"/>
    <cellStyle name="표준 40 2" xfId="1194"/>
    <cellStyle name="표준 40 2 2" xfId="1195"/>
    <cellStyle name="표준 40 2 3" xfId="1196"/>
    <cellStyle name="표준 40 2 4" xfId="1197"/>
    <cellStyle name="표준 40 2 5" xfId="1198"/>
    <cellStyle name="표준 40 2 6" xfId="1199"/>
    <cellStyle name="표준 40 3" xfId="1200"/>
    <cellStyle name="표준 40 4" xfId="1201"/>
    <cellStyle name="표준 40 5" xfId="1202"/>
    <cellStyle name="표준 40 6" xfId="1203"/>
    <cellStyle name="표준 40 7" xfId="1204"/>
    <cellStyle name="표준 40 8" xfId="1205"/>
    <cellStyle name="표준 41" xfId="1206"/>
    <cellStyle name="표준 41 2" xfId="1207"/>
    <cellStyle name="표준 41 2 2" xfId="1208"/>
    <cellStyle name="표준 41 2 3" xfId="1209"/>
    <cellStyle name="표준 41 2 4" xfId="1210"/>
    <cellStyle name="표준 41 2 5" xfId="1211"/>
    <cellStyle name="표준 41 2 6" xfId="1212"/>
    <cellStyle name="표준 41 3" xfId="1213"/>
    <cellStyle name="표준 41 4" xfId="1214"/>
    <cellStyle name="표준 41 5" xfId="1215"/>
    <cellStyle name="표준 41 6" xfId="1216"/>
    <cellStyle name="표준 41 7" xfId="1217"/>
    <cellStyle name="표준 41 8" xfId="1218"/>
    <cellStyle name="표준 42" xfId="1219"/>
    <cellStyle name="표준 42 2" xfId="1220"/>
    <cellStyle name="표준 42 2 2" xfId="1221"/>
    <cellStyle name="표준 42 2 3" xfId="1222"/>
    <cellStyle name="표준 42 2 4" xfId="1223"/>
    <cellStyle name="표준 42 2 5" xfId="1224"/>
    <cellStyle name="표준 42 2 6" xfId="1225"/>
    <cellStyle name="표준 42 3" xfId="1226"/>
    <cellStyle name="표준 42 4" xfId="1227"/>
    <cellStyle name="표준 42 5" xfId="1228"/>
    <cellStyle name="표준 42 6" xfId="1229"/>
    <cellStyle name="표준 42 7" xfId="1230"/>
    <cellStyle name="표준 42 8" xfId="1231"/>
    <cellStyle name="표준 43" xfId="1232"/>
    <cellStyle name="표준 43 2" xfId="1233"/>
    <cellStyle name="표준 43 2 2" xfId="1234"/>
    <cellStyle name="표준 43 2 3" xfId="1235"/>
    <cellStyle name="표준 43 2 4" xfId="1236"/>
    <cellStyle name="표준 43 2 5" xfId="1237"/>
    <cellStyle name="표준 43 2 6" xfId="1238"/>
    <cellStyle name="표준 43 3" xfId="1239"/>
    <cellStyle name="표준 43 4" xfId="1240"/>
    <cellStyle name="표준 43 5" xfId="1241"/>
    <cellStyle name="표준 43 6" xfId="1242"/>
    <cellStyle name="표준 43 7" xfId="1243"/>
    <cellStyle name="표준 43 8" xfId="1244"/>
    <cellStyle name="표준 44" xfId="1245"/>
    <cellStyle name="표준 44 2" xfId="1246"/>
    <cellStyle name="표준 44 3" xfId="1247"/>
    <cellStyle name="표준 44 4" xfId="1248"/>
    <cellStyle name="표준 44 5" xfId="1249"/>
    <cellStyle name="표준 44 6" xfId="1250"/>
    <cellStyle name="표준 44 7" xfId="1251"/>
    <cellStyle name="표준 44 8" xfId="1252"/>
    <cellStyle name="표준 45" xfId="1253"/>
    <cellStyle name="표준 45 2" xfId="1254"/>
    <cellStyle name="표준 45 3" xfId="1255"/>
    <cellStyle name="표준 45 4" xfId="1256"/>
    <cellStyle name="표준 45 5" xfId="1257"/>
    <cellStyle name="표준 45 6" xfId="1258"/>
    <cellStyle name="표준 45 7" xfId="1259"/>
    <cellStyle name="표준 45 8" xfId="1260"/>
    <cellStyle name="표준 46" xfId="1261"/>
    <cellStyle name="표준 46 2" xfId="1262"/>
    <cellStyle name="표준 46 3" xfId="1263"/>
    <cellStyle name="표준 46 4" xfId="1264"/>
    <cellStyle name="표준 46 5" xfId="1265"/>
    <cellStyle name="표준 46 6" xfId="1266"/>
    <cellStyle name="표준 46 7" xfId="1267"/>
    <cellStyle name="표준 47" xfId="1268"/>
    <cellStyle name="표준 47 2" xfId="1269"/>
    <cellStyle name="표준 47 3" xfId="1270"/>
    <cellStyle name="표준 47 4" xfId="1271"/>
    <cellStyle name="표준 47 5" xfId="1272"/>
    <cellStyle name="표준 47 6" xfId="1273"/>
    <cellStyle name="표준 47 7" xfId="1274"/>
    <cellStyle name="표준 48" xfId="1275"/>
    <cellStyle name="표준 48 2" xfId="1276"/>
    <cellStyle name="표준 48 3" xfId="1277"/>
    <cellStyle name="표준 48 4" xfId="1278"/>
    <cellStyle name="표준 48 5" xfId="1279"/>
    <cellStyle name="표준 48 6" xfId="1280"/>
    <cellStyle name="표준 48 7" xfId="1281"/>
    <cellStyle name="표준 49" xfId="1282"/>
    <cellStyle name="표준 49 2" xfId="1283"/>
    <cellStyle name="표준 49 3" xfId="1284"/>
    <cellStyle name="표준 5" xfId="1285"/>
    <cellStyle name="표준 5 2" xfId="1286"/>
    <cellStyle name="표준 5 2 2" xfId="1287"/>
    <cellStyle name="표준 5 3" xfId="1288"/>
    <cellStyle name="표준 5 4" xfId="1289"/>
    <cellStyle name="표준 50" xfId="1290"/>
    <cellStyle name="표준 50 2" xfId="1291"/>
    <cellStyle name="표준 50 3" xfId="1292"/>
    <cellStyle name="표준 51" xfId="1293"/>
    <cellStyle name="표준 51 2" xfId="1294"/>
    <cellStyle name="표준 51 3" xfId="1295"/>
    <cellStyle name="표준 52" xfId="1296"/>
    <cellStyle name="표준 52 2" xfId="1297"/>
    <cellStyle name="표준 53" xfId="1298"/>
    <cellStyle name="표준 53 2" xfId="1299"/>
    <cellStyle name="표준 54" xfId="1300"/>
    <cellStyle name="표준 54 2" xfId="1301"/>
    <cellStyle name="표준 55" xfId="1302"/>
    <cellStyle name="표준 55 2" xfId="1303"/>
    <cellStyle name="표준 56" xfId="1304"/>
    <cellStyle name="표준 56 2" xfId="1305"/>
    <cellStyle name="표준 57" xfId="1306"/>
    <cellStyle name="표준 57 2" xfId="1307"/>
    <cellStyle name="표준 58" xfId="1308"/>
    <cellStyle name="표준 58 2" xfId="1309"/>
    <cellStyle name="표준 58 2 2" xfId="1310"/>
    <cellStyle name="표준 58 3" xfId="1311"/>
    <cellStyle name="표준 59" xfId="1312"/>
    <cellStyle name="표준 59 2" xfId="1313"/>
    <cellStyle name="표준 6" xfId="1314"/>
    <cellStyle name="표준 6 2" xfId="1315"/>
    <cellStyle name="표준 6 3" xfId="1316"/>
    <cellStyle name="표준 6 3 2" xfId="1317"/>
    <cellStyle name="표준 6 4" xfId="1318"/>
    <cellStyle name="표준 6 5" xfId="1319"/>
    <cellStyle name="표준 60" xfId="1320"/>
    <cellStyle name="표준 60 2" xfId="1321"/>
    <cellStyle name="표준 60 2 2" xfId="1322"/>
    <cellStyle name="표준 60 3" xfId="1323"/>
    <cellStyle name="표준 61" xfId="1324"/>
    <cellStyle name="표준 61 2" xfId="1325"/>
    <cellStyle name="표준 62" xfId="1326"/>
    <cellStyle name="표준 62 2" xfId="1327"/>
    <cellStyle name="표준 62 3" xfId="1328"/>
    <cellStyle name="표준 63" xfId="1329"/>
    <cellStyle name="표준 7" xfId="1330"/>
    <cellStyle name="표준 7 2" xfId="1331"/>
    <cellStyle name="표준 7 3" xfId="1332"/>
    <cellStyle name="표준 7 3 2" xfId="1333"/>
    <cellStyle name="표준 7 4" xfId="1334"/>
    <cellStyle name="표준 7 5" xfId="1335"/>
    <cellStyle name="표준 8" xfId="1336"/>
    <cellStyle name="표준 8 2" xfId="1337"/>
    <cellStyle name="표준 8 3" xfId="1338"/>
    <cellStyle name="표준 9" xfId="1339"/>
    <cellStyle name="표준 9 2" xfId="1340"/>
    <cellStyle name="표준 9 3" xfId="1341"/>
    <cellStyle name="하이퍼링크 2" xfId="1342"/>
    <cellStyle name="하이퍼링크 2 2" xfId="1343"/>
    <cellStyle name="하이퍼링크 3" xfId="1344"/>
  </cellStyles>
  <dxfs count="30">
    <dxf>
      <font>
        <color rgb="FF953735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맑은 고딕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맑은 고딕"/>
        <charset val="1"/>
        <family val="0"/>
        <b val="1"/>
        <color rgb="FF7F6000"/>
        <sz val="10"/>
      </font>
      <fill>
        <patternFill>
          <bgColor rgb="FFFFE699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  <fill>
        <patternFill>
          <bgColor rgb="FFFFFFCC"/>
        </patternFill>
      </fill>
    </dxf>
    <dxf>
      <font>
        <color rgb="FF0000FF"/>
      </font>
      <fill>
        <patternFill>
          <bgColor rgb="FFFFFFCC"/>
        </patternFill>
      </fill>
    </dxf>
    <dxf>
      <font>
        <color rgb="FFC00000"/>
      </font>
      <fill>
        <patternFill>
          <bgColor theme="9" tint="0.3999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AC09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953735"/>
          <bgColor rgb="FF000000"/>
        </patternFill>
      </fill>
    </dxf>
    <dxf>
      <fill>
        <patternFill patternType="solid">
          <fgColor rgb="FF98480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AC090"/>
      <rgbColor rgb="FFB7DEE8"/>
      <rgbColor rgb="FF9C0006"/>
      <rgbColor rgb="FF006300"/>
      <rgbColor rgb="FFF8E7DC"/>
      <rgbColor rgb="FF7B8A4E"/>
      <rgbColor rgb="FF800080"/>
      <rgbColor rgb="FF0070C0"/>
      <rgbColor rgb="FFC0C0C1"/>
      <rgbColor rgb="FF808080"/>
      <rgbColor rgb="FF93CDDD"/>
      <rgbColor rgb="FF954B05"/>
      <rgbColor rgb="FFFFFFCC"/>
      <rgbColor rgb="FFCCFFFF"/>
      <rgbColor rgb="FFD9D9D9"/>
      <rgbColor rgb="FFFD8484"/>
      <rgbColor rgb="FF0066CC"/>
      <rgbColor rgb="FFCBCCFF"/>
      <rgbColor rgb="FFEBF1DE"/>
      <rgbColor rgb="FFFFC7CE"/>
      <rgbColor rgb="FFFFFF4B"/>
      <rgbColor rgb="FFC6EFCE"/>
      <rgbColor rgb="FFFFC000"/>
      <rgbColor rgb="FFC00000"/>
      <rgbColor rgb="FF1F5174"/>
      <rgbColor rgb="FFEEECE2"/>
      <rgbColor rgb="FF00B0F0"/>
      <rgbColor rgb="FFDDECF7"/>
      <rgbColor rgb="FFCCFFCC"/>
      <rgbColor rgb="FFFFFB99"/>
      <rgbColor rgb="FF99CCFF"/>
      <rgbColor rgb="FFFF99CC"/>
      <rgbColor rgb="FFCC99FF"/>
      <rgbColor rgb="FFFFCD9B"/>
      <rgbColor rgb="FF4F81BD"/>
      <rgbColor rgb="FF33CCCC"/>
      <rgbColor rgb="FF92D050"/>
      <rgbColor rgb="FFFFCC00"/>
      <rgbColor rgb="FFFF9900"/>
      <rgbColor rgb="FFFF6600"/>
      <rgbColor rgb="FF7F7F7F"/>
      <rgbColor rgb="FF969696"/>
      <rgbColor rgb="FF003066"/>
      <rgbColor rgb="FF149B71"/>
      <rgbColor rgb="FFC3D69B"/>
      <rgbColor rgb="FFC6C0CD"/>
      <rgbColor rgb="FF96361F"/>
      <rgbColor rgb="FFBFBFBF"/>
      <rgbColor rgb="FF3E319B"/>
      <rgbColor rgb="FF3535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38160</xdr:rowOff>
    </xdr:from>
    <xdr:to>
      <xdr:col>17</xdr:col>
      <xdr:colOff>142200</xdr:colOff>
      <xdr:row>56</xdr:row>
      <xdr:rowOff>88560</xdr:rowOff>
    </xdr:to>
    <xdr:pic>
      <xdr:nvPicPr>
        <xdr:cNvPr id="0" name="그림 4" descr=""/>
        <xdr:cNvPicPr/>
      </xdr:nvPicPr>
      <xdr:blipFill>
        <a:blip r:embed="rId1"/>
        <a:stretch/>
      </xdr:blipFill>
      <xdr:spPr>
        <a:xfrm>
          <a:off x="0" y="6934320"/>
          <a:ext cx="9921240" cy="5079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19080</xdr:rowOff>
    </xdr:from>
    <xdr:to>
      <xdr:col>17</xdr:col>
      <xdr:colOff>37440</xdr:colOff>
      <xdr:row>91</xdr:row>
      <xdr:rowOff>180360</xdr:rowOff>
    </xdr:to>
    <xdr:pic>
      <xdr:nvPicPr>
        <xdr:cNvPr id="1" name="그림 5" descr=""/>
        <xdr:cNvPicPr/>
      </xdr:nvPicPr>
      <xdr:blipFill>
        <a:blip r:embed="rId2"/>
        <a:stretch/>
      </xdr:blipFill>
      <xdr:spPr>
        <a:xfrm>
          <a:off x="0" y="12363480"/>
          <a:ext cx="9816480" cy="707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590400</xdr:colOff>
      <xdr:row>7</xdr:row>
      <xdr:rowOff>133200</xdr:rowOff>
    </xdr:from>
    <xdr:to>
      <xdr:col>22</xdr:col>
      <xdr:colOff>380160</xdr:colOff>
      <xdr:row>43</xdr:row>
      <xdr:rowOff>27720</xdr:rowOff>
    </xdr:to>
    <xdr:pic>
      <xdr:nvPicPr>
        <xdr:cNvPr id="2" name="그림 6" descr=""/>
        <xdr:cNvPicPr/>
      </xdr:nvPicPr>
      <xdr:blipFill>
        <a:blip r:embed="rId3"/>
        <a:stretch/>
      </xdr:blipFill>
      <xdr:spPr>
        <a:xfrm>
          <a:off x="10369440" y="1790640"/>
          <a:ext cx="3583800" cy="743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208800</xdr:colOff>
      <xdr:row>31</xdr:row>
      <xdr:rowOff>46080</xdr:rowOff>
    </xdr:to>
    <xdr:pic>
      <xdr:nvPicPr>
        <xdr:cNvPr id="3" name="그림 7" descr=""/>
        <xdr:cNvPicPr/>
      </xdr:nvPicPr>
      <xdr:blipFill>
        <a:blip r:embed="rId4"/>
        <a:stretch/>
      </xdr:blipFill>
      <xdr:spPr>
        <a:xfrm>
          <a:off x="0" y="0"/>
          <a:ext cx="9987840" cy="673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123840</xdr:colOff>
      <xdr:row>94</xdr:row>
      <xdr:rowOff>136440</xdr:rowOff>
    </xdr:from>
    <xdr:to>
      <xdr:col>9</xdr:col>
      <xdr:colOff>579600</xdr:colOff>
      <xdr:row>99</xdr:row>
      <xdr:rowOff>94320</xdr:rowOff>
    </xdr:to>
    <xdr:pic>
      <xdr:nvPicPr>
        <xdr:cNvPr id="4" name="그림 1" descr=""/>
        <xdr:cNvPicPr/>
      </xdr:nvPicPr>
      <xdr:blipFill>
        <a:blip r:embed="rId1"/>
        <a:stretch/>
      </xdr:blipFill>
      <xdr:spPr>
        <a:xfrm>
          <a:off x="924120" y="18957960"/>
          <a:ext cx="6856560" cy="1005480"/>
        </a:xfrm>
        <a:prstGeom prst="rect">
          <a:avLst/>
        </a:prstGeom>
        <a:ln cap="sq" w="38100">
          <a:solidFill>
            <a:srgbClr val="000000"/>
          </a:solidFill>
          <a:rou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123840</xdr:colOff>
      <xdr:row>94</xdr:row>
      <xdr:rowOff>136440</xdr:rowOff>
    </xdr:from>
    <xdr:to>
      <xdr:col>9</xdr:col>
      <xdr:colOff>579600</xdr:colOff>
      <xdr:row>99</xdr:row>
      <xdr:rowOff>94320</xdr:rowOff>
    </xdr:to>
    <xdr:pic>
      <xdr:nvPicPr>
        <xdr:cNvPr id="5" name="그림 1" descr=""/>
        <xdr:cNvPicPr/>
      </xdr:nvPicPr>
      <xdr:blipFill>
        <a:blip r:embed="rId1"/>
        <a:stretch/>
      </xdr:blipFill>
      <xdr:spPr>
        <a:xfrm>
          <a:off x="924120" y="18957960"/>
          <a:ext cx="6856560" cy="1005480"/>
        </a:xfrm>
        <a:prstGeom prst="rect">
          <a:avLst/>
        </a:prstGeom>
        <a:ln cap="sq" w="38100">
          <a:solidFill>
            <a:srgbClr val="000000"/>
          </a:solidFill>
          <a:rou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M22" activeCellId="0" sqref="M22"/>
    </sheetView>
  </sheetViews>
  <sheetFormatPr defaultColWidth="8.539062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Q54"/>
  <sheetViews>
    <sheetView showFormulas="false" showGridLines="fals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P58" activeCellId="0" sqref="P58"/>
    </sheetView>
  </sheetViews>
  <sheetFormatPr defaultColWidth="8.5390625" defaultRowHeight="16.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104"/>
    <col collapsed="false" customWidth="true" hidden="true" outlineLevel="0" max="17" min="4" style="1" width="13"/>
  </cols>
  <sheetData>
    <row r="1" customFormat="false" ht="16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7.75" hidden="false" customHeight="true" outlineLevel="0" collapsed="false">
      <c r="A2" s="2"/>
      <c r="B2" s="3" t="s">
        <v>0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7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7.25" hidden="false" customHeight="true" outlineLevel="0" collapsed="false">
      <c r="A4" s="2"/>
      <c r="B4" s="4" t="s">
        <v>1</v>
      </c>
      <c r="C4" s="5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7.25" hidden="false" customHeight="true" outlineLevel="0" collapsed="false">
      <c r="A5" s="2"/>
      <c r="B5" s="2"/>
      <c r="C5" s="6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7.2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7.25" hidden="false" customHeight="true" outlineLevel="0" collapsed="false">
      <c r="A7" s="2"/>
      <c r="B7" s="4" t="s">
        <v>4</v>
      </c>
      <c r="C7" s="5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6.5" hidden="false" customHeight="false" outlineLevel="0" collapsed="false">
      <c r="A8" s="2"/>
      <c r="B8" s="2"/>
      <c r="C8" s="7" t="s">
        <v>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6.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6.5" hidden="false" customHeight="false" outlineLevel="0" collapsed="false">
      <c r="A10" s="2"/>
      <c r="B10" s="4" t="s">
        <v>7</v>
      </c>
      <c r="C10" s="5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6.5" hidden="false" customHeight="false" outlineLevel="0" collapsed="false">
      <c r="A11" s="2"/>
      <c r="B11" s="2"/>
      <c r="C11" s="6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6.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6.5" hidden="false" customHeight="false" outlineLevel="0" collapsed="false">
      <c r="A13" s="2"/>
      <c r="B13" s="4" t="s">
        <v>10</v>
      </c>
      <c r="C13" s="5" t="s">
        <v>11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6.5" hidden="false" customHeight="false" outlineLevel="0" collapsed="false">
      <c r="A14" s="2"/>
      <c r="B14" s="2"/>
      <c r="C14" s="6" t="s">
        <v>12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6.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6.5" hidden="false" customHeight="true" outlineLevel="0" collapsed="false">
      <c r="A16" s="2"/>
      <c r="B16" s="8" t="s">
        <v>13</v>
      </c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6.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6.5" hidden="false" customHeight="true" outlineLevel="0" collapsed="false">
      <c r="A18" s="2"/>
      <c r="B18" s="8" t="s">
        <v>14</v>
      </c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6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6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6.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6.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6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16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16.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6.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Format="false" ht="16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Format="false" ht="16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6.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Format="false" ht="16.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6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6.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16.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customFormat="false" ht="16.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customFormat="false" ht="16.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customFormat="false" ht="16.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Format="false" ht="16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</sheetData>
  <mergeCells count="3">
    <mergeCell ref="B2:C2"/>
    <mergeCell ref="B16:C16"/>
    <mergeCell ref="B18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306"/>
  <sheetViews>
    <sheetView showFormulas="false" showGridLines="false" showRowColHeaders="true" showZeros="true" rightToLeft="false" tabSelected="false" showOutlineSymbols="true" defaultGridColor="true" view="normal" topLeftCell="A280" colorId="64" zoomScale="100" zoomScaleNormal="100" zoomScalePageLayoutView="100" workbookViewId="0">
      <selection pane="topLeft" activeCell="B307" activeCellId="0" sqref="B307"/>
    </sheetView>
  </sheetViews>
  <sheetFormatPr defaultColWidth="9" defaultRowHeight="16.5" zeroHeight="false" outlineLevelRow="0" outlineLevelCol="0"/>
  <cols>
    <col collapsed="false" customWidth="true" hidden="false" outlineLevel="0" max="1" min="1" style="9" width="2"/>
    <col collapsed="false" customWidth="true" hidden="false" outlineLevel="0" max="2" min="2" style="10" width="118"/>
    <col collapsed="false" customWidth="false" hidden="true" outlineLevel="0" max="3" min="3" style="11" width="9"/>
    <col collapsed="false" customWidth="false" hidden="true" outlineLevel="0" max="4" min="4" style="10" width="9"/>
    <col collapsed="false" customWidth="false" hidden="true" outlineLevel="0" max="5" min="5" style="11" width="9"/>
    <col collapsed="false" customWidth="false" hidden="true" outlineLevel="0" max="6" min="6" style="12" width="9"/>
    <col collapsed="false" customWidth="false" hidden="true" outlineLevel="0" max="7" min="7" style="13" width="9"/>
    <col collapsed="false" customWidth="false" hidden="false" outlineLevel="0" max="256" min="8" style="12" width="9"/>
    <col collapsed="false" customWidth="true" hidden="false" outlineLevel="0" max="257" min="257" style="12" width="4.63"/>
    <col collapsed="false" customWidth="true" hidden="false" outlineLevel="0" max="258" min="258" style="12" width="127.13"/>
    <col collapsed="false" customWidth="false" hidden="false" outlineLevel="0" max="512" min="259" style="12" width="9"/>
    <col collapsed="false" customWidth="true" hidden="false" outlineLevel="0" max="513" min="513" style="12" width="4.63"/>
    <col collapsed="false" customWidth="true" hidden="false" outlineLevel="0" max="514" min="514" style="12" width="127.13"/>
    <col collapsed="false" customWidth="false" hidden="false" outlineLevel="0" max="768" min="515" style="12" width="9"/>
    <col collapsed="false" customWidth="true" hidden="false" outlineLevel="0" max="769" min="769" style="12" width="4.63"/>
    <col collapsed="false" customWidth="true" hidden="false" outlineLevel="0" max="770" min="770" style="12" width="127.13"/>
    <col collapsed="false" customWidth="false" hidden="false" outlineLevel="0" max="1024" min="771" style="12" width="9"/>
    <col collapsed="false" customWidth="true" hidden="false" outlineLevel="0" max="1025" min="1025" style="12" width="4.63"/>
    <col collapsed="false" customWidth="true" hidden="false" outlineLevel="0" max="1026" min="1026" style="12" width="127.13"/>
    <col collapsed="false" customWidth="false" hidden="false" outlineLevel="0" max="1280" min="1027" style="12" width="9"/>
    <col collapsed="false" customWidth="true" hidden="false" outlineLevel="0" max="1281" min="1281" style="12" width="4.63"/>
    <col collapsed="false" customWidth="true" hidden="false" outlineLevel="0" max="1282" min="1282" style="12" width="127.13"/>
    <col collapsed="false" customWidth="false" hidden="false" outlineLevel="0" max="1536" min="1283" style="12" width="9"/>
    <col collapsed="false" customWidth="true" hidden="false" outlineLevel="0" max="1537" min="1537" style="12" width="4.63"/>
    <col collapsed="false" customWidth="true" hidden="false" outlineLevel="0" max="1538" min="1538" style="12" width="127.13"/>
    <col collapsed="false" customWidth="false" hidden="false" outlineLevel="0" max="1792" min="1539" style="12" width="9"/>
    <col collapsed="false" customWidth="true" hidden="false" outlineLevel="0" max="1793" min="1793" style="12" width="4.63"/>
    <col collapsed="false" customWidth="true" hidden="false" outlineLevel="0" max="1794" min="1794" style="12" width="127.13"/>
    <col collapsed="false" customWidth="false" hidden="false" outlineLevel="0" max="2048" min="1795" style="12" width="9"/>
    <col collapsed="false" customWidth="true" hidden="false" outlineLevel="0" max="2049" min="2049" style="12" width="4.63"/>
    <col collapsed="false" customWidth="true" hidden="false" outlineLevel="0" max="2050" min="2050" style="12" width="127.13"/>
    <col collapsed="false" customWidth="false" hidden="false" outlineLevel="0" max="2304" min="2051" style="12" width="9"/>
    <col collapsed="false" customWidth="true" hidden="false" outlineLevel="0" max="2305" min="2305" style="12" width="4.63"/>
    <col collapsed="false" customWidth="true" hidden="false" outlineLevel="0" max="2306" min="2306" style="12" width="127.13"/>
    <col collapsed="false" customWidth="false" hidden="false" outlineLevel="0" max="2560" min="2307" style="12" width="9"/>
    <col collapsed="false" customWidth="true" hidden="false" outlineLevel="0" max="2561" min="2561" style="12" width="4.63"/>
    <col collapsed="false" customWidth="true" hidden="false" outlineLevel="0" max="2562" min="2562" style="12" width="127.13"/>
    <col collapsed="false" customWidth="false" hidden="false" outlineLevel="0" max="2816" min="2563" style="12" width="9"/>
    <col collapsed="false" customWidth="true" hidden="false" outlineLevel="0" max="2817" min="2817" style="12" width="4.63"/>
    <col collapsed="false" customWidth="true" hidden="false" outlineLevel="0" max="2818" min="2818" style="12" width="127.13"/>
    <col collapsed="false" customWidth="false" hidden="false" outlineLevel="0" max="3072" min="2819" style="12" width="9"/>
    <col collapsed="false" customWidth="true" hidden="false" outlineLevel="0" max="3073" min="3073" style="12" width="4.63"/>
    <col collapsed="false" customWidth="true" hidden="false" outlineLevel="0" max="3074" min="3074" style="12" width="127.13"/>
    <col collapsed="false" customWidth="false" hidden="false" outlineLevel="0" max="3328" min="3075" style="12" width="9"/>
    <col collapsed="false" customWidth="true" hidden="false" outlineLevel="0" max="3329" min="3329" style="12" width="4.63"/>
    <col collapsed="false" customWidth="true" hidden="false" outlineLevel="0" max="3330" min="3330" style="12" width="127.13"/>
    <col collapsed="false" customWidth="false" hidden="false" outlineLevel="0" max="3584" min="3331" style="12" width="9"/>
    <col collapsed="false" customWidth="true" hidden="false" outlineLevel="0" max="3585" min="3585" style="12" width="4.63"/>
    <col collapsed="false" customWidth="true" hidden="false" outlineLevel="0" max="3586" min="3586" style="12" width="127.13"/>
    <col collapsed="false" customWidth="false" hidden="false" outlineLevel="0" max="3840" min="3587" style="12" width="9"/>
    <col collapsed="false" customWidth="true" hidden="false" outlineLevel="0" max="3841" min="3841" style="12" width="4.63"/>
    <col collapsed="false" customWidth="true" hidden="false" outlineLevel="0" max="3842" min="3842" style="12" width="127.13"/>
    <col collapsed="false" customWidth="false" hidden="false" outlineLevel="0" max="4096" min="3843" style="12" width="9"/>
    <col collapsed="false" customWidth="true" hidden="false" outlineLevel="0" max="4097" min="4097" style="12" width="4.63"/>
    <col collapsed="false" customWidth="true" hidden="false" outlineLevel="0" max="4098" min="4098" style="12" width="127.13"/>
    <col collapsed="false" customWidth="false" hidden="false" outlineLevel="0" max="4352" min="4099" style="12" width="9"/>
    <col collapsed="false" customWidth="true" hidden="false" outlineLevel="0" max="4353" min="4353" style="12" width="4.63"/>
    <col collapsed="false" customWidth="true" hidden="false" outlineLevel="0" max="4354" min="4354" style="12" width="127.13"/>
    <col collapsed="false" customWidth="false" hidden="false" outlineLevel="0" max="4608" min="4355" style="12" width="9"/>
    <col collapsed="false" customWidth="true" hidden="false" outlineLevel="0" max="4609" min="4609" style="12" width="4.63"/>
    <col collapsed="false" customWidth="true" hidden="false" outlineLevel="0" max="4610" min="4610" style="12" width="127.13"/>
    <col collapsed="false" customWidth="false" hidden="false" outlineLevel="0" max="4864" min="4611" style="12" width="9"/>
    <col collapsed="false" customWidth="true" hidden="false" outlineLevel="0" max="4865" min="4865" style="12" width="4.63"/>
    <col collapsed="false" customWidth="true" hidden="false" outlineLevel="0" max="4866" min="4866" style="12" width="127.13"/>
    <col collapsed="false" customWidth="false" hidden="false" outlineLevel="0" max="5120" min="4867" style="12" width="9"/>
    <col collapsed="false" customWidth="true" hidden="false" outlineLevel="0" max="5121" min="5121" style="12" width="4.63"/>
    <col collapsed="false" customWidth="true" hidden="false" outlineLevel="0" max="5122" min="5122" style="12" width="127.13"/>
    <col collapsed="false" customWidth="false" hidden="false" outlineLevel="0" max="5376" min="5123" style="12" width="9"/>
    <col collapsed="false" customWidth="true" hidden="false" outlineLevel="0" max="5377" min="5377" style="12" width="4.63"/>
    <col collapsed="false" customWidth="true" hidden="false" outlineLevel="0" max="5378" min="5378" style="12" width="127.13"/>
    <col collapsed="false" customWidth="false" hidden="false" outlineLevel="0" max="5632" min="5379" style="12" width="9"/>
    <col collapsed="false" customWidth="true" hidden="false" outlineLevel="0" max="5633" min="5633" style="12" width="4.63"/>
    <col collapsed="false" customWidth="true" hidden="false" outlineLevel="0" max="5634" min="5634" style="12" width="127.13"/>
    <col collapsed="false" customWidth="false" hidden="false" outlineLevel="0" max="5888" min="5635" style="12" width="9"/>
    <col collapsed="false" customWidth="true" hidden="false" outlineLevel="0" max="5889" min="5889" style="12" width="4.63"/>
    <col collapsed="false" customWidth="true" hidden="false" outlineLevel="0" max="5890" min="5890" style="12" width="127.13"/>
    <col collapsed="false" customWidth="false" hidden="false" outlineLevel="0" max="6144" min="5891" style="12" width="9"/>
    <col collapsed="false" customWidth="true" hidden="false" outlineLevel="0" max="6145" min="6145" style="12" width="4.63"/>
    <col collapsed="false" customWidth="true" hidden="false" outlineLevel="0" max="6146" min="6146" style="12" width="127.13"/>
    <col collapsed="false" customWidth="false" hidden="false" outlineLevel="0" max="6400" min="6147" style="12" width="9"/>
    <col collapsed="false" customWidth="true" hidden="false" outlineLevel="0" max="6401" min="6401" style="12" width="4.63"/>
    <col collapsed="false" customWidth="true" hidden="false" outlineLevel="0" max="6402" min="6402" style="12" width="127.13"/>
    <col collapsed="false" customWidth="false" hidden="false" outlineLevel="0" max="6656" min="6403" style="12" width="9"/>
    <col collapsed="false" customWidth="true" hidden="false" outlineLevel="0" max="6657" min="6657" style="12" width="4.63"/>
    <col collapsed="false" customWidth="true" hidden="false" outlineLevel="0" max="6658" min="6658" style="12" width="127.13"/>
    <col collapsed="false" customWidth="false" hidden="false" outlineLevel="0" max="6912" min="6659" style="12" width="9"/>
    <col collapsed="false" customWidth="true" hidden="false" outlineLevel="0" max="6913" min="6913" style="12" width="4.63"/>
    <col collapsed="false" customWidth="true" hidden="false" outlineLevel="0" max="6914" min="6914" style="12" width="127.13"/>
    <col collapsed="false" customWidth="false" hidden="false" outlineLevel="0" max="7168" min="6915" style="12" width="9"/>
    <col collapsed="false" customWidth="true" hidden="false" outlineLevel="0" max="7169" min="7169" style="12" width="4.63"/>
    <col collapsed="false" customWidth="true" hidden="false" outlineLevel="0" max="7170" min="7170" style="12" width="127.13"/>
    <col collapsed="false" customWidth="false" hidden="false" outlineLevel="0" max="7424" min="7171" style="12" width="9"/>
    <col collapsed="false" customWidth="true" hidden="false" outlineLevel="0" max="7425" min="7425" style="12" width="4.63"/>
    <col collapsed="false" customWidth="true" hidden="false" outlineLevel="0" max="7426" min="7426" style="12" width="127.13"/>
    <col collapsed="false" customWidth="false" hidden="false" outlineLevel="0" max="7680" min="7427" style="12" width="9"/>
    <col collapsed="false" customWidth="true" hidden="false" outlineLevel="0" max="7681" min="7681" style="12" width="4.63"/>
    <col collapsed="false" customWidth="true" hidden="false" outlineLevel="0" max="7682" min="7682" style="12" width="127.13"/>
    <col collapsed="false" customWidth="false" hidden="false" outlineLevel="0" max="7936" min="7683" style="12" width="9"/>
    <col collapsed="false" customWidth="true" hidden="false" outlineLevel="0" max="7937" min="7937" style="12" width="4.63"/>
    <col collapsed="false" customWidth="true" hidden="false" outlineLevel="0" max="7938" min="7938" style="12" width="127.13"/>
    <col collapsed="false" customWidth="false" hidden="false" outlineLevel="0" max="8192" min="7939" style="12" width="9"/>
    <col collapsed="false" customWidth="true" hidden="false" outlineLevel="0" max="8193" min="8193" style="12" width="4.63"/>
    <col collapsed="false" customWidth="true" hidden="false" outlineLevel="0" max="8194" min="8194" style="12" width="127.13"/>
    <col collapsed="false" customWidth="false" hidden="false" outlineLevel="0" max="8448" min="8195" style="12" width="9"/>
    <col collapsed="false" customWidth="true" hidden="false" outlineLevel="0" max="8449" min="8449" style="12" width="4.63"/>
    <col collapsed="false" customWidth="true" hidden="false" outlineLevel="0" max="8450" min="8450" style="12" width="127.13"/>
    <col collapsed="false" customWidth="false" hidden="false" outlineLevel="0" max="8704" min="8451" style="12" width="9"/>
    <col collapsed="false" customWidth="true" hidden="false" outlineLevel="0" max="8705" min="8705" style="12" width="4.63"/>
    <col collapsed="false" customWidth="true" hidden="false" outlineLevel="0" max="8706" min="8706" style="12" width="127.13"/>
    <col collapsed="false" customWidth="false" hidden="false" outlineLevel="0" max="8960" min="8707" style="12" width="9"/>
    <col collapsed="false" customWidth="true" hidden="false" outlineLevel="0" max="8961" min="8961" style="12" width="4.63"/>
    <col collapsed="false" customWidth="true" hidden="false" outlineLevel="0" max="8962" min="8962" style="12" width="127.13"/>
    <col collapsed="false" customWidth="false" hidden="false" outlineLevel="0" max="9216" min="8963" style="12" width="9"/>
    <col collapsed="false" customWidth="true" hidden="false" outlineLevel="0" max="9217" min="9217" style="12" width="4.63"/>
    <col collapsed="false" customWidth="true" hidden="false" outlineLevel="0" max="9218" min="9218" style="12" width="127.13"/>
    <col collapsed="false" customWidth="false" hidden="false" outlineLevel="0" max="9472" min="9219" style="12" width="9"/>
    <col collapsed="false" customWidth="true" hidden="false" outlineLevel="0" max="9473" min="9473" style="12" width="4.63"/>
    <col collapsed="false" customWidth="true" hidden="false" outlineLevel="0" max="9474" min="9474" style="12" width="127.13"/>
    <col collapsed="false" customWidth="false" hidden="false" outlineLevel="0" max="9728" min="9475" style="12" width="9"/>
    <col collapsed="false" customWidth="true" hidden="false" outlineLevel="0" max="9729" min="9729" style="12" width="4.63"/>
    <col collapsed="false" customWidth="true" hidden="false" outlineLevel="0" max="9730" min="9730" style="12" width="127.13"/>
    <col collapsed="false" customWidth="false" hidden="false" outlineLevel="0" max="9984" min="9731" style="12" width="9"/>
    <col collapsed="false" customWidth="true" hidden="false" outlineLevel="0" max="9985" min="9985" style="12" width="4.63"/>
    <col collapsed="false" customWidth="true" hidden="false" outlineLevel="0" max="9986" min="9986" style="12" width="127.13"/>
    <col collapsed="false" customWidth="false" hidden="false" outlineLevel="0" max="10240" min="9987" style="12" width="9"/>
    <col collapsed="false" customWidth="true" hidden="false" outlineLevel="0" max="10241" min="10241" style="12" width="4.63"/>
    <col collapsed="false" customWidth="true" hidden="false" outlineLevel="0" max="10242" min="10242" style="12" width="127.13"/>
    <col collapsed="false" customWidth="false" hidden="false" outlineLevel="0" max="10496" min="10243" style="12" width="9"/>
    <col collapsed="false" customWidth="true" hidden="false" outlineLevel="0" max="10497" min="10497" style="12" width="4.63"/>
    <col collapsed="false" customWidth="true" hidden="false" outlineLevel="0" max="10498" min="10498" style="12" width="127.13"/>
    <col collapsed="false" customWidth="false" hidden="false" outlineLevel="0" max="10752" min="10499" style="12" width="9"/>
    <col collapsed="false" customWidth="true" hidden="false" outlineLevel="0" max="10753" min="10753" style="12" width="4.63"/>
    <col collapsed="false" customWidth="true" hidden="false" outlineLevel="0" max="10754" min="10754" style="12" width="127.13"/>
    <col collapsed="false" customWidth="false" hidden="false" outlineLevel="0" max="11008" min="10755" style="12" width="9"/>
    <col collapsed="false" customWidth="true" hidden="false" outlineLevel="0" max="11009" min="11009" style="12" width="4.63"/>
    <col collapsed="false" customWidth="true" hidden="false" outlineLevel="0" max="11010" min="11010" style="12" width="127.13"/>
    <col collapsed="false" customWidth="false" hidden="false" outlineLevel="0" max="11264" min="11011" style="12" width="9"/>
    <col collapsed="false" customWidth="true" hidden="false" outlineLevel="0" max="11265" min="11265" style="12" width="4.63"/>
    <col collapsed="false" customWidth="true" hidden="false" outlineLevel="0" max="11266" min="11266" style="12" width="127.13"/>
    <col collapsed="false" customWidth="false" hidden="false" outlineLevel="0" max="11520" min="11267" style="12" width="9"/>
    <col collapsed="false" customWidth="true" hidden="false" outlineLevel="0" max="11521" min="11521" style="12" width="4.63"/>
    <col collapsed="false" customWidth="true" hidden="false" outlineLevel="0" max="11522" min="11522" style="12" width="127.13"/>
    <col collapsed="false" customWidth="false" hidden="false" outlineLevel="0" max="11776" min="11523" style="12" width="9"/>
    <col collapsed="false" customWidth="true" hidden="false" outlineLevel="0" max="11777" min="11777" style="12" width="4.63"/>
    <col collapsed="false" customWidth="true" hidden="false" outlineLevel="0" max="11778" min="11778" style="12" width="127.13"/>
    <col collapsed="false" customWidth="false" hidden="false" outlineLevel="0" max="12032" min="11779" style="12" width="9"/>
    <col collapsed="false" customWidth="true" hidden="false" outlineLevel="0" max="12033" min="12033" style="12" width="4.63"/>
    <col collapsed="false" customWidth="true" hidden="false" outlineLevel="0" max="12034" min="12034" style="12" width="127.13"/>
    <col collapsed="false" customWidth="false" hidden="false" outlineLevel="0" max="12288" min="12035" style="12" width="9"/>
    <col collapsed="false" customWidth="true" hidden="false" outlineLevel="0" max="12289" min="12289" style="12" width="4.63"/>
    <col collapsed="false" customWidth="true" hidden="false" outlineLevel="0" max="12290" min="12290" style="12" width="127.13"/>
    <col collapsed="false" customWidth="false" hidden="false" outlineLevel="0" max="12544" min="12291" style="12" width="9"/>
    <col collapsed="false" customWidth="true" hidden="false" outlineLevel="0" max="12545" min="12545" style="12" width="4.63"/>
    <col collapsed="false" customWidth="true" hidden="false" outlineLevel="0" max="12546" min="12546" style="12" width="127.13"/>
    <col collapsed="false" customWidth="false" hidden="false" outlineLevel="0" max="12800" min="12547" style="12" width="9"/>
    <col collapsed="false" customWidth="true" hidden="false" outlineLevel="0" max="12801" min="12801" style="12" width="4.63"/>
    <col collapsed="false" customWidth="true" hidden="false" outlineLevel="0" max="12802" min="12802" style="12" width="127.13"/>
    <col collapsed="false" customWidth="false" hidden="false" outlineLevel="0" max="13056" min="12803" style="12" width="9"/>
    <col collapsed="false" customWidth="true" hidden="false" outlineLevel="0" max="13057" min="13057" style="12" width="4.63"/>
    <col collapsed="false" customWidth="true" hidden="false" outlineLevel="0" max="13058" min="13058" style="12" width="127.13"/>
    <col collapsed="false" customWidth="false" hidden="false" outlineLevel="0" max="13312" min="13059" style="12" width="9"/>
    <col collapsed="false" customWidth="true" hidden="false" outlineLevel="0" max="13313" min="13313" style="12" width="4.63"/>
    <col collapsed="false" customWidth="true" hidden="false" outlineLevel="0" max="13314" min="13314" style="12" width="127.13"/>
    <col collapsed="false" customWidth="false" hidden="false" outlineLevel="0" max="13568" min="13315" style="12" width="9"/>
    <col collapsed="false" customWidth="true" hidden="false" outlineLevel="0" max="13569" min="13569" style="12" width="4.63"/>
    <col collapsed="false" customWidth="true" hidden="false" outlineLevel="0" max="13570" min="13570" style="12" width="127.13"/>
    <col collapsed="false" customWidth="false" hidden="false" outlineLevel="0" max="13824" min="13571" style="12" width="9"/>
    <col collapsed="false" customWidth="true" hidden="false" outlineLevel="0" max="13825" min="13825" style="12" width="4.63"/>
    <col collapsed="false" customWidth="true" hidden="false" outlineLevel="0" max="13826" min="13826" style="12" width="127.13"/>
    <col collapsed="false" customWidth="false" hidden="false" outlineLevel="0" max="14080" min="13827" style="12" width="9"/>
    <col collapsed="false" customWidth="true" hidden="false" outlineLevel="0" max="14081" min="14081" style="12" width="4.63"/>
    <col collapsed="false" customWidth="true" hidden="false" outlineLevel="0" max="14082" min="14082" style="12" width="127.13"/>
    <col collapsed="false" customWidth="false" hidden="false" outlineLevel="0" max="14336" min="14083" style="12" width="9"/>
    <col collapsed="false" customWidth="true" hidden="false" outlineLevel="0" max="14337" min="14337" style="12" width="4.63"/>
    <col collapsed="false" customWidth="true" hidden="false" outlineLevel="0" max="14338" min="14338" style="12" width="127.13"/>
    <col collapsed="false" customWidth="false" hidden="false" outlineLevel="0" max="14592" min="14339" style="12" width="9"/>
    <col collapsed="false" customWidth="true" hidden="false" outlineLevel="0" max="14593" min="14593" style="12" width="4.63"/>
    <col collapsed="false" customWidth="true" hidden="false" outlineLevel="0" max="14594" min="14594" style="12" width="127.13"/>
    <col collapsed="false" customWidth="false" hidden="false" outlineLevel="0" max="14848" min="14595" style="12" width="9"/>
    <col collapsed="false" customWidth="true" hidden="false" outlineLevel="0" max="14849" min="14849" style="12" width="4.63"/>
    <col collapsed="false" customWidth="true" hidden="false" outlineLevel="0" max="14850" min="14850" style="12" width="127.13"/>
    <col collapsed="false" customWidth="false" hidden="false" outlineLevel="0" max="15104" min="14851" style="12" width="9"/>
    <col collapsed="false" customWidth="true" hidden="false" outlineLevel="0" max="15105" min="15105" style="12" width="4.63"/>
    <col collapsed="false" customWidth="true" hidden="false" outlineLevel="0" max="15106" min="15106" style="12" width="127.13"/>
    <col collapsed="false" customWidth="false" hidden="false" outlineLevel="0" max="15360" min="15107" style="12" width="9"/>
    <col collapsed="false" customWidth="true" hidden="false" outlineLevel="0" max="15361" min="15361" style="12" width="4.63"/>
    <col collapsed="false" customWidth="true" hidden="false" outlineLevel="0" max="15362" min="15362" style="12" width="127.13"/>
    <col collapsed="false" customWidth="false" hidden="false" outlineLevel="0" max="15616" min="15363" style="12" width="9"/>
    <col collapsed="false" customWidth="true" hidden="false" outlineLevel="0" max="15617" min="15617" style="12" width="4.63"/>
    <col collapsed="false" customWidth="true" hidden="false" outlineLevel="0" max="15618" min="15618" style="12" width="127.13"/>
    <col collapsed="false" customWidth="false" hidden="false" outlineLevel="0" max="15872" min="15619" style="12" width="9"/>
    <col collapsed="false" customWidth="true" hidden="false" outlineLevel="0" max="15873" min="15873" style="12" width="4.63"/>
    <col collapsed="false" customWidth="true" hidden="false" outlineLevel="0" max="15874" min="15874" style="12" width="127.13"/>
    <col collapsed="false" customWidth="false" hidden="false" outlineLevel="0" max="16128" min="15875" style="12" width="9"/>
    <col collapsed="false" customWidth="true" hidden="false" outlineLevel="0" max="16129" min="16129" style="12" width="4.63"/>
    <col collapsed="false" customWidth="true" hidden="false" outlineLevel="0" max="16130" min="16130" style="12" width="127.13"/>
    <col collapsed="false" customWidth="false" hidden="false" outlineLevel="0" max="16384" min="16131" style="12" width="9"/>
  </cols>
  <sheetData>
    <row r="1" customFormat="false" ht="16.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5.5" hidden="false" customHeight="true" outlineLevel="0" collapsed="false">
      <c r="A2" s="2"/>
      <c r="B2" s="3" t="s">
        <v>15</v>
      </c>
      <c r="C2" s="2"/>
      <c r="D2" s="2"/>
      <c r="E2" s="2"/>
      <c r="F2" s="2"/>
      <c r="G2" s="2"/>
    </row>
    <row r="3" customFormat="false" ht="27" hidden="false" customHeight="true" outlineLevel="0" collapsed="false">
      <c r="A3" s="2"/>
      <c r="B3" s="14" t="s">
        <v>16</v>
      </c>
      <c r="C3" s="2"/>
      <c r="D3" s="2"/>
      <c r="E3" s="2"/>
      <c r="F3" s="2"/>
      <c r="G3" s="2"/>
    </row>
    <row r="4" customFormat="false" ht="16.5" hidden="false" customHeight="true" outlineLevel="0" collapsed="false">
      <c r="A4" s="2"/>
      <c r="B4" s="15"/>
      <c r="C4" s="2"/>
      <c r="D4" s="2"/>
      <c r="E4" s="2"/>
      <c r="F4" s="2"/>
      <c r="G4" s="2"/>
    </row>
    <row r="5" customFormat="false" ht="21.75" hidden="false" customHeight="true" outlineLevel="0" collapsed="false">
      <c r="A5" s="2"/>
      <c r="B5" s="16" t="s">
        <v>17</v>
      </c>
      <c r="C5" s="2"/>
      <c r="D5" s="2"/>
      <c r="E5" s="2"/>
      <c r="F5" s="2"/>
      <c r="G5" s="2"/>
    </row>
    <row r="6" customFormat="false" ht="16.5" hidden="false" customHeight="false" outlineLevel="0" collapsed="false">
      <c r="A6" s="2"/>
      <c r="B6" s="17" t="s">
        <v>18</v>
      </c>
      <c r="C6" s="2"/>
      <c r="D6" s="2"/>
      <c r="E6" s="2"/>
      <c r="F6" s="2"/>
      <c r="G6" s="2"/>
    </row>
    <row r="7" customFormat="false" ht="16.5" hidden="false" customHeight="true" outlineLevel="0" collapsed="false">
      <c r="A7" s="2"/>
      <c r="B7" s="15" t="s">
        <v>19</v>
      </c>
      <c r="C7" s="2"/>
      <c r="D7" s="2"/>
      <c r="E7" s="2"/>
      <c r="F7" s="2"/>
      <c r="G7" s="2"/>
    </row>
    <row r="8" customFormat="false" ht="16.5" hidden="false" customHeight="false" outlineLevel="0" collapsed="false">
      <c r="A8" s="2"/>
      <c r="B8" s="15" t="s">
        <v>20</v>
      </c>
      <c r="C8" s="2"/>
      <c r="D8" s="2"/>
      <c r="E8" s="2"/>
      <c r="F8" s="2"/>
      <c r="G8" s="2"/>
    </row>
    <row r="9" customFormat="false" ht="16.5" hidden="false" customHeight="false" outlineLevel="0" collapsed="false">
      <c r="A9" s="2"/>
      <c r="B9" s="17" t="s">
        <v>21</v>
      </c>
      <c r="C9" s="2"/>
      <c r="D9" s="2"/>
      <c r="E9" s="2"/>
      <c r="F9" s="2"/>
      <c r="G9" s="2"/>
    </row>
    <row r="10" customFormat="false" ht="16.5" hidden="false" customHeight="true" outlineLevel="0" collapsed="false">
      <c r="A10" s="2"/>
      <c r="B10" s="15"/>
      <c r="C10" s="2"/>
      <c r="D10" s="2"/>
      <c r="E10" s="2"/>
      <c r="F10" s="2"/>
      <c r="G10" s="2"/>
    </row>
    <row r="11" customFormat="false" ht="21.75" hidden="false" customHeight="true" outlineLevel="0" collapsed="false">
      <c r="A11" s="2"/>
      <c r="B11" s="16" t="s">
        <v>22</v>
      </c>
      <c r="C11" s="2"/>
      <c r="D11" s="2"/>
      <c r="E11" s="2"/>
      <c r="F11" s="2"/>
      <c r="G11" s="2"/>
    </row>
    <row r="12" customFormat="false" ht="16.5" hidden="false" customHeight="true" outlineLevel="0" collapsed="false">
      <c r="A12" s="2"/>
      <c r="B12" s="15" t="s">
        <v>23</v>
      </c>
      <c r="C12" s="2"/>
      <c r="D12" s="2"/>
      <c r="E12" s="2"/>
      <c r="F12" s="2"/>
      <c r="G12" s="2"/>
    </row>
    <row r="13" customFormat="false" ht="16.5" hidden="false" customHeight="false" outlineLevel="0" collapsed="false">
      <c r="A13" s="2"/>
      <c r="B13" s="15" t="s">
        <v>24</v>
      </c>
      <c r="C13" s="2"/>
      <c r="D13" s="2"/>
      <c r="E13" s="2"/>
      <c r="F13" s="2"/>
      <c r="G13" s="2"/>
    </row>
    <row r="14" customFormat="false" ht="16.5" hidden="false" customHeight="false" outlineLevel="0" collapsed="false">
      <c r="A14" s="2"/>
      <c r="B14" s="15"/>
      <c r="C14" s="2"/>
      <c r="D14" s="2"/>
      <c r="E14" s="2"/>
      <c r="F14" s="2"/>
      <c r="G14" s="2"/>
    </row>
    <row r="15" customFormat="false" ht="21.75" hidden="false" customHeight="true" outlineLevel="0" collapsed="false">
      <c r="A15" s="2"/>
      <c r="B15" s="16" t="s">
        <v>25</v>
      </c>
      <c r="C15" s="2"/>
      <c r="D15" s="2"/>
      <c r="E15" s="2"/>
      <c r="F15" s="2"/>
      <c r="G15" s="2"/>
    </row>
    <row r="16" customFormat="false" ht="16.5" hidden="false" customHeight="true" outlineLevel="0" collapsed="false">
      <c r="A16" s="2"/>
      <c r="B16" s="15" t="s">
        <v>26</v>
      </c>
      <c r="C16" s="2"/>
      <c r="D16" s="2"/>
      <c r="E16" s="2"/>
      <c r="F16" s="2"/>
      <c r="G16" s="2"/>
    </row>
    <row r="17" customFormat="false" ht="16.5" hidden="false" customHeight="false" outlineLevel="0" collapsed="false">
      <c r="A17" s="2"/>
      <c r="B17" s="15" t="s">
        <v>27</v>
      </c>
      <c r="C17" s="2"/>
      <c r="D17" s="2"/>
      <c r="E17" s="2"/>
      <c r="F17" s="2"/>
      <c r="G17" s="2"/>
    </row>
    <row r="18" customFormat="false" ht="16.5" hidden="false" customHeight="true" outlineLevel="0" collapsed="false">
      <c r="A18" s="2"/>
      <c r="B18" s="15" t="s">
        <v>28</v>
      </c>
      <c r="C18" s="2"/>
      <c r="D18" s="2"/>
      <c r="E18" s="2"/>
      <c r="F18" s="2"/>
      <c r="G18" s="2"/>
    </row>
    <row r="19" customFormat="false" ht="16.5" hidden="false" customHeight="true" outlineLevel="0" collapsed="false">
      <c r="A19" s="2"/>
      <c r="B19" s="15" t="s">
        <v>29</v>
      </c>
      <c r="C19" s="2"/>
      <c r="D19" s="2"/>
      <c r="E19" s="2"/>
      <c r="F19" s="2"/>
      <c r="G19" s="2"/>
    </row>
    <row r="20" customFormat="false" ht="16.5" hidden="false" customHeight="true" outlineLevel="0" collapsed="false">
      <c r="A20" s="2"/>
      <c r="B20" s="15" t="s">
        <v>30</v>
      </c>
      <c r="C20" s="2"/>
      <c r="D20" s="2"/>
      <c r="E20" s="2"/>
      <c r="F20" s="2"/>
      <c r="G20" s="2"/>
    </row>
    <row r="21" customFormat="false" ht="16.5" hidden="false" customHeight="true" outlineLevel="0" collapsed="false">
      <c r="A21" s="2"/>
      <c r="B21" s="15" t="s">
        <v>31</v>
      </c>
      <c r="C21" s="2"/>
      <c r="D21" s="2"/>
      <c r="E21" s="2"/>
      <c r="F21" s="2"/>
      <c r="G21" s="2"/>
    </row>
    <row r="22" customFormat="false" ht="16.5" hidden="false" customHeight="true" outlineLevel="0" collapsed="false">
      <c r="A22" s="2"/>
      <c r="B22" s="18" t="s">
        <v>32</v>
      </c>
      <c r="C22" s="2"/>
      <c r="D22" s="2"/>
      <c r="E22" s="2"/>
      <c r="F22" s="2"/>
      <c r="G22" s="2"/>
    </row>
    <row r="23" customFormat="false" ht="16.5" hidden="false" customHeight="true" outlineLevel="0" collapsed="false">
      <c r="A23" s="2"/>
      <c r="B23" s="15"/>
      <c r="C23" s="2"/>
      <c r="D23" s="2"/>
      <c r="E23" s="2"/>
      <c r="F23" s="2"/>
      <c r="G23" s="2"/>
    </row>
    <row r="24" customFormat="false" ht="21.75" hidden="false" customHeight="true" outlineLevel="0" collapsed="false">
      <c r="A24" s="2"/>
      <c r="B24" s="16" t="s">
        <v>33</v>
      </c>
      <c r="C24" s="2"/>
      <c r="D24" s="2"/>
      <c r="E24" s="2"/>
      <c r="F24" s="2"/>
      <c r="G24" s="2"/>
    </row>
    <row r="25" customFormat="false" ht="16.5" hidden="false" customHeight="true" outlineLevel="0" collapsed="false">
      <c r="A25" s="2"/>
      <c r="B25" s="15" t="s">
        <v>34</v>
      </c>
      <c r="C25" s="2"/>
      <c r="D25" s="2"/>
      <c r="E25" s="2"/>
      <c r="F25" s="2"/>
      <c r="G25" s="2"/>
    </row>
    <row r="26" customFormat="false" ht="16.5" hidden="false" customHeight="true" outlineLevel="0" collapsed="false">
      <c r="A26" s="2"/>
      <c r="B26" s="15" t="s">
        <v>35</v>
      </c>
      <c r="C26" s="2"/>
      <c r="D26" s="2"/>
      <c r="E26" s="2"/>
      <c r="F26" s="2"/>
      <c r="G26" s="2"/>
    </row>
    <row r="27" customFormat="false" ht="16.5" hidden="false" customHeight="true" outlineLevel="0" collapsed="false">
      <c r="A27" s="2"/>
      <c r="B27" s="15" t="s">
        <v>36</v>
      </c>
      <c r="C27" s="2"/>
      <c r="D27" s="2"/>
      <c r="E27" s="2"/>
      <c r="F27" s="2"/>
      <c r="G27" s="2"/>
    </row>
    <row r="28" customFormat="false" ht="16.5" hidden="false" customHeight="true" outlineLevel="0" collapsed="false">
      <c r="A28" s="2"/>
      <c r="B28" s="15" t="s">
        <v>37</v>
      </c>
      <c r="C28" s="2"/>
      <c r="D28" s="2"/>
      <c r="E28" s="2"/>
      <c r="F28" s="2"/>
      <c r="G28" s="2"/>
    </row>
    <row r="29" customFormat="false" ht="33" hidden="false" customHeight="true" outlineLevel="0" collapsed="false">
      <c r="A29" s="2"/>
      <c r="B29" s="2"/>
      <c r="C29" s="2"/>
      <c r="D29" s="2"/>
      <c r="E29" s="2"/>
      <c r="F29" s="2"/>
      <c r="G29" s="2"/>
    </row>
    <row r="30" customFormat="false" ht="16.5" hidden="false" customHeight="true" outlineLevel="0" collapsed="false">
      <c r="A30" s="2"/>
      <c r="B30" s="2"/>
      <c r="C30" s="2"/>
      <c r="D30" s="2"/>
      <c r="E30" s="2"/>
      <c r="F30" s="2"/>
      <c r="G30" s="2"/>
    </row>
    <row r="31" customFormat="false" ht="16.5" hidden="false" customHeight="true" outlineLevel="0" collapsed="false">
      <c r="A31" s="2"/>
      <c r="B31" s="2"/>
      <c r="C31" s="2"/>
      <c r="D31" s="2"/>
      <c r="E31" s="2"/>
      <c r="F31" s="2"/>
      <c r="G31" s="2"/>
    </row>
    <row r="32" customFormat="false" ht="16.5" hidden="false" customHeight="true" outlineLevel="0" collapsed="false">
      <c r="A32" s="2"/>
      <c r="B32" s="2"/>
      <c r="C32" s="2"/>
      <c r="D32" s="2"/>
      <c r="E32" s="2"/>
      <c r="F32" s="2"/>
      <c r="G32" s="2"/>
    </row>
    <row r="33" customFormat="false" ht="16.5" hidden="false" customHeight="true" outlineLevel="0" collapsed="false">
      <c r="A33" s="2"/>
      <c r="B33" s="2"/>
      <c r="C33" s="2"/>
      <c r="D33" s="2"/>
      <c r="E33" s="2"/>
      <c r="F33" s="2"/>
      <c r="G33" s="2"/>
    </row>
    <row r="34" customFormat="false" ht="16.5" hidden="false" customHeight="true" outlineLevel="0" collapsed="false">
      <c r="A34" s="2"/>
      <c r="B34" s="2"/>
      <c r="C34" s="2"/>
      <c r="D34" s="2"/>
      <c r="E34" s="2"/>
      <c r="F34" s="2"/>
      <c r="G34" s="2"/>
    </row>
    <row r="35" customFormat="false" ht="16.5" hidden="false" customHeight="true" outlineLevel="0" collapsed="false">
      <c r="A35" s="2"/>
      <c r="B35" s="2"/>
      <c r="C35" s="2"/>
      <c r="D35" s="2"/>
      <c r="E35" s="2"/>
      <c r="F35" s="2"/>
      <c r="G35" s="2"/>
    </row>
    <row r="36" customFormat="false" ht="33" hidden="false" customHeight="true" outlineLevel="0" collapsed="false">
      <c r="A36" s="2"/>
      <c r="B36" s="2"/>
      <c r="C36" s="2"/>
      <c r="D36" s="2"/>
      <c r="E36" s="2"/>
      <c r="F36" s="2"/>
      <c r="G36" s="2"/>
    </row>
    <row r="37" customFormat="false" ht="33" hidden="false" customHeight="true" outlineLevel="0" collapsed="false">
      <c r="A37" s="2"/>
      <c r="B37" s="2"/>
      <c r="C37" s="2"/>
      <c r="D37" s="2"/>
      <c r="E37" s="2"/>
      <c r="F37" s="2"/>
      <c r="G37" s="2"/>
    </row>
    <row r="38" customFormat="false" ht="16.5" hidden="false" customHeight="true" outlineLevel="0" collapsed="false">
      <c r="A38" s="2"/>
      <c r="B38" s="2"/>
      <c r="C38" s="2"/>
      <c r="D38" s="2"/>
      <c r="E38" s="2"/>
      <c r="F38" s="2"/>
      <c r="G38" s="2"/>
    </row>
    <row r="39" customFormat="false" ht="16.5" hidden="false" customHeight="true" outlineLevel="0" collapsed="false">
      <c r="A39" s="2"/>
      <c r="B39" s="2"/>
      <c r="C39" s="2"/>
      <c r="D39" s="2"/>
      <c r="E39" s="2"/>
      <c r="F39" s="2"/>
      <c r="G39" s="2"/>
    </row>
    <row r="40" customFormat="false" ht="16.5" hidden="false" customHeight="true" outlineLevel="0" collapsed="false">
      <c r="A40" s="2"/>
      <c r="B40" s="2"/>
      <c r="C40" s="2"/>
      <c r="D40" s="2"/>
      <c r="E40" s="2"/>
      <c r="F40" s="2"/>
      <c r="G40" s="2"/>
    </row>
    <row r="41" customFormat="false" ht="16.5" hidden="false" customHeight="true" outlineLevel="0" collapsed="false">
      <c r="A41" s="2"/>
      <c r="B41" s="2"/>
      <c r="C41" s="2"/>
      <c r="D41" s="2"/>
      <c r="E41" s="2"/>
      <c r="F41" s="2"/>
      <c r="G41" s="2"/>
    </row>
    <row r="42" customFormat="false" ht="16.5" hidden="false" customHeight="true" outlineLevel="0" collapsed="false">
      <c r="A42" s="2"/>
      <c r="B42" s="2"/>
      <c r="C42" s="2"/>
      <c r="D42" s="2"/>
      <c r="E42" s="2"/>
      <c r="F42" s="2"/>
      <c r="G42" s="2"/>
    </row>
    <row r="43" customFormat="false" ht="33" hidden="false" customHeight="true" outlineLevel="0" collapsed="false">
      <c r="A43" s="2"/>
      <c r="B43" s="2"/>
      <c r="C43" s="2"/>
      <c r="D43" s="2"/>
      <c r="E43" s="2"/>
      <c r="F43" s="2"/>
      <c r="G43" s="2"/>
    </row>
    <row r="44" customFormat="false" ht="16.5" hidden="false" customHeight="true" outlineLevel="0" collapsed="false">
      <c r="A44" s="2"/>
      <c r="B44" s="2"/>
      <c r="C44" s="2"/>
      <c r="D44" s="2"/>
      <c r="E44" s="2"/>
      <c r="F44" s="2"/>
      <c r="G44" s="2"/>
    </row>
    <row r="45" customFormat="false" ht="16.5" hidden="false" customHeight="true" outlineLevel="0" collapsed="false">
      <c r="A45" s="2"/>
      <c r="B45" s="2"/>
      <c r="C45" s="2"/>
      <c r="D45" s="2"/>
      <c r="E45" s="2"/>
      <c r="F45" s="2"/>
      <c r="G45" s="2"/>
    </row>
    <row r="46" customFormat="false" ht="33" hidden="false" customHeight="true" outlineLevel="0" collapsed="false">
      <c r="A46" s="2"/>
      <c r="B46" s="2"/>
      <c r="C46" s="2"/>
      <c r="D46" s="2"/>
      <c r="E46" s="2"/>
      <c r="F46" s="2"/>
      <c r="G46" s="2"/>
    </row>
    <row r="47" customFormat="false" ht="16.5" hidden="false" customHeight="true" outlineLevel="0" collapsed="false">
      <c r="A47" s="2"/>
      <c r="B47" s="2"/>
      <c r="C47" s="2"/>
      <c r="D47" s="2"/>
      <c r="E47" s="2"/>
      <c r="F47" s="2"/>
      <c r="G47" s="2"/>
    </row>
    <row r="48" customFormat="false" ht="33" hidden="false" customHeight="true" outlineLevel="0" collapsed="false">
      <c r="A48" s="2"/>
      <c r="B48" s="2"/>
      <c r="C48" s="2"/>
      <c r="D48" s="2"/>
      <c r="E48" s="2"/>
      <c r="F48" s="2"/>
      <c r="G48" s="2"/>
    </row>
    <row r="49" customFormat="false" ht="16.5" hidden="false" customHeight="true" outlineLevel="0" collapsed="false">
      <c r="A49" s="2"/>
      <c r="B49" s="2"/>
      <c r="C49" s="2"/>
      <c r="D49" s="2"/>
      <c r="E49" s="2"/>
      <c r="F49" s="2"/>
      <c r="G49" s="2"/>
    </row>
    <row r="50" customFormat="false" ht="33" hidden="false" customHeight="true" outlineLevel="0" collapsed="false">
      <c r="A50" s="2"/>
      <c r="B50" s="2"/>
      <c r="C50" s="2"/>
      <c r="D50" s="2"/>
      <c r="E50" s="2"/>
      <c r="F50" s="2"/>
      <c r="G50" s="2"/>
    </row>
    <row r="51" customFormat="false" ht="33" hidden="false" customHeight="true" outlineLevel="0" collapsed="false">
      <c r="A51" s="2"/>
      <c r="B51" s="2"/>
      <c r="C51" s="2"/>
      <c r="D51" s="2"/>
      <c r="E51" s="2"/>
      <c r="F51" s="2"/>
      <c r="G51" s="2"/>
    </row>
    <row r="52" customFormat="false" ht="33" hidden="false" customHeight="true" outlineLevel="0" collapsed="false">
      <c r="A52" s="2"/>
      <c r="B52" s="2"/>
      <c r="C52" s="2"/>
      <c r="D52" s="2"/>
      <c r="E52" s="2"/>
      <c r="F52" s="2"/>
      <c r="G52" s="2"/>
    </row>
    <row r="53" customFormat="false" ht="33" hidden="false" customHeight="true" outlineLevel="0" collapsed="false">
      <c r="A53" s="2"/>
      <c r="B53" s="2"/>
      <c r="C53" s="2"/>
      <c r="D53" s="2"/>
      <c r="E53" s="2"/>
      <c r="F53" s="2"/>
      <c r="G53" s="2"/>
    </row>
    <row r="54" customFormat="false" ht="16.5" hidden="false" customHeight="true" outlineLevel="0" collapsed="false">
      <c r="A54" s="2"/>
      <c r="B54" s="2"/>
      <c r="C54" s="2"/>
      <c r="D54" s="2"/>
      <c r="E54" s="2"/>
      <c r="F54" s="2"/>
      <c r="G54" s="2"/>
    </row>
    <row r="55" customFormat="false" ht="16.5" hidden="false" customHeight="true" outlineLevel="0" collapsed="false">
      <c r="A55" s="2"/>
      <c r="B55" s="2"/>
      <c r="C55" s="2"/>
      <c r="D55" s="2"/>
      <c r="E55" s="2"/>
      <c r="F55" s="2"/>
      <c r="G55" s="2"/>
    </row>
    <row r="56" customFormat="false" ht="16.5" hidden="false" customHeight="true" outlineLevel="0" collapsed="false">
      <c r="A56" s="2"/>
      <c r="B56" s="2"/>
      <c r="C56" s="2"/>
      <c r="D56" s="2"/>
      <c r="E56" s="2"/>
      <c r="F56" s="2"/>
      <c r="G56" s="2"/>
    </row>
    <row r="57" customFormat="false" ht="33" hidden="false" customHeight="true" outlineLevel="0" collapsed="false">
      <c r="A57" s="2"/>
      <c r="B57" s="2"/>
      <c r="C57" s="2"/>
      <c r="D57" s="2"/>
      <c r="E57" s="2"/>
      <c r="F57" s="2"/>
      <c r="G57" s="2"/>
    </row>
    <row r="58" customFormat="false" ht="33" hidden="false" customHeight="true" outlineLevel="0" collapsed="false">
      <c r="A58" s="2"/>
      <c r="B58" s="2"/>
      <c r="C58" s="2"/>
      <c r="D58" s="2"/>
      <c r="E58" s="2"/>
      <c r="F58" s="2"/>
      <c r="G58" s="2"/>
    </row>
    <row r="59" customFormat="false" ht="33" hidden="false" customHeight="true" outlineLevel="0" collapsed="false">
      <c r="A59" s="2"/>
      <c r="B59" s="2"/>
      <c r="C59" s="2"/>
      <c r="D59" s="2"/>
      <c r="E59" s="2"/>
      <c r="F59" s="2"/>
      <c r="G59" s="2"/>
    </row>
    <row r="60" customFormat="false" ht="16.5" hidden="false" customHeight="true" outlineLevel="0" collapsed="false">
      <c r="A60" s="2"/>
      <c r="B60" s="2"/>
      <c r="C60" s="2"/>
      <c r="D60" s="2"/>
      <c r="E60" s="2"/>
      <c r="F60" s="2"/>
      <c r="G60" s="2"/>
    </row>
    <row r="61" customFormat="false" ht="16.5" hidden="false" customHeight="true" outlineLevel="0" collapsed="false">
      <c r="A61" s="2"/>
      <c r="B61" s="2"/>
      <c r="C61" s="2"/>
      <c r="D61" s="2"/>
      <c r="E61" s="2"/>
      <c r="F61" s="2"/>
      <c r="G61" s="2"/>
    </row>
    <row r="62" customFormat="false" ht="33" hidden="false" customHeight="true" outlineLevel="0" collapsed="false">
      <c r="A62" s="2"/>
      <c r="B62" s="2"/>
      <c r="C62" s="2"/>
      <c r="D62" s="2"/>
      <c r="E62" s="2"/>
      <c r="F62" s="2"/>
      <c r="G62" s="2"/>
    </row>
    <row r="63" customFormat="false" ht="16.5" hidden="false" customHeight="true" outlineLevel="0" collapsed="false">
      <c r="A63" s="2"/>
      <c r="B63" s="2"/>
      <c r="C63" s="2"/>
      <c r="D63" s="2"/>
      <c r="E63" s="2"/>
      <c r="F63" s="2"/>
      <c r="G63" s="2"/>
    </row>
    <row r="64" customFormat="false" ht="16.5" hidden="false" customHeight="true" outlineLevel="0" collapsed="false">
      <c r="A64" s="2"/>
      <c r="B64" s="2"/>
      <c r="C64" s="2"/>
      <c r="D64" s="2"/>
      <c r="E64" s="2"/>
      <c r="F64" s="2"/>
      <c r="G64" s="2"/>
    </row>
    <row r="65" customFormat="false" ht="33" hidden="false" customHeight="true" outlineLevel="0" collapsed="false">
      <c r="A65" s="2"/>
      <c r="B65" s="2"/>
      <c r="C65" s="2"/>
      <c r="D65" s="2"/>
      <c r="E65" s="2"/>
      <c r="F65" s="2"/>
      <c r="G65" s="2"/>
    </row>
    <row r="66" customFormat="false" ht="33" hidden="false" customHeight="true" outlineLevel="0" collapsed="false">
      <c r="A66" s="2"/>
      <c r="B66" s="2"/>
      <c r="C66" s="2"/>
      <c r="D66" s="2"/>
      <c r="E66" s="2"/>
      <c r="F66" s="2"/>
      <c r="G66" s="2"/>
    </row>
    <row r="67" customFormat="false" ht="16.5" hidden="false" customHeight="true" outlineLevel="0" collapsed="false">
      <c r="A67" s="2"/>
      <c r="B67" s="2"/>
      <c r="C67" s="2"/>
      <c r="D67" s="2"/>
      <c r="E67" s="2"/>
      <c r="F67" s="2"/>
      <c r="G67" s="2"/>
    </row>
    <row r="68" customFormat="false" ht="16.5" hidden="false" customHeight="true" outlineLevel="0" collapsed="false">
      <c r="A68" s="2"/>
      <c r="B68" s="2"/>
      <c r="C68" s="2"/>
      <c r="D68" s="2"/>
      <c r="E68" s="2"/>
      <c r="F68" s="2"/>
      <c r="G68" s="2"/>
    </row>
    <row r="69" customFormat="false" ht="33" hidden="false" customHeight="true" outlineLevel="0" collapsed="false">
      <c r="A69" s="2"/>
      <c r="B69" s="2"/>
      <c r="C69" s="2"/>
      <c r="D69" s="2"/>
      <c r="E69" s="2"/>
      <c r="F69" s="2"/>
      <c r="G69" s="2"/>
    </row>
    <row r="70" customFormat="false" ht="33" hidden="false" customHeight="true" outlineLevel="0" collapsed="false">
      <c r="A70" s="2"/>
      <c r="B70" s="2"/>
      <c r="C70" s="2"/>
      <c r="D70" s="2"/>
      <c r="E70" s="2"/>
      <c r="F70" s="2"/>
      <c r="G70" s="2"/>
    </row>
    <row r="71" customFormat="false" ht="33" hidden="false" customHeight="true" outlineLevel="0" collapsed="false">
      <c r="A71" s="2"/>
      <c r="B71" s="2"/>
      <c r="C71" s="2"/>
      <c r="D71" s="2"/>
      <c r="E71" s="2"/>
      <c r="F71" s="2"/>
      <c r="G71" s="2"/>
    </row>
    <row r="72" customFormat="false" ht="33" hidden="false" customHeight="true" outlineLevel="0" collapsed="false">
      <c r="A72" s="2"/>
      <c r="B72" s="2"/>
      <c r="C72" s="2"/>
      <c r="D72" s="2"/>
      <c r="E72" s="2"/>
      <c r="F72" s="2"/>
      <c r="G72" s="2"/>
    </row>
    <row r="73" customFormat="false" ht="16.5" hidden="false" customHeight="true" outlineLevel="0" collapsed="false">
      <c r="A73" s="2"/>
      <c r="B73" s="2"/>
      <c r="C73" s="2"/>
      <c r="D73" s="2"/>
      <c r="E73" s="2"/>
      <c r="F73" s="2"/>
      <c r="G73" s="2"/>
    </row>
    <row r="74" customFormat="false" ht="16.5" hidden="false" customHeight="true" outlineLevel="0" collapsed="false">
      <c r="A74" s="2"/>
      <c r="B74" s="2"/>
      <c r="C74" s="2"/>
      <c r="D74" s="2"/>
      <c r="E74" s="2"/>
      <c r="F74" s="2"/>
      <c r="G74" s="2"/>
    </row>
    <row r="75" customFormat="false" ht="33" hidden="false" customHeight="true" outlineLevel="0" collapsed="false">
      <c r="A75" s="2"/>
      <c r="B75" s="2"/>
      <c r="C75" s="2"/>
      <c r="D75" s="2"/>
      <c r="E75" s="2"/>
      <c r="F75" s="2"/>
      <c r="G75" s="2"/>
    </row>
    <row r="76" customFormat="false" ht="49.5" hidden="false" customHeight="true" outlineLevel="0" collapsed="false">
      <c r="A76" s="2"/>
      <c r="B76" s="2"/>
      <c r="C76" s="2"/>
      <c r="D76" s="2"/>
      <c r="E76" s="2"/>
      <c r="F76" s="2"/>
      <c r="G76" s="2"/>
    </row>
    <row r="77" customFormat="false" ht="16.5" hidden="false" customHeight="true" outlineLevel="0" collapsed="false">
      <c r="A77" s="2"/>
      <c r="B77" s="2"/>
      <c r="C77" s="2"/>
      <c r="D77" s="2"/>
      <c r="E77" s="2"/>
      <c r="F77" s="2"/>
      <c r="G77" s="2"/>
    </row>
    <row r="78" customFormat="false" ht="16.5" hidden="false" customHeight="true" outlineLevel="0" collapsed="false">
      <c r="A78" s="2"/>
      <c r="B78" s="2"/>
      <c r="C78" s="2"/>
      <c r="D78" s="2"/>
      <c r="E78" s="2"/>
      <c r="F78" s="2"/>
      <c r="G78" s="2"/>
    </row>
    <row r="79" customFormat="false" ht="16.5" hidden="false" customHeight="true" outlineLevel="0" collapsed="false">
      <c r="A79" s="2"/>
      <c r="B79" s="2"/>
      <c r="C79" s="2"/>
      <c r="D79" s="2"/>
      <c r="E79" s="2"/>
      <c r="F79" s="2"/>
      <c r="G79" s="2"/>
    </row>
    <row r="80" customFormat="false" ht="16.5" hidden="false" customHeight="true" outlineLevel="0" collapsed="false">
      <c r="A80" s="2"/>
      <c r="B80" s="2"/>
      <c r="C80" s="2"/>
      <c r="D80" s="2"/>
      <c r="E80" s="2"/>
      <c r="F80" s="2"/>
      <c r="G80" s="2"/>
    </row>
    <row r="81" customFormat="false" ht="16.5" hidden="false" customHeight="true" outlineLevel="0" collapsed="false">
      <c r="A81" s="2"/>
      <c r="B81" s="2"/>
      <c r="C81" s="2"/>
      <c r="D81" s="2"/>
      <c r="E81" s="2"/>
      <c r="F81" s="2"/>
      <c r="G81" s="2"/>
    </row>
    <row r="82" customFormat="false" ht="16.5" hidden="false" customHeight="true" outlineLevel="0" collapsed="false">
      <c r="A82" s="2"/>
      <c r="B82" s="2"/>
      <c r="C82" s="2"/>
      <c r="D82" s="2"/>
      <c r="E82" s="2"/>
      <c r="F82" s="2"/>
      <c r="G82" s="2"/>
    </row>
    <row r="83" customFormat="false" ht="16.5" hidden="false" customHeight="true" outlineLevel="0" collapsed="false">
      <c r="A83" s="2"/>
      <c r="B83" s="2"/>
      <c r="C83" s="2"/>
      <c r="D83" s="2"/>
      <c r="E83" s="2"/>
      <c r="F83" s="2"/>
      <c r="G83" s="2"/>
    </row>
    <row r="84" customFormat="false" ht="16.5" hidden="false" customHeight="true" outlineLevel="0" collapsed="false">
      <c r="A84" s="2"/>
      <c r="B84" s="2"/>
      <c r="C84" s="2"/>
      <c r="D84" s="2"/>
      <c r="E84" s="2"/>
      <c r="F84" s="2"/>
      <c r="G84" s="2"/>
    </row>
    <row r="85" customFormat="false" ht="16.5" hidden="false" customHeight="true" outlineLevel="0" collapsed="false">
      <c r="A85" s="2"/>
      <c r="B85" s="2"/>
      <c r="C85" s="2"/>
      <c r="D85" s="2"/>
      <c r="E85" s="2"/>
      <c r="F85" s="2"/>
      <c r="G85" s="2"/>
    </row>
    <row r="86" customFormat="false" ht="16.5" hidden="false" customHeight="true" outlineLevel="0" collapsed="false">
      <c r="A86" s="2"/>
      <c r="B86" s="2"/>
      <c r="C86" s="2"/>
      <c r="D86" s="2"/>
      <c r="E86" s="2"/>
      <c r="F86" s="2"/>
      <c r="G86" s="2"/>
    </row>
    <row r="87" customFormat="false" ht="16.5" hidden="false" customHeight="true" outlineLevel="0" collapsed="false">
      <c r="A87" s="2"/>
      <c r="B87" s="2"/>
      <c r="C87" s="2"/>
      <c r="D87" s="2"/>
      <c r="E87" s="2"/>
      <c r="F87" s="2"/>
      <c r="G87" s="2"/>
    </row>
    <row r="88" customFormat="false" ht="16.5" hidden="false" customHeight="true" outlineLevel="0" collapsed="false">
      <c r="A88" s="2"/>
      <c r="B88" s="2"/>
      <c r="C88" s="2"/>
      <c r="D88" s="2"/>
      <c r="E88" s="2"/>
      <c r="F88" s="2"/>
      <c r="G88" s="2"/>
    </row>
    <row r="89" customFormat="false" ht="16.5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49.5" hidden="false" customHeight="true" outlineLevel="0" collapsed="false">
      <c r="A90" s="2"/>
      <c r="B90" s="2"/>
      <c r="C90" s="2"/>
      <c r="D90" s="2"/>
      <c r="E90" s="2"/>
      <c r="F90" s="2"/>
      <c r="G90" s="2"/>
    </row>
    <row r="91" customFormat="false" ht="30" hidden="false" customHeight="true" outlineLevel="0" collapsed="false">
      <c r="A91" s="2"/>
      <c r="B91" s="2"/>
      <c r="C91" s="2"/>
      <c r="D91" s="2"/>
      <c r="E91" s="2"/>
      <c r="F91" s="2"/>
      <c r="G91" s="2"/>
    </row>
    <row r="92" customFormat="false" ht="16.5" hidden="false" customHeight="true" outlineLevel="0" collapsed="false">
      <c r="A92" s="2"/>
      <c r="B92" s="2"/>
      <c r="C92" s="2"/>
      <c r="D92" s="2"/>
      <c r="E92" s="2"/>
      <c r="F92" s="2"/>
      <c r="G92" s="2"/>
    </row>
    <row r="93" customFormat="false" ht="16.5" hidden="false" customHeight="true" outlineLevel="0" collapsed="false">
      <c r="A93" s="2"/>
      <c r="B93" s="2"/>
      <c r="C93" s="2"/>
      <c r="D93" s="2"/>
      <c r="E93" s="2"/>
      <c r="F93" s="2"/>
      <c r="G93" s="2"/>
    </row>
    <row r="94" customFormat="false" ht="16.5" hidden="false" customHeight="true" outlineLevel="0" collapsed="false">
      <c r="A94" s="2"/>
      <c r="B94" s="2"/>
      <c r="C94" s="2"/>
      <c r="D94" s="2"/>
      <c r="E94" s="2"/>
      <c r="F94" s="2"/>
      <c r="G94" s="2"/>
    </row>
    <row r="95" customFormat="false" ht="43.5" hidden="false" customHeight="true" outlineLevel="0" collapsed="false">
      <c r="A95" s="2"/>
      <c r="B95" s="2"/>
      <c r="C95" s="2"/>
      <c r="D95" s="2"/>
      <c r="E95" s="2"/>
      <c r="F95" s="2"/>
      <c r="G95" s="2"/>
    </row>
    <row r="96" customFormat="false" ht="16.5" hidden="false" customHeight="true" outlineLevel="0" collapsed="false">
      <c r="A96" s="2"/>
      <c r="B96" s="2"/>
      <c r="C96" s="2"/>
      <c r="D96" s="2"/>
      <c r="E96" s="2"/>
      <c r="F96" s="2"/>
      <c r="G96" s="2"/>
    </row>
    <row r="97" customFormat="false" ht="16.5" hidden="false" customHeight="true" outlineLevel="0" collapsed="false">
      <c r="A97" s="2"/>
      <c r="B97" s="2"/>
      <c r="C97" s="2"/>
      <c r="D97" s="2"/>
      <c r="E97" s="2"/>
      <c r="F97" s="2"/>
      <c r="G97" s="2"/>
    </row>
    <row r="98" customFormat="false" ht="16.5" hidden="false" customHeight="true" outlineLevel="0" collapsed="false">
      <c r="A98" s="2"/>
      <c r="B98" s="2"/>
      <c r="C98" s="2"/>
      <c r="D98" s="2"/>
      <c r="E98" s="2"/>
      <c r="F98" s="2"/>
      <c r="G98" s="2"/>
    </row>
    <row r="99" customFormat="false" ht="49.5" hidden="false" customHeight="true" outlineLevel="0" collapsed="false">
      <c r="A99" s="2"/>
      <c r="B99" s="2"/>
      <c r="C99" s="2"/>
      <c r="D99" s="2"/>
      <c r="E99" s="2"/>
      <c r="F99" s="2"/>
      <c r="G99" s="2"/>
    </row>
    <row r="100" customFormat="false" ht="16.5" hidden="false" customHeight="true" outlineLevel="0" collapsed="false">
      <c r="A100" s="2"/>
      <c r="B100" s="2"/>
      <c r="C100" s="2"/>
      <c r="D100" s="2"/>
      <c r="E100" s="2"/>
      <c r="F100" s="2"/>
      <c r="G100" s="2"/>
    </row>
    <row r="101" customFormat="false" ht="16.5" hidden="false" customHeight="true" outlineLevel="0" collapsed="false">
      <c r="A101" s="2"/>
      <c r="B101" s="2"/>
      <c r="C101" s="2"/>
      <c r="D101" s="2"/>
      <c r="E101" s="2"/>
      <c r="F101" s="2"/>
      <c r="G101" s="2"/>
    </row>
    <row r="102" customFormat="false" ht="16.5" hidden="false" customHeight="true" outlineLevel="0" collapsed="false">
      <c r="A102" s="2"/>
      <c r="B102" s="2"/>
      <c r="C102" s="2"/>
      <c r="D102" s="2"/>
      <c r="E102" s="2"/>
      <c r="F102" s="2"/>
      <c r="G102" s="2"/>
    </row>
    <row r="103" customFormat="false" ht="16.5" hidden="false" customHeight="true" outlineLevel="0" collapsed="false">
      <c r="A103" s="2"/>
      <c r="B103" s="2"/>
      <c r="C103" s="2"/>
      <c r="D103" s="2"/>
      <c r="E103" s="2"/>
      <c r="F103" s="2"/>
      <c r="G103" s="2"/>
    </row>
    <row r="104" customFormat="false" ht="16.5" hidden="false" customHeight="true" outlineLevel="0" collapsed="false">
      <c r="A104" s="2"/>
      <c r="B104" s="2"/>
      <c r="C104" s="2"/>
      <c r="D104" s="2"/>
      <c r="E104" s="2"/>
      <c r="F104" s="2"/>
      <c r="G104" s="2"/>
    </row>
    <row r="105" customFormat="false" ht="16.5" hidden="false" customHeight="true" outlineLevel="0" collapsed="false">
      <c r="A105" s="2"/>
      <c r="B105" s="2"/>
      <c r="C105" s="2"/>
      <c r="D105" s="2"/>
      <c r="E105" s="2"/>
      <c r="F105" s="2"/>
      <c r="G105" s="2"/>
    </row>
    <row r="106" customFormat="false" ht="16.5" hidden="false" customHeight="true" outlineLevel="0" collapsed="false">
      <c r="A106" s="2"/>
      <c r="B106" s="2"/>
      <c r="C106" s="2"/>
      <c r="D106" s="2"/>
      <c r="E106" s="2"/>
      <c r="F106" s="2"/>
      <c r="G106" s="2"/>
    </row>
    <row r="107" customFormat="false" ht="16.5" hidden="false" customHeight="true" outlineLevel="0" collapsed="false">
      <c r="A107" s="2"/>
      <c r="B107" s="2"/>
      <c r="C107" s="2"/>
      <c r="D107" s="2"/>
      <c r="E107" s="2"/>
      <c r="F107" s="2"/>
      <c r="G107" s="2"/>
    </row>
    <row r="108" customFormat="false" ht="16.5" hidden="false" customHeight="true" outlineLevel="0" collapsed="false">
      <c r="A108" s="2"/>
      <c r="B108" s="2"/>
      <c r="C108" s="2"/>
      <c r="D108" s="2"/>
      <c r="E108" s="2"/>
      <c r="F108" s="2"/>
      <c r="G108" s="2"/>
    </row>
    <row r="109" customFormat="false" ht="16.5" hidden="false" customHeight="true" outlineLevel="0" collapsed="false">
      <c r="A109" s="2"/>
      <c r="B109" s="2"/>
      <c r="C109" s="2"/>
      <c r="D109" s="2"/>
      <c r="E109" s="2"/>
      <c r="F109" s="2"/>
      <c r="G109" s="2"/>
    </row>
    <row r="110" customFormat="false" ht="16.5" hidden="false" customHeight="true" outlineLevel="0" collapsed="false">
      <c r="A110" s="2"/>
      <c r="B110" s="2"/>
      <c r="C110" s="2"/>
      <c r="D110" s="2"/>
      <c r="E110" s="2"/>
      <c r="F110" s="2"/>
      <c r="G110" s="2"/>
    </row>
    <row r="111" customFormat="false" ht="16.5" hidden="false" customHeight="true" outlineLevel="0" collapsed="false">
      <c r="A111" s="2"/>
      <c r="B111" s="2"/>
      <c r="C111" s="2"/>
      <c r="D111" s="2"/>
      <c r="E111" s="2"/>
      <c r="F111" s="2"/>
      <c r="G111" s="2"/>
    </row>
    <row r="112" customFormat="false" ht="16.5" hidden="false" customHeight="true" outlineLevel="0" collapsed="false">
      <c r="A112" s="2"/>
      <c r="B112" s="2"/>
      <c r="C112" s="2"/>
      <c r="D112" s="2"/>
      <c r="E112" s="2"/>
      <c r="F112" s="2"/>
      <c r="G112" s="2"/>
    </row>
    <row r="113" customFormat="false" ht="16.5" hidden="false" customHeight="true" outlineLevel="0" collapsed="false">
      <c r="A113" s="2"/>
      <c r="B113" s="2"/>
      <c r="C113" s="2"/>
      <c r="D113" s="2"/>
      <c r="E113" s="2"/>
      <c r="F113" s="2"/>
      <c r="G113" s="2"/>
    </row>
    <row r="114" customFormat="false" ht="16.5" hidden="false" customHeight="true" outlineLevel="0" collapsed="false">
      <c r="A114" s="2"/>
      <c r="B114" s="2"/>
      <c r="C114" s="2"/>
      <c r="D114" s="2"/>
      <c r="E114" s="2"/>
      <c r="F114" s="2"/>
      <c r="G114" s="2"/>
    </row>
    <row r="115" customFormat="false" ht="16.5" hidden="false" customHeight="true" outlineLevel="0" collapsed="false">
      <c r="A115" s="2"/>
      <c r="B115" s="2"/>
      <c r="C115" s="2"/>
      <c r="D115" s="2"/>
      <c r="E115" s="2"/>
      <c r="F115" s="2"/>
      <c r="G115" s="2"/>
    </row>
    <row r="116" customFormat="false" ht="33" hidden="false" customHeight="true" outlineLevel="0" collapsed="false">
      <c r="A116" s="2"/>
      <c r="B116" s="2"/>
      <c r="C116" s="2"/>
      <c r="D116" s="2"/>
      <c r="E116" s="2"/>
      <c r="F116" s="2"/>
      <c r="G116" s="2"/>
    </row>
    <row r="117" customFormat="false" ht="33" hidden="false" customHeight="true" outlineLevel="0" collapsed="false">
      <c r="A117" s="2"/>
      <c r="B117" s="2"/>
      <c r="C117" s="2"/>
      <c r="D117" s="2"/>
      <c r="E117" s="2"/>
      <c r="F117" s="2"/>
      <c r="G117" s="2"/>
    </row>
    <row r="118" customFormat="false" ht="16.5" hidden="false" customHeight="true" outlineLevel="0" collapsed="false">
      <c r="A118" s="2"/>
      <c r="B118" s="2"/>
      <c r="C118" s="2"/>
      <c r="D118" s="2"/>
      <c r="E118" s="2"/>
      <c r="F118" s="2"/>
      <c r="G118" s="2"/>
    </row>
    <row r="119" customFormat="false" ht="16.5" hidden="false" customHeight="true" outlineLevel="0" collapsed="false">
      <c r="A119" s="2"/>
      <c r="B119" s="2"/>
      <c r="C119" s="2"/>
      <c r="D119" s="2"/>
      <c r="E119" s="2"/>
      <c r="F119" s="2"/>
      <c r="G119" s="2"/>
    </row>
    <row r="120" customFormat="false" ht="16.5" hidden="false" customHeight="true" outlineLevel="0" collapsed="false">
      <c r="A120" s="2"/>
      <c r="B120" s="2"/>
      <c r="C120" s="2"/>
      <c r="D120" s="2"/>
      <c r="E120" s="2"/>
      <c r="F120" s="2"/>
      <c r="G120" s="2"/>
    </row>
    <row r="121" customFormat="false" ht="33" hidden="false" customHeight="true" outlineLevel="0" collapsed="false">
      <c r="A121" s="2"/>
      <c r="B121" s="2"/>
      <c r="C121" s="2"/>
      <c r="D121" s="2"/>
      <c r="E121" s="2"/>
      <c r="F121" s="2"/>
      <c r="G121" s="2"/>
    </row>
    <row r="122" customFormat="false" ht="33" hidden="false" customHeight="true" outlineLevel="0" collapsed="false">
      <c r="A122" s="2"/>
      <c r="B122" s="2"/>
      <c r="C122" s="2"/>
      <c r="D122" s="2"/>
      <c r="E122" s="2"/>
      <c r="F122" s="2"/>
      <c r="G122" s="2"/>
    </row>
    <row r="123" customFormat="false" ht="16.5" hidden="false" customHeight="true" outlineLevel="0" collapsed="false">
      <c r="A123" s="2"/>
      <c r="B123" s="2"/>
      <c r="C123" s="2"/>
      <c r="D123" s="2"/>
      <c r="E123" s="2"/>
      <c r="F123" s="2"/>
      <c r="G123" s="2"/>
    </row>
    <row r="124" customFormat="false" ht="16.5" hidden="false" customHeight="true" outlineLevel="0" collapsed="false">
      <c r="A124" s="2"/>
      <c r="B124" s="2"/>
      <c r="C124" s="2"/>
      <c r="D124" s="2"/>
      <c r="E124" s="2"/>
      <c r="F124" s="2"/>
      <c r="G124" s="2"/>
    </row>
    <row r="125" customFormat="false" ht="16.5" hidden="false" customHeight="true" outlineLevel="0" collapsed="false">
      <c r="A125" s="2"/>
      <c r="B125" s="2"/>
      <c r="C125" s="2"/>
      <c r="D125" s="2"/>
      <c r="E125" s="2"/>
      <c r="F125" s="2"/>
      <c r="G125" s="2"/>
    </row>
    <row r="126" customFormat="false" ht="16.5" hidden="false" customHeight="true" outlineLevel="0" collapsed="false">
      <c r="A126" s="2"/>
      <c r="B126" s="2"/>
      <c r="C126" s="2"/>
      <c r="D126" s="2"/>
      <c r="E126" s="2"/>
      <c r="F126" s="2"/>
      <c r="G126" s="2"/>
    </row>
    <row r="127" customFormat="false" ht="16.5" hidden="false" customHeight="true" outlineLevel="0" collapsed="false">
      <c r="A127" s="2"/>
      <c r="B127" s="2"/>
      <c r="C127" s="2"/>
      <c r="D127" s="2"/>
      <c r="E127" s="2"/>
      <c r="F127" s="2"/>
      <c r="G127" s="2"/>
    </row>
    <row r="128" customFormat="false" ht="16.5" hidden="false" customHeight="true" outlineLevel="0" collapsed="false">
      <c r="A128" s="2"/>
      <c r="B128" s="2"/>
      <c r="C128" s="2"/>
      <c r="D128" s="2"/>
      <c r="E128" s="2"/>
      <c r="F128" s="2"/>
      <c r="G128" s="2"/>
    </row>
    <row r="129" customFormat="false" ht="16.5" hidden="false" customHeight="true" outlineLevel="0" collapsed="false">
      <c r="A129" s="2"/>
      <c r="B129" s="2"/>
      <c r="C129" s="2"/>
      <c r="D129" s="2"/>
      <c r="E129" s="2"/>
      <c r="F129" s="2"/>
      <c r="G129" s="2"/>
    </row>
    <row r="130" customFormat="false" ht="16.5" hidden="false" customHeight="true" outlineLevel="0" collapsed="false">
      <c r="A130" s="2"/>
      <c r="B130" s="2"/>
      <c r="C130" s="2"/>
      <c r="D130" s="2"/>
      <c r="E130" s="2"/>
      <c r="F130" s="2"/>
      <c r="G130" s="2"/>
    </row>
    <row r="131" customFormat="false" ht="16.5" hidden="false" customHeight="true" outlineLevel="0" collapsed="false">
      <c r="A131" s="2"/>
      <c r="B131" s="2"/>
      <c r="C131" s="2"/>
      <c r="D131" s="2"/>
      <c r="E131" s="2"/>
      <c r="F131" s="2"/>
      <c r="G131" s="2"/>
    </row>
    <row r="132" customFormat="false" ht="16.5" hidden="false" customHeight="true" outlineLevel="0" collapsed="false">
      <c r="A132" s="2"/>
      <c r="B132" s="2"/>
      <c r="C132" s="2"/>
      <c r="D132" s="2"/>
      <c r="E132" s="2"/>
      <c r="F132" s="2"/>
      <c r="G132" s="2"/>
    </row>
    <row r="133" customFormat="false" ht="16.5" hidden="false" customHeight="true" outlineLevel="0" collapsed="false">
      <c r="A133" s="2"/>
      <c r="B133" s="2"/>
      <c r="C133" s="2"/>
      <c r="D133" s="2"/>
      <c r="E133" s="2"/>
      <c r="F133" s="2"/>
      <c r="G133" s="2"/>
    </row>
    <row r="134" customFormat="false" ht="16.5" hidden="false" customHeight="true" outlineLevel="0" collapsed="false">
      <c r="A134" s="2"/>
      <c r="B134" s="2"/>
      <c r="C134" s="2"/>
      <c r="D134" s="2"/>
      <c r="E134" s="2"/>
      <c r="F134" s="2"/>
      <c r="G134" s="2"/>
    </row>
    <row r="135" customFormat="false" ht="33" hidden="false" customHeight="true" outlineLevel="0" collapsed="false">
      <c r="A135" s="2"/>
      <c r="B135" s="2"/>
      <c r="C135" s="2"/>
      <c r="D135" s="2"/>
      <c r="E135" s="2"/>
      <c r="F135" s="2"/>
      <c r="G135" s="2"/>
    </row>
    <row r="136" customFormat="false" ht="16.5" hidden="false" customHeight="true" outlineLevel="0" collapsed="false">
      <c r="A136" s="2"/>
      <c r="B136" s="2"/>
      <c r="C136" s="2"/>
      <c r="D136" s="2"/>
      <c r="E136" s="2"/>
      <c r="F136" s="2"/>
      <c r="G136" s="2"/>
    </row>
    <row r="137" customFormat="false" ht="16.5" hidden="false" customHeight="true" outlineLevel="0" collapsed="false">
      <c r="A137" s="2"/>
      <c r="B137" s="2"/>
      <c r="C137" s="2"/>
      <c r="D137" s="2"/>
      <c r="E137" s="2"/>
      <c r="F137" s="2"/>
      <c r="G137" s="2"/>
    </row>
    <row r="138" customFormat="false" ht="16.5" hidden="false" customHeight="true" outlineLevel="0" collapsed="false">
      <c r="A138" s="2"/>
      <c r="B138" s="2"/>
      <c r="C138" s="2"/>
      <c r="D138" s="2"/>
      <c r="E138" s="2"/>
      <c r="F138" s="2"/>
      <c r="G138" s="2"/>
    </row>
    <row r="139" customFormat="false" ht="16.5" hidden="false" customHeight="true" outlineLevel="0" collapsed="false">
      <c r="A139" s="2"/>
      <c r="B139" s="2"/>
      <c r="C139" s="2"/>
      <c r="D139" s="2"/>
      <c r="E139" s="2"/>
      <c r="F139" s="2"/>
      <c r="G139" s="2"/>
    </row>
    <row r="140" customFormat="false" ht="16.5" hidden="false" customHeight="true" outlineLevel="0" collapsed="false">
      <c r="A140" s="2"/>
      <c r="B140" s="2"/>
      <c r="C140" s="2"/>
      <c r="D140" s="2"/>
      <c r="E140" s="2"/>
      <c r="F140" s="2"/>
      <c r="G140" s="2"/>
    </row>
    <row r="141" customFormat="false" ht="33" hidden="false" customHeight="true" outlineLevel="0" collapsed="false">
      <c r="A141" s="2"/>
      <c r="B141" s="2"/>
      <c r="C141" s="2"/>
      <c r="D141" s="2"/>
      <c r="E141" s="2"/>
      <c r="F141" s="2"/>
      <c r="G141" s="2"/>
    </row>
    <row r="142" customFormat="false" ht="16.5" hidden="false" customHeight="true" outlineLevel="0" collapsed="false">
      <c r="A142" s="2"/>
      <c r="B142" s="2"/>
      <c r="C142" s="2"/>
      <c r="D142" s="2"/>
      <c r="E142" s="2"/>
      <c r="F142" s="2"/>
      <c r="G142" s="2"/>
    </row>
    <row r="143" customFormat="false" ht="16.5" hidden="false" customHeight="true" outlineLevel="0" collapsed="false">
      <c r="A143" s="2"/>
      <c r="B143" s="2"/>
      <c r="C143" s="2"/>
      <c r="D143" s="2"/>
      <c r="E143" s="2"/>
      <c r="F143" s="2"/>
      <c r="G143" s="2"/>
    </row>
    <row r="144" customFormat="false" ht="33" hidden="false" customHeight="true" outlineLevel="0" collapsed="false">
      <c r="A144" s="2"/>
      <c r="B144" s="2"/>
      <c r="C144" s="2"/>
      <c r="D144" s="2"/>
      <c r="E144" s="2"/>
      <c r="F144" s="2"/>
      <c r="G144" s="2"/>
    </row>
    <row r="145" customFormat="false" ht="16.5" hidden="false" customHeight="true" outlineLevel="0" collapsed="false">
      <c r="A145" s="2"/>
      <c r="B145" s="2"/>
      <c r="C145" s="2"/>
      <c r="D145" s="2"/>
      <c r="E145" s="2"/>
      <c r="F145" s="2"/>
      <c r="G145" s="2"/>
    </row>
    <row r="146" customFormat="false" ht="16.5" hidden="false" customHeight="true" outlineLevel="0" collapsed="false">
      <c r="A146" s="2"/>
      <c r="B146" s="2"/>
      <c r="C146" s="2"/>
      <c r="D146" s="2"/>
      <c r="E146" s="2"/>
      <c r="F146" s="2"/>
      <c r="G146" s="2"/>
    </row>
    <row r="147" customFormat="false" ht="16.5" hidden="false" customHeight="true" outlineLevel="0" collapsed="false">
      <c r="A147" s="2"/>
      <c r="B147" s="2"/>
      <c r="C147" s="2"/>
      <c r="D147" s="2"/>
      <c r="E147" s="2"/>
      <c r="F147" s="2"/>
      <c r="G147" s="2"/>
    </row>
    <row r="148" customFormat="false" ht="16.5" hidden="false" customHeight="true" outlineLevel="0" collapsed="false">
      <c r="A148" s="2"/>
      <c r="B148" s="2"/>
      <c r="C148" s="2"/>
      <c r="D148" s="2"/>
      <c r="E148" s="2"/>
      <c r="F148" s="2"/>
      <c r="G148" s="2"/>
    </row>
    <row r="149" customFormat="false" ht="16.5" hidden="false" customHeight="true" outlineLevel="0" collapsed="false">
      <c r="A149" s="2"/>
      <c r="B149" s="2"/>
      <c r="C149" s="2"/>
      <c r="D149" s="2"/>
      <c r="E149" s="2"/>
      <c r="F149" s="2"/>
      <c r="G149" s="2"/>
    </row>
    <row r="150" customFormat="false" ht="16.5" hidden="false" customHeight="true" outlineLevel="0" collapsed="false">
      <c r="A150" s="2"/>
      <c r="B150" s="2"/>
      <c r="C150" s="2"/>
      <c r="D150" s="2"/>
      <c r="E150" s="2"/>
      <c r="F150" s="2"/>
      <c r="G150" s="2"/>
    </row>
    <row r="151" customFormat="false" ht="16.5" hidden="false" customHeight="true" outlineLevel="0" collapsed="false">
      <c r="A151" s="2"/>
      <c r="B151" s="2"/>
      <c r="C151" s="2"/>
      <c r="D151" s="2"/>
      <c r="E151" s="2"/>
      <c r="F151" s="2"/>
      <c r="G151" s="2"/>
    </row>
    <row r="152" customFormat="false" ht="33" hidden="false" customHeight="true" outlineLevel="0" collapsed="false">
      <c r="A152" s="2"/>
      <c r="B152" s="2"/>
      <c r="C152" s="2"/>
      <c r="D152" s="2"/>
      <c r="E152" s="2"/>
      <c r="F152" s="2"/>
      <c r="G152" s="2"/>
    </row>
    <row r="153" customFormat="false" ht="49.5" hidden="false" customHeight="true" outlineLevel="0" collapsed="false">
      <c r="A153" s="2"/>
      <c r="B153" s="2"/>
      <c r="C153" s="2"/>
      <c r="D153" s="2"/>
      <c r="E153" s="2"/>
      <c r="F153" s="2"/>
      <c r="G153" s="2"/>
    </row>
    <row r="154" customFormat="false" ht="33" hidden="false" customHeight="true" outlineLevel="0" collapsed="false">
      <c r="A154" s="2"/>
      <c r="B154" s="2"/>
      <c r="C154" s="2"/>
      <c r="D154" s="2"/>
      <c r="E154" s="2"/>
      <c r="F154" s="2"/>
      <c r="G154" s="2"/>
    </row>
    <row r="155" customFormat="false" ht="16.5" hidden="false" customHeight="true" outlineLevel="0" collapsed="false">
      <c r="A155" s="2"/>
      <c r="B155" s="2"/>
      <c r="C155" s="2"/>
      <c r="D155" s="2"/>
      <c r="E155" s="2"/>
      <c r="F155" s="2"/>
      <c r="G155" s="2"/>
    </row>
    <row r="156" customFormat="false" ht="16.5" hidden="false" customHeight="true" outlineLevel="0" collapsed="false">
      <c r="A156" s="2"/>
      <c r="B156" s="2"/>
      <c r="C156" s="2"/>
      <c r="D156" s="2"/>
      <c r="E156" s="2"/>
      <c r="F156" s="2"/>
      <c r="G156" s="2"/>
    </row>
    <row r="157" customFormat="false" ht="16.5" hidden="false" customHeight="true" outlineLevel="0" collapsed="false">
      <c r="A157" s="2"/>
      <c r="B157" s="2"/>
      <c r="C157" s="2"/>
      <c r="D157" s="2"/>
      <c r="E157" s="2"/>
      <c r="F157" s="2"/>
      <c r="G157" s="2"/>
    </row>
    <row r="158" customFormat="false" ht="16.5" hidden="false" customHeight="true" outlineLevel="0" collapsed="false">
      <c r="A158" s="2"/>
      <c r="B158" s="2"/>
      <c r="C158" s="2"/>
      <c r="D158" s="2"/>
      <c r="E158" s="2"/>
      <c r="F158" s="2"/>
      <c r="G158" s="2"/>
    </row>
    <row r="159" customFormat="false" ht="16.5" hidden="false" customHeight="true" outlineLevel="0" collapsed="false">
      <c r="A159" s="2"/>
      <c r="B159" s="2"/>
      <c r="C159" s="2"/>
      <c r="D159" s="2"/>
      <c r="E159" s="2"/>
      <c r="F159" s="2"/>
      <c r="G159" s="2"/>
    </row>
    <row r="160" customFormat="false" ht="33" hidden="false" customHeight="true" outlineLevel="0" collapsed="false">
      <c r="A160" s="2"/>
      <c r="B160" s="2"/>
      <c r="C160" s="2"/>
      <c r="D160" s="2"/>
      <c r="E160" s="2"/>
      <c r="F160" s="2"/>
      <c r="G160" s="2"/>
    </row>
    <row r="161" customFormat="false" ht="49.5" hidden="false" customHeight="true" outlineLevel="0" collapsed="false">
      <c r="A161" s="2"/>
      <c r="B161" s="2"/>
      <c r="C161" s="2"/>
      <c r="D161" s="2"/>
      <c r="E161" s="2"/>
      <c r="F161" s="2"/>
      <c r="G161" s="2"/>
    </row>
    <row r="162" customFormat="false" ht="33" hidden="false" customHeight="true" outlineLevel="0" collapsed="false">
      <c r="A162" s="2"/>
      <c r="B162" s="2"/>
      <c r="C162" s="2"/>
      <c r="D162" s="2"/>
      <c r="E162" s="2"/>
      <c r="F162" s="2"/>
      <c r="G162" s="2"/>
    </row>
    <row r="163" customFormat="false" ht="16.5" hidden="false" customHeight="true" outlineLevel="0" collapsed="false">
      <c r="A163" s="2"/>
      <c r="B163" s="2"/>
      <c r="C163" s="2"/>
      <c r="D163" s="2"/>
      <c r="E163" s="2"/>
      <c r="F163" s="2"/>
      <c r="G163" s="2"/>
    </row>
    <row r="164" customFormat="false" ht="16.5" hidden="false" customHeight="true" outlineLevel="0" collapsed="false">
      <c r="A164" s="2"/>
      <c r="B164" s="2"/>
      <c r="C164" s="2"/>
      <c r="D164" s="2"/>
      <c r="E164" s="2"/>
      <c r="F164" s="2"/>
      <c r="G164" s="2"/>
    </row>
    <row r="165" customFormat="false" ht="16.5" hidden="false" customHeight="true" outlineLevel="0" collapsed="false">
      <c r="A165" s="2"/>
      <c r="B165" s="2"/>
      <c r="C165" s="2"/>
      <c r="D165" s="2"/>
      <c r="E165" s="2"/>
      <c r="F165" s="2"/>
      <c r="G165" s="2"/>
    </row>
    <row r="166" customFormat="false" ht="16.5" hidden="false" customHeight="true" outlineLevel="0" collapsed="false">
      <c r="A166" s="2"/>
      <c r="B166" s="2"/>
      <c r="C166" s="2"/>
      <c r="D166" s="2"/>
      <c r="E166" s="2"/>
      <c r="F166" s="2"/>
      <c r="G166" s="2"/>
    </row>
    <row r="167" customFormat="false" ht="16.5" hidden="false" customHeight="true" outlineLevel="0" collapsed="false">
      <c r="A167" s="2"/>
      <c r="B167" s="2"/>
      <c r="C167" s="2"/>
      <c r="D167" s="2"/>
      <c r="E167" s="2"/>
      <c r="F167" s="2"/>
      <c r="G167" s="2"/>
    </row>
    <row r="168" customFormat="false" ht="16.5" hidden="false" customHeight="true" outlineLevel="0" collapsed="false">
      <c r="A168" s="2"/>
      <c r="B168" s="2"/>
      <c r="C168" s="2"/>
      <c r="D168" s="2"/>
      <c r="E168" s="2"/>
      <c r="F168" s="2"/>
      <c r="G168" s="2"/>
    </row>
    <row r="169" customFormat="false" ht="16.5" hidden="false" customHeight="true" outlineLevel="0" collapsed="false">
      <c r="A169" s="2"/>
      <c r="B169" s="2"/>
      <c r="C169" s="2"/>
      <c r="D169" s="2"/>
      <c r="E169" s="2"/>
      <c r="F169" s="2"/>
      <c r="G169" s="2"/>
    </row>
    <row r="170" customFormat="false" ht="16.5" hidden="false" customHeight="true" outlineLevel="0" collapsed="false">
      <c r="A170" s="2"/>
      <c r="B170" s="2"/>
      <c r="C170" s="2"/>
      <c r="D170" s="2"/>
      <c r="E170" s="2"/>
      <c r="F170" s="2"/>
      <c r="G170" s="2"/>
    </row>
    <row r="171" customFormat="false" ht="16.5" hidden="false" customHeight="true" outlineLevel="0" collapsed="false">
      <c r="A171" s="2"/>
      <c r="B171" s="2"/>
      <c r="C171" s="2"/>
      <c r="D171" s="2"/>
      <c r="E171" s="2"/>
      <c r="F171" s="2"/>
      <c r="G171" s="2"/>
    </row>
    <row r="172" customFormat="false" ht="16.5" hidden="false" customHeight="true" outlineLevel="0" collapsed="false">
      <c r="A172" s="2"/>
      <c r="B172" s="2"/>
      <c r="C172" s="2"/>
      <c r="D172" s="2"/>
      <c r="E172" s="2"/>
      <c r="F172" s="2"/>
      <c r="G172" s="2"/>
    </row>
    <row r="173" customFormat="false" ht="16.5" hidden="false" customHeight="true" outlineLevel="0" collapsed="false">
      <c r="A173" s="2"/>
      <c r="B173" s="2"/>
      <c r="C173" s="2"/>
      <c r="D173" s="2"/>
      <c r="E173" s="2"/>
      <c r="F173" s="2"/>
      <c r="G173" s="2"/>
    </row>
    <row r="174" customFormat="false" ht="16.5" hidden="false" customHeight="true" outlineLevel="0" collapsed="false">
      <c r="A174" s="2"/>
      <c r="B174" s="2"/>
      <c r="C174" s="2"/>
      <c r="D174" s="2"/>
      <c r="E174" s="2"/>
      <c r="F174" s="2"/>
      <c r="G174" s="2"/>
    </row>
    <row r="175" customFormat="false" ht="16.5" hidden="false" customHeight="true" outlineLevel="0" collapsed="false">
      <c r="A175" s="2"/>
      <c r="B175" s="2"/>
      <c r="C175" s="2"/>
      <c r="D175" s="2"/>
      <c r="E175" s="2"/>
      <c r="F175" s="2"/>
      <c r="G175" s="2"/>
    </row>
    <row r="176" customFormat="false" ht="33" hidden="false" customHeight="true" outlineLevel="0" collapsed="false">
      <c r="A176" s="2"/>
      <c r="B176" s="2"/>
      <c r="C176" s="2"/>
      <c r="D176" s="2"/>
      <c r="E176" s="2"/>
      <c r="F176" s="2"/>
      <c r="G176" s="2"/>
    </row>
    <row r="177" customFormat="false" ht="33" hidden="false" customHeight="true" outlineLevel="0" collapsed="false">
      <c r="A177" s="2"/>
      <c r="B177" s="2"/>
      <c r="C177" s="2"/>
      <c r="D177" s="2"/>
      <c r="E177" s="2"/>
      <c r="F177" s="2"/>
      <c r="G177" s="2"/>
    </row>
    <row r="178" customFormat="false" ht="33" hidden="false" customHeight="true" outlineLevel="0" collapsed="false">
      <c r="A178" s="2"/>
      <c r="B178" s="2"/>
      <c r="C178" s="2"/>
      <c r="D178" s="2"/>
      <c r="E178" s="2"/>
      <c r="F178" s="2"/>
      <c r="G178" s="2"/>
    </row>
    <row r="179" customFormat="false" ht="16.5" hidden="false" customHeight="true" outlineLevel="0" collapsed="false">
      <c r="A179" s="2"/>
      <c r="B179" s="2"/>
      <c r="C179" s="2"/>
      <c r="D179" s="2"/>
      <c r="E179" s="2"/>
      <c r="F179" s="2"/>
      <c r="G179" s="2"/>
    </row>
    <row r="180" customFormat="false" ht="16.5" hidden="false" customHeight="true" outlineLevel="0" collapsed="false">
      <c r="A180" s="2"/>
      <c r="B180" s="2"/>
      <c r="C180" s="2"/>
      <c r="D180" s="2"/>
      <c r="E180" s="2"/>
      <c r="F180" s="2"/>
      <c r="G180" s="2"/>
    </row>
    <row r="181" customFormat="false" ht="33" hidden="false" customHeight="true" outlineLevel="0" collapsed="false">
      <c r="A181" s="2"/>
      <c r="B181" s="2"/>
      <c r="C181" s="2"/>
      <c r="D181" s="2"/>
      <c r="E181" s="2"/>
      <c r="F181" s="2"/>
      <c r="G181" s="2"/>
    </row>
    <row r="182" customFormat="false" ht="27" hidden="false" customHeight="true" outlineLevel="0" collapsed="false">
      <c r="A182" s="2"/>
      <c r="B182" s="2"/>
      <c r="C182" s="2"/>
      <c r="D182" s="2"/>
      <c r="E182" s="2"/>
      <c r="F182" s="2"/>
      <c r="G182" s="2"/>
    </row>
    <row r="183" customFormat="false" ht="16.5" hidden="false" customHeight="true" outlineLevel="0" collapsed="false">
      <c r="A183" s="2"/>
      <c r="B183" s="2"/>
      <c r="C183" s="2"/>
      <c r="D183" s="2"/>
      <c r="E183" s="2"/>
      <c r="F183" s="2"/>
      <c r="G183" s="2"/>
    </row>
    <row r="184" customFormat="false" ht="16.5" hidden="false" customHeight="true" outlineLevel="0" collapsed="false">
      <c r="A184" s="2"/>
      <c r="B184" s="2"/>
      <c r="C184" s="2"/>
      <c r="D184" s="2"/>
      <c r="E184" s="2"/>
      <c r="F184" s="2"/>
      <c r="G184" s="2"/>
    </row>
    <row r="185" customFormat="false" ht="16.5" hidden="false" customHeight="true" outlineLevel="0" collapsed="false">
      <c r="A185" s="2"/>
      <c r="B185" s="2"/>
      <c r="C185" s="2"/>
      <c r="D185" s="2"/>
      <c r="E185" s="2"/>
      <c r="F185" s="2"/>
      <c r="G185" s="2"/>
    </row>
    <row r="186" customFormat="false" ht="33" hidden="false" customHeight="true" outlineLevel="0" collapsed="false">
      <c r="A186" s="2"/>
      <c r="B186" s="2"/>
      <c r="C186" s="2"/>
      <c r="D186" s="2"/>
      <c r="E186" s="2"/>
      <c r="F186" s="2"/>
      <c r="G186" s="2"/>
    </row>
    <row r="187" customFormat="false" ht="16.5" hidden="false" customHeight="true" outlineLevel="0" collapsed="false">
      <c r="A187" s="2"/>
      <c r="B187" s="2"/>
      <c r="C187" s="2"/>
      <c r="D187" s="2"/>
      <c r="E187" s="2"/>
      <c r="F187" s="2"/>
      <c r="G187" s="2"/>
    </row>
    <row r="188" customFormat="false" ht="16.5" hidden="false" customHeight="true" outlineLevel="0" collapsed="false">
      <c r="A188" s="2"/>
      <c r="B188" s="2"/>
      <c r="C188" s="2"/>
      <c r="D188" s="2"/>
      <c r="E188" s="2"/>
      <c r="F188" s="2"/>
      <c r="G188" s="2"/>
    </row>
    <row r="189" customFormat="false" ht="16.5" hidden="false" customHeight="true" outlineLevel="0" collapsed="false">
      <c r="A189" s="2"/>
      <c r="B189" s="2"/>
      <c r="C189" s="2"/>
      <c r="D189" s="2"/>
      <c r="E189" s="2"/>
      <c r="F189" s="2"/>
      <c r="G189" s="2"/>
    </row>
    <row r="190" customFormat="false" ht="16.5" hidden="false" customHeight="true" outlineLevel="0" collapsed="false">
      <c r="A190" s="2"/>
      <c r="B190" s="2"/>
      <c r="C190" s="2"/>
      <c r="D190" s="2"/>
      <c r="E190" s="2"/>
      <c r="F190" s="2"/>
      <c r="G190" s="2"/>
    </row>
    <row r="191" customFormat="false" ht="16.5" hidden="false" customHeight="true" outlineLevel="0" collapsed="false">
      <c r="A191" s="2"/>
      <c r="B191" s="2"/>
      <c r="C191" s="2"/>
      <c r="D191" s="2"/>
      <c r="E191" s="2"/>
      <c r="F191" s="2"/>
      <c r="G191" s="2"/>
    </row>
    <row r="192" customFormat="false" ht="16.5" hidden="false" customHeight="true" outlineLevel="0" collapsed="false">
      <c r="A192" s="2"/>
      <c r="B192" s="2"/>
      <c r="C192" s="2"/>
      <c r="D192" s="2"/>
      <c r="E192" s="2"/>
      <c r="F192" s="2"/>
      <c r="G192" s="2"/>
    </row>
    <row r="193" customFormat="false" ht="16.5" hidden="false" customHeight="true" outlineLevel="0" collapsed="false">
      <c r="A193" s="2"/>
      <c r="B193" s="2"/>
      <c r="C193" s="2"/>
      <c r="D193" s="2"/>
      <c r="E193" s="2"/>
      <c r="F193" s="2"/>
      <c r="G193" s="2"/>
    </row>
    <row r="194" customFormat="false" ht="16.5" hidden="false" customHeight="true" outlineLevel="0" collapsed="false">
      <c r="A194" s="2"/>
      <c r="B194" s="2"/>
      <c r="C194" s="2"/>
      <c r="D194" s="2"/>
      <c r="E194" s="2"/>
      <c r="F194" s="2"/>
      <c r="G194" s="2"/>
    </row>
    <row r="195" customFormat="false" ht="16.5" hidden="false" customHeight="true" outlineLevel="0" collapsed="false">
      <c r="A195" s="2"/>
      <c r="B195" s="2"/>
      <c r="C195" s="2"/>
      <c r="D195" s="2"/>
      <c r="E195" s="2"/>
      <c r="F195" s="2"/>
      <c r="G195" s="2"/>
    </row>
    <row r="196" customFormat="false" ht="33" hidden="false" customHeight="true" outlineLevel="0" collapsed="false">
      <c r="A196" s="2"/>
      <c r="B196" s="2"/>
      <c r="C196" s="2"/>
      <c r="D196" s="2"/>
      <c r="E196" s="2"/>
      <c r="F196" s="2"/>
      <c r="G196" s="2"/>
    </row>
    <row r="197" customFormat="false" ht="16.5" hidden="false" customHeight="true" outlineLevel="0" collapsed="false">
      <c r="A197" s="2"/>
      <c r="B197" s="2"/>
      <c r="C197" s="2"/>
      <c r="D197" s="2"/>
      <c r="E197" s="2"/>
      <c r="F197" s="2"/>
      <c r="G197" s="2"/>
    </row>
    <row r="198" customFormat="false" ht="16.5" hidden="false" customHeight="true" outlineLevel="0" collapsed="false">
      <c r="A198" s="2"/>
      <c r="B198" s="2"/>
      <c r="C198" s="2"/>
      <c r="D198" s="2"/>
      <c r="E198" s="2"/>
      <c r="F198" s="2"/>
      <c r="G198" s="2"/>
    </row>
    <row r="199" customFormat="false" ht="16.5" hidden="false" customHeight="true" outlineLevel="0" collapsed="false">
      <c r="A199" s="2"/>
      <c r="B199" s="2"/>
      <c r="C199" s="2"/>
      <c r="D199" s="2"/>
      <c r="E199" s="2"/>
      <c r="F199" s="2"/>
      <c r="G199" s="2"/>
    </row>
    <row r="200" customFormat="false" ht="33" hidden="false" customHeight="true" outlineLevel="0" collapsed="false">
      <c r="A200" s="2"/>
      <c r="B200" s="2"/>
      <c r="C200" s="2"/>
      <c r="D200" s="2"/>
      <c r="E200" s="2"/>
      <c r="F200" s="2"/>
      <c r="G200" s="2"/>
    </row>
    <row r="201" customFormat="false" ht="33" hidden="false" customHeight="true" outlineLevel="0" collapsed="false">
      <c r="A201" s="2"/>
      <c r="B201" s="2"/>
      <c r="C201" s="2"/>
      <c r="D201" s="2"/>
      <c r="E201" s="2"/>
      <c r="F201" s="2"/>
      <c r="G201" s="2"/>
    </row>
    <row r="202" customFormat="false" ht="16.5" hidden="false" customHeight="true" outlineLevel="0" collapsed="false">
      <c r="A202" s="2"/>
      <c r="B202" s="2"/>
      <c r="C202" s="2"/>
      <c r="D202" s="2"/>
      <c r="E202" s="2"/>
      <c r="F202" s="2"/>
      <c r="G202" s="2"/>
    </row>
    <row r="203" customFormat="false" ht="16.5" hidden="false" customHeight="true" outlineLevel="0" collapsed="false">
      <c r="A203" s="2"/>
      <c r="B203" s="2"/>
      <c r="C203" s="2"/>
      <c r="D203" s="2"/>
      <c r="E203" s="2"/>
      <c r="F203" s="2"/>
      <c r="G203" s="2"/>
    </row>
    <row r="204" customFormat="false" ht="16.5" hidden="false" customHeight="true" outlineLevel="0" collapsed="false">
      <c r="A204" s="2"/>
      <c r="B204" s="2"/>
      <c r="C204" s="2"/>
      <c r="D204" s="2"/>
      <c r="E204" s="2"/>
      <c r="F204" s="2"/>
      <c r="G204" s="2"/>
    </row>
    <row r="205" customFormat="false" ht="16.5" hidden="false" customHeight="true" outlineLevel="0" collapsed="false">
      <c r="A205" s="2"/>
      <c r="B205" s="2"/>
      <c r="C205" s="2"/>
      <c r="D205" s="2"/>
      <c r="E205" s="2"/>
      <c r="F205" s="2"/>
      <c r="G205" s="2"/>
    </row>
    <row r="206" customFormat="false" ht="16.5" hidden="false" customHeight="true" outlineLevel="0" collapsed="false">
      <c r="A206" s="2"/>
      <c r="B206" s="2"/>
      <c r="C206" s="2"/>
      <c r="D206" s="2"/>
      <c r="E206" s="2"/>
      <c r="F206" s="2"/>
      <c r="G206" s="2"/>
    </row>
    <row r="207" customFormat="false" ht="16.5" hidden="false" customHeight="true" outlineLevel="0" collapsed="false">
      <c r="A207" s="2"/>
      <c r="B207" s="2"/>
      <c r="C207" s="2"/>
      <c r="D207" s="2"/>
      <c r="E207" s="2"/>
      <c r="F207" s="2"/>
      <c r="G207" s="2"/>
    </row>
    <row r="208" customFormat="false" ht="16.5" hidden="false" customHeight="true" outlineLevel="0" collapsed="false">
      <c r="A208" s="2"/>
      <c r="B208" s="2"/>
      <c r="C208" s="2"/>
      <c r="D208" s="2"/>
      <c r="E208" s="2"/>
      <c r="F208" s="2"/>
      <c r="G208" s="2"/>
    </row>
    <row r="209" customFormat="false" ht="16.5" hidden="false" customHeight="true" outlineLevel="0" collapsed="false">
      <c r="A209" s="2"/>
      <c r="B209" s="2"/>
      <c r="C209" s="2"/>
      <c r="D209" s="2"/>
      <c r="E209" s="2"/>
      <c r="F209" s="2"/>
      <c r="G209" s="2"/>
    </row>
    <row r="210" customFormat="false" ht="16.5" hidden="false" customHeight="true" outlineLevel="0" collapsed="false">
      <c r="A210" s="2"/>
      <c r="B210" s="2"/>
      <c r="C210" s="2"/>
      <c r="D210" s="2"/>
      <c r="E210" s="2"/>
      <c r="F210" s="2"/>
      <c r="G210" s="2"/>
    </row>
    <row r="211" customFormat="false" ht="16.5" hidden="false" customHeight="true" outlineLevel="0" collapsed="false">
      <c r="A211" s="2"/>
      <c r="B211" s="2"/>
      <c r="C211" s="2"/>
      <c r="D211" s="2"/>
      <c r="E211" s="2"/>
      <c r="F211" s="2"/>
      <c r="G211" s="2"/>
    </row>
    <row r="212" customFormat="false" ht="16.5" hidden="false" customHeight="true" outlineLevel="0" collapsed="false">
      <c r="A212" s="2"/>
      <c r="B212" s="2"/>
      <c r="C212" s="2"/>
      <c r="D212" s="2"/>
      <c r="E212" s="2"/>
      <c r="F212" s="2"/>
      <c r="G212" s="2"/>
    </row>
    <row r="213" customFormat="false" ht="16.5" hidden="false" customHeight="true" outlineLevel="0" collapsed="false">
      <c r="A213" s="2"/>
      <c r="B213" s="2"/>
      <c r="C213" s="2"/>
      <c r="D213" s="2"/>
      <c r="E213" s="2"/>
      <c r="F213" s="2"/>
      <c r="G213" s="2"/>
    </row>
    <row r="214" customFormat="false" ht="16.5" hidden="false" customHeight="true" outlineLevel="0" collapsed="false">
      <c r="A214" s="2"/>
      <c r="B214" s="2"/>
      <c r="C214" s="2"/>
      <c r="D214" s="2"/>
      <c r="E214" s="2"/>
      <c r="F214" s="2"/>
      <c r="G214" s="2"/>
    </row>
    <row r="215" customFormat="false" ht="16.5" hidden="false" customHeight="true" outlineLevel="0" collapsed="false">
      <c r="A215" s="2"/>
      <c r="B215" s="2"/>
      <c r="C215" s="2"/>
      <c r="D215" s="2"/>
      <c r="E215" s="2"/>
      <c r="F215" s="2"/>
      <c r="G215" s="2"/>
    </row>
    <row r="216" customFormat="false" ht="16.5" hidden="false" customHeight="true" outlineLevel="0" collapsed="false">
      <c r="A216" s="2"/>
      <c r="B216" s="2"/>
      <c r="C216" s="2"/>
      <c r="D216" s="2"/>
      <c r="E216" s="2"/>
      <c r="F216" s="2"/>
      <c r="G216" s="2"/>
    </row>
    <row r="217" customFormat="false" ht="16.5" hidden="false" customHeight="true" outlineLevel="0" collapsed="false">
      <c r="A217" s="2"/>
      <c r="B217" s="2"/>
      <c r="C217" s="2"/>
      <c r="D217" s="2"/>
      <c r="E217" s="2"/>
      <c r="F217" s="2"/>
      <c r="G217" s="2"/>
    </row>
    <row r="218" customFormat="false" ht="16.5" hidden="false" customHeight="true" outlineLevel="0" collapsed="false">
      <c r="A218" s="2"/>
      <c r="B218" s="2"/>
      <c r="C218" s="2"/>
      <c r="D218" s="2"/>
      <c r="E218" s="2"/>
      <c r="F218" s="2"/>
      <c r="G218" s="2"/>
    </row>
    <row r="219" customFormat="false" ht="16.5" hidden="false" customHeight="true" outlineLevel="0" collapsed="false">
      <c r="A219" s="2"/>
      <c r="B219" s="2"/>
      <c r="C219" s="2"/>
      <c r="D219" s="2"/>
      <c r="E219" s="2"/>
      <c r="F219" s="2"/>
      <c r="G219" s="2"/>
    </row>
    <row r="220" customFormat="false" ht="16.5" hidden="false" customHeight="true" outlineLevel="0" collapsed="false">
      <c r="A220" s="2"/>
      <c r="B220" s="2"/>
      <c r="C220" s="2"/>
      <c r="D220" s="2"/>
      <c r="E220" s="2"/>
      <c r="F220" s="2"/>
      <c r="G220" s="2"/>
    </row>
    <row r="221" customFormat="false" ht="16.5" hidden="false" customHeight="true" outlineLevel="0" collapsed="false">
      <c r="A221" s="2"/>
      <c r="B221" s="2"/>
      <c r="C221" s="2"/>
      <c r="D221" s="2"/>
      <c r="E221" s="2"/>
      <c r="F221" s="2"/>
      <c r="G221" s="2"/>
    </row>
    <row r="222" customFormat="false" ht="16.5" hidden="false" customHeight="true" outlineLevel="0" collapsed="false">
      <c r="A222" s="2"/>
      <c r="B222" s="2"/>
      <c r="C222" s="2"/>
      <c r="D222" s="2"/>
      <c r="E222" s="2"/>
      <c r="F222" s="2"/>
      <c r="G222" s="2"/>
    </row>
    <row r="223" customFormat="false" ht="16.5" hidden="false" customHeight="true" outlineLevel="0" collapsed="false">
      <c r="A223" s="2"/>
      <c r="B223" s="2"/>
      <c r="C223" s="2"/>
      <c r="D223" s="2"/>
      <c r="E223" s="2"/>
      <c r="F223" s="2"/>
      <c r="G223" s="2"/>
    </row>
    <row r="224" customFormat="false" ht="33" hidden="false" customHeight="true" outlineLevel="0" collapsed="false">
      <c r="A224" s="2"/>
      <c r="B224" s="2"/>
      <c r="C224" s="2"/>
      <c r="D224" s="2"/>
      <c r="E224" s="2"/>
      <c r="F224" s="2"/>
      <c r="G224" s="2"/>
    </row>
    <row r="225" customFormat="false" ht="16.5" hidden="false" customHeight="true" outlineLevel="0" collapsed="false">
      <c r="A225" s="2"/>
      <c r="B225" s="2"/>
      <c r="C225" s="2"/>
      <c r="D225" s="2"/>
      <c r="E225" s="2"/>
      <c r="F225" s="2"/>
      <c r="G225" s="2"/>
    </row>
    <row r="226" customFormat="false" ht="16.5" hidden="false" customHeight="true" outlineLevel="0" collapsed="false">
      <c r="A226" s="2"/>
      <c r="B226" s="2"/>
      <c r="C226" s="2"/>
      <c r="D226" s="2"/>
      <c r="E226" s="2"/>
      <c r="F226" s="2"/>
      <c r="G226" s="2"/>
    </row>
    <row r="227" customFormat="false" ht="16.5" hidden="false" customHeight="true" outlineLevel="0" collapsed="false">
      <c r="A227" s="2"/>
      <c r="B227" s="2"/>
      <c r="C227" s="2"/>
      <c r="D227" s="2"/>
      <c r="E227" s="2"/>
      <c r="F227" s="2"/>
      <c r="G227" s="2"/>
    </row>
    <row r="228" customFormat="false" ht="33" hidden="false" customHeight="true" outlineLevel="0" collapsed="false">
      <c r="A228" s="2"/>
      <c r="B228" s="2"/>
      <c r="C228" s="2"/>
      <c r="D228" s="2"/>
      <c r="E228" s="2"/>
      <c r="F228" s="2"/>
      <c r="G228" s="2"/>
    </row>
    <row r="229" customFormat="false" ht="33" hidden="false" customHeight="true" outlineLevel="0" collapsed="false">
      <c r="A229" s="2"/>
      <c r="B229" s="2"/>
      <c r="C229" s="2"/>
      <c r="D229" s="2"/>
      <c r="E229" s="2"/>
      <c r="F229" s="2"/>
      <c r="G229" s="2"/>
    </row>
    <row r="230" customFormat="false" ht="16.5" hidden="false" customHeight="true" outlineLevel="0" collapsed="false">
      <c r="A230" s="2"/>
      <c r="B230" s="2"/>
      <c r="C230" s="2"/>
      <c r="D230" s="2"/>
      <c r="E230" s="2"/>
      <c r="F230" s="2"/>
      <c r="G230" s="2"/>
    </row>
    <row r="231" customFormat="false" ht="33" hidden="false" customHeight="true" outlineLevel="0" collapsed="false">
      <c r="A231" s="2"/>
      <c r="B231" s="2"/>
      <c r="C231" s="2"/>
      <c r="D231" s="2"/>
      <c r="E231" s="2"/>
      <c r="F231" s="2"/>
      <c r="G231" s="2"/>
    </row>
    <row r="232" customFormat="false" ht="16.5" hidden="false" customHeight="true" outlineLevel="0" collapsed="false">
      <c r="A232" s="2"/>
      <c r="B232" s="2"/>
      <c r="C232" s="2"/>
      <c r="D232" s="2"/>
      <c r="E232" s="2"/>
      <c r="F232" s="2"/>
      <c r="G232" s="2"/>
    </row>
    <row r="233" customFormat="false" ht="16.5" hidden="false" customHeight="true" outlineLevel="0" collapsed="false">
      <c r="A233" s="2"/>
      <c r="B233" s="2"/>
      <c r="C233" s="2"/>
      <c r="D233" s="2"/>
      <c r="E233" s="2"/>
      <c r="F233" s="2"/>
      <c r="G233" s="2"/>
    </row>
    <row r="234" customFormat="false" ht="16.5" hidden="false" customHeight="true" outlineLevel="0" collapsed="false">
      <c r="A234" s="2"/>
      <c r="B234" s="2"/>
      <c r="C234" s="2"/>
      <c r="D234" s="2"/>
      <c r="E234" s="2"/>
      <c r="F234" s="2"/>
      <c r="G234" s="2"/>
    </row>
    <row r="235" customFormat="false" ht="16.5" hidden="false" customHeight="true" outlineLevel="0" collapsed="false">
      <c r="A235" s="2"/>
      <c r="B235" s="2"/>
      <c r="C235" s="2"/>
      <c r="D235" s="2"/>
      <c r="E235" s="2"/>
      <c r="F235" s="2"/>
      <c r="G235" s="2"/>
    </row>
    <row r="236" customFormat="false" ht="16.5" hidden="false" customHeight="true" outlineLevel="0" collapsed="false">
      <c r="A236" s="2"/>
      <c r="B236" s="2"/>
      <c r="C236" s="2"/>
      <c r="D236" s="2"/>
      <c r="E236" s="2"/>
      <c r="F236" s="2"/>
      <c r="G236" s="2"/>
    </row>
    <row r="237" customFormat="false" ht="16.5" hidden="false" customHeight="true" outlineLevel="0" collapsed="false">
      <c r="A237" s="2"/>
      <c r="B237" s="2"/>
      <c r="C237" s="2"/>
      <c r="D237" s="2"/>
      <c r="E237" s="2"/>
      <c r="F237" s="2"/>
      <c r="G237" s="2"/>
    </row>
    <row r="238" customFormat="false" ht="16.5" hidden="false" customHeight="true" outlineLevel="0" collapsed="false">
      <c r="A238" s="2"/>
      <c r="B238" s="2"/>
      <c r="C238" s="2"/>
      <c r="D238" s="2"/>
      <c r="E238" s="2"/>
      <c r="F238" s="2"/>
      <c r="G238" s="2"/>
    </row>
    <row r="239" customFormat="false" ht="16.5" hidden="false" customHeight="true" outlineLevel="0" collapsed="false">
      <c r="A239" s="2"/>
      <c r="B239" s="2"/>
      <c r="C239" s="2"/>
      <c r="D239" s="2"/>
      <c r="E239" s="2"/>
      <c r="F239" s="2"/>
      <c r="G239" s="2"/>
    </row>
    <row r="240" customFormat="false" ht="16.5" hidden="false" customHeight="true" outlineLevel="0" collapsed="false">
      <c r="A240" s="2"/>
      <c r="B240" s="2"/>
      <c r="C240" s="2"/>
      <c r="D240" s="2"/>
      <c r="E240" s="2"/>
      <c r="F240" s="2"/>
      <c r="G240" s="2"/>
    </row>
    <row r="241" customFormat="false" ht="33" hidden="false" customHeight="true" outlineLevel="0" collapsed="false">
      <c r="A241" s="2"/>
      <c r="B241" s="2"/>
      <c r="C241" s="2"/>
      <c r="D241" s="2"/>
      <c r="E241" s="2"/>
      <c r="F241" s="2"/>
      <c r="G241" s="2"/>
    </row>
    <row r="242" customFormat="false" ht="33" hidden="false" customHeight="true" outlineLevel="0" collapsed="false">
      <c r="A242" s="2"/>
      <c r="B242" s="2"/>
      <c r="C242" s="2"/>
      <c r="D242" s="2"/>
      <c r="E242" s="2"/>
      <c r="F242" s="2"/>
      <c r="G242" s="2"/>
    </row>
    <row r="243" customFormat="false" ht="33" hidden="false" customHeight="true" outlineLevel="0" collapsed="false">
      <c r="A243" s="2"/>
      <c r="B243" s="2"/>
      <c r="C243" s="2"/>
      <c r="D243" s="2"/>
      <c r="E243" s="2"/>
      <c r="F243" s="2"/>
      <c r="G243" s="2"/>
    </row>
    <row r="244" customFormat="false" ht="33" hidden="false" customHeight="true" outlineLevel="0" collapsed="false">
      <c r="A244" s="2"/>
      <c r="B244" s="2"/>
      <c r="C244" s="2"/>
      <c r="D244" s="2"/>
      <c r="E244" s="2"/>
      <c r="F244" s="2"/>
      <c r="G244" s="2"/>
    </row>
    <row r="245" customFormat="false" ht="16.5" hidden="false" customHeight="true" outlineLevel="0" collapsed="false">
      <c r="A245" s="2"/>
      <c r="B245" s="2"/>
      <c r="C245" s="2"/>
      <c r="D245" s="2"/>
      <c r="E245" s="2"/>
      <c r="F245" s="2"/>
      <c r="G245" s="2"/>
    </row>
    <row r="246" customFormat="false" ht="16.5" hidden="false" customHeight="true" outlineLevel="0" collapsed="false">
      <c r="A246" s="2"/>
      <c r="B246" s="2"/>
      <c r="C246" s="2"/>
      <c r="D246" s="2"/>
      <c r="E246" s="2"/>
      <c r="F246" s="2"/>
      <c r="G246" s="2"/>
    </row>
    <row r="247" customFormat="false" ht="16.5" hidden="false" customHeight="true" outlineLevel="0" collapsed="false">
      <c r="A247" s="2"/>
      <c r="B247" s="2"/>
      <c r="C247" s="2"/>
      <c r="D247" s="2"/>
      <c r="E247" s="2"/>
      <c r="F247" s="2"/>
      <c r="G247" s="2"/>
    </row>
    <row r="248" customFormat="false" ht="16.5" hidden="false" customHeight="true" outlineLevel="0" collapsed="false">
      <c r="A248" s="2"/>
      <c r="B248" s="2"/>
      <c r="C248" s="2"/>
      <c r="D248" s="2"/>
      <c r="E248" s="2"/>
      <c r="F248" s="2"/>
      <c r="G248" s="2"/>
    </row>
    <row r="249" customFormat="false" ht="16.5" hidden="false" customHeight="true" outlineLevel="0" collapsed="false">
      <c r="A249" s="2"/>
      <c r="B249" s="2"/>
      <c r="C249" s="2"/>
      <c r="D249" s="2"/>
      <c r="E249" s="2"/>
      <c r="F249" s="2"/>
      <c r="G249" s="2"/>
    </row>
    <row r="250" customFormat="false" ht="16.5" hidden="false" customHeight="true" outlineLevel="0" collapsed="false">
      <c r="A250" s="2"/>
      <c r="B250" s="2"/>
      <c r="C250" s="2"/>
      <c r="D250" s="2"/>
      <c r="E250" s="2"/>
      <c r="F250" s="2"/>
      <c r="G250" s="2"/>
    </row>
    <row r="251" customFormat="false" ht="16.5" hidden="false" customHeight="true" outlineLevel="0" collapsed="false">
      <c r="A251" s="2"/>
      <c r="B251" s="2"/>
      <c r="C251" s="2"/>
      <c r="D251" s="2"/>
      <c r="E251" s="2"/>
      <c r="F251" s="2"/>
      <c r="G251" s="2"/>
    </row>
    <row r="252" customFormat="false" ht="16.5" hidden="false" customHeight="true" outlineLevel="0" collapsed="false">
      <c r="A252" s="2"/>
      <c r="B252" s="2"/>
      <c r="C252" s="2"/>
      <c r="D252" s="2"/>
      <c r="E252" s="2"/>
      <c r="F252" s="2"/>
      <c r="G252" s="2"/>
    </row>
    <row r="253" customFormat="false" ht="33" hidden="false" customHeight="true" outlineLevel="0" collapsed="false">
      <c r="A253" s="2"/>
      <c r="B253" s="2"/>
      <c r="C253" s="2"/>
      <c r="D253" s="2"/>
      <c r="E253" s="2"/>
      <c r="F253" s="2"/>
      <c r="G253" s="2"/>
    </row>
    <row r="254" customFormat="false" ht="16.5" hidden="false" customHeight="true" outlineLevel="0" collapsed="false">
      <c r="A254" s="2"/>
      <c r="B254" s="2"/>
      <c r="C254" s="2"/>
      <c r="D254" s="2"/>
      <c r="E254" s="2"/>
      <c r="F254" s="2"/>
      <c r="G254" s="2"/>
    </row>
    <row r="255" customFormat="false" ht="16.5" hidden="false" customHeight="true" outlineLevel="0" collapsed="false">
      <c r="A255" s="2"/>
      <c r="B255" s="2"/>
      <c r="C255" s="2"/>
      <c r="D255" s="2"/>
      <c r="E255" s="2"/>
      <c r="F255" s="2"/>
      <c r="G255" s="2"/>
    </row>
    <row r="256" customFormat="false" ht="16.5" hidden="false" customHeight="true" outlineLevel="0" collapsed="false">
      <c r="A256" s="2"/>
      <c r="B256" s="2"/>
      <c r="C256" s="2"/>
      <c r="D256" s="2"/>
      <c r="E256" s="2"/>
      <c r="F256" s="2"/>
      <c r="G256" s="2"/>
    </row>
    <row r="257" customFormat="false" ht="16.5" hidden="false" customHeight="true" outlineLevel="0" collapsed="false">
      <c r="A257" s="2"/>
      <c r="B257" s="2"/>
      <c r="C257" s="2"/>
      <c r="D257" s="2"/>
      <c r="E257" s="2"/>
      <c r="F257" s="2"/>
      <c r="G257" s="2"/>
    </row>
    <row r="258" customFormat="false" ht="16.5" hidden="false" customHeight="true" outlineLevel="0" collapsed="false">
      <c r="A258" s="2"/>
      <c r="B258" s="2"/>
      <c r="C258" s="2"/>
      <c r="D258" s="2"/>
      <c r="E258" s="2"/>
      <c r="F258" s="2"/>
      <c r="G258" s="2"/>
    </row>
    <row r="259" customFormat="false" ht="16.5" hidden="false" customHeight="true" outlineLevel="0" collapsed="false">
      <c r="A259" s="2"/>
      <c r="B259" s="2"/>
      <c r="C259" s="2"/>
      <c r="D259" s="2"/>
      <c r="E259" s="2"/>
      <c r="F259" s="2"/>
      <c r="G259" s="2"/>
    </row>
    <row r="260" customFormat="false" ht="16.5" hidden="false" customHeight="true" outlineLevel="0" collapsed="false">
      <c r="A260" s="2"/>
      <c r="B260" s="2"/>
      <c r="C260" s="2"/>
      <c r="D260" s="2"/>
      <c r="E260" s="2"/>
      <c r="F260" s="2"/>
      <c r="G260" s="2"/>
    </row>
    <row r="261" customFormat="false" ht="16.5" hidden="false" customHeight="true" outlineLevel="0" collapsed="false">
      <c r="A261" s="2"/>
      <c r="B261" s="2"/>
      <c r="C261" s="2"/>
      <c r="D261" s="2"/>
      <c r="E261" s="2"/>
      <c r="F261" s="2"/>
      <c r="G261" s="2"/>
    </row>
    <row r="262" customFormat="false" ht="16.5" hidden="false" customHeight="true" outlineLevel="0" collapsed="false">
      <c r="A262" s="2"/>
      <c r="B262" s="2"/>
      <c r="C262" s="2"/>
      <c r="D262" s="2"/>
      <c r="E262" s="2"/>
      <c r="F262" s="2"/>
      <c r="G262" s="2"/>
    </row>
    <row r="263" customFormat="false" ht="16.5" hidden="false" customHeight="true" outlineLevel="0" collapsed="false">
      <c r="A263" s="2"/>
      <c r="B263" s="2"/>
      <c r="C263" s="2"/>
      <c r="D263" s="2"/>
      <c r="E263" s="2"/>
      <c r="F263" s="2"/>
      <c r="G263" s="2"/>
    </row>
    <row r="264" customFormat="false" ht="16.5" hidden="false" customHeight="true" outlineLevel="0" collapsed="false">
      <c r="A264" s="2"/>
      <c r="B264" s="2"/>
      <c r="C264" s="2"/>
      <c r="D264" s="2"/>
      <c r="E264" s="2"/>
      <c r="F264" s="2"/>
      <c r="G264" s="2"/>
    </row>
    <row r="265" customFormat="false" ht="16.5" hidden="false" customHeight="true" outlineLevel="0" collapsed="false">
      <c r="A265" s="2"/>
      <c r="B265" s="2"/>
      <c r="C265" s="2"/>
      <c r="D265" s="2"/>
      <c r="E265" s="2"/>
      <c r="F265" s="2"/>
      <c r="G265" s="2"/>
    </row>
    <row r="266" customFormat="false" ht="33" hidden="false" customHeight="true" outlineLevel="0" collapsed="false">
      <c r="A266" s="2"/>
      <c r="B266" s="2"/>
      <c r="C266" s="2"/>
      <c r="D266" s="2"/>
      <c r="E266" s="2"/>
      <c r="F266" s="2"/>
      <c r="G266" s="2"/>
    </row>
    <row r="267" customFormat="false" ht="16.5" hidden="false" customHeight="true" outlineLevel="0" collapsed="false">
      <c r="A267" s="2"/>
      <c r="B267" s="2"/>
      <c r="C267" s="2"/>
      <c r="D267" s="2"/>
      <c r="E267" s="2"/>
      <c r="F267" s="2"/>
      <c r="G267" s="2"/>
    </row>
    <row r="268" customFormat="false" ht="16.5" hidden="false" customHeight="true" outlineLevel="0" collapsed="false">
      <c r="A268" s="2"/>
      <c r="B268" s="2"/>
      <c r="C268" s="2"/>
      <c r="D268" s="2"/>
      <c r="E268" s="2"/>
      <c r="F268" s="2"/>
      <c r="G268" s="2"/>
    </row>
    <row r="269" customFormat="false" ht="16.5" hidden="false" customHeight="true" outlineLevel="0" collapsed="false">
      <c r="A269" s="2"/>
      <c r="B269" s="2"/>
      <c r="C269" s="2"/>
      <c r="D269" s="2"/>
      <c r="E269" s="2"/>
      <c r="F269" s="2"/>
      <c r="G269" s="2"/>
    </row>
    <row r="270" customFormat="false" ht="16.5" hidden="false" customHeight="true" outlineLevel="0" collapsed="false">
      <c r="A270" s="2"/>
      <c r="B270" s="2"/>
      <c r="C270" s="2"/>
      <c r="D270" s="2"/>
      <c r="E270" s="2"/>
      <c r="F270" s="2"/>
      <c r="G270" s="2"/>
    </row>
    <row r="271" customFormat="false" ht="33" hidden="false" customHeight="true" outlineLevel="0" collapsed="false">
      <c r="A271" s="2"/>
      <c r="B271" s="2"/>
      <c r="C271" s="2"/>
      <c r="D271" s="2"/>
      <c r="E271" s="2"/>
      <c r="F271" s="2"/>
      <c r="G271" s="2"/>
    </row>
    <row r="272" customFormat="false" ht="16.5" hidden="false" customHeight="true" outlineLevel="0" collapsed="false">
      <c r="A272" s="2"/>
      <c r="B272" s="2"/>
      <c r="C272" s="2"/>
      <c r="D272" s="2"/>
      <c r="E272" s="2"/>
      <c r="F272" s="2"/>
      <c r="G272" s="2"/>
    </row>
    <row r="273" customFormat="false" ht="16.5" hidden="false" customHeight="true" outlineLevel="0" collapsed="false">
      <c r="A273" s="2"/>
      <c r="B273" s="2"/>
      <c r="C273" s="2"/>
      <c r="D273" s="2"/>
      <c r="E273" s="2"/>
      <c r="F273" s="2"/>
      <c r="G273" s="2"/>
    </row>
    <row r="274" customFormat="false" ht="16.5" hidden="false" customHeight="true" outlineLevel="0" collapsed="false">
      <c r="A274" s="2"/>
      <c r="B274" s="2"/>
      <c r="C274" s="2"/>
      <c r="D274" s="2"/>
      <c r="E274" s="2"/>
      <c r="F274" s="2"/>
      <c r="G274" s="2"/>
    </row>
    <row r="275" customFormat="false" ht="16.5" hidden="false" customHeight="true" outlineLevel="0" collapsed="false">
      <c r="A275" s="2"/>
      <c r="B275" s="2"/>
      <c r="C275" s="2"/>
      <c r="D275" s="2"/>
      <c r="E275" s="2"/>
      <c r="F275" s="2"/>
      <c r="G275" s="2"/>
    </row>
    <row r="276" customFormat="false" ht="16.5" hidden="false" customHeight="true" outlineLevel="0" collapsed="false">
      <c r="A276" s="2"/>
      <c r="B276" s="2"/>
      <c r="C276" s="2"/>
      <c r="D276" s="2"/>
      <c r="E276" s="2"/>
      <c r="F276" s="2"/>
      <c r="G276" s="2"/>
    </row>
    <row r="277" customFormat="false" ht="33" hidden="false" customHeight="true" outlineLevel="0" collapsed="false">
      <c r="A277" s="2"/>
      <c r="B277" s="2"/>
      <c r="C277" s="2"/>
      <c r="D277" s="2"/>
      <c r="E277" s="2"/>
      <c r="F277" s="2"/>
      <c r="G277" s="2"/>
    </row>
    <row r="278" customFormat="false" ht="16.5" hidden="false" customHeight="true" outlineLevel="0" collapsed="false">
      <c r="A278" s="2"/>
      <c r="B278" s="2"/>
      <c r="C278" s="2"/>
      <c r="D278" s="2"/>
      <c r="E278" s="2"/>
      <c r="F278" s="2"/>
      <c r="G278" s="2"/>
    </row>
    <row r="279" customFormat="false" ht="16.5" hidden="false" customHeight="true" outlineLevel="0" collapsed="false">
      <c r="A279" s="2"/>
      <c r="B279" s="2"/>
      <c r="C279" s="2"/>
      <c r="D279" s="2"/>
      <c r="E279" s="2"/>
      <c r="F279" s="2"/>
      <c r="G279" s="2"/>
    </row>
    <row r="280" customFormat="false" ht="16.5" hidden="false" customHeight="true" outlineLevel="0" collapsed="false">
      <c r="A280" s="2"/>
      <c r="B280" s="2"/>
      <c r="C280" s="2"/>
      <c r="D280" s="2"/>
      <c r="E280" s="2"/>
      <c r="F280" s="2"/>
      <c r="G280" s="2"/>
    </row>
    <row r="281" customFormat="false" ht="33" hidden="false" customHeight="true" outlineLevel="0" collapsed="false">
      <c r="A281" s="2"/>
      <c r="B281" s="2"/>
      <c r="C281" s="2"/>
      <c r="D281" s="2"/>
      <c r="E281" s="2"/>
      <c r="F281" s="2"/>
      <c r="G281" s="2"/>
    </row>
    <row r="282" customFormat="false" ht="16.5" hidden="false" customHeight="true" outlineLevel="0" collapsed="false">
      <c r="A282" s="2"/>
      <c r="B282" s="2"/>
      <c r="C282" s="2"/>
      <c r="D282" s="2"/>
      <c r="E282" s="2"/>
      <c r="F282" s="2"/>
      <c r="G282" s="2"/>
    </row>
    <row r="283" customFormat="false" ht="16.5" hidden="false" customHeight="true" outlineLevel="0" collapsed="false">
      <c r="A283" s="2"/>
      <c r="B283" s="2"/>
      <c r="C283" s="2"/>
      <c r="D283" s="2"/>
      <c r="E283" s="2"/>
      <c r="F283" s="2"/>
      <c r="G283" s="2"/>
    </row>
    <row r="284" customFormat="false" ht="16.5" hidden="false" customHeight="true" outlineLevel="0" collapsed="false">
      <c r="A284" s="2"/>
      <c r="B284" s="2"/>
      <c r="C284" s="2"/>
      <c r="D284" s="2"/>
      <c r="E284" s="2"/>
      <c r="F284" s="2"/>
      <c r="G284" s="2"/>
    </row>
    <row r="285" customFormat="false" ht="33" hidden="false" customHeight="true" outlineLevel="0" collapsed="false">
      <c r="A285" s="2"/>
      <c r="B285" s="2"/>
      <c r="C285" s="2"/>
      <c r="D285" s="2"/>
      <c r="E285" s="2"/>
      <c r="F285" s="2"/>
      <c r="G285" s="2"/>
    </row>
    <row r="286" customFormat="false" ht="16.5" hidden="false" customHeight="true" outlineLevel="0" collapsed="false">
      <c r="A286" s="2"/>
      <c r="B286" s="2"/>
      <c r="C286" s="2"/>
      <c r="D286" s="2"/>
      <c r="E286" s="2"/>
      <c r="F286" s="2"/>
      <c r="G286" s="2"/>
    </row>
    <row r="287" customFormat="false" ht="16.5" hidden="false" customHeight="true" outlineLevel="0" collapsed="false">
      <c r="A287" s="2"/>
      <c r="B287" s="2"/>
      <c r="C287" s="2"/>
      <c r="D287" s="2"/>
      <c r="E287" s="2"/>
      <c r="F287" s="2"/>
      <c r="G287" s="2"/>
    </row>
    <row r="288" customFormat="false" ht="16.5" hidden="false" customHeight="true" outlineLevel="0" collapsed="false">
      <c r="A288" s="2"/>
      <c r="B288" s="2"/>
      <c r="C288" s="2"/>
      <c r="D288" s="2"/>
      <c r="E288" s="2"/>
      <c r="F288" s="2"/>
      <c r="G288" s="2"/>
    </row>
    <row r="289" customFormat="false" ht="16.5" hidden="false" customHeight="true" outlineLevel="0" collapsed="false">
      <c r="A289" s="2"/>
      <c r="B289" s="2"/>
      <c r="C289" s="2"/>
      <c r="D289" s="2"/>
      <c r="E289" s="2"/>
      <c r="F289" s="2"/>
      <c r="G289" s="2"/>
    </row>
    <row r="290" customFormat="false" ht="33" hidden="false" customHeight="true" outlineLevel="0" collapsed="false">
      <c r="A290" s="2"/>
      <c r="B290" s="2"/>
      <c r="C290" s="2"/>
      <c r="D290" s="2"/>
      <c r="E290" s="2"/>
      <c r="F290" s="2"/>
      <c r="G290" s="2"/>
    </row>
    <row r="291" customFormat="false" ht="16.5" hidden="false" customHeight="true" outlineLevel="0" collapsed="false">
      <c r="A291" s="2"/>
      <c r="B291" s="2"/>
      <c r="C291" s="2"/>
      <c r="D291" s="2"/>
      <c r="E291" s="2"/>
      <c r="F291" s="2"/>
      <c r="G291" s="2"/>
    </row>
    <row r="292" customFormat="false" ht="16.5" hidden="false" customHeight="true" outlineLevel="0" collapsed="false">
      <c r="A292" s="2"/>
      <c r="B292" s="2"/>
      <c r="C292" s="2"/>
      <c r="D292" s="2"/>
      <c r="E292" s="2"/>
      <c r="F292" s="2"/>
      <c r="G292" s="2"/>
    </row>
    <row r="293" customFormat="false" ht="16.5" hidden="false" customHeight="true" outlineLevel="0" collapsed="false">
      <c r="A293" s="2"/>
      <c r="B293" s="2"/>
      <c r="C293" s="2"/>
      <c r="D293" s="2"/>
      <c r="E293" s="2"/>
      <c r="F293" s="2"/>
      <c r="G293" s="2"/>
    </row>
    <row r="294" customFormat="false" ht="16.5" hidden="false" customHeight="true" outlineLevel="0" collapsed="false">
      <c r="A294" s="2"/>
      <c r="B294" s="2"/>
      <c r="C294" s="2"/>
      <c r="D294" s="2"/>
      <c r="E294" s="2"/>
      <c r="F294" s="2"/>
      <c r="G294" s="2"/>
    </row>
    <row r="295" customFormat="false" ht="16.5" hidden="false" customHeight="true" outlineLevel="0" collapsed="false">
      <c r="A295" s="2"/>
      <c r="B295" s="2"/>
      <c r="C295" s="2"/>
      <c r="D295" s="2"/>
      <c r="E295" s="2"/>
      <c r="F295" s="2"/>
      <c r="G295" s="2"/>
    </row>
    <row r="296" customFormat="false" ht="16.5" hidden="false" customHeight="true" outlineLevel="0" collapsed="false">
      <c r="A296" s="2"/>
      <c r="B296" s="2"/>
      <c r="C296" s="2"/>
      <c r="D296" s="2"/>
      <c r="E296" s="2"/>
      <c r="F296" s="2"/>
      <c r="G296" s="2"/>
    </row>
    <row r="297" customFormat="false" ht="16.5" hidden="false" customHeight="true" outlineLevel="0" collapsed="false">
      <c r="A297" s="2"/>
      <c r="B297" s="2"/>
      <c r="C297" s="2"/>
      <c r="D297" s="2"/>
      <c r="E297" s="2"/>
      <c r="F297" s="2"/>
      <c r="G297" s="2"/>
    </row>
    <row r="298" customFormat="false" ht="16.5" hidden="false" customHeight="true" outlineLevel="0" collapsed="false">
      <c r="A298" s="2"/>
      <c r="B298" s="2"/>
      <c r="C298" s="2"/>
      <c r="D298" s="2"/>
      <c r="E298" s="2"/>
      <c r="F298" s="2"/>
      <c r="G298" s="2"/>
    </row>
    <row r="299" customFormat="false" ht="16.5" hidden="false" customHeight="true" outlineLevel="0" collapsed="false">
      <c r="A299" s="2"/>
      <c r="B299" s="2"/>
      <c r="C299" s="2"/>
      <c r="D299" s="2"/>
      <c r="E299" s="2"/>
      <c r="F299" s="2"/>
      <c r="G299" s="2"/>
    </row>
    <row r="300" customFormat="false" ht="16.5" hidden="false" customHeight="true" outlineLevel="0" collapsed="false">
      <c r="A300" s="2"/>
      <c r="B300" s="2"/>
      <c r="C300" s="2"/>
      <c r="D300" s="2"/>
      <c r="E300" s="2"/>
      <c r="F300" s="2"/>
      <c r="G300" s="2"/>
    </row>
    <row r="301" customFormat="false" ht="16.5" hidden="false" customHeight="true" outlineLevel="0" collapsed="false">
      <c r="A301" s="2"/>
      <c r="B301" s="2"/>
      <c r="C301" s="2"/>
      <c r="D301" s="2"/>
      <c r="E301" s="2"/>
      <c r="F301" s="2"/>
      <c r="G301" s="2"/>
    </row>
    <row r="302" customFormat="false" ht="16.5" hidden="false" customHeight="true" outlineLevel="0" collapsed="false">
      <c r="A302" s="2"/>
      <c r="B302" s="2"/>
      <c r="C302" s="2"/>
      <c r="D302" s="2"/>
      <c r="E302" s="2"/>
      <c r="F302" s="2"/>
      <c r="G302" s="2"/>
    </row>
    <row r="303" customFormat="false" ht="16.5" hidden="false" customHeight="true" outlineLevel="0" collapsed="false">
      <c r="A303" s="2"/>
      <c r="B303" s="2"/>
      <c r="C303" s="2"/>
      <c r="D303" s="2"/>
      <c r="E303" s="2"/>
      <c r="F303" s="2"/>
      <c r="G303" s="2"/>
    </row>
    <row r="304" customFormat="false" ht="16.5" hidden="false" customHeight="true" outlineLevel="0" collapsed="false">
      <c r="A304" s="2"/>
      <c r="B304" s="2"/>
      <c r="C304" s="2"/>
      <c r="D304" s="2"/>
      <c r="E304" s="2"/>
      <c r="F304" s="2"/>
      <c r="G304" s="2"/>
    </row>
    <row r="305" customFormat="false" ht="16.5" hidden="false" customHeight="true" outlineLevel="0" collapsed="false">
      <c r="A305" s="2"/>
      <c r="B305" s="2"/>
      <c r="C305" s="2"/>
      <c r="D305" s="2"/>
      <c r="E305" s="2"/>
      <c r="F305" s="2"/>
      <c r="G305" s="2"/>
    </row>
    <row r="306" customFormat="false" ht="16.5" hidden="false" customHeight="true" outlineLevel="0" collapsed="false">
      <c r="A306" s="2"/>
      <c r="B306" s="2"/>
      <c r="C306" s="2"/>
      <c r="D306" s="2"/>
      <c r="E306" s="2"/>
      <c r="F306" s="2"/>
      <c r="G30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R1414"/>
  <sheetViews>
    <sheetView showFormulas="false" showGridLines="false" showRowColHeaders="true" showZeros="true" rightToLeft="false" tabSelected="true" showOutlineSymbols="true" defaultGridColor="true" view="normal" topLeftCell="A1" colorId="64" zoomScale="91" zoomScaleNormal="91" zoomScalePageLayoutView="100" workbookViewId="0">
      <pane xSplit="0" ySplit="8" topLeftCell="A1225" activePane="bottomLeft" state="frozen"/>
      <selection pane="topLeft" activeCell="A1" activeCellId="0" sqref="A1"/>
      <selection pane="bottomLeft" activeCell="H1229" activeCellId="0" sqref="H1229"/>
    </sheetView>
  </sheetViews>
  <sheetFormatPr defaultColWidth="8.5390625" defaultRowHeight="16.5" zeroHeight="false" outlineLevelRow="0" outlineLevelCol="0"/>
  <cols>
    <col collapsed="false" customWidth="true" hidden="false" outlineLevel="0" max="1" min="1" style="19" width="5.5"/>
    <col collapsed="false" customWidth="true" hidden="false" outlineLevel="0" max="2" min="2" style="9" width="11.63"/>
    <col collapsed="false" customWidth="true" hidden="false" outlineLevel="0" max="3" min="3" style="20" width="17"/>
    <col collapsed="false" customWidth="true" hidden="false" outlineLevel="0" max="4" min="4" style="20" width="17.13"/>
    <col collapsed="false" customWidth="true" hidden="false" outlineLevel="0" max="5" min="5" style="20" width="14.88"/>
    <col collapsed="false" customWidth="true" hidden="false" outlineLevel="0" max="6" min="6" style="20" width="36.25"/>
    <col collapsed="false" customWidth="true" hidden="false" outlineLevel="0" max="8" min="7" style="9" width="11.63"/>
    <col collapsed="false" customWidth="true" hidden="false" outlineLevel="0" max="9" min="9" style="20" width="7.63"/>
    <col collapsed="false" customWidth="true" hidden="false" outlineLevel="0" max="10" min="10" style="21" width="7.38"/>
    <col collapsed="false" customWidth="true" hidden="false" outlineLevel="0" max="11" min="11" style="22" width="11"/>
    <col collapsed="false" customWidth="true" hidden="false" outlineLevel="0" max="12" min="12" style="23" width="12.25"/>
    <col collapsed="false" customWidth="true" hidden="false" outlineLevel="0" max="13" min="13" style="24" width="9.63"/>
    <col collapsed="false" customWidth="true" hidden="false" outlineLevel="0" max="14" min="14" style="25" width="12.5"/>
    <col collapsed="false" customWidth="true" hidden="false" outlineLevel="0" max="15" min="15" style="21" width="8.38"/>
    <col collapsed="false" customWidth="true" hidden="false" outlineLevel="0" max="16" min="16" style="21" width="11.63"/>
    <col collapsed="false" customWidth="true" hidden="false" outlineLevel="0" max="17" min="17" style="26" width="10.88"/>
    <col collapsed="false" customWidth="true" hidden="false" outlineLevel="0" max="18" min="18" style="27" width="5.63"/>
    <col collapsed="false" customWidth="true" hidden="false" outlineLevel="0" max="19" min="19" style="28" width="9.5"/>
    <col collapsed="false" customWidth="true" hidden="false" outlineLevel="0" max="20" min="20" style="27" width="5.63"/>
    <col collapsed="false" customWidth="true" hidden="false" outlineLevel="0" max="21" min="21" style="28" width="9.5"/>
    <col collapsed="false" customWidth="true" hidden="false" outlineLevel="0" max="27" min="22" style="28" width="10.25"/>
    <col collapsed="false" customWidth="true" hidden="false" outlineLevel="0" max="29" min="28" style="29" width="10.25"/>
    <col collapsed="false" customWidth="true" hidden="false" outlineLevel="0" max="30" min="30" style="30" width="12.88"/>
    <col collapsed="false" customWidth="true" hidden="false" outlineLevel="0" max="31" min="31" style="31" width="10.25"/>
    <col collapsed="false" customWidth="true" hidden="false" outlineLevel="0" max="32" min="32" style="32" width="11.5"/>
    <col collapsed="false" customWidth="true" hidden="false" outlineLevel="0" max="33" min="33" style="33" width="11"/>
    <col collapsed="false" customWidth="true" hidden="false" outlineLevel="0" max="34" min="34" style="34" width="11.63"/>
    <col collapsed="false" customWidth="true" hidden="false" outlineLevel="0" max="35" min="35" style="35" width="19.5"/>
    <col collapsed="false" customWidth="true" hidden="false" outlineLevel="0" max="36" min="36" style="20" width="5.25"/>
    <col collapsed="false" customWidth="true" hidden="false" outlineLevel="0" max="37" min="37" style="36" width="149.38"/>
    <col collapsed="false" customWidth="true" hidden="false" outlineLevel="0" max="38" min="38" style="36" width="255.63"/>
    <col collapsed="false" customWidth="true" hidden="false" outlineLevel="0" max="39" min="39" style="1" width="9.38"/>
  </cols>
  <sheetData>
    <row r="1" s="38" customFormat="true" ht="16.5" hidden="false" customHeight="true" outlineLevel="0" collapsed="false">
      <c r="A1" s="20"/>
      <c r="B1" s="37" t="s">
        <v>38</v>
      </c>
      <c r="C1" s="20"/>
      <c r="D1" s="20"/>
      <c r="E1" s="20"/>
      <c r="F1" s="20"/>
      <c r="I1" s="20"/>
      <c r="J1" s="21"/>
      <c r="K1" s="22"/>
      <c r="L1" s="23"/>
      <c r="M1" s="24"/>
      <c r="N1" s="25"/>
      <c r="O1" s="21"/>
      <c r="P1" s="21"/>
      <c r="Q1" s="28"/>
      <c r="R1" s="27"/>
      <c r="S1" s="28"/>
      <c r="T1" s="27"/>
      <c r="U1" s="28"/>
      <c r="V1" s="28"/>
      <c r="W1" s="28"/>
      <c r="X1" s="28"/>
      <c r="Y1" s="28"/>
      <c r="Z1" s="28"/>
      <c r="AA1" s="28"/>
      <c r="AB1" s="39"/>
      <c r="AC1" s="39"/>
      <c r="AD1" s="40"/>
      <c r="AE1" s="41"/>
      <c r="AF1" s="41"/>
      <c r="AG1" s="42"/>
      <c r="AH1" s="43"/>
      <c r="AI1" s="44"/>
      <c r="AJ1" s="20"/>
      <c r="AK1" s="36"/>
      <c r="AL1" s="36"/>
    </row>
    <row r="2" s="52" customFormat="true" ht="93.75" hidden="false" customHeight="true" outlineLevel="0" collapsed="false">
      <c r="A2" s="45"/>
      <c r="B2" s="46" t="s">
        <v>39</v>
      </c>
      <c r="C2" s="45"/>
      <c r="D2" s="45"/>
      <c r="E2" s="45"/>
      <c r="F2" s="46" t="s">
        <v>40</v>
      </c>
      <c r="G2" s="47"/>
      <c r="H2" s="48"/>
      <c r="I2" s="45"/>
      <c r="J2" s="47"/>
      <c r="K2" s="49"/>
      <c r="L2" s="50"/>
      <c r="M2" s="51"/>
      <c r="R2" s="53"/>
      <c r="S2" s="48"/>
      <c r="T2" s="53"/>
      <c r="U2" s="48"/>
      <c r="V2" s="48"/>
      <c r="W2" s="48"/>
      <c r="X2" s="48"/>
      <c r="Y2" s="48"/>
      <c r="Z2" s="48"/>
      <c r="AA2" s="48"/>
      <c r="AB2" s="54"/>
      <c r="AC2" s="54"/>
      <c r="AD2" s="55"/>
      <c r="AE2" s="56"/>
      <c r="AF2" s="56"/>
      <c r="AG2" s="57"/>
      <c r="AH2" s="58"/>
      <c r="AI2" s="59"/>
      <c r="AJ2" s="45"/>
      <c r="AK2" s="60"/>
      <c r="AL2" s="60"/>
    </row>
    <row r="3" s="52" customFormat="true" ht="16.5" hidden="false" customHeight="true" outlineLevel="0" collapsed="false">
      <c r="A3" s="45"/>
      <c r="B3" s="52" t="s">
        <v>41</v>
      </c>
      <c r="C3" s="45"/>
      <c r="D3" s="45"/>
      <c r="E3" s="45"/>
      <c r="F3" s="52" t="s">
        <v>42</v>
      </c>
      <c r="G3" s="47"/>
      <c r="H3" s="48"/>
      <c r="I3" s="45"/>
      <c r="J3" s="47"/>
      <c r="K3" s="49"/>
      <c r="L3" s="50"/>
      <c r="M3" s="51"/>
      <c r="R3" s="53"/>
      <c r="S3" s="48"/>
      <c r="T3" s="53"/>
      <c r="U3" s="48"/>
      <c r="V3" s="48"/>
      <c r="W3" s="48"/>
      <c r="X3" s="48"/>
      <c r="Y3" s="48"/>
      <c r="Z3" s="48"/>
      <c r="AA3" s="48"/>
      <c r="AB3" s="54"/>
      <c r="AC3" s="54"/>
      <c r="AD3" s="55"/>
      <c r="AE3" s="56"/>
      <c r="AF3" s="56"/>
      <c r="AG3" s="57"/>
      <c r="AH3" s="58"/>
      <c r="AI3" s="59"/>
      <c r="AJ3" s="45"/>
      <c r="AK3" s="60"/>
      <c r="AL3" s="60"/>
    </row>
    <row r="4" s="52" customFormat="true" ht="16.5" hidden="false" customHeight="true" outlineLevel="0" collapsed="false">
      <c r="A4" s="45"/>
      <c r="C4" s="45"/>
      <c r="D4" s="45"/>
      <c r="E4" s="45"/>
      <c r="F4" s="52" t="s">
        <v>43</v>
      </c>
      <c r="G4" s="47"/>
      <c r="H4" s="48"/>
      <c r="I4" s="45"/>
      <c r="J4" s="47"/>
      <c r="K4" s="49"/>
      <c r="L4" s="50"/>
      <c r="M4" s="51"/>
      <c r="R4" s="53"/>
      <c r="S4" s="48"/>
      <c r="T4" s="53"/>
      <c r="U4" s="48"/>
      <c r="V4" s="48"/>
      <c r="W4" s="48"/>
      <c r="X4" s="48"/>
      <c r="Y4" s="48"/>
      <c r="Z4" s="48"/>
      <c r="AA4" s="48"/>
      <c r="AB4" s="54"/>
      <c r="AC4" s="54"/>
      <c r="AD4" s="55"/>
      <c r="AE4" s="56"/>
      <c r="AF4" s="56"/>
      <c r="AG4" s="57"/>
      <c r="AH4" s="58"/>
      <c r="AI4" s="59"/>
      <c r="AJ4" s="45"/>
      <c r="AK4" s="60"/>
      <c r="AL4" s="60"/>
    </row>
    <row r="5" s="38" customFormat="true" ht="16.5" hidden="false" customHeight="true" outlineLevel="0" collapsed="false">
      <c r="A5" s="20"/>
      <c r="C5" s="20"/>
      <c r="D5" s="20"/>
      <c r="E5" s="20"/>
      <c r="F5" s="20"/>
      <c r="I5" s="20"/>
      <c r="J5" s="21"/>
      <c r="K5" s="22"/>
      <c r="L5" s="23"/>
      <c r="M5" s="24"/>
      <c r="N5" s="25"/>
      <c r="O5" s="21"/>
      <c r="P5" s="21"/>
      <c r="Q5" s="28"/>
      <c r="R5" s="27"/>
      <c r="S5" s="28"/>
      <c r="T5" s="27"/>
      <c r="U5" s="28"/>
      <c r="V5" s="28"/>
      <c r="W5" s="28"/>
      <c r="X5" s="61" t="n">
        <v>0.001776</v>
      </c>
      <c r="Y5" s="28"/>
      <c r="Z5" s="28"/>
      <c r="AA5" s="28"/>
      <c r="AB5" s="39"/>
      <c r="AC5" s="39"/>
      <c r="AD5" s="40"/>
      <c r="AE5" s="41"/>
      <c r="AF5" s="41"/>
      <c r="AG5" s="42"/>
      <c r="AH5" s="43"/>
      <c r="AI5" s="44"/>
      <c r="AJ5" s="20"/>
      <c r="AK5" s="36"/>
      <c r="AL5" s="36"/>
    </row>
    <row r="6" s="62" customFormat="true" ht="16.5" hidden="false" customHeight="true" outlineLevel="0" collapsed="false">
      <c r="B6" s="19"/>
      <c r="C6" s="19"/>
      <c r="D6" s="19"/>
      <c r="E6" s="19"/>
      <c r="F6" s="19"/>
      <c r="G6" s="63" t="s">
        <v>44</v>
      </c>
      <c r="H6" s="63"/>
      <c r="I6" s="63"/>
      <c r="J6" s="63"/>
      <c r="K6" s="63"/>
      <c r="L6" s="63"/>
      <c r="M6" s="64" t="s">
        <v>45</v>
      </c>
      <c r="N6" s="64"/>
      <c r="O6" s="64"/>
      <c r="P6" s="64"/>
      <c r="Q6" s="64"/>
      <c r="R6" s="64"/>
      <c r="S6" s="64"/>
      <c r="T6" s="64"/>
      <c r="U6" s="64"/>
      <c r="V6" s="64" t="s">
        <v>46</v>
      </c>
      <c r="W6" s="64"/>
      <c r="X6" s="64"/>
      <c r="Y6" s="64"/>
      <c r="Z6" s="64"/>
      <c r="AA6" s="64"/>
      <c r="AB6" s="64"/>
      <c r="AC6" s="64"/>
      <c r="AD6" s="65"/>
      <c r="AE6" s="66" t="s">
        <v>47</v>
      </c>
      <c r="AF6" s="66"/>
      <c r="AG6" s="66"/>
      <c r="AH6" s="66"/>
      <c r="AI6" s="66"/>
      <c r="AJ6" s="66"/>
      <c r="AK6" s="67"/>
      <c r="AL6" s="68" t="s">
        <v>48</v>
      </c>
    </row>
    <row r="7" s="62" customFormat="true" ht="16.5" hidden="false" customHeight="true" outlineLevel="0" collapsed="false">
      <c r="B7" s="19"/>
      <c r="C7" s="19"/>
      <c r="D7" s="19"/>
      <c r="E7" s="19"/>
      <c r="F7" s="19"/>
      <c r="G7" s="69"/>
      <c r="H7" s="69"/>
      <c r="I7" s="70" t="s">
        <v>49</v>
      </c>
      <c r="J7" s="70"/>
      <c r="K7" s="71"/>
      <c r="L7" s="72"/>
      <c r="M7" s="64" t="s">
        <v>50</v>
      </c>
      <c r="N7" s="64"/>
      <c r="O7" s="73" t="s">
        <v>51</v>
      </c>
      <c r="P7" s="73"/>
      <c r="Q7" s="73"/>
      <c r="R7" s="73"/>
      <c r="S7" s="73"/>
      <c r="T7" s="73"/>
      <c r="U7" s="73"/>
      <c r="V7" s="64" t="s">
        <v>52</v>
      </c>
      <c r="W7" s="64"/>
      <c r="X7" s="64"/>
      <c r="Y7" s="74"/>
      <c r="Z7" s="64" t="s">
        <v>53</v>
      </c>
      <c r="AA7" s="64"/>
      <c r="AB7" s="75" t="s">
        <v>54</v>
      </c>
      <c r="AC7" s="75"/>
      <c r="AD7" s="76"/>
      <c r="AE7" s="77"/>
      <c r="AF7" s="78"/>
      <c r="AG7" s="79"/>
      <c r="AH7" s="80"/>
      <c r="AI7" s="81"/>
      <c r="AK7" s="82"/>
      <c r="AL7" s="68"/>
    </row>
    <row r="8" s="83" customFormat="true" ht="17.25" hidden="false" customHeight="true" outlineLevel="0" collapsed="false">
      <c r="A8" s="83" t="s">
        <v>55</v>
      </c>
      <c r="B8" s="84" t="s">
        <v>56</v>
      </c>
      <c r="C8" s="84" t="s">
        <v>57</v>
      </c>
      <c r="D8" s="84" t="s">
        <v>58</v>
      </c>
      <c r="E8" s="84" t="s">
        <v>59</v>
      </c>
      <c r="F8" s="84" t="s">
        <v>60</v>
      </c>
      <c r="G8" s="84" t="s">
        <v>61</v>
      </c>
      <c r="H8" s="84" t="s">
        <v>62</v>
      </c>
      <c r="I8" s="84" t="s">
        <v>63</v>
      </c>
      <c r="J8" s="85" t="s">
        <v>64</v>
      </c>
      <c r="K8" s="85" t="s">
        <v>65</v>
      </c>
      <c r="L8" s="85" t="s">
        <v>66</v>
      </c>
      <c r="M8" s="86" t="s">
        <v>67</v>
      </c>
      <c r="N8" s="87" t="s">
        <v>68</v>
      </c>
      <c r="O8" s="88" t="s">
        <v>69</v>
      </c>
      <c r="P8" s="89" t="s">
        <v>70</v>
      </c>
      <c r="Q8" s="90" t="s">
        <v>71</v>
      </c>
      <c r="R8" s="91" t="s">
        <v>72</v>
      </c>
      <c r="S8" s="91"/>
      <c r="T8" s="91" t="s">
        <v>73</v>
      </c>
      <c r="U8" s="91"/>
      <c r="V8" s="91" t="s">
        <v>74</v>
      </c>
      <c r="W8" s="91" t="s">
        <v>75</v>
      </c>
      <c r="X8" s="91" t="s">
        <v>76</v>
      </c>
      <c r="Y8" s="91" t="s">
        <v>77</v>
      </c>
      <c r="Z8" s="91" t="s">
        <v>78</v>
      </c>
      <c r="AA8" s="92" t="s">
        <v>79</v>
      </c>
      <c r="AB8" s="93" t="s">
        <v>80</v>
      </c>
      <c r="AC8" s="93" t="s">
        <v>81</v>
      </c>
      <c r="AD8" s="94" t="s">
        <v>82</v>
      </c>
      <c r="AE8" s="91" t="s">
        <v>77</v>
      </c>
      <c r="AF8" s="95" t="s">
        <v>83</v>
      </c>
      <c r="AG8" s="96" t="s">
        <v>84</v>
      </c>
      <c r="AH8" s="91" t="s">
        <v>85</v>
      </c>
      <c r="AI8" s="91" t="s">
        <v>86</v>
      </c>
      <c r="AJ8" s="97" t="s">
        <v>87</v>
      </c>
      <c r="AK8" s="98" t="s">
        <v>88</v>
      </c>
      <c r="AL8" s="68"/>
    </row>
    <row r="9" s="115" customFormat="true" ht="23.25" hidden="false" customHeight="true" outlineLevel="0" collapsed="false">
      <c r="A9" s="99"/>
      <c r="B9" s="99"/>
      <c r="C9" s="99"/>
      <c r="D9" s="99"/>
      <c r="E9" s="99"/>
      <c r="F9" s="99"/>
      <c r="G9" s="99"/>
      <c r="H9" s="99"/>
      <c r="I9" s="99"/>
      <c r="J9" s="100"/>
      <c r="K9" s="101"/>
      <c r="L9" s="102"/>
      <c r="M9" s="103"/>
      <c r="N9" s="104"/>
      <c r="O9" s="105"/>
      <c r="P9" s="105"/>
      <c r="Q9" s="106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7"/>
      <c r="AC9" s="107"/>
      <c r="AD9" s="108"/>
      <c r="AE9" s="109"/>
      <c r="AF9" s="109"/>
      <c r="AG9" s="110"/>
      <c r="AH9" s="111"/>
      <c r="AI9" s="112"/>
      <c r="AJ9" s="99"/>
      <c r="AK9" s="113"/>
      <c r="AL9" s="114"/>
    </row>
    <row r="10" s="140" customFormat="true" ht="23.25" hidden="false" customHeight="true" outlineLevel="0" collapsed="false">
      <c r="A10" s="116" t="n">
        <v>1</v>
      </c>
      <c r="B10" s="117" t="n">
        <v>42583</v>
      </c>
      <c r="C10" s="118" t="s">
        <v>89</v>
      </c>
      <c r="D10" s="118" t="s">
        <v>90</v>
      </c>
      <c r="E10" s="118"/>
      <c r="F10" s="118" t="s">
        <v>91</v>
      </c>
      <c r="G10" s="119" t="n">
        <v>42583</v>
      </c>
      <c r="H10" s="120" t="n">
        <v>42674</v>
      </c>
      <c r="I10" s="121" t="n">
        <f aca="false">H10-G10</f>
        <v>91</v>
      </c>
      <c r="J10" s="122" t="n">
        <f aca="false">TRUNC(I10/30,0)</f>
        <v>3</v>
      </c>
      <c r="K10" s="123"/>
      <c r="L10" s="124" t="n">
        <v>4</v>
      </c>
      <c r="M10" s="125"/>
      <c r="N10" s="126"/>
      <c r="O10" s="122"/>
      <c r="P10" s="122"/>
      <c r="Q10" s="127" t="n">
        <v>0.007591</v>
      </c>
      <c r="R10" s="128"/>
      <c r="S10" s="129" t="n">
        <v>0.0084</v>
      </c>
      <c r="T10" s="128"/>
      <c r="U10" s="129"/>
      <c r="V10" s="129"/>
      <c r="W10" s="129"/>
      <c r="X10" s="129"/>
      <c r="Y10" s="130" t="n">
        <v>0.005314</v>
      </c>
      <c r="Z10" s="129"/>
      <c r="AA10" s="129"/>
      <c r="AB10" s="131"/>
      <c r="AC10" s="131"/>
      <c r="AD10" s="132" t="n">
        <v>0.0065</v>
      </c>
      <c r="AE10" s="130" t="n">
        <f aca="false">IF(Y10="","",Y10)</f>
        <v>0.005314</v>
      </c>
      <c r="AF10" s="130"/>
      <c r="AG10" s="133" t="str">
        <f aca="false">IF(AF10="","",AE10+AF10)</f>
        <v/>
      </c>
      <c r="AH10" s="134"/>
      <c r="AI10" s="135"/>
      <c r="AJ10" s="136" t="str">
        <f aca="false">IF(AG10="","N","Y")</f>
        <v>N</v>
      </c>
      <c r="AK10" s="137"/>
      <c r="AL10" s="138"/>
      <c r="AM10" s="139"/>
    </row>
    <row r="11" s="38" customFormat="true" ht="23.25" hidden="false" customHeight="true" outlineLevel="0" collapsed="false">
      <c r="A11" s="19" t="n">
        <f aca="false">IF(B11="","",IF((YEAR(B11)-YEAR(B10))=0,A10+1,1))</f>
        <v>2</v>
      </c>
      <c r="B11" s="141" t="n">
        <v>42586</v>
      </c>
      <c r="C11" s="63" t="s">
        <v>92</v>
      </c>
      <c r="D11" s="63" t="s">
        <v>93</v>
      </c>
      <c r="E11" s="19"/>
      <c r="F11" s="63" t="s">
        <v>94</v>
      </c>
      <c r="G11" s="142" t="n">
        <v>42586</v>
      </c>
      <c r="H11" s="143" t="n">
        <v>42678</v>
      </c>
      <c r="I11" s="144" t="n">
        <f aca="false">H11-G11</f>
        <v>92</v>
      </c>
      <c r="J11" s="100" t="n">
        <f aca="false">TRUNC(I11/30,0)</f>
        <v>3</v>
      </c>
      <c r="K11" s="145" t="s">
        <v>95</v>
      </c>
      <c r="L11" s="146" t="n">
        <v>2.5</v>
      </c>
      <c r="M11" s="147"/>
      <c r="N11" s="148"/>
      <c r="O11" s="149"/>
      <c r="P11" s="149"/>
      <c r="Q11" s="150" t="n">
        <v>0.007776</v>
      </c>
      <c r="R11" s="151"/>
      <c r="S11" s="152" t="n">
        <v>0.0084</v>
      </c>
      <c r="T11" s="151"/>
      <c r="U11" s="152"/>
      <c r="V11" s="152"/>
      <c r="W11" s="152"/>
      <c r="X11" s="152"/>
      <c r="Y11" s="153" t="n">
        <v>0.005495</v>
      </c>
      <c r="Z11" s="152"/>
      <c r="AA11" s="152"/>
      <c r="AB11" s="154"/>
      <c r="AC11" s="154"/>
      <c r="AD11" s="155" t="n">
        <v>0.0065</v>
      </c>
      <c r="AE11" s="156" t="n">
        <f aca="false">IF(Y11="","",Y11)</f>
        <v>0.005495</v>
      </c>
      <c r="AF11" s="153" t="n">
        <v>0.001505</v>
      </c>
      <c r="AG11" s="157" t="n">
        <f aca="false">IF(AF11="","",AE11+AF11)</f>
        <v>0.007</v>
      </c>
      <c r="AH11" s="158"/>
      <c r="AI11" s="35"/>
      <c r="AJ11" s="19" t="str">
        <f aca="false">IF(AG11="","N","Y")</f>
        <v>Y</v>
      </c>
      <c r="AK11" s="159"/>
      <c r="AL11" s="36"/>
      <c r="AM11" s="9"/>
    </row>
    <row r="12" s="140" customFormat="true" ht="23.25" hidden="false" customHeight="true" outlineLevel="0" collapsed="false">
      <c r="A12" s="116" t="n">
        <f aca="false">IF(B12="","",IF((YEAR(B12)-YEAR(B11))=0,A11+1,1))</f>
        <v>3</v>
      </c>
      <c r="B12" s="160" t="n">
        <v>42587</v>
      </c>
      <c r="C12" s="161" t="s">
        <v>96</v>
      </c>
      <c r="D12" s="161" t="s">
        <v>97</v>
      </c>
      <c r="E12" s="116"/>
      <c r="F12" s="161" t="s">
        <v>98</v>
      </c>
      <c r="G12" s="162" t="n">
        <v>42587</v>
      </c>
      <c r="H12" s="163" t="n">
        <v>42618</v>
      </c>
      <c r="I12" s="164" t="n">
        <f aca="false">H12-G12</f>
        <v>31</v>
      </c>
      <c r="J12" s="122" t="n">
        <f aca="false">TRUNC(I12/30,0)</f>
        <v>1</v>
      </c>
      <c r="K12" s="165" t="s">
        <v>99</v>
      </c>
      <c r="L12" s="166" t="n">
        <v>50</v>
      </c>
      <c r="M12" s="167"/>
      <c r="N12" s="168"/>
      <c r="O12" s="169"/>
      <c r="P12" s="169"/>
      <c r="Q12" s="170" t="n">
        <v>0.005039</v>
      </c>
      <c r="R12" s="171"/>
      <c r="S12" s="172" t="n">
        <v>0.0055</v>
      </c>
      <c r="T12" s="171"/>
      <c r="U12" s="172"/>
      <c r="V12" s="172"/>
      <c r="W12" s="172"/>
      <c r="X12" s="172"/>
      <c r="Y12" s="173" t="n">
        <v>0.002359</v>
      </c>
      <c r="Z12" s="172"/>
      <c r="AA12" s="172"/>
      <c r="AB12" s="174"/>
      <c r="AC12" s="174"/>
      <c r="AD12" s="175" t="n">
        <v>0.0043</v>
      </c>
      <c r="AE12" s="130" t="n">
        <f aca="false">IF(Y12="","",Y12)</f>
        <v>0.002359</v>
      </c>
      <c r="AF12" s="173"/>
      <c r="AG12" s="133" t="str">
        <f aca="false">IF(AF12="","",AE12+AF12)</f>
        <v/>
      </c>
      <c r="AH12" s="134"/>
      <c r="AI12" s="176"/>
      <c r="AJ12" s="116" t="str">
        <f aca="false">IF(AG12="","N","Y")</f>
        <v>N</v>
      </c>
      <c r="AK12" s="177"/>
      <c r="AL12" s="138"/>
    </row>
    <row r="13" s="140" customFormat="true" ht="23.25" hidden="false" customHeight="true" outlineLevel="0" collapsed="false">
      <c r="A13" s="116" t="n">
        <f aca="false">IF(B13="","",IF((YEAR(B13)-YEAR(B12))=0,A12+1,1))</f>
        <v>4</v>
      </c>
      <c r="B13" s="160" t="n">
        <v>42590</v>
      </c>
      <c r="C13" s="161" t="s">
        <v>100</v>
      </c>
      <c r="D13" s="161" t="s">
        <v>101</v>
      </c>
      <c r="E13" s="116"/>
      <c r="F13" s="161" t="s">
        <v>102</v>
      </c>
      <c r="G13" s="162" t="n">
        <v>42590</v>
      </c>
      <c r="H13" s="163" t="n">
        <v>42654</v>
      </c>
      <c r="I13" s="164" t="n">
        <f aca="false">H13-G13</f>
        <v>64</v>
      </c>
      <c r="J13" s="122" t="n">
        <f aca="false">TRUNC(I13/30,0)</f>
        <v>2</v>
      </c>
      <c r="K13" s="178" t="s">
        <v>95</v>
      </c>
      <c r="L13" s="166" t="n">
        <v>55</v>
      </c>
      <c r="M13" s="167"/>
      <c r="N13" s="168"/>
      <c r="O13" s="169"/>
      <c r="P13" s="169"/>
      <c r="Q13" s="170" t="n">
        <v>0.006148</v>
      </c>
      <c r="R13" s="171"/>
      <c r="S13" s="172" t="n">
        <f aca="false">AVERAGE(0.0064,0.009,0.007)</f>
        <v>0.00746666666666667</v>
      </c>
      <c r="T13" s="171"/>
      <c r="U13" s="172"/>
      <c r="V13" s="172"/>
      <c r="W13" s="172"/>
      <c r="X13" s="172"/>
      <c r="Y13" s="173" t="n">
        <v>0.003475</v>
      </c>
      <c r="Z13" s="172"/>
      <c r="AA13" s="172"/>
      <c r="AB13" s="174"/>
      <c r="AC13" s="174"/>
      <c r="AD13" s="175" t="n">
        <v>0.0038</v>
      </c>
      <c r="AE13" s="130" t="n">
        <f aca="false">IF(Y13="","",Y13)</f>
        <v>0.003475</v>
      </c>
      <c r="AF13" s="173"/>
      <c r="AG13" s="133" t="str">
        <f aca="false">IF(AF13="","",AE13+AF13)</f>
        <v/>
      </c>
      <c r="AH13" s="134"/>
      <c r="AI13" s="176"/>
      <c r="AJ13" s="116" t="str">
        <f aca="false">IF(AG13="","N","Y")</f>
        <v>N</v>
      </c>
      <c r="AK13" s="177"/>
      <c r="AL13" s="138"/>
    </row>
    <row r="14" s="140" customFormat="true" ht="23.25" hidden="false" customHeight="true" outlineLevel="0" collapsed="false">
      <c r="A14" s="116" t="n">
        <f aca="false">IF(B14="","",IF((YEAR(B14)-YEAR(B13))=0,A13+1,1))</f>
        <v>5</v>
      </c>
      <c r="B14" s="160" t="n">
        <v>42593</v>
      </c>
      <c r="C14" s="161" t="s">
        <v>100</v>
      </c>
      <c r="D14" s="161" t="s">
        <v>101</v>
      </c>
      <c r="E14" s="116"/>
      <c r="F14" s="161" t="s">
        <v>102</v>
      </c>
      <c r="G14" s="162" t="n">
        <v>42593</v>
      </c>
      <c r="H14" s="163" t="n">
        <v>42641</v>
      </c>
      <c r="I14" s="164" t="n">
        <f aca="false">H14-G14</f>
        <v>48</v>
      </c>
      <c r="J14" s="122" t="n">
        <f aca="false">TRUNC(I14/30,0)</f>
        <v>1</v>
      </c>
      <c r="K14" s="178" t="s">
        <v>95</v>
      </c>
      <c r="L14" s="166" t="n">
        <v>28</v>
      </c>
      <c r="M14" s="167"/>
      <c r="N14" s="168"/>
      <c r="O14" s="169"/>
      <c r="P14" s="169"/>
      <c r="Q14" s="170" t="n">
        <v>0.0051765</v>
      </c>
      <c r="R14" s="171"/>
      <c r="S14" s="172" t="n">
        <f aca="false">AVERAGE(0.0064,0.0085,0.0058)</f>
        <v>0.0069</v>
      </c>
      <c r="T14" s="171"/>
      <c r="U14" s="172"/>
      <c r="V14" s="172"/>
      <c r="W14" s="172"/>
      <c r="X14" s="172"/>
      <c r="Y14" s="173" t="n">
        <v>0.002547</v>
      </c>
      <c r="Z14" s="172"/>
      <c r="AA14" s="172"/>
      <c r="AB14" s="174"/>
      <c r="AC14" s="174"/>
      <c r="AD14" s="175" t="n">
        <v>0.0035</v>
      </c>
      <c r="AE14" s="130" t="n">
        <f aca="false">IF(Y14="","",Y14)</f>
        <v>0.002547</v>
      </c>
      <c r="AF14" s="173"/>
      <c r="AG14" s="133" t="str">
        <f aca="false">IF(AF14="","",AE14+AF14)</f>
        <v/>
      </c>
      <c r="AH14" s="134"/>
      <c r="AI14" s="176"/>
      <c r="AJ14" s="116" t="str">
        <f aca="false">IF(AG14="","N","Y")</f>
        <v>N</v>
      </c>
      <c r="AK14" s="177"/>
      <c r="AL14" s="138"/>
    </row>
    <row r="15" s="38" customFormat="true" ht="23.25" hidden="false" customHeight="true" outlineLevel="0" collapsed="false">
      <c r="A15" s="19" t="n">
        <f aca="false">IF(B15="","",IF((YEAR(B15)-YEAR(B14))=0,A14+1,1))</f>
        <v>6</v>
      </c>
      <c r="B15" s="141" t="n">
        <v>42606</v>
      </c>
      <c r="C15" s="63" t="s">
        <v>100</v>
      </c>
      <c r="D15" s="63" t="s">
        <v>101</v>
      </c>
      <c r="E15" s="19"/>
      <c r="F15" s="63" t="s">
        <v>102</v>
      </c>
      <c r="G15" s="142" t="n">
        <v>42606</v>
      </c>
      <c r="H15" s="143" t="n">
        <v>42639</v>
      </c>
      <c r="I15" s="144" t="n">
        <f aca="false">H15-G15</f>
        <v>33</v>
      </c>
      <c r="J15" s="100" t="n">
        <f aca="false">TRUNC(I15/30,0)</f>
        <v>1</v>
      </c>
      <c r="K15" s="179" t="s">
        <v>95</v>
      </c>
      <c r="L15" s="146" t="n">
        <v>60</v>
      </c>
      <c r="M15" s="147"/>
      <c r="N15" s="148"/>
      <c r="O15" s="149"/>
      <c r="P15" s="149"/>
      <c r="Q15" s="150" t="n">
        <v>0.0052439</v>
      </c>
      <c r="R15" s="151"/>
      <c r="S15" s="152" t="n">
        <f aca="false">AVERAGE(0.0076,0.008,0.0058)</f>
        <v>0.00713333333333333</v>
      </c>
      <c r="T15" s="151"/>
      <c r="U15" s="152"/>
      <c r="V15" s="152"/>
      <c r="W15" s="152"/>
      <c r="X15" s="152"/>
      <c r="Y15" s="153" t="n">
        <v>0.002614</v>
      </c>
      <c r="Z15" s="152"/>
      <c r="AA15" s="152"/>
      <c r="AB15" s="154"/>
      <c r="AC15" s="154"/>
      <c r="AD15" s="155" t="n">
        <v>0.004</v>
      </c>
      <c r="AE15" s="156" t="n">
        <f aca="false">IF(Y15="","",Y15)</f>
        <v>0.002614</v>
      </c>
      <c r="AF15" s="153" t="n">
        <v>0.001386</v>
      </c>
      <c r="AG15" s="157" t="n">
        <f aca="false">IF(AF15="","",AE15+AF15)</f>
        <v>0.004</v>
      </c>
      <c r="AH15" s="158"/>
      <c r="AI15" s="35"/>
      <c r="AJ15" s="19" t="str">
        <f aca="false">IF(AG15="","N","Y")</f>
        <v>Y</v>
      </c>
      <c r="AK15" s="159"/>
      <c r="AL15" s="36"/>
    </row>
    <row r="16" s="140" customFormat="true" ht="23.25" hidden="false" customHeight="true" outlineLevel="0" collapsed="false">
      <c r="A16" s="116" t="n">
        <f aca="false">IF(B16="","",IF((YEAR(B16)-YEAR(B15))=0,A15+1,1))</f>
        <v>7</v>
      </c>
      <c r="B16" s="160" t="n">
        <v>42612</v>
      </c>
      <c r="C16" s="161" t="s">
        <v>96</v>
      </c>
      <c r="D16" s="161" t="s">
        <v>97</v>
      </c>
      <c r="E16" s="116"/>
      <c r="F16" s="161" t="s">
        <v>98</v>
      </c>
      <c r="G16" s="162" t="n">
        <v>42612</v>
      </c>
      <c r="H16" s="163" t="n">
        <v>42643</v>
      </c>
      <c r="I16" s="116" t="n">
        <f aca="false">H16-G16</f>
        <v>31</v>
      </c>
      <c r="J16" s="122" t="n">
        <f aca="false">TRUNC(I16/30,0)</f>
        <v>1</v>
      </c>
      <c r="K16" s="165" t="s">
        <v>99</v>
      </c>
      <c r="L16" s="166" t="n">
        <v>50</v>
      </c>
      <c r="M16" s="167"/>
      <c r="N16" s="168"/>
      <c r="O16" s="169"/>
      <c r="P16" s="169"/>
      <c r="Q16" s="170" t="n">
        <v>0.0052439</v>
      </c>
      <c r="R16" s="171"/>
      <c r="S16" s="172" t="n">
        <f aca="false">AVERAGE(0.007,0.0051,0.0058)</f>
        <v>0.00596666666666667</v>
      </c>
      <c r="T16" s="171"/>
      <c r="U16" s="172"/>
      <c r="V16" s="172"/>
      <c r="W16" s="172"/>
      <c r="X16" s="172"/>
      <c r="Y16" s="173" t="n">
        <v>0.000852</v>
      </c>
      <c r="Z16" s="172"/>
      <c r="AA16" s="172"/>
      <c r="AB16" s="174"/>
      <c r="AC16" s="174"/>
      <c r="AD16" s="175" t="n">
        <v>0.0045</v>
      </c>
      <c r="AE16" s="130" t="n">
        <f aca="false">IF(Y16="","",Y16)</f>
        <v>0.000852</v>
      </c>
      <c r="AF16" s="173"/>
      <c r="AG16" s="133" t="str">
        <f aca="false">IF(AF16="","",AE16+AF16)</f>
        <v/>
      </c>
      <c r="AH16" s="134"/>
      <c r="AI16" s="176"/>
      <c r="AJ16" s="116" t="str">
        <f aca="false">IF(AG16="","N","Y")</f>
        <v>N</v>
      </c>
      <c r="AK16" s="177"/>
      <c r="AL16" s="138"/>
    </row>
    <row r="17" s="140" customFormat="true" ht="23.25" hidden="false" customHeight="true" outlineLevel="0" collapsed="false">
      <c r="A17" s="116" t="n">
        <f aca="false">IF(B17="","",IF((YEAR(B17)-YEAR(B16))=0,A16+1,1))</f>
        <v>8</v>
      </c>
      <c r="B17" s="160" t="n">
        <v>42612</v>
      </c>
      <c r="C17" s="161" t="s">
        <v>100</v>
      </c>
      <c r="D17" s="161" t="s">
        <v>101</v>
      </c>
      <c r="E17" s="116"/>
      <c r="F17" s="161" t="s">
        <v>102</v>
      </c>
      <c r="G17" s="162" t="n">
        <v>42612</v>
      </c>
      <c r="H17" s="163" t="n">
        <v>42661</v>
      </c>
      <c r="I17" s="116" t="n">
        <f aca="false">H17-G17</f>
        <v>49</v>
      </c>
      <c r="J17" s="122" t="n">
        <f aca="false">TRUNC(I17/30,0)</f>
        <v>1</v>
      </c>
      <c r="K17" s="178" t="s">
        <v>95</v>
      </c>
      <c r="L17" s="166" t="n">
        <v>40</v>
      </c>
      <c r="M17" s="167"/>
      <c r="N17" s="168"/>
      <c r="O17" s="169"/>
      <c r="P17" s="169"/>
      <c r="Q17" s="170" t="n">
        <v>0.0052439</v>
      </c>
      <c r="R17" s="171"/>
      <c r="S17" s="172" t="n">
        <f aca="false">AVERAGE(0.007,0.0051,0.0058)</f>
        <v>0.00596666666666667</v>
      </c>
      <c r="T17" s="171"/>
      <c r="U17" s="172"/>
      <c r="V17" s="172"/>
      <c r="W17" s="172"/>
      <c r="X17" s="172"/>
      <c r="Y17" s="173" t="n">
        <v>0.002614</v>
      </c>
      <c r="Z17" s="172"/>
      <c r="AA17" s="172"/>
      <c r="AB17" s="174"/>
      <c r="AC17" s="174"/>
      <c r="AD17" s="175" t="n">
        <v>0.0036</v>
      </c>
      <c r="AE17" s="130" t="n">
        <f aca="false">IF(Y17="","",Y17)</f>
        <v>0.002614</v>
      </c>
      <c r="AF17" s="173"/>
      <c r="AG17" s="133" t="str">
        <f aca="false">IF(AF17="","",AE17+AF17)</f>
        <v/>
      </c>
      <c r="AH17" s="134"/>
      <c r="AI17" s="176"/>
      <c r="AJ17" s="116" t="str">
        <f aca="false">IF(AG17="","N","Y")</f>
        <v>N</v>
      </c>
      <c r="AK17" s="177"/>
      <c r="AL17" s="138"/>
    </row>
    <row r="18" s="140" customFormat="true" ht="23.25" hidden="false" customHeight="true" outlineLevel="0" collapsed="false">
      <c r="A18" s="116" t="n">
        <f aca="false">IF(B18="","",IF((YEAR(B18)-YEAR(B17))=0,A17+1,1))</f>
        <v>9</v>
      </c>
      <c r="B18" s="160" t="n">
        <v>42618</v>
      </c>
      <c r="C18" s="161" t="s">
        <v>103</v>
      </c>
      <c r="D18" s="161" t="s">
        <v>104</v>
      </c>
      <c r="E18" s="116"/>
      <c r="F18" s="161" t="s">
        <v>105</v>
      </c>
      <c r="G18" s="162" t="n">
        <v>42618</v>
      </c>
      <c r="H18" s="163" t="n">
        <v>42648</v>
      </c>
      <c r="I18" s="116" t="n">
        <f aca="false">H18-G18</f>
        <v>30</v>
      </c>
      <c r="J18" s="122" t="n">
        <f aca="false">TRUNC(I18/30,0)</f>
        <v>1</v>
      </c>
      <c r="K18" s="165" t="s">
        <v>99</v>
      </c>
      <c r="L18" s="166" t="n">
        <v>50</v>
      </c>
      <c r="M18" s="167"/>
      <c r="N18" s="168"/>
      <c r="O18" s="169"/>
      <c r="P18" s="169"/>
      <c r="Q18" s="170" t="n">
        <v>0.0052572</v>
      </c>
      <c r="R18" s="171"/>
      <c r="S18" s="172" t="n">
        <v>0.0046</v>
      </c>
      <c r="T18" s="171"/>
      <c r="U18" s="172"/>
      <c r="V18" s="172"/>
      <c r="W18" s="172"/>
      <c r="X18" s="172"/>
      <c r="Y18" s="173" t="n">
        <v>0.000857</v>
      </c>
      <c r="Z18" s="172"/>
      <c r="AA18" s="172"/>
      <c r="AB18" s="174"/>
      <c r="AC18" s="174"/>
      <c r="AD18" s="175" t="n">
        <v>0.004</v>
      </c>
      <c r="AE18" s="130" t="n">
        <f aca="false">IF(Y18="","",Y18)</f>
        <v>0.000857</v>
      </c>
      <c r="AF18" s="173"/>
      <c r="AG18" s="133" t="str">
        <f aca="false">IF(AF18="","",AE18+AF18)</f>
        <v/>
      </c>
      <c r="AH18" s="134"/>
      <c r="AI18" s="176"/>
      <c r="AJ18" s="116" t="str">
        <f aca="false">IF(AG18="","N","Y")</f>
        <v>N</v>
      </c>
      <c r="AK18" s="177"/>
      <c r="AL18" s="138"/>
    </row>
    <row r="19" s="140" customFormat="true" ht="23.25" hidden="false" customHeight="true" outlineLevel="0" collapsed="false">
      <c r="A19" s="116" t="n">
        <f aca="false">IF(B19="","",IF((YEAR(B19)-YEAR(B18))=0,A18+1,1))</f>
        <v>10</v>
      </c>
      <c r="B19" s="160" t="n">
        <v>42620</v>
      </c>
      <c r="C19" s="161" t="s">
        <v>100</v>
      </c>
      <c r="D19" s="161" t="s">
        <v>106</v>
      </c>
      <c r="E19" s="116"/>
      <c r="F19" s="161" t="s">
        <v>102</v>
      </c>
      <c r="G19" s="162" t="n">
        <v>42620</v>
      </c>
      <c r="H19" s="163" t="n">
        <v>42670</v>
      </c>
      <c r="I19" s="116" t="n">
        <f aca="false">H19-G19</f>
        <v>50</v>
      </c>
      <c r="J19" s="122" t="n">
        <f aca="false">TRUNC(I19/30,0)</f>
        <v>1</v>
      </c>
      <c r="K19" s="180" t="s">
        <v>95</v>
      </c>
      <c r="L19" s="166" t="n">
        <v>90</v>
      </c>
      <c r="M19" s="167"/>
      <c r="N19" s="168"/>
      <c r="O19" s="169"/>
      <c r="P19" s="169"/>
      <c r="Q19" s="170" t="n">
        <v>0.0051656</v>
      </c>
      <c r="R19" s="171"/>
      <c r="S19" s="172" t="n">
        <v>0.005</v>
      </c>
      <c r="T19" s="171"/>
      <c r="U19" s="172"/>
      <c r="V19" s="172"/>
      <c r="W19" s="172"/>
      <c r="X19" s="172"/>
      <c r="Y19" s="173" t="n">
        <v>0.002573</v>
      </c>
      <c r="Z19" s="172"/>
      <c r="AA19" s="172"/>
      <c r="AB19" s="174"/>
      <c r="AC19" s="174"/>
      <c r="AD19" s="175" t="n">
        <v>0.0035</v>
      </c>
      <c r="AE19" s="130" t="n">
        <f aca="false">IF(Y19="","",Y19)</f>
        <v>0.002573</v>
      </c>
      <c r="AF19" s="173"/>
      <c r="AG19" s="133" t="str">
        <f aca="false">IF(AF19="","",AE19+AF19)</f>
        <v/>
      </c>
      <c r="AH19" s="134"/>
      <c r="AI19" s="176"/>
      <c r="AJ19" s="116" t="str">
        <f aca="false">IF(AG19="","N","Y")</f>
        <v>N</v>
      </c>
      <c r="AK19" s="177"/>
      <c r="AL19" s="138"/>
    </row>
    <row r="20" s="140" customFormat="true" ht="23.25" hidden="false" customHeight="true" outlineLevel="0" collapsed="false">
      <c r="A20" s="116" t="n">
        <f aca="false">IF(B20="","",IF((YEAR(B20)-YEAR(B19))=0,A19+1,1))</f>
        <v>11</v>
      </c>
      <c r="B20" s="160" t="n">
        <v>42620</v>
      </c>
      <c r="C20" s="161" t="s">
        <v>107</v>
      </c>
      <c r="D20" s="161" t="s">
        <v>108</v>
      </c>
      <c r="E20" s="116"/>
      <c r="F20" s="161" t="s">
        <v>109</v>
      </c>
      <c r="G20" s="162" t="n">
        <v>42620</v>
      </c>
      <c r="H20" s="163" t="n">
        <v>42985</v>
      </c>
      <c r="I20" s="116" t="n">
        <f aca="false">H20-G20</f>
        <v>365</v>
      </c>
      <c r="J20" s="122" t="n">
        <f aca="false">TRUNC(I20/30,0)</f>
        <v>12</v>
      </c>
      <c r="K20" s="180" t="s">
        <v>95</v>
      </c>
      <c r="L20" s="166" t="n">
        <v>2</v>
      </c>
      <c r="M20" s="167"/>
      <c r="N20" s="168"/>
      <c r="O20" s="169"/>
      <c r="P20" s="169"/>
      <c r="Q20" s="170" t="n">
        <v>0.009825</v>
      </c>
      <c r="R20" s="171"/>
      <c r="S20" s="172" t="n">
        <f aca="false">AVERAGE(0.0145,0.015,0.013)</f>
        <v>0.0141666666666667</v>
      </c>
      <c r="T20" s="171"/>
      <c r="U20" s="172"/>
      <c r="V20" s="172"/>
      <c r="W20" s="172"/>
      <c r="X20" s="172"/>
      <c r="Y20" s="173" t="n">
        <v>0.009825</v>
      </c>
      <c r="Z20" s="172"/>
      <c r="AA20" s="172"/>
      <c r="AB20" s="174"/>
      <c r="AC20" s="174"/>
      <c r="AD20" s="175" t="n">
        <v>0.0115</v>
      </c>
      <c r="AE20" s="130" t="n">
        <f aca="false">IF(Y20="","",Y20)</f>
        <v>0.009825</v>
      </c>
      <c r="AF20" s="173"/>
      <c r="AG20" s="133" t="str">
        <f aca="false">IF(AF20="","",AE20+AF20)</f>
        <v/>
      </c>
      <c r="AH20" s="134"/>
      <c r="AI20" s="176"/>
      <c r="AJ20" s="116" t="str">
        <f aca="false">IF(AG20="","N","Y")</f>
        <v>N</v>
      </c>
      <c r="AK20" s="177"/>
      <c r="AL20" s="138"/>
    </row>
    <row r="21" s="140" customFormat="true" ht="23.25" hidden="false" customHeight="true" outlineLevel="0" collapsed="false">
      <c r="A21" s="116" t="n">
        <f aca="false">IF(B21="","",IF((YEAR(B21)-YEAR(B20))=0,A20+1,1))</f>
        <v>12</v>
      </c>
      <c r="B21" s="160" t="n">
        <v>42622</v>
      </c>
      <c r="C21" s="161" t="s">
        <v>100</v>
      </c>
      <c r="D21" s="161" t="s">
        <v>101</v>
      </c>
      <c r="E21" s="116"/>
      <c r="F21" s="161" t="s">
        <v>102</v>
      </c>
      <c r="G21" s="162" t="n">
        <v>42622</v>
      </c>
      <c r="H21" s="163" t="n">
        <v>42652</v>
      </c>
      <c r="I21" s="116" t="n">
        <f aca="false">H21-G21</f>
        <v>30</v>
      </c>
      <c r="J21" s="122" t="n">
        <f aca="false">TRUNC(I21/30,0)</f>
        <v>1</v>
      </c>
      <c r="K21" s="181" t="s">
        <v>99</v>
      </c>
      <c r="L21" s="166" t="n">
        <v>0</v>
      </c>
      <c r="M21" s="167"/>
      <c r="N21" s="168"/>
      <c r="O21" s="169"/>
      <c r="P21" s="169"/>
      <c r="Q21" s="170" t="n">
        <v>0.0042211</v>
      </c>
      <c r="R21" s="171"/>
      <c r="S21" s="172" t="n">
        <f aca="false">AVERAGE(0.0045,0.0046,0.0047)</f>
        <v>0.0046</v>
      </c>
      <c r="T21" s="171"/>
      <c r="U21" s="172"/>
      <c r="V21" s="172"/>
      <c r="W21" s="172"/>
      <c r="X21" s="172"/>
      <c r="Y21" s="173" t="n">
        <v>0.000878</v>
      </c>
      <c r="Z21" s="172"/>
      <c r="AA21" s="172"/>
      <c r="AB21" s="174"/>
      <c r="AC21" s="174"/>
      <c r="AD21" s="175" t="n">
        <v>0.0025</v>
      </c>
      <c r="AE21" s="130" t="n">
        <f aca="false">IF(Y21="","",Y21)</f>
        <v>0.000878</v>
      </c>
      <c r="AF21" s="173"/>
      <c r="AG21" s="133" t="str">
        <f aca="false">IF(AF21="","",AE21+AF21)</f>
        <v/>
      </c>
      <c r="AH21" s="134"/>
      <c r="AI21" s="176"/>
      <c r="AJ21" s="116" t="str">
        <f aca="false">IF(AG21="","N","Y")</f>
        <v>N</v>
      </c>
      <c r="AK21" s="177"/>
      <c r="AL21" s="138"/>
    </row>
    <row r="22" s="140" customFormat="true" ht="23.25" hidden="false" customHeight="true" outlineLevel="0" collapsed="false">
      <c r="A22" s="116" t="n">
        <f aca="false">IF(B22="","",IF((YEAR(B22)-YEAR(B21))=0,A21+1,1))</f>
        <v>13</v>
      </c>
      <c r="B22" s="160" t="n">
        <v>42622</v>
      </c>
      <c r="C22" s="161" t="s">
        <v>110</v>
      </c>
      <c r="D22" s="161" t="s">
        <v>110</v>
      </c>
      <c r="E22" s="161"/>
      <c r="F22" s="161" t="s">
        <v>110</v>
      </c>
      <c r="G22" s="162" t="n">
        <v>42622</v>
      </c>
      <c r="H22" s="163" t="n">
        <v>42652</v>
      </c>
      <c r="I22" s="116" t="n">
        <f aca="false">H22-G22</f>
        <v>30</v>
      </c>
      <c r="J22" s="122" t="n">
        <f aca="false">TRUNC(I22/30,0)</f>
        <v>1</v>
      </c>
      <c r="K22" s="180" t="s">
        <v>95</v>
      </c>
      <c r="L22" s="166" t="n">
        <v>0</v>
      </c>
      <c r="M22" s="167"/>
      <c r="N22" s="168"/>
      <c r="O22" s="169"/>
      <c r="P22" s="169"/>
      <c r="Q22" s="170" t="n">
        <v>0.0051822</v>
      </c>
      <c r="R22" s="171"/>
      <c r="S22" s="172" t="n">
        <f aca="false">AVERAGE(0.007,0.0075)</f>
        <v>0.00725</v>
      </c>
      <c r="T22" s="171"/>
      <c r="U22" s="172"/>
      <c r="V22" s="172"/>
      <c r="W22" s="172"/>
      <c r="X22" s="172"/>
      <c r="Y22" s="173" t="n">
        <v>0.002553</v>
      </c>
      <c r="Z22" s="172"/>
      <c r="AA22" s="172"/>
      <c r="AB22" s="174"/>
      <c r="AC22" s="174"/>
      <c r="AD22" s="175" t="n">
        <v>0.0035</v>
      </c>
      <c r="AE22" s="130" t="n">
        <f aca="false">IF(Y22="","",Y22)</f>
        <v>0.002553</v>
      </c>
      <c r="AF22" s="173"/>
      <c r="AG22" s="133" t="str">
        <f aca="false">IF(AF22="","",AE22+AF22)</f>
        <v/>
      </c>
      <c r="AH22" s="134"/>
      <c r="AI22" s="176"/>
      <c r="AJ22" s="116" t="str">
        <f aca="false">IF(AG22="","N","Y")</f>
        <v>N</v>
      </c>
      <c r="AK22" s="182"/>
      <c r="AL22" s="138"/>
    </row>
    <row r="23" s="140" customFormat="true" ht="23.25" hidden="false" customHeight="true" outlineLevel="0" collapsed="false">
      <c r="A23" s="116" t="n">
        <f aca="false">IF(B23="","",IF((YEAR(B23)-YEAR(B22))=0,A22+1,1))</f>
        <v>14</v>
      </c>
      <c r="B23" s="160" t="n">
        <v>42622</v>
      </c>
      <c r="C23" s="161" t="s">
        <v>110</v>
      </c>
      <c r="D23" s="161" t="s">
        <v>110</v>
      </c>
      <c r="E23" s="161"/>
      <c r="F23" s="161" t="s">
        <v>110</v>
      </c>
      <c r="G23" s="162" t="n">
        <v>42622</v>
      </c>
      <c r="H23" s="163" t="n">
        <v>42683</v>
      </c>
      <c r="I23" s="116" t="n">
        <f aca="false">H23-G23</f>
        <v>61</v>
      </c>
      <c r="J23" s="122" t="n">
        <f aca="false">TRUNC(I23/30,0)</f>
        <v>2</v>
      </c>
      <c r="K23" s="180" t="s">
        <v>95</v>
      </c>
      <c r="L23" s="166" t="n">
        <v>0</v>
      </c>
      <c r="M23" s="167"/>
      <c r="N23" s="168"/>
      <c r="O23" s="169"/>
      <c r="P23" s="169"/>
      <c r="Q23" s="170" t="n">
        <v>0.0066467</v>
      </c>
      <c r="R23" s="171"/>
      <c r="S23" s="172" t="n">
        <f aca="false">AVERAGE(0.0077,0.0082)</f>
        <v>0.00795</v>
      </c>
      <c r="T23" s="171"/>
      <c r="U23" s="172"/>
      <c r="V23" s="172"/>
      <c r="W23" s="172"/>
      <c r="X23" s="172"/>
      <c r="Y23" s="173" t="n">
        <v>0.003988</v>
      </c>
      <c r="Z23" s="172"/>
      <c r="AA23" s="172"/>
      <c r="AB23" s="174"/>
      <c r="AC23" s="174"/>
      <c r="AD23" s="175" t="n">
        <v>0.0045</v>
      </c>
      <c r="AE23" s="130" t="n">
        <f aca="false">IF(Y23="","",Y23)</f>
        <v>0.003988</v>
      </c>
      <c r="AF23" s="173"/>
      <c r="AG23" s="133" t="str">
        <f aca="false">IF(AF23="","",AE23+AF23)</f>
        <v/>
      </c>
      <c r="AH23" s="134"/>
      <c r="AI23" s="176"/>
      <c r="AJ23" s="116" t="str">
        <f aca="false">IF(AG23="","N","Y")</f>
        <v>N</v>
      </c>
      <c r="AK23" s="182"/>
      <c r="AL23" s="138"/>
    </row>
    <row r="24" s="140" customFormat="true" ht="23.25" hidden="false" customHeight="true" outlineLevel="0" collapsed="false">
      <c r="A24" s="116" t="n">
        <f aca="false">IF(B24="","",IF((YEAR(B24)-YEAR(B23))=0,A23+1,1))</f>
        <v>15</v>
      </c>
      <c r="B24" s="160" t="n">
        <v>42622</v>
      </c>
      <c r="C24" s="161" t="s">
        <v>110</v>
      </c>
      <c r="D24" s="161" t="s">
        <v>110</v>
      </c>
      <c r="E24" s="161"/>
      <c r="F24" s="161" t="s">
        <v>110</v>
      </c>
      <c r="G24" s="162" t="n">
        <v>42622</v>
      </c>
      <c r="H24" s="163" t="n">
        <v>42713</v>
      </c>
      <c r="I24" s="116" t="n">
        <f aca="false">H24-G24</f>
        <v>91</v>
      </c>
      <c r="J24" s="122" t="n">
        <f aca="false">TRUNC(I24/30,0)</f>
        <v>3</v>
      </c>
      <c r="K24" s="180" t="s">
        <v>95</v>
      </c>
      <c r="L24" s="166" t="n">
        <v>0</v>
      </c>
      <c r="M24" s="167"/>
      <c r="N24" s="168"/>
      <c r="O24" s="169"/>
      <c r="P24" s="169"/>
      <c r="Q24" s="170" t="n">
        <v>0.0084544</v>
      </c>
      <c r="R24" s="171"/>
      <c r="S24" s="172" t="n">
        <f aca="false">AVERAGE(0.0115,0.0088,0.012)</f>
        <v>0.0107666666666667</v>
      </c>
      <c r="T24" s="171"/>
      <c r="U24" s="172"/>
      <c r="V24" s="172"/>
      <c r="W24" s="172"/>
      <c r="X24" s="172"/>
      <c r="Y24" s="173" t="n">
        <v>0.00616</v>
      </c>
      <c r="Z24" s="172"/>
      <c r="AA24" s="172"/>
      <c r="AB24" s="174"/>
      <c r="AC24" s="174"/>
      <c r="AD24" s="175" t="n">
        <v>0.0067</v>
      </c>
      <c r="AE24" s="130" t="n">
        <f aca="false">IF(Y24="","",Y24)</f>
        <v>0.00616</v>
      </c>
      <c r="AF24" s="173"/>
      <c r="AG24" s="133" t="str">
        <f aca="false">IF(AF24="","",AE24+AF24)</f>
        <v/>
      </c>
      <c r="AH24" s="134"/>
      <c r="AI24" s="176"/>
      <c r="AJ24" s="116" t="str">
        <f aca="false">IF(AG24="","N","Y")</f>
        <v>N</v>
      </c>
      <c r="AK24" s="182"/>
      <c r="AL24" s="138"/>
    </row>
    <row r="25" s="140" customFormat="true" ht="23.25" hidden="false" customHeight="true" outlineLevel="0" collapsed="false">
      <c r="A25" s="116" t="n">
        <f aca="false">IF(B25="","",IF((YEAR(B25)-YEAR(B24))=0,A24+1,1))</f>
        <v>16</v>
      </c>
      <c r="B25" s="160" t="n">
        <v>42622</v>
      </c>
      <c r="C25" s="161" t="s">
        <v>110</v>
      </c>
      <c r="D25" s="161" t="s">
        <v>110</v>
      </c>
      <c r="E25" s="161"/>
      <c r="F25" s="161" t="s">
        <v>110</v>
      </c>
      <c r="G25" s="162" t="n">
        <v>42622</v>
      </c>
      <c r="H25" s="163" t="n">
        <v>42803</v>
      </c>
      <c r="I25" s="116" t="n">
        <f aca="false">H25-G25</f>
        <v>181</v>
      </c>
      <c r="J25" s="122" t="n">
        <f aca="false">TRUNC(I25/30,0)</f>
        <v>6</v>
      </c>
      <c r="K25" s="180" t="s">
        <v>95</v>
      </c>
      <c r="L25" s="166" t="n">
        <v>0</v>
      </c>
      <c r="M25" s="167"/>
      <c r="N25" s="168"/>
      <c r="O25" s="169"/>
      <c r="P25" s="169"/>
      <c r="Q25" s="170" t="n">
        <v>0.0123472</v>
      </c>
      <c r="R25" s="171"/>
      <c r="S25" s="172" t="n">
        <f aca="false">AVERAGE(0.0129,0.0116,0.0112)</f>
        <v>0.0119</v>
      </c>
      <c r="T25" s="171"/>
      <c r="U25" s="172"/>
      <c r="V25" s="172"/>
      <c r="W25" s="172"/>
      <c r="X25" s="172"/>
      <c r="Y25" s="173" t="n">
        <v>0.009675</v>
      </c>
      <c r="Z25" s="172"/>
      <c r="AA25" s="172"/>
      <c r="AB25" s="174"/>
      <c r="AC25" s="174"/>
      <c r="AD25" s="175" t="n">
        <v>0.01</v>
      </c>
      <c r="AE25" s="130" t="n">
        <f aca="false">IF(Y25="","",Y25)</f>
        <v>0.009675</v>
      </c>
      <c r="AF25" s="173"/>
      <c r="AG25" s="133" t="str">
        <f aca="false">IF(AF25="","",AE25+AF25)</f>
        <v/>
      </c>
      <c r="AH25" s="134"/>
      <c r="AI25" s="176"/>
      <c r="AJ25" s="116" t="str">
        <f aca="false">IF(AG25="","N","Y")</f>
        <v>N</v>
      </c>
      <c r="AK25" s="182"/>
      <c r="AL25" s="138"/>
    </row>
    <row r="26" s="140" customFormat="true" ht="23.25" hidden="false" customHeight="true" outlineLevel="0" collapsed="false">
      <c r="A26" s="116" t="n">
        <f aca="false">IF(B26="","",IF((YEAR(B26)-YEAR(B25))=0,A25+1,1))</f>
        <v>17</v>
      </c>
      <c r="B26" s="160" t="n">
        <v>42634</v>
      </c>
      <c r="C26" s="161" t="s">
        <v>100</v>
      </c>
      <c r="D26" s="161" t="s">
        <v>101</v>
      </c>
      <c r="E26" s="116"/>
      <c r="F26" s="161" t="s">
        <v>102</v>
      </c>
      <c r="G26" s="162" t="n">
        <v>42634</v>
      </c>
      <c r="H26" s="163" t="n">
        <v>42670</v>
      </c>
      <c r="I26" s="116" t="n">
        <f aca="false">H26-G26</f>
        <v>36</v>
      </c>
      <c r="J26" s="122" t="n">
        <f aca="false">TRUNC(I26/30,0)</f>
        <v>1</v>
      </c>
      <c r="K26" s="180" t="s">
        <v>95</v>
      </c>
      <c r="L26" s="166" t="n">
        <v>80</v>
      </c>
      <c r="M26" s="167"/>
      <c r="N26" s="168"/>
      <c r="O26" s="169"/>
      <c r="P26" s="169"/>
      <c r="Q26" s="170" t="n">
        <v>0.0054306</v>
      </c>
      <c r="R26" s="171"/>
      <c r="S26" s="172" t="n">
        <f aca="false">AVERAGE(0.0065,0.0057,0.004)</f>
        <v>0.0054</v>
      </c>
      <c r="T26" s="171"/>
      <c r="U26" s="172"/>
      <c r="V26" s="172"/>
      <c r="W26" s="172"/>
      <c r="X26" s="172"/>
      <c r="Y26" s="173" t="n">
        <v>0.002796</v>
      </c>
      <c r="Z26" s="172"/>
      <c r="AA26" s="172"/>
      <c r="AB26" s="174"/>
      <c r="AC26" s="174"/>
      <c r="AD26" s="175" t="n">
        <v>0.0035</v>
      </c>
      <c r="AE26" s="130" t="n">
        <f aca="false">IF(Y26="","",Y26)</f>
        <v>0.002796</v>
      </c>
      <c r="AF26" s="173"/>
      <c r="AG26" s="133" t="str">
        <f aca="false">IF(AF26="","",AE26+AF26)</f>
        <v/>
      </c>
      <c r="AH26" s="134"/>
      <c r="AI26" s="176"/>
      <c r="AJ26" s="116" t="str">
        <f aca="false">IF(AG26="","N","Y")</f>
        <v>N</v>
      </c>
      <c r="AK26" s="177"/>
      <c r="AL26" s="138"/>
    </row>
    <row r="27" s="140" customFormat="true" ht="23.25" hidden="false" customHeight="true" outlineLevel="0" collapsed="false">
      <c r="A27" s="116" t="n">
        <f aca="false">IF(B27="","",IF((YEAR(B27)-YEAR(B26))=0,A26+1,1))</f>
        <v>18</v>
      </c>
      <c r="B27" s="160" t="n">
        <v>42636</v>
      </c>
      <c r="C27" s="161" t="s">
        <v>96</v>
      </c>
      <c r="D27" s="161" t="s">
        <v>97</v>
      </c>
      <c r="E27" s="116"/>
      <c r="F27" s="161" t="s">
        <v>98</v>
      </c>
      <c r="G27" s="162" t="n">
        <v>42636</v>
      </c>
      <c r="H27" s="163" t="n">
        <v>42666</v>
      </c>
      <c r="I27" s="116" t="n">
        <f aca="false">H27-G27</f>
        <v>30</v>
      </c>
      <c r="J27" s="122" t="n">
        <f aca="false">TRUNC(I27/30,0)</f>
        <v>1</v>
      </c>
      <c r="K27" s="181" t="s">
        <v>99</v>
      </c>
      <c r="L27" s="166" t="n">
        <v>50</v>
      </c>
      <c r="M27" s="167"/>
      <c r="N27" s="168"/>
      <c r="O27" s="169"/>
      <c r="P27" s="169"/>
      <c r="Q27" s="170" t="n">
        <v>0.0042322</v>
      </c>
      <c r="R27" s="171"/>
      <c r="S27" s="172" t="n">
        <f aca="false">AVERAGE(0.0065,0.0057,0.004)</f>
        <v>0.0054</v>
      </c>
      <c r="T27" s="171"/>
      <c r="U27" s="172"/>
      <c r="V27" s="172"/>
      <c r="W27" s="172"/>
      <c r="X27" s="172"/>
      <c r="Y27" s="173" t="n">
        <v>0.000977</v>
      </c>
      <c r="Z27" s="172"/>
      <c r="AA27" s="172"/>
      <c r="AB27" s="174"/>
      <c r="AC27" s="174"/>
      <c r="AD27" s="175" t="n">
        <v>0.0047</v>
      </c>
      <c r="AE27" s="130" t="n">
        <f aca="false">IF(Y27="","",Y27)</f>
        <v>0.000977</v>
      </c>
      <c r="AF27" s="173"/>
      <c r="AG27" s="133" t="str">
        <f aca="false">IF(AF27="","",AE27+AF27)</f>
        <v/>
      </c>
      <c r="AH27" s="134"/>
      <c r="AI27" s="176"/>
      <c r="AJ27" s="116" t="str">
        <f aca="false">IF(AG27="","N","Y")</f>
        <v>N</v>
      </c>
      <c r="AK27" s="177"/>
      <c r="AL27" s="138"/>
    </row>
    <row r="28" s="140" customFormat="true" ht="23.25" hidden="false" customHeight="true" outlineLevel="0" collapsed="false">
      <c r="A28" s="116" t="n">
        <f aca="false">IF(B28="","",IF((YEAR(B28)-YEAR(B27))=0,A27+1,1))</f>
        <v>19</v>
      </c>
      <c r="B28" s="160" t="n">
        <v>42649</v>
      </c>
      <c r="C28" s="161" t="s">
        <v>96</v>
      </c>
      <c r="D28" s="161" t="s">
        <v>111</v>
      </c>
      <c r="E28" s="116"/>
      <c r="F28" s="116" t="s">
        <v>112</v>
      </c>
      <c r="G28" s="162" t="n">
        <v>42649</v>
      </c>
      <c r="H28" s="163" t="n">
        <v>42680</v>
      </c>
      <c r="I28" s="116" t="n">
        <f aca="false">H28-G28</f>
        <v>31</v>
      </c>
      <c r="J28" s="122" t="n">
        <f aca="false">TRUNC(I28/30,0)</f>
        <v>1</v>
      </c>
      <c r="K28" s="181" t="s">
        <v>99</v>
      </c>
      <c r="L28" s="166" t="n">
        <v>50</v>
      </c>
      <c r="M28" s="167"/>
      <c r="N28" s="168"/>
      <c r="O28" s="169"/>
      <c r="P28" s="169"/>
      <c r="Q28" s="170" t="n">
        <v>0.0042822</v>
      </c>
      <c r="R28" s="171"/>
      <c r="S28" s="172"/>
      <c r="T28" s="171"/>
      <c r="U28" s="172"/>
      <c r="V28" s="172"/>
      <c r="W28" s="172"/>
      <c r="X28" s="172"/>
      <c r="Y28" s="173" t="n">
        <v>0.000977</v>
      </c>
      <c r="Z28" s="172"/>
      <c r="AA28" s="172"/>
      <c r="AB28" s="174"/>
      <c r="AC28" s="174"/>
      <c r="AD28" s="175"/>
      <c r="AE28" s="130" t="n">
        <f aca="false">IF(Y28="","",Y28)</f>
        <v>0.000977</v>
      </c>
      <c r="AF28" s="173"/>
      <c r="AG28" s="133" t="str">
        <f aca="false">IF(AF28="","",AE28+AF28)</f>
        <v/>
      </c>
      <c r="AH28" s="134"/>
      <c r="AI28" s="176"/>
      <c r="AJ28" s="116" t="str">
        <f aca="false">IF(AG28="","N","Y")</f>
        <v>N</v>
      </c>
      <c r="AK28" s="177"/>
      <c r="AL28" s="138"/>
    </row>
    <row r="29" s="140" customFormat="true" ht="23.25" hidden="false" customHeight="true" outlineLevel="0" collapsed="false">
      <c r="A29" s="116" t="n">
        <f aca="false">IF(B29="","",IF((YEAR(B29)-YEAR(B28))=0,A28+1,1))</f>
        <v>20</v>
      </c>
      <c r="B29" s="160" t="n">
        <v>42649</v>
      </c>
      <c r="C29" s="161" t="s">
        <v>107</v>
      </c>
      <c r="D29" s="161" t="s">
        <v>113</v>
      </c>
      <c r="E29" s="116"/>
      <c r="F29" s="161" t="s">
        <v>109</v>
      </c>
      <c r="G29" s="162" t="n">
        <v>42649</v>
      </c>
      <c r="H29" s="163" t="n">
        <v>43014</v>
      </c>
      <c r="I29" s="116" t="n">
        <f aca="false">H29-G29</f>
        <v>365</v>
      </c>
      <c r="J29" s="122" t="n">
        <f aca="false">TRUNC(I29/30,0)</f>
        <v>12</v>
      </c>
      <c r="K29" s="180" t="s">
        <v>95</v>
      </c>
      <c r="L29" s="166" t="n">
        <v>2</v>
      </c>
      <c r="M29" s="167"/>
      <c r="N29" s="168"/>
      <c r="O29" s="169"/>
      <c r="P29" s="169"/>
      <c r="Q29" s="170" t="n">
        <v>0.0157267</v>
      </c>
      <c r="R29" s="171"/>
      <c r="S29" s="172" t="n">
        <f aca="false">AVERAGE(0.015,0.014,0.0135)</f>
        <v>0.0141666666666667</v>
      </c>
      <c r="T29" s="171"/>
      <c r="U29" s="172"/>
      <c r="V29" s="172"/>
      <c r="W29" s="172"/>
      <c r="X29" s="172"/>
      <c r="Y29" s="173" t="n">
        <v>0.011434</v>
      </c>
      <c r="Z29" s="172"/>
      <c r="AA29" s="172"/>
      <c r="AB29" s="174"/>
      <c r="AC29" s="174"/>
      <c r="AD29" s="175" t="n">
        <v>0.0125</v>
      </c>
      <c r="AE29" s="130" t="n">
        <f aca="false">IF(Y29="","",Y29)</f>
        <v>0.011434</v>
      </c>
      <c r="AF29" s="173"/>
      <c r="AG29" s="133" t="str">
        <f aca="false">IF(AF29="","",AE29+AF29)</f>
        <v/>
      </c>
      <c r="AH29" s="134"/>
      <c r="AI29" s="176"/>
      <c r="AJ29" s="116" t="str">
        <f aca="false">IF(AG29="","N","Y")</f>
        <v>N</v>
      </c>
      <c r="AK29" s="177"/>
      <c r="AL29" s="138"/>
    </row>
    <row r="30" s="38" customFormat="true" ht="23.25" hidden="false" customHeight="true" outlineLevel="0" collapsed="false">
      <c r="A30" s="19" t="n">
        <f aca="false">IF(B30="","",IF((YEAR(B30)-YEAR(B29))=0,A29+1,1))</f>
        <v>21</v>
      </c>
      <c r="B30" s="141" t="n">
        <v>42650</v>
      </c>
      <c r="C30" s="63" t="s">
        <v>107</v>
      </c>
      <c r="D30" s="63" t="s">
        <v>114</v>
      </c>
      <c r="E30" s="19"/>
      <c r="F30" s="63" t="s">
        <v>115</v>
      </c>
      <c r="G30" s="142" t="n">
        <v>42650</v>
      </c>
      <c r="H30" s="143" t="n">
        <v>42742</v>
      </c>
      <c r="I30" s="19" t="n">
        <f aca="false">H30-G30</f>
        <v>92</v>
      </c>
      <c r="J30" s="100" t="n">
        <f aca="false">TRUNC(I30/30,0)</f>
        <v>3</v>
      </c>
      <c r="K30" s="183" t="s">
        <v>95</v>
      </c>
      <c r="L30" s="146" t="n">
        <v>1</v>
      </c>
      <c r="M30" s="147"/>
      <c r="N30" s="148"/>
      <c r="O30" s="149"/>
      <c r="P30" s="149"/>
      <c r="Q30" s="150" t="n">
        <v>0.0087156</v>
      </c>
      <c r="R30" s="151"/>
      <c r="S30" s="152" t="n">
        <f aca="false">AVERAGE(0.0115,0.011,0.0089)</f>
        <v>0.0104666666666667</v>
      </c>
      <c r="T30" s="151"/>
      <c r="U30" s="152"/>
      <c r="V30" s="152"/>
      <c r="W30" s="152"/>
      <c r="X30" s="152"/>
      <c r="Y30" s="153" t="n">
        <v>0.0064</v>
      </c>
      <c r="Z30" s="152"/>
      <c r="AA30" s="152"/>
      <c r="AB30" s="154"/>
      <c r="AC30" s="154"/>
      <c r="AD30" s="155" t="n">
        <v>0.007</v>
      </c>
      <c r="AE30" s="156" t="n">
        <f aca="false">IF(Y30="","",Y30)</f>
        <v>0.0064</v>
      </c>
      <c r="AF30" s="153"/>
      <c r="AG30" s="184" t="n">
        <v>0.0071</v>
      </c>
      <c r="AH30" s="185"/>
      <c r="AI30" s="35"/>
      <c r="AJ30" s="19" t="str">
        <f aca="false">IF(AG30="","N","Y")</f>
        <v>Y</v>
      </c>
      <c r="AK30" s="159"/>
      <c r="AL30" s="36"/>
    </row>
    <row r="31" s="140" customFormat="true" ht="23.25" hidden="false" customHeight="true" outlineLevel="0" collapsed="false">
      <c r="A31" s="116" t="n">
        <f aca="false">IF(B31="","",IF((YEAR(B31)-YEAR(B30))=0,A30+1,1))</f>
        <v>22</v>
      </c>
      <c r="B31" s="160" t="n">
        <v>42661</v>
      </c>
      <c r="C31" s="161" t="s">
        <v>100</v>
      </c>
      <c r="D31" s="161" t="s">
        <v>101</v>
      </c>
      <c r="E31" s="116"/>
      <c r="F31" s="161" t="s">
        <v>102</v>
      </c>
      <c r="G31" s="162" t="n">
        <v>42661</v>
      </c>
      <c r="H31" s="163" t="n">
        <v>42695</v>
      </c>
      <c r="I31" s="116" t="n">
        <f aca="false">H31-G31</f>
        <v>34</v>
      </c>
      <c r="J31" s="122" t="n">
        <f aca="false">TRUNC(I31/30,0)</f>
        <v>1</v>
      </c>
      <c r="K31" s="180" t="s">
        <v>95</v>
      </c>
      <c r="L31" s="166" t="n">
        <v>70</v>
      </c>
      <c r="M31" s="167"/>
      <c r="N31" s="168"/>
      <c r="O31" s="169"/>
      <c r="P31" s="169"/>
      <c r="Q31" s="170" t="n">
        <v>0.0052789</v>
      </c>
      <c r="R31" s="171"/>
      <c r="S31" s="172" t="n">
        <f aca="false">AVERAGE(0.0077,0.008)</f>
        <v>0.00785</v>
      </c>
      <c r="T31" s="171"/>
      <c r="U31" s="172"/>
      <c r="V31" s="172"/>
      <c r="W31" s="172"/>
      <c r="X31" s="172"/>
      <c r="Y31" s="173" t="n">
        <v>0.002647</v>
      </c>
      <c r="Z31" s="172"/>
      <c r="AA31" s="172"/>
      <c r="AB31" s="174"/>
      <c r="AC31" s="174"/>
      <c r="AD31" s="175" t="n">
        <v>0.0036</v>
      </c>
      <c r="AE31" s="130" t="n">
        <f aca="false">IF(Y31="","",Y31)</f>
        <v>0.002647</v>
      </c>
      <c r="AF31" s="173"/>
      <c r="AG31" s="186"/>
      <c r="AH31" s="187"/>
      <c r="AI31" s="176"/>
      <c r="AJ31" s="116" t="str">
        <f aca="false">IF(AG31="","N","Y")</f>
        <v>N</v>
      </c>
      <c r="AK31" s="177"/>
      <c r="AL31" s="138"/>
    </row>
    <row r="32" s="140" customFormat="true" ht="23.25" hidden="false" customHeight="true" outlineLevel="0" collapsed="false">
      <c r="A32" s="116" t="n">
        <f aca="false">IF(B32="","",IF((YEAR(B32)-YEAR(B31))=0,A31+1,1))</f>
        <v>23</v>
      </c>
      <c r="B32" s="160" t="n">
        <v>42668</v>
      </c>
      <c r="C32" s="161" t="s">
        <v>100</v>
      </c>
      <c r="D32" s="161" t="s">
        <v>101</v>
      </c>
      <c r="E32" s="116"/>
      <c r="F32" s="161" t="s">
        <v>102</v>
      </c>
      <c r="G32" s="162" t="n">
        <v>42668</v>
      </c>
      <c r="H32" s="163" t="n">
        <v>42684</v>
      </c>
      <c r="I32" s="116" t="n">
        <f aca="false">H32-G32</f>
        <v>16</v>
      </c>
      <c r="J32" s="122" t="n">
        <f aca="false">TRUNC(I32/30,0)</f>
        <v>0</v>
      </c>
      <c r="K32" s="180" t="s">
        <v>95</v>
      </c>
      <c r="L32" s="166" t="n">
        <v>45</v>
      </c>
      <c r="M32" s="167"/>
      <c r="N32" s="168"/>
      <c r="O32" s="169"/>
      <c r="P32" s="169"/>
      <c r="Q32" s="170" t="n">
        <v>0.0045589</v>
      </c>
      <c r="R32" s="171"/>
      <c r="S32" s="172" t="n">
        <f aca="false">AVERAGE(0.006,0.005)</f>
        <v>0.0055</v>
      </c>
      <c r="T32" s="171"/>
      <c r="U32" s="172"/>
      <c r="V32" s="172"/>
      <c r="W32" s="172"/>
      <c r="X32" s="172"/>
      <c r="Y32" s="173" t="n">
        <v>0.001577</v>
      </c>
      <c r="Z32" s="172"/>
      <c r="AA32" s="172"/>
      <c r="AB32" s="174"/>
      <c r="AC32" s="174"/>
      <c r="AD32" s="175" t="n">
        <v>0.002</v>
      </c>
      <c r="AE32" s="130" t="n">
        <f aca="false">IF(Y32="","",Y32)</f>
        <v>0.001577</v>
      </c>
      <c r="AF32" s="173"/>
      <c r="AG32" s="186"/>
      <c r="AH32" s="187"/>
      <c r="AI32" s="176"/>
      <c r="AJ32" s="116" t="str">
        <f aca="false">IF(AG32="","N","Y")</f>
        <v>N</v>
      </c>
      <c r="AK32" s="177"/>
      <c r="AL32" s="138"/>
    </row>
    <row r="33" s="140" customFormat="true" ht="23.25" hidden="false" customHeight="true" outlineLevel="0" collapsed="false">
      <c r="A33" s="116" t="n">
        <f aca="false">IF(B33="","",IF((YEAR(B33)-YEAR(B32))=0,A32+1,1))</f>
        <v>24</v>
      </c>
      <c r="B33" s="160" t="n">
        <v>42668</v>
      </c>
      <c r="C33" s="161" t="s">
        <v>110</v>
      </c>
      <c r="D33" s="161" t="s">
        <v>110</v>
      </c>
      <c r="E33" s="161"/>
      <c r="F33" s="161" t="s">
        <v>110</v>
      </c>
      <c r="G33" s="162" t="n">
        <v>42668</v>
      </c>
      <c r="H33" s="163" t="n">
        <v>42690</v>
      </c>
      <c r="I33" s="116" t="n">
        <f aca="false">H33-G33</f>
        <v>22</v>
      </c>
      <c r="J33" s="122" t="n">
        <f aca="false">TRUNC(I33/30,0)</f>
        <v>0</v>
      </c>
      <c r="K33" s="161" t="s">
        <v>110</v>
      </c>
      <c r="L33" s="166" t="n">
        <v>35</v>
      </c>
      <c r="M33" s="167"/>
      <c r="N33" s="168"/>
      <c r="O33" s="169"/>
      <c r="P33" s="169"/>
      <c r="Q33" s="170" t="n">
        <v>0.0045589</v>
      </c>
      <c r="R33" s="171"/>
      <c r="S33" s="172" t="n">
        <f aca="false">AVERAGE(0.006,0.005)</f>
        <v>0.0055</v>
      </c>
      <c r="T33" s="171"/>
      <c r="U33" s="172"/>
      <c r="V33" s="172"/>
      <c r="W33" s="172"/>
      <c r="X33" s="172"/>
      <c r="Y33" s="173" t="n">
        <v>0.001577</v>
      </c>
      <c r="Z33" s="172"/>
      <c r="AA33" s="172"/>
      <c r="AB33" s="174"/>
      <c r="AC33" s="174"/>
      <c r="AD33" s="175" t="n">
        <v>0.002</v>
      </c>
      <c r="AE33" s="130" t="n">
        <f aca="false">IF(Y33="","",Y33)</f>
        <v>0.001577</v>
      </c>
      <c r="AF33" s="173"/>
      <c r="AG33" s="186"/>
      <c r="AH33" s="187"/>
      <c r="AI33" s="176"/>
      <c r="AJ33" s="116" t="str">
        <f aca="false">IF(AG33="","N","Y")</f>
        <v>N</v>
      </c>
      <c r="AK33" s="182"/>
      <c r="AL33" s="138"/>
    </row>
    <row r="34" s="38" customFormat="true" ht="23.25" hidden="false" customHeight="true" outlineLevel="0" collapsed="false">
      <c r="A34" s="19" t="n">
        <f aca="false">IF(B34="","",IF((YEAR(B34)-YEAR(B33))=0,A33+1,1))</f>
        <v>25</v>
      </c>
      <c r="B34" s="141" t="n">
        <v>42668</v>
      </c>
      <c r="C34" s="63" t="s">
        <v>110</v>
      </c>
      <c r="D34" s="63" t="s">
        <v>110</v>
      </c>
      <c r="E34" s="63"/>
      <c r="F34" s="63" t="s">
        <v>110</v>
      </c>
      <c r="G34" s="142" t="n">
        <v>42668</v>
      </c>
      <c r="H34" s="143" t="n">
        <v>42704</v>
      </c>
      <c r="I34" s="19" t="n">
        <f aca="false">H34-G34</f>
        <v>36</v>
      </c>
      <c r="J34" s="100" t="n">
        <f aca="false">TRUNC(I34/30,0)</f>
        <v>1</v>
      </c>
      <c r="K34" s="63" t="s">
        <v>110</v>
      </c>
      <c r="L34" s="146" t="n">
        <v>70</v>
      </c>
      <c r="M34" s="147"/>
      <c r="N34" s="148"/>
      <c r="O34" s="149"/>
      <c r="P34" s="149"/>
      <c r="Q34" s="150" t="n">
        <v>0.00534</v>
      </c>
      <c r="R34" s="151"/>
      <c r="S34" s="152" t="n">
        <f aca="false">AVERAGE(0.0058,0.0065)</f>
        <v>0.00615</v>
      </c>
      <c r="T34" s="151"/>
      <c r="U34" s="152"/>
      <c r="V34" s="152"/>
      <c r="W34" s="152"/>
      <c r="X34" s="152"/>
      <c r="Y34" s="153" t="n">
        <v>0.002708</v>
      </c>
      <c r="Z34" s="152"/>
      <c r="AA34" s="152"/>
      <c r="AB34" s="154"/>
      <c r="AC34" s="154"/>
      <c r="AD34" s="155" t="n">
        <v>0.004</v>
      </c>
      <c r="AE34" s="156" t="n">
        <f aca="false">IF(Y34="","",Y34)</f>
        <v>0.002708</v>
      </c>
      <c r="AF34" s="153"/>
      <c r="AG34" s="184" t="n">
        <v>0.004</v>
      </c>
      <c r="AH34" s="185"/>
      <c r="AI34" s="35"/>
      <c r="AJ34" s="19" t="str">
        <f aca="false">IF(AG34="","N","Y")</f>
        <v>Y</v>
      </c>
      <c r="AK34" s="188"/>
      <c r="AL34" s="36"/>
    </row>
    <row r="35" s="38" customFormat="true" ht="23.25" hidden="false" customHeight="true" outlineLevel="0" collapsed="false">
      <c r="A35" s="19" t="n">
        <f aca="false">IF(B35="","",IF((YEAR(B35)-YEAR(B34))=0,A34+1,1))</f>
        <v>26</v>
      </c>
      <c r="B35" s="141" t="n">
        <v>42678</v>
      </c>
      <c r="C35" s="63" t="s">
        <v>110</v>
      </c>
      <c r="D35" s="63" t="s">
        <v>110</v>
      </c>
      <c r="E35" s="63"/>
      <c r="F35" s="63" t="s">
        <v>110</v>
      </c>
      <c r="G35" s="142" t="n">
        <v>42678</v>
      </c>
      <c r="H35" s="142" t="n">
        <v>42711</v>
      </c>
      <c r="I35" s="19" t="n">
        <f aca="false">H35-G35</f>
        <v>33</v>
      </c>
      <c r="J35" s="100" t="n">
        <f aca="false">TRUNC(I35/30,0)</f>
        <v>1</v>
      </c>
      <c r="K35" s="63" t="s">
        <v>110</v>
      </c>
      <c r="L35" s="146" t="n">
        <v>20</v>
      </c>
      <c r="M35" s="147"/>
      <c r="N35" s="148"/>
      <c r="O35" s="149"/>
      <c r="P35" s="149"/>
      <c r="Q35" s="150" t="n">
        <v>0.0053256</v>
      </c>
      <c r="R35" s="151"/>
      <c r="S35" s="152"/>
      <c r="T35" s="151"/>
      <c r="U35" s="152"/>
      <c r="V35" s="152"/>
      <c r="W35" s="152"/>
      <c r="X35" s="152"/>
      <c r="Y35" s="153"/>
      <c r="Z35" s="152"/>
      <c r="AA35" s="152"/>
      <c r="AB35" s="154"/>
      <c r="AC35" s="154"/>
      <c r="AD35" s="155" t="n">
        <v>0.0036</v>
      </c>
      <c r="AE35" s="156" t="str">
        <f aca="false">IF(Y35="","",Y35)</f>
        <v/>
      </c>
      <c r="AF35" s="153"/>
      <c r="AG35" s="184" t="n">
        <v>0</v>
      </c>
      <c r="AH35" s="185"/>
      <c r="AI35" s="35"/>
      <c r="AJ35" s="19" t="str">
        <f aca="false">IF(AG35="","N","Y")</f>
        <v>Y</v>
      </c>
      <c r="AK35" s="188"/>
      <c r="AL35" s="36"/>
    </row>
    <row r="36" s="140" customFormat="true" ht="23.25" hidden="false" customHeight="true" outlineLevel="0" collapsed="false">
      <c r="A36" s="116" t="n">
        <f aca="false">IF(B36="","",IF((YEAR(B36)-YEAR(B35))=0,A35+1,1))</f>
        <v>27</v>
      </c>
      <c r="B36" s="160" t="n">
        <v>42678</v>
      </c>
      <c r="C36" s="161" t="s">
        <v>110</v>
      </c>
      <c r="D36" s="161" t="s">
        <v>110</v>
      </c>
      <c r="E36" s="161"/>
      <c r="F36" s="161" t="s">
        <v>110</v>
      </c>
      <c r="G36" s="162" t="n">
        <v>42678</v>
      </c>
      <c r="H36" s="162" t="n">
        <v>42711</v>
      </c>
      <c r="I36" s="116" t="n">
        <f aca="false">H36-G36</f>
        <v>33</v>
      </c>
      <c r="J36" s="122" t="n">
        <f aca="false">TRUNC(I36/30,0)</f>
        <v>1</v>
      </c>
      <c r="K36" s="161" t="s">
        <v>110</v>
      </c>
      <c r="L36" s="166" t="n">
        <v>30</v>
      </c>
      <c r="M36" s="167"/>
      <c r="N36" s="168"/>
      <c r="O36" s="169"/>
      <c r="P36" s="169"/>
      <c r="Q36" s="170" t="n">
        <v>0.0053256</v>
      </c>
      <c r="R36" s="171"/>
      <c r="S36" s="172"/>
      <c r="T36" s="171"/>
      <c r="U36" s="172"/>
      <c r="V36" s="172"/>
      <c r="W36" s="172"/>
      <c r="X36" s="172"/>
      <c r="Y36" s="173"/>
      <c r="Z36" s="172"/>
      <c r="AA36" s="172"/>
      <c r="AB36" s="174"/>
      <c r="AC36" s="174"/>
      <c r="AD36" s="175" t="n">
        <v>0.0036</v>
      </c>
      <c r="AE36" s="130" t="str">
        <f aca="false">IF(Y36="","",Y36)</f>
        <v/>
      </c>
      <c r="AF36" s="173"/>
      <c r="AG36" s="186"/>
      <c r="AH36" s="187"/>
      <c r="AI36" s="176"/>
      <c r="AJ36" s="116" t="str">
        <f aca="false">IF(AG36="","N","Y")</f>
        <v>N</v>
      </c>
      <c r="AK36" s="182"/>
      <c r="AL36" s="138"/>
    </row>
    <row r="37" s="38" customFormat="true" ht="23.25" hidden="false" customHeight="true" outlineLevel="0" collapsed="false">
      <c r="A37" s="19" t="n">
        <f aca="false">IF(B37="","",IF((YEAR(B37)-YEAR(B36))=0,A36+1,1))</f>
        <v>28</v>
      </c>
      <c r="B37" s="141" t="n">
        <v>42682</v>
      </c>
      <c r="C37" s="63" t="s">
        <v>116</v>
      </c>
      <c r="D37" s="63" t="s">
        <v>117</v>
      </c>
      <c r="E37" s="19"/>
      <c r="F37" s="63" t="s">
        <v>118</v>
      </c>
      <c r="G37" s="142" t="n">
        <v>42682</v>
      </c>
      <c r="H37" s="142" t="n">
        <v>42725</v>
      </c>
      <c r="I37" s="19" t="n">
        <f aca="false">H37-G37</f>
        <v>43</v>
      </c>
      <c r="J37" s="100" t="n">
        <f aca="false">TRUNC(I37/30,0)</f>
        <v>1</v>
      </c>
      <c r="K37" s="63" t="s">
        <v>110</v>
      </c>
      <c r="L37" s="146" t="n">
        <v>7</v>
      </c>
      <c r="M37" s="147"/>
      <c r="N37" s="148"/>
      <c r="O37" s="149"/>
      <c r="P37" s="149"/>
      <c r="Q37" s="150" t="n">
        <v>0.0053533</v>
      </c>
      <c r="R37" s="151"/>
      <c r="S37" s="152" t="n">
        <f aca="false">AVERAGE(0.0058,0.0065)</f>
        <v>0.00615</v>
      </c>
      <c r="T37" s="151"/>
      <c r="U37" s="152"/>
      <c r="V37" s="152"/>
      <c r="W37" s="152"/>
      <c r="X37" s="152"/>
      <c r="Y37" s="153" t="n">
        <v>0.002721</v>
      </c>
      <c r="Z37" s="152"/>
      <c r="AA37" s="152"/>
      <c r="AB37" s="154"/>
      <c r="AC37" s="154"/>
      <c r="AD37" s="155" t="n">
        <v>0.0036</v>
      </c>
      <c r="AE37" s="156" t="n">
        <f aca="false">IF(Y37="","",Y37)</f>
        <v>0.002721</v>
      </c>
      <c r="AF37" s="153"/>
      <c r="AG37" s="184" t="n">
        <v>0.0036</v>
      </c>
      <c r="AH37" s="185"/>
      <c r="AI37" s="35"/>
      <c r="AJ37" s="19" t="str">
        <f aca="false">IF(AG37="","N","Y")</f>
        <v>Y</v>
      </c>
      <c r="AK37" s="159"/>
      <c r="AL37" s="36"/>
    </row>
    <row r="38" s="140" customFormat="true" ht="23.25" hidden="false" customHeight="true" outlineLevel="0" collapsed="false">
      <c r="A38" s="116" t="n">
        <f aca="false">IF(B38="","",IF((YEAR(B38)-YEAR(B37))=0,A37+1,1))</f>
        <v>29</v>
      </c>
      <c r="B38" s="160" t="n">
        <v>42690</v>
      </c>
      <c r="C38" s="161" t="s">
        <v>100</v>
      </c>
      <c r="D38" s="161" t="s">
        <v>101</v>
      </c>
      <c r="E38" s="116"/>
      <c r="F38" s="161" t="s">
        <v>102</v>
      </c>
      <c r="G38" s="162" t="n">
        <v>42690</v>
      </c>
      <c r="H38" s="162" t="n">
        <v>42718</v>
      </c>
      <c r="I38" s="116" t="n">
        <f aca="false">H38-G38</f>
        <v>28</v>
      </c>
      <c r="J38" s="122" t="n">
        <f aca="false">TRUNC(I38/30,0)</f>
        <v>0</v>
      </c>
      <c r="K38" s="161" t="s">
        <v>110</v>
      </c>
      <c r="L38" s="166" t="n">
        <v>30</v>
      </c>
      <c r="M38" s="167"/>
      <c r="N38" s="168"/>
      <c r="O38" s="169"/>
      <c r="P38" s="169"/>
      <c r="Q38" s="170" t="n">
        <v>0.0055011</v>
      </c>
      <c r="R38" s="171"/>
      <c r="S38" s="172" t="n">
        <f aca="false">AVERAGE(0.0055,0.006)</f>
        <v>0.00575</v>
      </c>
      <c r="T38" s="171"/>
      <c r="U38" s="172"/>
      <c r="V38" s="172"/>
      <c r="W38" s="172"/>
      <c r="X38" s="172"/>
      <c r="Y38" s="173" t="n">
        <v>0.001605</v>
      </c>
      <c r="Z38" s="172"/>
      <c r="AA38" s="172"/>
      <c r="AB38" s="174"/>
      <c r="AC38" s="174"/>
      <c r="AD38" s="175" t="n">
        <v>0.0029</v>
      </c>
      <c r="AE38" s="130" t="n">
        <f aca="false">IF(Y38="","",Y38)</f>
        <v>0.001605</v>
      </c>
      <c r="AF38" s="173"/>
      <c r="AG38" s="186"/>
      <c r="AH38" s="187"/>
      <c r="AI38" s="176"/>
      <c r="AJ38" s="116" t="str">
        <f aca="false">IF(AG38="","N","Y")</f>
        <v>N</v>
      </c>
      <c r="AK38" s="177"/>
      <c r="AL38" s="138"/>
    </row>
    <row r="39" s="140" customFormat="true" ht="23.25" hidden="false" customHeight="true" outlineLevel="0" collapsed="false">
      <c r="A39" s="116" t="n">
        <f aca="false">IF(B39="","",IF((YEAR(B39)-YEAR(B38))=0,A38+1,1))</f>
        <v>30</v>
      </c>
      <c r="B39" s="160" t="n">
        <v>42695</v>
      </c>
      <c r="C39" s="161" t="s">
        <v>100</v>
      </c>
      <c r="D39" s="161" t="s">
        <v>101</v>
      </c>
      <c r="E39" s="116"/>
      <c r="F39" s="161" t="s">
        <v>102</v>
      </c>
      <c r="G39" s="162" t="n">
        <v>42695</v>
      </c>
      <c r="H39" s="162" t="n">
        <v>42726</v>
      </c>
      <c r="I39" s="116" t="n">
        <f aca="false">H39-G39</f>
        <v>31</v>
      </c>
      <c r="J39" s="122" t="n">
        <f aca="false">TRUNC(I39/30,0)</f>
        <v>1</v>
      </c>
      <c r="K39" s="161" t="s">
        <v>110</v>
      </c>
      <c r="L39" s="166" t="n">
        <v>60</v>
      </c>
      <c r="M39" s="167"/>
      <c r="N39" s="168"/>
      <c r="O39" s="169"/>
      <c r="P39" s="169"/>
      <c r="Q39" s="170" t="n">
        <v>0.00566</v>
      </c>
      <c r="R39" s="171"/>
      <c r="S39" s="172" t="n">
        <f aca="false">AVERAGE(0.0055,0.006)</f>
        <v>0.00575</v>
      </c>
      <c r="T39" s="171"/>
      <c r="U39" s="172"/>
      <c r="V39" s="172"/>
      <c r="W39" s="172"/>
      <c r="X39" s="172"/>
      <c r="Y39" s="173" t="n">
        <v>0.003021</v>
      </c>
      <c r="Z39" s="172"/>
      <c r="AA39" s="172"/>
      <c r="AB39" s="174"/>
      <c r="AC39" s="174"/>
      <c r="AD39" s="175" t="n">
        <v>0.0039</v>
      </c>
      <c r="AE39" s="130" t="n">
        <f aca="false">IF(Y39="","",Y39)</f>
        <v>0.003021</v>
      </c>
      <c r="AF39" s="173"/>
      <c r="AG39" s="186"/>
      <c r="AH39" s="187"/>
      <c r="AI39" s="176"/>
      <c r="AJ39" s="116" t="str">
        <f aca="false">IF(AG39="","N","Y")</f>
        <v>N</v>
      </c>
      <c r="AK39" s="177"/>
      <c r="AL39" s="138"/>
    </row>
    <row r="40" s="140" customFormat="true" ht="23.25" hidden="false" customHeight="true" outlineLevel="0" collapsed="false">
      <c r="A40" s="116" t="n">
        <f aca="false">IF(B40="","",IF((YEAR(B40)-YEAR(B39))=0,A39+1,1))</f>
        <v>31</v>
      </c>
      <c r="B40" s="160" t="n">
        <v>42702</v>
      </c>
      <c r="C40" s="161" t="s">
        <v>100</v>
      </c>
      <c r="D40" s="161" t="s">
        <v>101</v>
      </c>
      <c r="E40" s="116"/>
      <c r="F40" s="161" t="s">
        <v>102</v>
      </c>
      <c r="G40" s="162" t="n">
        <v>42702</v>
      </c>
      <c r="H40" s="162" t="n">
        <v>42718</v>
      </c>
      <c r="I40" s="116" t="n">
        <f aca="false">H40-G40</f>
        <v>16</v>
      </c>
      <c r="J40" s="122" t="n">
        <f aca="false">TRUNC(I40/30,0)</f>
        <v>0</v>
      </c>
      <c r="K40" s="161" t="s">
        <v>110</v>
      </c>
      <c r="L40" s="166" t="n">
        <v>30</v>
      </c>
      <c r="M40" s="167"/>
      <c r="N40" s="168"/>
      <c r="O40" s="169"/>
      <c r="P40" s="169"/>
      <c r="Q40" s="170" t="n">
        <v>0.0045822</v>
      </c>
      <c r="R40" s="171"/>
      <c r="S40" s="172" t="n">
        <f aca="false">AVERAGE(0.0052,0.0058,0.0051)</f>
        <v>0.00536666666666667</v>
      </c>
      <c r="T40" s="171"/>
      <c r="U40" s="172"/>
      <c r="V40" s="172"/>
      <c r="W40" s="172"/>
      <c r="X40" s="172"/>
      <c r="Y40" s="173" t="n">
        <v>0.001598</v>
      </c>
      <c r="Z40" s="172"/>
      <c r="AA40" s="172"/>
      <c r="AB40" s="174"/>
      <c r="AC40" s="174"/>
      <c r="AD40" s="175" t="n">
        <v>0.0026</v>
      </c>
      <c r="AE40" s="130" t="n">
        <f aca="false">IF(Y40="","",Y40)</f>
        <v>0.001598</v>
      </c>
      <c r="AF40" s="173"/>
      <c r="AG40" s="186"/>
      <c r="AH40" s="187"/>
      <c r="AI40" s="176"/>
      <c r="AJ40" s="116" t="str">
        <f aca="false">IF(AG40="","N","Y")</f>
        <v>N</v>
      </c>
      <c r="AK40" s="177"/>
      <c r="AL40" s="138"/>
    </row>
    <row r="41" s="140" customFormat="true" ht="23.25" hidden="false" customHeight="true" outlineLevel="0" collapsed="false">
      <c r="A41" s="116" t="n">
        <f aca="false">IF(B41="","",IF((YEAR(B41)-YEAR(B40))=0,A40+1,1))</f>
        <v>32</v>
      </c>
      <c r="B41" s="160" t="n">
        <v>42702</v>
      </c>
      <c r="C41" s="161" t="s">
        <v>100</v>
      </c>
      <c r="D41" s="161" t="s">
        <v>101</v>
      </c>
      <c r="E41" s="116"/>
      <c r="F41" s="161" t="s">
        <v>102</v>
      </c>
      <c r="G41" s="162" t="n">
        <v>42702</v>
      </c>
      <c r="H41" s="162" t="n">
        <v>42724</v>
      </c>
      <c r="I41" s="116" t="n">
        <f aca="false">H41-G41</f>
        <v>22</v>
      </c>
      <c r="J41" s="122" t="n">
        <f aca="false">TRUNC(I41/30,0)</f>
        <v>0</v>
      </c>
      <c r="K41" s="161" t="s">
        <v>110</v>
      </c>
      <c r="L41" s="166" t="n">
        <v>50</v>
      </c>
      <c r="M41" s="167"/>
      <c r="N41" s="168"/>
      <c r="O41" s="169"/>
      <c r="P41" s="169"/>
      <c r="Q41" s="170" t="n">
        <v>0.0045822</v>
      </c>
      <c r="R41" s="171"/>
      <c r="S41" s="172" t="n">
        <f aca="false">AVERAGE(0.0052,0.0058,0.0054)</f>
        <v>0.00546666666666667</v>
      </c>
      <c r="T41" s="171"/>
      <c r="U41" s="172"/>
      <c r="V41" s="172"/>
      <c r="W41" s="172"/>
      <c r="X41" s="172"/>
      <c r="Y41" s="173" t="n">
        <v>0.001598</v>
      </c>
      <c r="Z41" s="172"/>
      <c r="AA41" s="172"/>
      <c r="AB41" s="174"/>
      <c r="AC41" s="174"/>
      <c r="AD41" s="175" t="n">
        <v>0.003</v>
      </c>
      <c r="AE41" s="130" t="n">
        <f aca="false">IF(Y41="","",Y41)</f>
        <v>0.001598</v>
      </c>
      <c r="AF41" s="173"/>
      <c r="AG41" s="186"/>
      <c r="AH41" s="187"/>
      <c r="AI41" s="176"/>
      <c r="AJ41" s="116" t="str">
        <f aca="false">IF(AG41="","N","Y")</f>
        <v>N</v>
      </c>
      <c r="AK41" s="177"/>
      <c r="AL41" s="138"/>
    </row>
    <row r="42" s="140" customFormat="true" ht="23.25" hidden="false" customHeight="true" outlineLevel="0" collapsed="false">
      <c r="A42" s="116" t="n">
        <f aca="false">IF(B42="","",IF((YEAR(B42)-YEAR(B41))=0,A41+1,1))</f>
        <v>33</v>
      </c>
      <c r="B42" s="160" t="n">
        <v>42702</v>
      </c>
      <c r="C42" s="161" t="s">
        <v>100</v>
      </c>
      <c r="D42" s="161" t="s">
        <v>101</v>
      </c>
      <c r="E42" s="116"/>
      <c r="F42" s="161" t="s">
        <v>102</v>
      </c>
      <c r="G42" s="162" t="n">
        <v>42702</v>
      </c>
      <c r="H42" s="162" t="n">
        <v>42727</v>
      </c>
      <c r="I42" s="116" t="n">
        <f aca="false">H42-G42</f>
        <v>25</v>
      </c>
      <c r="J42" s="122" t="n">
        <f aca="false">TRUNC(I42/30,0)</f>
        <v>0</v>
      </c>
      <c r="K42" s="161" t="s">
        <v>110</v>
      </c>
      <c r="L42" s="166" t="n">
        <v>80</v>
      </c>
      <c r="M42" s="167"/>
      <c r="N42" s="168"/>
      <c r="O42" s="169"/>
      <c r="P42" s="169"/>
      <c r="Q42" s="170" t="n">
        <v>0.0045822</v>
      </c>
      <c r="R42" s="171"/>
      <c r="S42" s="172" t="n">
        <f aca="false">AVERAGE(0.0052,0.0058,0.0054)</f>
        <v>0.00546666666666667</v>
      </c>
      <c r="T42" s="171"/>
      <c r="U42" s="172"/>
      <c r="V42" s="172"/>
      <c r="W42" s="172"/>
      <c r="X42" s="172"/>
      <c r="Y42" s="173" t="n">
        <v>0.001598</v>
      </c>
      <c r="Z42" s="172"/>
      <c r="AA42" s="172"/>
      <c r="AB42" s="174"/>
      <c r="AC42" s="174"/>
      <c r="AD42" s="175" t="n">
        <v>0.003</v>
      </c>
      <c r="AE42" s="130" t="n">
        <f aca="false">IF(Y42="","",Y42)</f>
        <v>0.001598</v>
      </c>
      <c r="AF42" s="173"/>
      <c r="AG42" s="186"/>
      <c r="AH42" s="187"/>
      <c r="AI42" s="176"/>
      <c r="AJ42" s="116" t="str">
        <f aca="false">IF(AG42="","N","Y")</f>
        <v>N</v>
      </c>
      <c r="AK42" s="177"/>
      <c r="AL42" s="138"/>
    </row>
    <row r="43" s="140" customFormat="true" ht="23.25" hidden="false" customHeight="true" outlineLevel="0" collapsed="false">
      <c r="A43" s="116" t="n">
        <f aca="false">IF(B43="","",IF((YEAR(B43)-YEAR(B42))=0,A42+1,1))</f>
        <v>34</v>
      </c>
      <c r="B43" s="160" t="n">
        <v>42702</v>
      </c>
      <c r="C43" s="161" t="s">
        <v>100</v>
      </c>
      <c r="D43" s="161" t="s">
        <v>101</v>
      </c>
      <c r="E43" s="116"/>
      <c r="F43" s="161" t="s">
        <v>102</v>
      </c>
      <c r="G43" s="162" t="n">
        <v>42702</v>
      </c>
      <c r="H43" s="162" t="n">
        <v>42734</v>
      </c>
      <c r="I43" s="116" t="n">
        <f aca="false">H43-G43</f>
        <v>32</v>
      </c>
      <c r="J43" s="122" t="n">
        <f aca="false">TRUNC(I43/30,0)</f>
        <v>1</v>
      </c>
      <c r="K43" s="161" t="s">
        <v>110</v>
      </c>
      <c r="L43" s="166" t="n">
        <v>120</v>
      </c>
      <c r="M43" s="167"/>
      <c r="N43" s="168"/>
      <c r="O43" s="169"/>
      <c r="P43" s="169"/>
      <c r="Q43" s="170" t="n">
        <v>0.0060589</v>
      </c>
      <c r="R43" s="171"/>
      <c r="S43" s="172" t="n">
        <f aca="false">AVERAGE(0.007,0.006)</f>
        <v>0.0065</v>
      </c>
      <c r="T43" s="171"/>
      <c r="U43" s="172"/>
      <c r="V43" s="172"/>
      <c r="W43" s="172"/>
      <c r="X43" s="172"/>
      <c r="Y43" s="173" t="n">
        <v>0.003411</v>
      </c>
      <c r="Z43" s="172"/>
      <c r="AA43" s="172"/>
      <c r="AB43" s="174"/>
      <c r="AC43" s="174"/>
      <c r="AD43" s="175" t="n">
        <v>0.0042</v>
      </c>
      <c r="AE43" s="130" t="n">
        <f aca="false">IF(Y43="","",Y43)</f>
        <v>0.003411</v>
      </c>
      <c r="AF43" s="173"/>
      <c r="AG43" s="186"/>
      <c r="AH43" s="187"/>
      <c r="AI43" s="176"/>
      <c r="AJ43" s="116" t="str">
        <f aca="false">IF(AG43="","N","Y")</f>
        <v>N</v>
      </c>
      <c r="AK43" s="177"/>
      <c r="AL43" s="138"/>
    </row>
    <row r="44" s="140" customFormat="true" ht="23.25" hidden="false" customHeight="true" outlineLevel="0" collapsed="false">
      <c r="A44" s="116" t="n">
        <f aca="false">IF(B44="","",IF((YEAR(B44)-YEAR(B43))=0,A43+1,1))</f>
        <v>35</v>
      </c>
      <c r="B44" s="160" t="n">
        <v>42702</v>
      </c>
      <c r="C44" s="161" t="s">
        <v>100</v>
      </c>
      <c r="D44" s="161" t="s">
        <v>101</v>
      </c>
      <c r="E44" s="116"/>
      <c r="F44" s="161" t="s">
        <v>102</v>
      </c>
      <c r="G44" s="162" t="n">
        <v>42702</v>
      </c>
      <c r="H44" s="162" t="n">
        <v>42734</v>
      </c>
      <c r="I44" s="116" t="n">
        <f aca="false">H44-G44</f>
        <v>32</v>
      </c>
      <c r="J44" s="122" t="n">
        <f aca="false">TRUNC(I44/30,0)</f>
        <v>1</v>
      </c>
      <c r="K44" s="161" t="s">
        <v>110</v>
      </c>
      <c r="L44" s="166" t="n">
        <v>110</v>
      </c>
      <c r="M44" s="167"/>
      <c r="N44" s="168"/>
      <c r="O44" s="169"/>
      <c r="P44" s="169"/>
      <c r="Q44" s="170" t="n">
        <v>0.0060589</v>
      </c>
      <c r="R44" s="171"/>
      <c r="S44" s="172" t="n">
        <f aca="false">AVERAGE(0.007,0.006)</f>
        <v>0.0065</v>
      </c>
      <c r="T44" s="171"/>
      <c r="U44" s="172"/>
      <c r="V44" s="172"/>
      <c r="W44" s="172"/>
      <c r="X44" s="172"/>
      <c r="Y44" s="173" t="n">
        <v>0.003411</v>
      </c>
      <c r="Z44" s="172"/>
      <c r="AA44" s="172"/>
      <c r="AB44" s="174"/>
      <c r="AC44" s="174"/>
      <c r="AD44" s="175" t="n">
        <v>0.0042</v>
      </c>
      <c r="AE44" s="130" t="n">
        <f aca="false">IF(Y44="","",Y44)</f>
        <v>0.003411</v>
      </c>
      <c r="AF44" s="173"/>
      <c r="AG44" s="186"/>
      <c r="AH44" s="187"/>
      <c r="AI44" s="176"/>
      <c r="AJ44" s="116" t="str">
        <f aca="false">IF(AG44="","N","Y")</f>
        <v>N</v>
      </c>
      <c r="AK44" s="177"/>
      <c r="AL44" s="138"/>
    </row>
    <row r="45" s="140" customFormat="true" ht="23.25" hidden="false" customHeight="true" outlineLevel="0" collapsed="false">
      <c r="A45" s="116" t="n">
        <f aca="false">IF(B45="","",IF((YEAR(B45)-YEAR(B44))=0,A44+1,1))</f>
        <v>36</v>
      </c>
      <c r="B45" s="160" t="n">
        <v>42704</v>
      </c>
      <c r="C45" s="161" t="s">
        <v>96</v>
      </c>
      <c r="D45" s="161" t="s">
        <v>97</v>
      </c>
      <c r="E45" s="116"/>
      <c r="F45" s="161" t="s">
        <v>98</v>
      </c>
      <c r="G45" s="162" t="n">
        <v>42704</v>
      </c>
      <c r="H45" s="162" t="n">
        <v>42734</v>
      </c>
      <c r="I45" s="116" t="n">
        <f aca="false">H45-G45</f>
        <v>30</v>
      </c>
      <c r="J45" s="122" t="n">
        <f aca="false">TRUNC(I45/30,0)</f>
        <v>1</v>
      </c>
      <c r="K45" s="181" t="s">
        <v>99</v>
      </c>
      <c r="L45" s="166" t="n">
        <v>50</v>
      </c>
      <c r="M45" s="167"/>
      <c r="N45" s="168"/>
      <c r="O45" s="169"/>
      <c r="P45" s="169"/>
      <c r="Q45" s="170" t="n">
        <v>0.0046044</v>
      </c>
      <c r="R45" s="171"/>
      <c r="S45" s="172" t="n">
        <f aca="false">AVERAGE(0.007,0.006)</f>
        <v>0.0065</v>
      </c>
      <c r="T45" s="171"/>
      <c r="U45" s="172"/>
      <c r="V45" s="172"/>
      <c r="W45" s="172"/>
      <c r="X45" s="172"/>
      <c r="Y45" s="173"/>
      <c r="Z45" s="172"/>
      <c r="AA45" s="172"/>
      <c r="AB45" s="174"/>
      <c r="AC45" s="174"/>
      <c r="AD45" s="175" t="n">
        <v>0.0047</v>
      </c>
      <c r="AE45" s="130" t="str">
        <f aca="false">IF(Y45="","",Y45)</f>
        <v/>
      </c>
      <c r="AF45" s="173"/>
      <c r="AG45" s="186"/>
      <c r="AH45" s="187"/>
      <c r="AI45" s="176"/>
      <c r="AJ45" s="116" t="str">
        <f aca="false">IF(AG45="","N","Y")</f>
        <v>N</v>
      </c>
      <c r="AK45" s="177"/>
      <c r="AL45" s="138"/>
    </row>
    <row r="46" s="140" customFormat="true" ht="23.25" hidden="false" customHeight="true" outlineLevel="0" collapsed="false">
      <c r="A46" s="116" t="n">
        <f aca="false">IF(B46="","",IF((YEAR(B46)-YEAR(B45))=0,A45+1,1))</f>
        <v>37</v>
      </c>
      <c r="B46" s="160" t="n">
        <v>42704</v>
      </c>
      <c r="C46" s="161" t="s">
        <v>100</v>
      </c>
      <c r="D46" s="161" t="s">
        <v>101</v>
      </c>
      <c r="E46" s="116"/>
      <c r="F46" s="161" t="s">
        <v>102</v>
      </c>
      <c r="G46" s="162" t="n">
        <v>42704</v>
      </c>
      <c r="H46" s="162" t="n">
        <v>42726</v>
      </c>
      <c r="I46" s="116" t="n">
        <f aca="false">H46-G46</f>
        <v>22</v>
      </c>
      <c r="J46" s="122" t="n">
        <f aca="false">TRUNC(I46/30,0)</f>
        <v>0</v>
      </c>
      <c r="K46" s="180" t="s">
        <v>95</v>
      </c>
      <c r="L46" s="166" t="n">
        <v>20</v>
      </c>
      <c r="M46" s="167"/>
      <c r="N46" s="168"/>
      <c r="O46" s="169"/>
      <c r="P46" s="169"/>
      <c r="Q46" s="170" t="n">
        <v>0.0046044</v>
      </c>
      <c r="R46" s="171"/>
      <c r="S46" s="172" t="n">
        <f aca="false">AVERAGE(0.0055,0.0065)</f>
        <v>0.006</v>
      </c>
      <c r="T46" s="171"/>
      <c r="U46" s="172"/>
      <c r="V46" s="172"/>
      <c r="W46" s="172"/>
      <c r="X46" s="172"/>
      <c r="Y46" s="173" t="n">
        <v>0.001619</v>
      </c>
      <c r="Z46" s="172"/>
      <c r="AA46" s="172"/>
      <c r="AB46" s="174"/>
      <c r="AC46" s="174"/>
      <c r="AD46" s="175" t="n">
        <v>0.004</v>
      </c>
      <c r="AE46" s="130" t="n">
        <f aca="false">IF(Y46="","",Y46)</f>
        <v>0.001619</v>
      </c>
      <c r="AF46" s="173"/>
      <c r="AG46" s="186"/>
      <c r="AH46" s="187"/>
      <c r="AI46" s="176"/>
      <c r="AJ46" s="116" t="str">
        <f aca="false">IF(AG46="","N","Y")</f>
        <v>N</v>
      </c>
      <c r="AK46" s="177"/>
      <c r="AL46" s="138"/>
    </row>
    <row r="47" s="140" customFormat="true" ht="23.25" hidden="false" customHeight="true" outlineLevel="0" collapsed="false">
      <c r="A47" s="116" t="n">
        <f aca="false">IF(B47="","",IF((YEAR(B47)-YEAR(B46))=0,A46+1,1))</f>
        <v>38</v>
      </c>
      <c r="B47" s="160" t="n">
        <v>42704</v>
      </c>
      <c r="C47" s="161" t="s">
        <v>100</v>
      </c>
      <c r="D47" s="161" t="s">
        <v>101</v>
      </c>
      <c r="E47" s="116"/>
      <c r="F47" s="161" t="s">
        <v>102</v>
      </c>
      <c r="G47" s="162" t="n">
        <v>42704</v>
      </c>
      <c r="H47" s="162" t="n">
        <v>42734</v>
      </c>
      <c r="I47" s="116" t="n">
        <f aca="false">H47-G47</f>
        <v>30</v>
      </c>
      <c r="J47" s="122" t="n">
        <f aca="false">TRUNC(I47/30,0)</f>
        <v>1</v>
      </c>
      <c r="K47" s="180" t="s">
        <v>95</v>
      </c>
      <c r="L47" s="166" t="n">
        <v>30</v>
      </c>
      <c r="M47" s="167"/>
      <c r="N47" s="168"/>
      <c r="O47" s="169"/>
      <c r="P47" s="169"/>
      <c r="Q47" s="170" t="n">
        <v>0.0061672</v>
      </c>
      <c r="R47" s="171"/>
      <c r="S47" s="172" t="n">
        <f aca="false">AVERAGE(0.011,0.0063)</f>
        <v>0.00865</v>
      </c>
      <c r="T47" s="171"/>
      <c r="U47" s="172"/>
      <c r="V47" s="172"/>
      <c r="W47" s="172"/>
      <c r="X47" s="172"/>
      <c r="Y47" s="173" t="n">
        <v>0.003518</v>
      </c>
      <c r="Z47" s="172"/>
      <c r="AA47" s="172"/>
      <c r="AB47" s="174"/>
      <c r="AC47" s="174"/>
      <c r="AD47" s="175" t="n">
        <v>0.0046</v>
      </c>
      <c r="AE47" s="130" t="n">
        <f aca="false">IF(Y47="","",Y47)</f>
        <v>0.003518</v>
      </c>
      <c r="AF47" s="173"/>
      <c r="AG47" s="186"/>
      <c r="AH47" s="187"/>
      <c r="AI47" s="176"/>
      <c r="AJ47" s="116" t="str">
        <f aca="false">IF(AG47="","N","Y")</f>
        <v>N</v>
      </c>
      <c r="AK47" s="177"/>
      <c r="AL47" s="138"/>
    </row>
    <row r="48" s="140" customFormat="true" ht="23.25" hidden="false" customHeight="true" outlineLevel="0" collapsed="false">
      <c r="A48" s="116" t="n">
        <f aca="false">IF(B48="","",IF((YEAR(B48)-YEAR(B47))=0,A47+1,1))</f>
        <v>39</v>
      </c>
      <c r="B48" s="160" t="n">
        <v>42711</v>
      </c>
      <c r="C48" s="161" t="s">
        <v>100</v>
      </c>
      <c r="D48" s="161" t="s">
        <v>101</v>
      </c>
      <c r="E48" s="116"/>
      <c r="F48" s="161" t="s">
        <v>102</v>
      </c>
      <c r="G48" s="162" t="n">
        <v>42711</v>
      </c>
      <c r="H48" s="162" t="n">
        <v>42739</v>
      </c>
      <c r="I48" s="116" t="n">
        <f aca="false">H48-G48</f>
        <v>28</v>
      </c>
      <c r="J48" s="122" t="n">
        <f aca="false">TRUNC(I48/30,0)</f>
        <v>0</v>
      </c>
      <c r="K48" s="180" t="s">
        <v>95</v>
      </c>
      <c r="L48" s="166" t="n">
        <v>50</v>
      </c>
      <c r="M48" s="167"/>
      <c r="N48" s="168"/>
      <c r="O48" s="169"/>
      <c r="P48" s="169"/>
      <c r="Q48" s="170" t="n">
        <v>0.0064889</v>
      </c>
      <c r="R48" s="171"/>
      <c r="S48" s="172" t="n">
        <f aca="false">AVERAGE(0.016,0.0064)</f>
        <v>0.0112</v>
      </c>
      <c r="T48" s="171"/>
      <c r="U48" s="172"/>
      <c r="V48" s="172"/>
      <c r="W48" s="172"/>
      <c r="X48" s="172"/>
      <c r="Y48" s="173" t="n">
        <v>0.003834</v>
      </c>
      <c r="Z48" s="172"/>
      <c r="AA48" s="172"/>
      <c r="AB48" s="174"/>
      <c r="AC48" s="174"/>
      <c r="AD48" s="175" t="n">
        <v>0.0044</v>
      </c>
      <c r="AE48" s="130" t="n">
        <f aca="false">IF(Y48="","",Y48)</f>
        <v>0.003834</v>
      </c>
      <c r="AF48" s="173"/>
      <c r="AG48" s="186"/>
      <c r="AH48" s="187"/>
      <c r="AI48" s="176"/>
      <c r="AJ48" s="116" t="str">
        <f aca="false">IF(AG48="","N","Y")</f>
        <v>N</v>
      </c>
      <c r="AK48" s="177"/>
      <c r="AL48" s="138"/>
    </row>
    <row r="49" s="38" customFormat="true" ht="23.25" hidden="false" customHeight="true" outlineLevel="0" collapsed="false">
      <c r="A49" s="19" t="n">
        <f aca="false">IF(B49="","",IF((YEAR(B49)-YEAR(B48))=0,A48+1,1))</f>
        <v>40</v>
      </c>
      <c r="B49" s="141" t="n">
        <v>42718</v>
      </c>
      <c r="C49" s="63" t="s">
        <v>100</v>
      </c>
      <c r="D49" s="63" t="s">
        <v>101</v>
      </c>
      <c r="E49" s="19"/>
      <c r="F49" s="63" t="s">
        <v>102</v>
      </c>
      <c r="G49" s="142" t="n">
        <v>42718</v>
      </c>
      <c r="H49" s="142" t="n">
        <v>42746</v>
      </c>
      <c r="I49" s="19" t="n">
        <f aca="false">H49-G49</f>
        <v>28</v>
      </c>
      <c r="J49" s="100" t="n">
        <f aca="false">TRUNC(I49/30,0)</f>
        <v>0</v>
      </c>
      <c r="K49" s="183" t="s">
        <v>95</v>
      </c>
      <c r="L49" s="146" t="n">
        <v>60</v>
      </c>
      <c r="M49" s="147"/>
      <c r="N49" s="148"/>
      <c r="O49" s="149"/>
      <c r="P49" s="149"/>
      <c r="Q49" s="150" t="n">
        <v>0.0070389</v>
      </c>
      <c r="R49" s="151"/>
      <c r="S49" s="152" t="n">
        <f aca="false">AVERAGE(0.017,0.0081,0.0061)</f>
        <v>0.0104</v>
      </c>
      <c r="T49" s="151"/>
      <c r="U49" s="152"/>
      <c r="V49" s="152"/>
      <c r="W49" s="152"/>
      <c r="X49" s="152"/>
      <c r="Y49" s="153" t="n">
        <v>0.004373</v>
      </c>
      <c r="Z49" s="152"/>
      <c r="AA49" s="152"/>
      <c r="AB49" s="154"/>
      <c r="AC49" s="154"/>
      <c r="AD49" s="155" t="n">
        <v>0.0052</v>
      </c>
      <c r="AE49" s="156" t="n">
        <f aca="false">IF(Y49="","",Y49)</f>
        <v>0.004373</v>
      </c>
      <c r="AF49" s="153"/>
      <c r="AG49" s="184" t="n">
        <v>0.0052</v>
      </c>
      <c r="AH49" s="185"/>
      <c r="AI49" s="35"/>
      <c r="AJ49" s="19" t="str">
        <f aca="false">IF(AG49="","N","Y")</f>
        <v>Y</v>
      </c>
      <c r="AK49" s="159"/>
      <c r="AL49" s="36"/>
    </row>
    <row r="50" s="140" customFormat="true" ht="23.25" hidden="false" customHeight="true" outlineLevel="0" collapsed="false">
      <c r="A50" s="116" t="n">
        <f aca="false">IF(B50="","",IF((YEAR(B50)-YEAR(B49))=0,A49+1,1))</f>
        <v>41</v>
      </c>
      <c r="B50" s="160" t="n">
        <v>42724</v>
      </c>
      <c r="C50" s="161" t="s">
        <v>100</v>
      </c>
      <c r="D50" s="161" t="s">
        <v>101</v>
      </c>
      <c r="E50" s="116"/>
      <c r="F50" s="161" t="s">
        <v>102</v>
      </c>
      <c r="G50" s="162" t="n">
        <v>42724</v>
      </c>
      <c r="H50" s="162" t="n">
        <v>42730</v>
      </c>
      <c r="I50" s="116" t="n">
        <f aca="false">H50-G50</f>
        <v>6</v>
      </c>
      <c r="J50" s="122" t="n">
        <f aca="false">TRUNC(I50/30,0)</f>
        <v>0</v>
      </c>
      <c r="K50" s="180" t="s">
        <v>95</v>
      </c>
      <c r="L50" s="166" t="n">
        <v>25</v>
      </c>
      <c r="M50" s="167"/>
      <c r="N50" s="168"/>
      <c r="O50" s="169"/>
      <c r="P50" s="169"/>
      <c r="Q50" s="170" t="n">
        <v>0.006811</v>
      </c>
      <c r="R50" s="171"/>
      <c r="S50" s="172" t="n">
        <v>0.005</v>
      </c>
      <c r="T50" s="171"/>
      <c r="U50" s="172"/>
      <c r="V50" s="172"/>
      <c r="W50" s="172"/>
      <c r="X50" s="172"/>
      <c r="Y50" s="173" t="n">
        <v>0.003275</v>
      </c>
      <c r="Z50" s="172"/>
      <c r="AA50" s="172"/>
      <c r="AB50" s="174"/>
      <c r="AC50" s="174"/>
      <c r="AD50" s="175" t="n">
        <v>0.0033</v>
      </c>
      <c r="AE50" s="130" t="n">
        <f aca="false">IF(Y50="","",Y50)</f>
        <v>0.003275</v>
      </c>
      <c r="AF50" s="173"/>
      <c r="AG50" s="186"/>
      <c r="AH50" s="187"/>
      <c r="AI50" s="176"/>
      <c r="AJ50" s="116" t="str">
        <f aca="false">IF(AG50="","N","Y")</f>
        <v>N</v>
      </c>
      <c r="AK50" s="177"/>
      <c r="AL50" s="138"/>
    </row>
    <row r="51" s="140" customFormat="true" ht="23.25" hidden="false" customHeight="true" outlineLevel="0" collapsed="false">
      <c r="A51" s="116" t="n">
        <f aca="false">IF(B51="","",IF((YEAR(B51)-YEAR(B50))=0,A50+1,1))</f>
        <v>42</v>
      </c>
      <c r="B51" s="160" t="n">
        <v>42724</v>
      </c>
      <c r="C51" s="161" t="s">
        <v>100</v>
      </c>
      <c r="D51" s="161" t="s">
        <v>101</v>
      </c>
      <c r="E51" s="116"/>
      <c r="F51" s="161" t="s">
        <v>102</v>
      </c>
      <c r="G51" s="162" t="n">
        <v>42724</v>
      </c>
      <c r="H51" s="162" t="n">
        <v>42732</v>
      </c>
      <c r="I51" s="116" t="n">
        <f aca="false">H51-G51</f>
        <v>8</v>
      </c>
      <c r="J51" s="122" t="n">
        <f aca="false">TRUNC(I51/30,0)</f>
        <v>0</v>
      </c>
      <c r="K51" s="180" t="s">
        <v>95</v>
      </c>
      <c r="L51" s="166" t="n">
        <v>25</v>
      </c>
      <c r="M51" s="167"/>
      <c r="N51" s="168"/>
      <c r="O51" s="169"/>
      <c r="P51" s="169"/>
      <c r="Q51" s="170" t="n">
        <v>0.0070306</v>
      </c>
      <c r="R51" s="171"/>
      <c r="S51" s="172" t="n">
        <v>0.005</v>
      </c>
      <c r="T51" s="171"/>
      <c r="U51" s="172"/>
      <c r="V51" s="172"/>
      <c r="W51" s="172"/>
      <c r="X51" s="172"/>
      <c r="Y51" s="173" t="n">
        <v>0.003875</v>
      </c>
      <c r="Z51" s="172"/>
      <c r="AA51" s="172"/>
      <c r="AB51" s="174"/>
      <c r="AC51" s="174"/>
      <c r="AD51" s="175" t="n">
        <v>0.0039</v>
      </c>
      <c r="AE51" s="130" t="n">
        <f aca="false">IF(Y51="","",Y51)</f>
        <v>0.003875</v>
      </c>
      <c r="AF51" s="173"/>
      <c r="AG51" s="186"/>
      <c r="AH51" s="187"/>
      <c r="AI51" s="176"/>
      <c r="AJ51" s="116" t="str">
        <f aca="false">IF(AG51="","N","Y")</f>
        <v>N</v>
      </c>
      <c r="AK51" s="177"/>
      <c r="AL51" s="138"/>
    </row>
    <row r="52" s="140" customFormat="true" ht="23.25" hidden="false" customHeight="true" outlineLevel="0" collapsed="false">
      <c r="A52" s="116" t="n">
        <f aca="false">IF(B52="","",IF((YEAR(B52)-YEAR(B51))=0,A51+1,1))</f>
        <v>43</v>
      </c>
      <c r="B52" s="160" t="n">
        <v>42724</v>
      </c>
      <c r="C52" s="161" t="s">
        <v>96</v>
      </c>
      <c r="D52" s="161" t="s">
        <v>97</v>
      </c>
      <c r="E52" s="116"/>
      <c r="F52" s="161" t="s">
        <v>98</v>
      </c>
      <c r="G52" s="162" t="n">
        <v>42724</v>
      </c>
      <c r="H52" s="162" t="n">
        <v>42755</v>
      </c>
      <c r="I52" s="116" t="n">
        <f aca="false">H52-G52</f>
        <v>31</v>
      </c>
      <c r="J52" s="122" t="n">
        <f aca="false">TRUNC(I52/30,0)</f>
        <v>1</v>
      </c>
      <c r="K52" s="181" t="s">
        <v>99</v>
      </c>
      <c r="L52" s="166" t="n">
        <v>50</v>
      </c>
      <c r="M52" s="167"/>
      <c r="N52" s="168"/>
      <c r="O52" s="169"/>
      <c r="P52" s="169"/>
      <c r="Q52" s="170"/>
      <c r="R52" s="171"/>
      <c r="S52" s="172"/>
      <c r="T52" s="171"/>
      <c r="U52" s="172"/>
      <c r="V52" s="172"/>
      <c r="W52" s="172"/>
      <c r="X52" s="172"/>
      <c r="Y52" s="173"/>
      <c r="Z52" s="172"/>
      <c r="AA52" s="172"/>
      <c r="AB52" s="174"/>
      <c r="AC52" s="174"/>
      <c r="AD52" s="175" t="n">
        <v>0.005</v>
      </c>
      <c r="AE52" s="130" t="str">
        <f aca="false">IF(Y52="","",Y52)</f>
        <v/>
      </c>
      <c r="AF52" s="173"/>
      <c r="AG52" s="186"/>
      <c r="AH52" s="187"/>
      <c r="AI52" s="176"/>
      <c r="AJ52" s="116" t="str">
        <f aca="false">IF(AG52="","N","Y")</f>
        <v>N</v>
      </c>
      <c r="AK52" s="177"/>
      <c r="AL52" s="138"/>
    </row>
    <row r="53" s="140" customFormat="true" ht="23.25" hidden="false" customHeight="true" outlineLevel="0" collapsed="false">
      <c r="A53" s="116" t="n">
        <f aca="false">IF(B53="","",IF((YEAR(B53)-YEAR(B52))=0,A52+1,1))</f>
        <v>44</v>
      </c>
      <c r="B53" s="160" t="n">
        <v>42733</v>
      </c>
      <c r="C53" s="161" t="s">
        <v>100</v>
      </c>
      <c r="D53" s="161" t="s">
        <v>101</v>
      </c>
      <c r="E53" s="116"/>
      <c r="F53" s="161" t="s">
        <v>102</v>
      </c>
      <c r="G53" s="162" t="n">
        <v>42733</v>
      </c>
      <c r="H53" s="162" t="n">
        <v>42760</v>
      </c>
      <c r="I53" s="116" t="n">
        <f aca="false">H53-G53</f>
        <v>27</v>
      </c>
      <c r="J53" s="122" t="n">
        <f aca="false">TRUNC(I53/30,0)</f>
        <v>0</v>
      </c>
      <c r="K53" s="180" t="s">
        <v>95</v>
      </c>
      <c r="L53" s="166" t="n">
        <v>50</v>
      </c>
      <c r="M53" s="167"/>
      <c r="N53" s="168"/>
      <c r="O53" s="169"/>
      <c r="P53" s="169"/>
      <c r="Q53" s="170" t="n">
        <v>0.0071533</v>
      </c>
      <c r="R53" s="171"/>
      <c r="S53" s="172" t="n">
        <f aca="false">AVERAGE(0.0092,0.0075)</f>
        <v>0.00835</v>
      </c>
      <c r="T53" s="171"/>
      <c r="U53" s="172"/>
      <c r="V53" s="172"/>
      <c r="W53" s="172"/>
      <c r="X53" s="172"/>
      <c r="Y53" s="173" t="n">
        <v>0.00399</v>
      </c>
      <c r="Z53" s="172"/>
      <c r="AA53" s="172"/>
      <c r="AB53" s="174"/>
      <c r="AC53" s="174"/>
      <c r="AD53" s="175" t="n">
        <v>0.0059</v>
      </c>
      <c r="AE53" s="130" t="n">
        <f aca="false">IF(Y53="","",Y53)</f>
        <v>0.00399</v>
      </c>
      <c r="AF53" s="173"/>
      <c r="AG53" s="186"/>
      <c r="AH53" s="187"/>
      <c r="AI53" s="176"/>
      <c r="AJ53" s="116" t="str">
        <f aca="false">IF(AG53="","N","Y")</f>
        <v>N</v>
      </c>
      <c r="AK53" s="177"/>
      <c r="AL53" s="138"/>
    </row>
    <row r="54" s="140" customFormat="true" ht="23.25" hidden="false" customHeight="true" outlineLevel="0" collapsed="false">
      <c r="A54" s="116" t="n">
        <f aca="false">IF(B54="","",IF((YEAR(B54)-YEAR(B53))=0,A53+1,1))</f>
        <v>45</v>
      </c>
      <c r="B54" s="160" t="n">
        <v>42733</v>
      </c>
      <c r="C54" s="161" t="s">
        <v>100</v>
      </c>
      <c r="D54" s="161" t="s">
        <v>101</v>
      </c>
      <c r="E54" s="116"/>
      <c r="F54" s="161" t="s">
        <v>102</v>
      </c>
      <c r="G54" s="162" t="n">
        <v>42733</v>
      </c>
      <c r="H54" s="162" t="n">
        <v>42767</v>
      </c>
      <c r="I54" s="116" t="n">
        <f aca="false">H54-G54</f>
        <v>34</v>
      </c>
      <c r="J54" s="122" t="n">
        <f aca="false">TRUNC(I54/30,0)</f>
        <v>1</v>
      </c>
      <c r="K54" s="180" t="s">
        <v>95</v>
      </c>
      <c r="L54" s="166" t="n">
        <v>50</v>
      </c>
      <c r="M54" s="167"/>
      <c r="N54" s="168"/>
      <c r="O54" s="169"/>
      <c r="P54" s="169"/>
      <c r="Q54" s="170" t="n">
        <v>0.0077</v>
      </c>
      <c r="R54" s="171"/>
      <c r="S54" s="172" t="n">
        <f aca="false">AVERAGE(0.0092,0.0075)</f>
        <v>0.00835</v>
      </c>
      <c r="T54" s="171"/>
      <c r="U54" s="172"/>
      <c r="V54" s="172"/>
      <c r="W54" s="172"/>
      <c r="X54" s="172"/>
      <c r="Y54" s="173" t="n">
        <v>0.005021</v>
      </c>
      <c r="Z54" s="172"/>
      <c r="AA54" s="172"/>
      <c r="AB54" s="174"/>
      <c r="AC54" s="174"/>
      <c r="AD54" s="175" t="n">
        <v>0.0059</v>
      </c>
      <c r="AE54" s="130" t="n">
        <f aca="false">IF(Y54="","",Y54)</f>
        <v>0.005021</v>
      </c>
      <c r="AF54" s="173"/>
      <c r="AG54" s="186"/>
      <c r="AH54" s="187"/>
      <c r="AI54" s="176"/>
      <c r="AJ54" s="116" t="str">
        <f aca="false">IF(AG54="","N","Y")</f>
        <v>N</v>
      </c>
      <c r="AK54" s="177"/>
      <c r="AL54" s="138"/>
    </row>
    <row r="55" s="140" customFormat="true" ht="23.25" hidden="false" customHeight="true" outlineLevel="0" collapsed="false">
      <c r="A55" s="116" t="n">
        <f aca="false">IF(B55="","",IF((YEAR(B55)-YEAR(B54))=0,A54+1,1))</f>
        <v>46</v>
      </c>
      <c r="B55" s="160" t="n">
        <v>42734</v>
      </c>
      <c r="C55" s="161" t="s">
        <v>100</v>
      </c>
      <c r="D55" s="161" t="s">
        <v>101</v>
      </c>
      <c r="E55" s="116"/>
      <c r="F55" s="161" t="s">
        <v>102</v>
      </c>
      <c r="G55" s="162" t="n">
        <v>42734</v>
      </c>
      <c r="H55" s="162" t="n">
        <v>42774</v>
      </c>
      <c r="I55" s="116" t="n">
        <f aca="false">H55-G55</f>
        <v>40</v>
      </c>
      <c r="J55" s="122" t="n">
        <f aca="false">TRUNC(I55/30,0)</f>
        <v>1</v>
      </c>
      <c r="K55" s="180" t="s">
        <v>95</v>
      </c>
      <c r="L55" s="166" t="n">
        <v>60</v>
      </c>
      <c r="M55" s="167"/>
      <c r="N55" s="168"/>
      <c r="O55" s="169"/>
      <c r="P55" s="169"/>
      <c r="Q55" s="170" t="n">
        <v>0.0077111</v>
      </c>
      <c r="R55" s="171"/>
      <c r="S55" s="172" t="n">
        <f aca="false">AVERAGE(0.0095,0.0075)</f>
        <v>0.0085</v>
      </c>
      <c r="T55" s="171"/>
      <c r="U55" s="172"/>
      <c r="V55" s="172"/>
      <c r="W55" s="172"/>
      <c r="X55" s="172"/>
      <c r="Y55" s="173" t="n">
        <v>0.005031</v>
      </c>
      <c r="Z55" s="172"/>
      <c r="AA55" s="172"/>
      <c r="AB55" s="174"/>
      <c r="AC55" s="174"/>
      <c r="AD55" s="175" t="n">
        <v>0.0064</v>
      </c>
      <c r="AE55" s="130" t="n">
        <f aca="false">IF(Y55="","",Y55)</f>
        <v>0.005031</v>
      </c>
      <c r="AF55" s="173"/>
      <c r="AG55" s="186"/>
      <c r="AH55" s="187"/>
      <c r="AI55" s="176"/>
      <c r="AJ55" s="116" t="str">
        <f aca="false">IF(AG55="","N","Y")</f>
        <v>N</v>
      </c>
      <c r="AK55" s="177"/>
      <c r="AL55" s="138"/>
    </row>
    <row r="56" s="140" customFormat="true" ht="23.25" hidden="false" customHeight="true" outlineLevel="0" collapsed="false">
      <c r="A56" s="116" t="n">
        <f aca="false">IF(B56="","",IF((YEAR(B56)-YEAR(B55))=0,A55+1,1))</f>
        <v>47</v>
      </c>
      <c r="B56" s="160" t="n">
        <v>42734</v>
      </c>
      <c r="C56" s="161" t="s">
        <v>100</v>
      </c>
      <c r="D56" s="161" t="s">
        <v>101</v>
      </c>
      <c r="E56" s="116"/>
      <c r="F56" s="161" t="s">
        <v>102</v>
      </c>
      <c r="G56" s="162" t="n">
        <v>42734</v>
      </c>
      <c r="H56" s="162" t="n">
        <v>42781</v>
      </c>
      <c r="I56" s="116" t="n">
        <f aca="false">H56-G56</f>
        <v>47</v>
      </c>
      <c r="J56" s="122" t="n">
        <f aca="false">TRUNC(I56/30,0)</f>
        <v>1</v>
      </c>
      <c r="K56" s="180" t="s">
        <v>95</v>
      </c>
      <c r="L56" s="166" t="n">
        <v>60</v>
      </c>
      <c r="M56" s="167"/>
      <c r="N56" s="168"/>
      <c r="O56" s="169"/>
      <c r="P56" s="169"/>
      <c r="Q56" s="170" t="n">
        <v>0.0077111</v>
      </c>
      <c r="R56" s="171"/>
      <c r="S56" s="172" t="n">
        <f aca="false">AVERAGE(0.0095,0.0075)</f>
        <v>0.0085</v>
      </c>
      <c r="T56" s="171"/>
      <c r="U56" s="172"/>
      <c r="V56" s="172"/>
      <c r="W56" s="172"/>
      <c r="X56" s="172"/>
      <c r="Y56" s="173" t="n">
        <v>0.005031</v>
      </c>
      <c r="Z56" s="172"/>
      <c r="AA56" s="172"/>
      <c r="AB56" s="174"/>
      <c r="AC56" s="174"/>
      <c r="AD56" s="175" t="n">
        <v>0.0064</v>
      </c>
      <c r="AE56" s="130" t="n">
        <f aca="false">IF(Y56="","",Y56)</f>
        <v>0.005031</v>
      </c>
      <c r="AF56" s="173"/>
      <c r="AG56" s="186"/>
      <c r="AH56" s="187"/>
      <c r="AI56" s="176"/>
      <c r="AJ56" s="116" t="str">
        <f aca="false">IF(AG56="","N","Y")</f>
        <v>N</v>
      </c>
      <c r="AK56" s="177"/>
      <c r="AL56" s="138"/>
    </row>
    <row r="57" s="140" customFormat="true" ht="23.25" hidden="false" customHeight="true" outlineLevel="0" collapsed="false">
      <c r="A57" s="116" t="n">
        <f aca="false">IF(B57="","",IF((YEAR(B57)-YEAR(B56))=0,A56+1,1))</f>
        <v>1</v>
      </c>
      <c r="B57" s="160" t="n">
        <v>42737</v>
      </c>
      <c r="C57" s="161" t="s">
        <v>96</v>
      </c>
      <c r="D57" s="161" t="s">
        <v>97</v>
      </c>
      <c r="E57" s="116"/>
      <c r="F57" s="161" t="s">
        <v>98</v>
      </c>
      <c r="G57" s="162" t="n">
        <v>42737</v>
      </c>
      <c r="H57" s="162" t="n">
        <v>42766</v>
      </c>
      <c r="I57" s="116" t="n">
        <f aca="false">H57-G57</f>
        <v>29</v>
      </c>
      <c r="J57" s="122" t="n">
        <f aca="false">TRUNC(I57/30,0)</f>
        <v>0</v>
      </c>
      <c r="K57" s="181" t="s">
        <v>99</v>
      </c>
      <c r="L57" s="166" t="n">
        <v>50</v>
      </c>
      <c r="M57" s="167"/>
      <c r="N57" s="168"/>
      <c r="O57" s="169"/>
      <c r="P57" s="169"/>
      <c r="Q57" s="170"/>
      <c r="R57" s="171"/>
      <c r="S57" s="172"/>
      <c r="T57" s="171"/>
      <c r="U57" s="172"/>
      <c r="V57" s="172"/>
      <c r="W57" s="172"/>
      <c r="X57" s="172"/>
      <c r="Y57" s="173"/>
      <c r="Z57" s="172"/>
      <c r="AA57" s="172"/>
      <c r="AB57" s="174"/>
      <c r="AC57" s="174"/>
      <c r="AD57" s="175" t="n">
        <v>0.0064</v>
      </c>
      <c r="AE57" s="130" t="str">
        <f aca="false">IF(Y57="","",Y57)</f>
        <v/>
      </c>
      <c r="AF57" s="173"/>
      <c r="AG57" s="186"/>
      <c r="AH57" s="187"/>
      <c r="AI57" s="176"/>
      <c r="AJ57" s="116" t="str">
        <f aca="false">IF(AG57="","N","Y")</f>
        <v>N</v>
      </c>
      <c r="AK57" s="177"/>
      <c r="AL57" s="138"/>
    </row>
    <row r="58" s="140" customFormat="true" ht="23.25" hidden="false" customHeight="true" outlineLevel="0" collapsed="false">
      <c r="A58" s="116" t="n">
        <f aca="false">IF(B58="","",IF((YEAR(B58)-YEAR(B57))=0,A57+1,1))</f>
        <v>2</v>
      </c>
      <c r="B58" s="160" t="n">
        <v>42739</v>
      </c>
      <c r="C58" s="161" t="s">
        <v>100</v>
      </c>
      <c r="D58" s="161" t="s">
        <v>101</v>
      </c>
      <c r="E58" s="116"/>
      <c r="F58" s="161" t="s">
        <v>102</v>
      </c>
      <c r="G58" s="162" t="n">
        <v>42739</v>
      </c>
      <c r="H58" s="162" t="n">
        <v>42789</v>
      </c>
      <c r="I58" s="116" t="n">
        <f aca="false">H58-G58</f>
        <v>50</v>
      </c>
      <c r="J58" s="122" t="n">
        <f aca="false">TRUNC(I58/30,0)</f>
        <v>1</v>
      </c>
      <c r="K58" s="180" t="s">
        <v>95</v>
      </c>
      <c r="L58" s="166" t="n">
        <v>50</v>
      </c>
      <c r="M58" s="167"/>
      <c r="N58" s="168"/>
      <c r="O58" s="169"/>
      <c r="P58" s="169"/>
      <c r="Q58" s="170" t="n">
        <v>0.0077333</v>
      </c>
      <c r="R58" s="171"/>
      <c r="S58" s="172" t="n">
        <f aca="false">AVERAGE(0.011,0.0093)</f>
        <v>0.01015</v>
      </c>
      <c r="T58" s="171"/>
      <c r="U58" s="172"/>
      <c r="V58" s="172"/>
      <c r="W58" s="172"/>
      <c r="X58" s="172"/>
      <c r="Y58" s="173" t="n">
        <v>0.005053</v>
      </c>
      <c r="Z58" s="172"/>
      <c r="AA58" s="172"/>
      <c r="AB58" s="174"/>
      <c r="AC58" s="174"/>
      <c r="AD58" s="175" t="n">
        <v>0.0075</v>
      </c>
      <c r="AE58" s="130" t="n">
        <f aca="false">IF(Y58="","",Y58)</f>
        <v>0.005053</v>
      </c>
      <c r="AF58" s="173"/>
      <c r="AG58" s="186"/>
      <c r="AH58" s="187"/>
      <c r="AI58" s="176"/>
      <c r="AJ58" s="116" t="str">
        <f aca="false">IF(AG58="","N","Y")</f>
        <v>N</v>
      </c>
      <c r="AK58" s="177"/>
      <c r="AL58" s="138"/>
    </row>
    <row r="59" s="38" customFormat="true" ht="23.25" hidden="false" customHeight="true" outlineLevel="0" collapsed="false">
      <c r="A59" s="19" t="n">
        <f aca="false">IF(B59="","",IF((YEAR(B59)-YEAR(B58))=0,A58+1,1))</f>
        <v>3</v>
      </c>
      <c r="B59" s="141" t="n">
        <v>42746</v>
      </c>
      <c r="C59" s="63" t="s">
        <v>100</v>
      </c>
      <c r="D59" s="63" t="s">
        <v>101</v>
      </c>
      <c r="E59" s="19"/>
      <c r="F59" s="63" t="s">
        <v>102</v>
      </c>
      <c r="G59" s="142" t="n">
        <v>42746</v>
      </c>
      <c r="H59" s="142" t="n">
        <v>42801</v>
      </c>
      <c r="I59" s="19" t="n">
        <f aca="false">H59-G59</f>
        <v>55</v>
      </c>
      <c r="J59" s="100" t="n">
        <f aca="false">TRUNC(I59/30,0)</f>
        <v>1</v>
      </c>
      <c r="K59" s="183" t="s">
        <v>95</v>
      </c>
      <c r="L59" s="146" t="n">
        <v>60</v>
      </c>
      <c r="M59" s="147"/>
      <c r="N59" s="148"/>
      <c r="O59" s="149"/>
      <c r="P59" s="149"/>
      <c r="Q59" s="150" t="n">
        <v>0.00765</v>
      </c>
      <c r="R59" s="151"/>
      <c r="S59" s="152" t="n">
        <f aca="false">AVERAGE(0.012,0.009)</f>
        <v>0.0105</v>
      </c>
      <c r="T59" s="151"/>
      <c r="U59" s="152"/>
      <c r="V59" s="152"/>
      <c r="W59" s="152"/>
      <c r="X59" s="152"/>
      <c r="Y59" s="153" t="n">
        <v>0.004972</v>
      </c>
      <c r="Z59" s="152"/>
      <c r="AA59" s="152"/>
      <c r="AB59" s="154"/>
      <c r="AC59" s="154"/>
      <c r="AD59" s="155" t="n">
        <v>0.0075</v>
      </c>
      <c r="AE59" s="156" t="n">
        <f aca="false">IF(Y59="","",Y59)</f>
        <v>0.004972</v>
      </c>
      <c r="AF59" s="153"/>
      <c r="AG59" s="184" t="n">
        <v>0.0073</v>
      </c>
      <c r="AH59" s="185"/>
      <c r="AI59" s="35"/>
      <c r="AJ59" s="19" t="str">
        <f aca="false">IF(AG59="","N","Y")</f>
        <v>Y</v>
      </c>
      <c r="AK59" s="159"/>
      <c r="AL59" s="36"/>
    </row>
    <row r="60" s="140" customFormat="true" ht="23.25" hidden="false" customHeight="true" outlineLevel="0" collapsed="false">
      <c r="A60" s="116" t="n">
        <f aca="false">IF(B60="","",IF((YEAR(B60)-YEAR(B59))=0,A59+1,1))</f>
        <v>4</v>
      </c>
      <c r="B60" s="160" t="n">
        <v>42753</v>
      </c>
      <c r="C60" s="161" t="s">
        <v>100</v>
      </c>
      <c r="D60" s="161" t="s">
        <v>101</v>
      </c>
      <c r="E60" s="116"/>
      <c r="F60" s="161" t="s">
        <v>102</v>
      </c>
      <c r="G60" s="162" t="n">
        <v>42753</v>
      </c>
      <c r="H60" s="162" t="n">
        <v>42801</v>
      </c>
      <c r="I60" s="116" t="n">
        <f aca="false">H60-G60</f>
        <v>48</v>
      </c>
      <c r="J60" s="122" t="n">
        <f aca="false">TRUNC(I60/30,0)</f>
        <v>1</v>
      </c>
      <c r="K60" s="180" t="s">
        <v>95</v>
      </c>
      <c r="L60" s="166" t="n">
        <v>40</v>
      </c>
      <c r="M60" s="167"/>
      <c r="N60" s="168"/>
      <c r="O60" s="169"/>
      <c r="P60" s="169"/>
      <c r="Q60" s="170" t="n">
        <v>0.0076944</v>
      </c>
      <c r="R60" s="171"/>
      <c r="S60" s="172" t="n">
        <f aca="false">AVERAGE(0.011,0.009)</f>
        <v>0.01</v>
      </c>
      <c r="T60" s="171"/>
      <c r="U60" s="172"/>
      <c r="V60" s="172"/>
      <c r="W60" s="172"/>
      <c r="X60" s="172"/>
      <c r="Y60" s="173" t="n">
        <v>0.005015</v>
      </c>
      <c r="Z60" s="172"/>
      <c r="AA60" s="172"/>
      <c r="AB60" s="174"/>
      <c r="AC60" s="174"/>
      <c r="AD60" s="175" t="n">
        <v>0.0064</v>
      </c>
      <c r="AE60" s="130" t="n">
        <f aca="false">IF(Y60="","",Y60)</f>
        <v>0.005015</v>
      </c>
      <c r="AF60" s="173"/>
      <c r="AG60" s="186"/>
      <c r="AH60" s="187"/>
      <c r="AI60" s="176"/>
      <c r="AJ60" s="116" t="str">
        <f aca="false">IF(AG60="","N","Y")</f>
        <v>N</v>
      </c>
      <c r="AK60" s="177"/>
      <c r="AL60" s="138"/>
    </row>
    <row r="61" s="140" customFormat="true" ht="23.25" hidden="false" customHeight="true" outlineLevel="0" collapsed="false">
      <c r="A61" s="116" t="n">
        <f aca="false">IF(B61="","",IF((YEAR(B61)-YEAR(B60))=0,A60+1,1))</f>
        <v>5</v>
      </c>
      <c r="B61" s="160" t="n">
        <v>42753</v>
      </c>
      <c r="C61" s="161" t="s">
        <v>96</v>
      </c>
      <c r="D61" s="161" t="s">
        <v>97</v>
      </c>
      <c r="E61" s="116"/>
      <c r="F61" s="116" t="s">
        <v>112</v>
      </c>
      <c r="G61" s="162" t="n">
        <v>42753</v>
      </c>
      <c r="H61" s="162" t="n">
        <v>42784</v>
      </c>
      <c r="I61" s="116" t="n">
        <f aca="false">H61-G61</f>
        <v>31</v>
      </c>
      <c r="J61" s="122" t="n">
        <f aca="false">TRUNC(I61/30,0)</f>
        <v>1</v>
      </c>
      <c r="K61" s="181" t="s">
        <v>99</v>
      </c>
      <c r="L61" s="166" t="n">
        <v>50</v>
      </c>
      <c r="M61" s="167"/>
      <c r="N61" s="168"/>
      <c r="O61" s="169"/>
      <c r="P61" s="169"/>
      <c r="Q61" s="170" t="n">
        <v>0.0076944</v>
      </c>
      <c r="R61" s="171"/>
      <c r="S61" s="172" t="n">
        <f aca="false">AVERAGE(0.011,0.009)</f>
        <v>0.01</v>
      </c>
      <c r="T61" s="171"/>
      <c r="U61" s="172"/>
      <c r="V61" s="172"/>
      <c r="W61" s="172"/>
      <c r="X61" s="172"/>
      <c r="Y61" s="173" t="n">
        <v>0.005015</v>
      </c>
      <c r="Z61" s="172"/>
      <c r="AA61" s="172"/>
      <c r="AB61" s="174"/>
      <c r="AC61" s="174"/>
      <c r="AD61" s="175" t="n">
        <v>0.006</v>
      </c>
      <c r="AE61" s="130" t="n">
        <f aca="false">IF(Y61="","",Y61)</f>
        <v>0.005015</v>
      </c>
      <c r="AF61" s="173"/>
      <c r="AG61" s="186"/>
      <c r="AH61" s="187"/>
      <c r="AI61" s="176"/>
      <c r="AJ61" s="116" t="str">
        <f aca="false">IF(AG61="","N","Y")</f>
        <v>N</v>
      </c>
      <c r="AK61" s="177"/>
      <c r="AL61" s="138"/>
    </row>
    <row r="62" s="140" customFormat="true" ht="23.25" hidden="false" customHeight="true" outlineLevel="0" collapsed="false">
      <c r="A62" s="116" t="n">
        <f aca="false">IF(B62="","",IF((YEAR(B62)-YEAR(B61))=0,A61+1,1))</f>
        <v>6</v>
      </c>
      <c r="B62" s="160" t="n">
        <v>42759</v>
      </c>
      <c r="C62" s="161" t="s">
        <v>96</v>
      </c>
      <c r="D62" s="161" t="s">
        <v>97</v>
      </c>
      <c r="E62" s="116"/>
      <c r="F62" s="161" t="s">
        <v>98</v>
      </c>
      <c r="G62" s="162" t="n">
        <v>42759</v>
      </c>
      <c r="H62" s="162" t="n">
        <v>42790</v>
      </c>
      <c r="I62" s="116" t="n">
        <f aca="false">H62-G62</f>
        <v>31</v>
      </c>
      <c r="J62" s="122" t="n">
        <f aca="false">TRUNC(I62/30,0)</f>
        <v>1</v>
      </c>
      <c r="K62" s="181" t="s">
        <v>99</v>
      </c>
      <c r="L62" s="166" t="n">
        <v>50</v>
      </c>
      <c r="M62" s="167"/>
      <c r="N62" s="168"/>
      <c r="O62" s="169"/>
      <c r="P62" s="169"/>
      <c r="Q62" s="170" t="n">
        <v>0.0077111</v>
      </c>
      <c r="R62" s="171"/>
      <c r="S62" s="172" t="n">
        <f aca="false">AVERAGE(0.0103,0.01)</f>
        <v>0.01015</v>
      </c>
      <c r="T62" s="171"/>
      <c r="U62" s="172"/>
      <c r="V62" s="172"/>
      <c r="W62" s="172"/>
      <c r="X62" s="172"/>
      <c r="Y62" s="173" t="n">
        <v>0.005031</v>
      </c>
      <c r="Z62" s="172"/>
      <c r="AA62" s="172"/>
      <c r="AB62" s="174"/>
      <c r="AC62" s="174"/>
      <c r="AD62" s="175" t="n">
        <v>0.0064</v>
      </c>
      <c r="AE62" s="130" t="n">
        <f aca="false">IF(Y62="","",Y62)</f>
        <v>0.005031</v>
      </c>
      <c r="AF62" s="173"/>
      <c r="AG62" s="186"/>
      <c r="AH62" s="187"/>
      <c r="AI62" s="176"/>
      <c r="AJ62" s="116" t="str">
        <f aca="false">IF(AG62="","N","Y")</f>
        <v>N</v>
      </c>
      <c r="AK62" s="177"/>
      <c r="AL62" s="138"/>
    </row>
    <row r="63" s="140" customFormat="true" ht="23.25" hidden="false" customHeight="true" outlineLevel="0" collapsed="false">
      <c r="A63" s="116" t="n">
        <f aca="false">IF(B63="","",IF((YEAR(B63)-YEAR(B62))=0,A62+1,1))</f>
        <v>7</v>
      </c>
      <c r="B63" s="160" t="n">
        <v>42759</v>
      </c>
      <c r="C63" s="161" t="s">
        <v>96</v>
      </c>
      <c r="D63" s="161" t="s">
        <v>97</v>
      </c>
      <c r="E63" s="116"/>
      <c r="F63" s="161" t="s">
        <v>98</v>
      </c>
      <c r="G63" s="162" t="n">
        <v>42759</v>
      </c>
      <c r="H63" s="162" t="n">
        <v>42818</v>
      </c>
      <c r="I63" s="116" t="n">
        <f aca="false">H63-G63</f>
        <v>59</v>
      </c>
      <c r="J63" s="122" t="n">
        <f aca="false">TRUNC(I63/30,0)</f>
        <v>1</v>
      </c>
      <c r="K63" s="180" t="s">
        <v>95</v>
      </c>
      <c r="L63" s="166" t="n">
        <v>50</v>
      </c>
      <c r="M63" s="167"/>
      <c r="N63" s="168"/>
      <c r="O63" s="169"/>
      <c r="P63" s="169"/>
      <c r="Q63" s="170" t="n">
        <v>0.0084694</v>
      </c>
      <c r="R63" s="171"/>
      <c r="S63" s="172" t="n">
        <f aca="false">AVERAGE(0.012,0.011)</f>
        <v>0.0115</v>
      </c>
      <c r="T63" s="171"/>
      <c r="U63" s="172"/>
      <c r="V63" s="172"/>
      <c r="W63" s="172"/>
      <c r="X63" s="172"/>
      <c r="Y63" s="173" t="n">
        <v>0.005031</v>
      </c>
      <c r="Z63" s="172"/>
      <c r="AA63" s="172"/>
      <c r="AB63" s="174"/>
      <c r="AC63" s="174"/>
      <c r="AD63" s="175" t="n">
        <v>0.0075</v>
      </c>
      <c r="AE63" s="130" t="n">
        <f aca="false">IF(Y63="","",Y63)</f>
        <v>0.005031</v>
      </c>
      <c r="AF63" s="173"/>
      <c r="AG63" s="186"/>
      <c r="AH63" s="187"/>
      <c r="AI63" s="176"/>
      <c r="AJ63" s="116" t="str">
        <f aca="false">IF(AG63="","N","Y")</f>
        <v>N</v>
      </c>
      <c r="AK63" s="177"/>
      <c r="AL63" s="138"/>
    </row>
    <row r="64" s="140" customFormat="true" ht="23.25" hidden="false" customHeight="true" outlineLevel="0" collapsed="false">
      <c r="A64" s="116" t="n">
        <f aca="false">IF(B64="","",IF((YEAR(B64)-YEAR(B63))=0,A63+1,1))</f>
        <v>8</v>
      </c>
      <c r="B64" s="160" t="n">
        <v>42761</v>
      </c>
      <c r="C64" s="161" t="s">
        <v>96</v>
      </c>
      <c r="D64" s="161" t="s">
        <v>97</v>
      </c>
      <c r="E64" s="116"/>
      <c r="F64" s="161" t="s">
        <v>98</v>
      </c>
      <c r="G64" s="162" t="n">
        <v>42761</v>
      </c>
      <c r="H64" s="162" t="n">
        <v>42851</v>
      </c>
      <c r="I64" s="116" t="n">
        <f aca="false">H64-G64</f>
        <v>90</v>
      </c>
      <c r="J64" s="122" t="n">
        <f aca="false">TRUNC(I64/30,0)</f>
        <v>3</v>
      </c>
      <c r="K64" s="180" t="s">
        <v>95</v>
      </c>
      <c r="L64" s="166" t="n">
        <v>50</v>
      </c>
      <c r="M64" s="167"/>
      <c r="N64" s="168"/>
      <c r="O64" s="169"/>
      <c r="P64" s="169"/>
      <c r="Q64" s="170" t="n">
        <v>0.0103789</v>
      </c>
      <c r="R64" s="171"/>
      <c r="S64" s="172" t="n">
        <f aca="false">AVERAGE(0.013,0.014)</f>
        <v>0.0135</v>
      </c>
      <c r="T64" s="171"/>
      <c r="U64" s="172"/>
      <c r="V64" s="172"/>
      <c r="W64" s="172"/>
      <c r="X64" s="172"/>
      <c r="Y64" s="173" t="n">
        <v>0.008046</v>
      </c>
      <c r="Z64" s="172"/>
      <c r="AA64" s="172"/>
      <c r="AB64" s="174"/>
      <c r="AC64" s="174"/>
      <c r="AD64" s="175" t="n">
        <v>0.009</v>
      </c>
      <c r="AE64" s="130" t="n">
        <f aca="false">IF(Y64="","",Y64)</f>
        <v>0.008046</v>
      </c>
      <c r="AF64" s="173"/>
      <c r="AG64" s="186"/>
      <c r="AH64" s="187"/>
      <c r="AI64" s="176"/>
      <c r="AJ64" s="116" t="str">
        <f aca="false">IF(AG64="","N","Y")</f>
        <v>N</v>
      </c>
      <c r="AK64" s="177"/>
      <c r="AL64" s="138"/>
    </row>
    <row r="65" s="140" customFormat="true" ht="23.25" hidden="false" customHeight="true" outlineLevel="0" collapsed="false">
      <c r="A65" s="116" t="n">
        <f aca="false">IF(B65="","",IF((YEAR(B65)-YEAR(B64))=0,A64+1,1))</f>
        <v>9</v>
      </c>
      <c r="B65" s="160" t="n">
        <v>42760</v>
      </c>
      <c r="C65" s="161" t="s">
        <v>100</v>
      </c>
      <c r="D65" s="161" t="s">
        <v>101</v>
      </c>
      <c r="E65" s="116"/>
      <c r="F65" s="161" t="s">
        <v>102</v>
      </c>
      <c r="G65" s="162" t="n">
        <v>42760</v>
      </c>
      <c r="H65" s="162" t="n">
        <v>42801</v>
      </c>
      <c r="I65" s="116" t="n">
        <f aca="false">H65-G65</f>
        <v>41</v>
      </c>
      <c r="J65" s="122" t="n">
        <f aca="false">TRUNC(I65/30,0)</f>
        <v>1</v>
      </c>
      <c r="K65" s="180" t="s">
        <v>95</v>
      </c>
      <c r="L65" s="166" t="n">
        <v>50</v>
      </c>
      <c r="M65" s="167"/>
      <c r="N65" s="168"/>
      <c r="O65" s="169"/>
      <c r="P65" s="169"/>
      <c r="Q65" s="170" t="n">
        <v>0.0077333</v>
      </c>
      <c r="R65" s="171"/>
      <c r="S65" s="172" t="n">
        <f aca="false">AVERAGE(0.0103,0.01)</f>
        <v>0.01015</v>
      </c>
      <c r="T65" s="171"/>
      <c r="U65" s="172"/>
      <c r="V65" s="172"/>
      <c r="W65" s="172"/>
      <c r="X65" s="172"/>
      <c r="Y65" s="173" t="n">
        <v>0.005053</v>
      </c>
      <c r="Z65" s="172"/>
      <c r="AA65" s="172"/>
      <c r="AB65" s="174"/>
      <c r="AC65" s="174"/>
      <c r="AD65" s="175" t="n">
        <v>0.0071</v>
      </c>
      <c r="AE65" s="130" t="n">
        <f aca="false">IF(Y65="","",Y65)</f>
        <v>0.005053</v>
      </c>
      <c r="AF65" s="173"/>
      <c r="AG65" s="186"/>
      <c r="AH65" s="187"/>
      <c r="AI65" s="176"/>
      <c r="AJ65" s="116" t="str">
        <f aca="false">IF(AG65="","N","Y")</f>
        <v>N</v>
      </c>
      <c r="AK65" s="177"/>
      <c r="AL65" s="138"/>
    </row>
    <row r="66" s="38" customFormat="true" ht="23.25" hidden="false" customHeight="true" outlineLevel="0" collapsed="false">
      <c r="A66" s="19" t="n">
        <f aca="false">IF(B66="","",IF((YEAR(B66)-YEAR(B65))=0,A65+1,1))</f>
        <v>10</v>
      </c>
      <c r="B66" s="141" t="n">
        <v>42761</v>
      </c>
      <c r="C66" s="63" t="s">
        <v>96</v>
      </c>
      <c r="D66" s="63" t="s">
        <v>97</v>
      </c>
      <c r="E66" s="19"/>
      <c r="F66" s="19" t="s">
        <v>112</v>
      </c>
      <c r="G66" s="142" t="n">
        <v>42761</v>
      </c>
      <c r="H66" s="142" t="n">
        <v>42794</v>
      </c>
      <c r="I66" s="19" t="n">
        <f aca="false">H66-G66</f>
        <v>33</v>
      </c>
      <c r="J66" s="100" t="n">
        <f aca="false">TRUNC(I66/30,0)</f>
        <v>1</v>
      </c>
      <c r="K66" s="189" t="s">
        <v>99</v>
      </c>
      <c r="L66" s="146" t="n">
        <v>50</v>
      </c>
      <c r="M66" s="147"/>
      <c r="N66" s="148"/>
      <c r="O66" s="149"/>
      <c r="P66" s="149"/>
      <c r="Q66" s="150" t="n">
        <v>0.0077333</v>
      </c>
      <c r="R66" s="151"/>
      <c r="S66" s="152" t="n">
        <f aca="false">AVERAGE(0.0103,0.01)</f>
        <v>0.01015</v>
      </c>
      <c r="T66" s="151"/>
      <c r="U66" s="152"/>
      <c r="V66" s="152"/>
      <c r="W66" s="152"/>
      <c r="X66" s="152"/>
      <c r="Y66" s="153" t="n">
        <v>0.005053</v>
      </c>
      <c r="Z66" s="152"/>
      <c r="AA66" s="152"/>
      <c r="AB66" s="154"/>
      <c r="AC66" s="154"/>
      <c r="AD66" s="155" t="n">
        <v>0.006</v>
      </c>
      <c r="AE66" s="156" t="n">
        <f aca="false">IF(Y66="","",Y66)</f>
        <v>0.005053</v>
      </c>
      <c r="AF66" s="153"/>
      <c r="AG66" s="184" t="n">
        <v>0.0057</v>
      </c>
      <c r="AH66" s="185"/>
      <c r="AI66" s="35"/>
      <c r="AJ66" s="19" t="str">
        <f aca="false">IF(AG66="","N","Y")</f>
        <v>Y</v>
      </c>
      <c r="AK66" s="159"/>
      <c r="AL66" s="36"/>
    </row>
    <row r="67" s="140" customFormat="true" ht="23.25" hidden="false" customHeight="true" outlineLevel="0" collapsed="false">
      <c r="A67" s="116" t="n">
        <f aca="false">IF(B67="","",IF((YEAR(B67)-YEAR(B66))=0,A66+1,1))</f>
        <v>11</v>
      </c>
      <c r="B67" s="160" t="n">
        <v>42767</v>
      </c>
      <c r="C67" s="161" t="s">
        <v>100</v>
      </c>
      <c r="D67" s="161" t="s">
        <v>101</v>
      </c>
      <c r="E67" s="116"/>
      <c r="F67" s="161" t="s">
        <v>102</v>
      </c>
      <c r="G67" s="162" t="n">
        <v>42767</v>
      </c>
      <c r="H67" s="162" t="n">
        <v>42801</v>
      </c>
      <c r="I67" s="116" t="n">
        <f aca="false">H67-G67</f>
        <v>34</v>
      </c>
      <c r="J67" s="122" t="n">
        <f aca="false">TRUNC(I67/30,0)</f>
        <v>1</v>
      </c>
      <c r="K67" s="180" t="s">
        <v>95</v>
      </c>
      <c r="L67" s="166" t="n">
        <v>70</v>
      </c>
      <c r="M67" s="167"/>
      <c r="N67" s="168"/>
      <c r="O67" s="169"/>
      <c r="P67" s="169"/>
      <c r="Q67" s="170" t="n">
        <v>0.0077944</v>
      </c>
      <c r="R67" s="171"/>
      <c r="S67" s="172" t="n">
        <f aca="false">AVERAGE(0.008,0.0087)</f>
        <v>0.00835</v>
      </c>
      <c r="T67" s="171"/>
      <c r="U67" s="172"/>
      <c r="V67" s="172"/>
      <c r="W67" s="172"/>
      <c r="X67" s="172"/>
      <c r="Y67" s="173" t="n">
        <v>0.005113</v>
      </c>
      <c r="Z67" s="172"/>
      <c r="AA67" s="172"/>
      <c r="AB67" s="174"/>
      <c r="AC67" s="174"/>
      <c r="AD67" s="175" t="n">
        <v>0.0063</v>
      </c>
      <c r="AE67" s="130" t="n">
        <f aca="false">IF(Y67="","",Y67)</f>
        <v>0.005113</v>
      </c>
      <c r="AF67" s="173"/>
      <c r="AG67" s="186"/>
      <c r="AH67" s="187"/>
      <c r="AI67" s="176"/>
      <c r="AJ67" s="116" t="str">
        <f aca="false">IF(AG67="","N","Y")</f>
        <v>N</v>
      </c>
      <c r="AK67" s="177"/>
      <c r="AL67" s="138"/>
    </row>
    <row r="68" s="140" customFormat="true" ht="23.25" hidden="false" customHeight="true" outlineLevel="0" collapsed="false">
      <c r="A68" s="116" t="n">
        <f aca="false">IF(B68="","",IF((YEAR(B68)-YEAR(B67))=0,A67+1,1))</f>
        <v>12</v>
      </c>
      <c r="B68" s="160" t="n">
        <v>42767</v>
      </c>
      <c r="C68" s="161" t="s">
        <v>96</v>
      </c>
      <c r="D68" s="161" t="s">
        <v>97</v>
      </c>
      <c r="E68" s="116"/>
      <c r="F68" s="161" t="s">
        <v>98</v>
      </c>
      <c r="G68" s="162" t="n">
        <v>42767</v>
      </c>
      <c r="H68" s="162" t="n">
        <v>42794</v>
      </c>
      <c r="I68" s="116" t="n">
        <f aca="false">H68-G68</f>
        <v>27</v>
      </c>
      <c r="J68" s="122" t="n">
        <f aca="false">TRUNC(I68/30,0)</f>
        <v>0</v>
      </c>
      <c r="K68" s="181" t="s">
        <v>99</v>
      </c>
      <c r="L68" s="166" t="n">
        <v>50</v>
      </c>
      <c r="M68" s="167"/>
      <c r="N68" s="168"/>
      <c r="O68" s="169"/>
      <c r="P68" s="169"/>
      <c r="Q68" s="170" t="n">
        <v>0.0077944</v>
      </c>
      <c r="R68" s="171"/>
      <c r="S68" s="172" t="n">
        <f aca="false">AVERAGE(0.008,0.0085)</f>
        <v>0.00825</v>
      </c>
      <c r="T68" s="171"/>
      <c r="U68" s="172"/>
      <c r="V68" s="172"/>
      <c r="W68" s="172"/>
      <c r="X68" s="172"/>
      <c r="Y68" s="173" t="n">
        <v>0.005113</v>
      </c>
      <c r="Z68" s="172"/>
      <c r="AA68" s="172"/>
      <c r="AB68" s="174"/>
      <c r="AC68" s="174"/>
      <c r="AD68" s="175" t="n">
        <v>0.0063</v>
      </c>
      <c r="AE68" s="130" t="n">
        <f aca="false">IF(Y68="","",Y68)</f>
        <v>0.005113</v>
      </c>
      <c r="AF68" s="173"/>
      <c r="AG68" s="186"/>
      <c r="AH68" s="187"/>
      <c r="AI68" s="176"/>
      <c r="AJ68" s="116" t="str">
        <f aca="false">IF(AG68="","N","Y")</f>
        <v>N</v>
      </c>
      <c r="AK68" s="177"/>
      <c r="AL68" s="138"/>
    </row>
    <row r="69" s="140" customFormat="true" ht="23.25" hidden="false" customHeight="true" outlineLevel="0" collapsed="false">
      <c r="A69" s="116" t="n">
        <f aca="false">IF(B69="","",IF((YEAR(B69)-YEAR(B68))=0,A68+1,1))</f>
        <v>13</v>
      </c>
      <c r="B69" s="160" t="n">
        <v>42774</v>
      </c>
      <c r="C69" s="161" t="s">
        <v>100</v>
      </c>
      <c r="D69" s="161" t="s">
        <v>101</v>
      </c>
      <c r="E69" s="116"/>
      <c r="F69" s="161" t="s">
        <v>102</v>
      </c>
      <c r="G69" s="162" t="n">
        <v>42774</v>
      </c>
      <c r="H69" s="162" t="n">
        <v>42801</v>
      </c>
      <c r="I69" s="116" t="n">
        <f aca="false">H69-G69</f>
        <v>27</v>
      </c>
      <c r="J69" s="122" t="n">
        <f aca="false">TRUNC(I69/30,0)</f>
        <v>0</v>
      </c>
      <c r="K69" s="180" t="s">
        <v>95</v>
      </c>
      <c r="L69" s="166" t="n">
        <v>40</v>
      </c>
      <c r="M69" s="167"/>
      <c r="N69" s="168"/>
      <c r="O69" s="169"/>
      <c r="P69" s="169"/>
      <c r="Q69" s="170" t="n">
        <v>0.0077278</v>
      </c>
      <c r="R69" s="171"/>
      <c r="S69" s="172" t="n">
        <f aca="false">AVERAGE(0.008,0.0087)</f>
        <v>0.00835</v>
      </c>
      <c r="T69" s="171"/>
      <c r="U69" s="172"/>
      <c r="V69" s="172"/>
      <c r="W69" s="172"/>
      <c r="X69" s="172"/>
      <c r="Y69" s="173" t="n">
        <v>0.004043</v>
      </c>
      <c r="Z69" s="172"/>
      <c r="AA69" s="172"/>
      <c r="AB69" s="174"/>
      <c r="AC69" s="174"/>
      <c r="AD69" s="175" t="n">
        <v>0.007</v>
      </c>
      <c r="AE69" s="130" t="n">
        <f aca="false">IF(Y69="","",Y69)</f>
        <v>0.004043</v>
      </c>
      <c r="AF69" s="173"/>
      <c r="AG69" s="186"/>
      <c r="AH69" s="187"/>
      <c r="AI69" s="176"/>
      <c r="AJ69" s="116" t="str">
        <f aca="false">IF(AG69="","N","Y")</f>
        <v>N</v>
      </c>
      <c r="AK69" s="177"/>
      <c r="AL69" s="138"/>
    </row>
    <row r="70" s="140" customFormat="true" ht="23.25" hidden="false" customHeight="true" outlineLevel="0" collapsed="false">
      <c r="A70" s="116" t="n">
        <f aca="false">IF(B70="","",IF((YEAR(B70)-YEAR(B69))=0,A69+1,1))</f>
        <v>14</v>
      </c>
      <c r="B70" s="160" t="n">
        <v>42781</v>
      </c>
      <c r="C70" s="161" t="s">
        <v>100</v>
      </c>
      <c r="D70" s="161" t="s">
        <v>101</v>
      </c>
      <c r="E70" s="116"/>
      <c r="F70" s="161" t="s">
        <v>102</v>
      </c>
      <c r="G70" s="162" t="n">
        <v>42781</v>
      </c>
      <c r="H70" s="162" t="n">
        <v>42811</v>
      </c>
      <c r="I70" s="116" t="n">
        <f aca="false">H70-G70</f>
        <v>30</v>
      </c>
      <c r="J70" s="122" t="n">
        <f aca="false">TRUNC(I70/30,0)</f>
        <v>1</v>
      </c>
      <c r="K70" s="180" t="s">
        <v>95</v>
      </c>
      <c r="L70" s="166" t="n">
        <v>60</v>
      </c>
      <c r="M70" s="167"/>
      <c r="N70" s="168"/>
      <c r="O70" s="169"/>
      <c r="P70" s="169"/>
      <c r="Q70" s="170" t="n">
        <v>0.0077</v>
      </c>
      <c r="R70" s="171"/>
      <c r="S70" s="172" t="n">
        <f aca="false">AVERAGE(0.008,0.0095)</f>
        <v>0.00875</v>
      </c>
      <c r="T70" s="171"/>
      <c r="U70" s="172"/>
      <c r="V70" s="172"/>
      <c r="W70" s="172"/>
      <c r="X70" s="172"/>
      <c r="Y70" s="173" t="n">
        <v>0.005021</v>
      </c>
      <c r="Z70" s="172"/>
      <c r="AA70" s="172"/>
      <c r="AB70" s="174"/>
      <c r="AC70" s="174"/>
      <c r="AD70" s="175" t="n">
        <v>0.007</v>
      </c>
      <c r="AE70" s="130" t="n">
        <f aca="false">IF(Y70="","",Y70)</f>
        <v>0.005021</v>
      </c>
      <c r="AF70" s="173"/>
      <c r="AG70" s="186"/>
      <c r="AH70" s="187"/>
      <c r="AI70" s="176"/>
      <c r="AJ70" s="116" t="str">
        <f aca="false">IF(AG70="","N","Y")</f>
        <v>N</v>
      </c>
      <c r="AK70" s="177"/>
      <c r="AL70" s="138"/>
    </row>
    <row r="71" s="140" customFormat="true" ht="23.25" hidden="false" customHeight="true" outlineLevel="0" collapsed="false">
      <c r="A71" s="116" t="n">
        <f aca="false">IF(B71="","",IF((YEAR(B71)-YEAR(B70))=0,A70+1,1))</f>
        <v>15</v>
      </c>
      <c r="B71" s="160" t="n">
        <v>42789</v>
      </c>
      <c r="C71" s="161" t="s">
        <v>100</v>
      </c>
      <c r="D71" s="161" t="s">
        <v>101</v>
      </c>
      <c r="E71" s="116"/>
      <c r="F71" s="161" t="s">
        <v>102</v>
      </c>
      <c r="G71" s="162" t="n">
        <v>42789</v>
      </c>
      <c r="H71" s="162" t="n">
        <v>42801</v>
      </c>
      <c r="I71" s="116" t="n">
        <f aca="false">H71-G71</f>
        <v>12</v>
      </c>
      <c r="J71" s="122" t="n">
        <f aca="false">TRUNC(I71/30,0)</f>
        <v>0</v>
      </c>
      <c r="K71" s="180" t="s">
        <v>95</v>
      </c>
      <c r="L71" s="166" t="n">
        <v>60</v>
      </c>
      <c r="M71" s="167"/>
      <c r="N71" s="168"/>
      <c r="O71" s="169"/>
      <c r="P71" s="169"/>
      <c r="Q71" s="170" t="n">
        <v>0.0077944</v>
      </c>
      <c r="R71" s="171"/>
      <c r="S71" s="172" t="n">
        <f aca="false">AVERAGE(0.0084,0.0085)</f>
        <v>0.00845</v>
      </c>
      <c r="T71" s="171"/>
      <c r="U71" s="172"/>
      <c r="V71" s="172"/>
      <c r="W71" s="172"/>
      <c r="X71" s="172"/>
      <c r="Y71" s="173" t="n">
        <v>0.003976</v>
      </c>
      <c r="Z71" s="172"/>
      <c r="AA71" s="172"/>
      <c r="AB71" s="174"/>
      <c r="AC71" s="174"/>
      <c r="AD71" s="175" t="n">
        <v>0.007</v>
      </c>
      <c r="AE71" s="130" t="n">
        <f aca="false">IF(Y71="","",Y71)</f>
        <v>0.003976</v>
      </c>
      <c r="AF71" s="173"/>
      <c r="AG71" s="186"/>
      <c r="AH71" s="187"/>
      <c r="AI71" s="176"/>
      <c r="AJ71" s="116" t="str">
        <f aca="false">IF(AG71="","N","Y")</f>
        <v>N</v>
      </c>
      <c r="AK71" s="177"/>
      <c r="AL71" s="138"/>
    </row>
    <row r="72" s="140" customFormat="true" ht="23.25" hidden="false" customHeight="true" outlineLevel="0" collapsed="false">
      <c r="A72" s="116" t="n">
        <f aca="false">IF(B72="","",IF((YEAR(B72)-YEAR(B71))=0,A71+1,1))</f>
        <v>16</v>
      </c>
      <c r="B72" s="160" t="n">
        <v>42796</v>
      </c>
      <c r="C72" s="161" t="s">
        <v>96</v>
      </c>
      <c r="D72" s="161" t="s">
        <v>97</v>
      </c>
      <c r="E72" s="116"/>
      <c r="F72" s="161" t="s">
        <v>98</v>
      </c>
      <c r="G72" s="162" t="n">
        <v>42796</v>
      </c>
      <c r="H72" s="162" t="n">
        <v>42825</v>
      </c>
      <c r="I72" s="116" t="n">
        <f aca="false">H72-G72</f>
        <v>29</v>
      </c>
      <c r="J72" s="122" t="n">
        <f aca="false">TRUNC(I72/30,0)</f>
        <v>0</v>
      </c>
      <c r="K72" s="181" t="s">
        <v>99</v>
      </c>
      <c r="L72" s="166" t="n">
        <v>100</v>
      </c>
      <c r="M72" s="167"/>
      <c r="N72" s="168"/>
      <c r="O72" s="169"/>
      <c r="P72" s="169"/>
      <c r="Q72" s="170" t="n">
        <v>0.0081056</v>
      </c>
      <c r="R72" s="171"/>
      <c r="S72" s="172" t="n">
        <f aca="false">AVERAGE(0.0095,0.0083,0.0082)</f>
        <v>0.00866666666666667</v>
      </c>
      <c r="T72" s="171"/>
      <c r="U72" s="172"/>
      <c r="V72" s="172"/>
      <c r="W72" s="172"/>
      <c r="X72" s="172"/>
      <c r="Y72" s="173" t="n">
        <v>0.00395</v>
      </c>
      <c r="Z72" s="172"/>
      <c r="AA72" s="172"/>
      <c r="AB72" s="174"/>
      <c r="AC72" s="174"/>
      <c r="AD72" s="175" t="n">
        <v>0.0064</v>
      </c>
      <c r="AE72" s="130" t="n">
        <f aca="false">IF(Y72="","",Y72)</f>
        <v>0.00395</v>
      </c>
      <c r="AF72" s="173"/>
      <c r="AG72" s="186"/>
      <c r="AH72" s="187"/>
      <c r="AI72" s="176"/>
      <c r="AJ72" s="116" t="str">
        <f aca="false">IF(AG72="","N","Y")</f>
        <v>N</v>
      </c>
      <c r="AK72" s="177"/>
      <c r="AL72" s="138"/>
    </row>
    <row r="73" s="140" customFormat="true" ht="23.25" hidden="false" customHeight="true" outlineLevel="0" collapsed="false">
      <c r="A73" s="116" t="n">
        <f aca="false">IF(B73="","",IF((YEAR(B73)-YEAR(B72))=0,A72+1,1))</f>
        <v>17</v>
      </c>
      <c r="B73" s="160" t="n">
        <v>42807</v>
      </c>
      <c r="C73" s="161" t="s">
        <v>96</v>
      </c>
      <c r="D73" s="161" t="s">
        <v>119</v>
      </c>
      <c r="E73" s="116"/>
      <c r="F73" s="161" t="s">
        <v>98</v>
      </c>
      <c r="G73" s="162" t="n">
        <v>42807</v>
      </c>
      <c r="H73" s="162" t="n">
        <v>42814</v>
      </c>
      <c r="I73" s="116" t="n">
        <f aca="false">H73-G73</f>
        <v>7</v>
      </c>
      <c r="J73" s="122" t="n">
        <f aca="false">TRUNC(I73/30,0)</f>
        <v>0</v>
      </c>
      <c r="K73" s="180" t="s">
        <v>95</v>
      </c>
      <c r="L73" s="166" t="n">
        <v>50</v>
      </c>
      <c r="M73" s="167"/>
      <c r="N73" s="168"/>
      <c r="O73" s="169"/>
      <c r="P73" s="169"/>
      <c r="Q73" s="170" t="n">
        <v>0.0084611</v>
      </c>
      <c r="R73" s="171"/>
      <c r="S73" s="172" t="n">
        <v>0.007</v>
      </c>
      <c r="T73" s="171"/>
      <c r="U73" s="172"/>
      <c r="V73" s="172"/>
      <c r="W73" s="172"/>
      <c r="X73" s="172"/>
      <c r="Y73" s="173" t="n">
        <v>0.005206</v>
      </c>
      <c r="Z73" s="172"/>
      <c r="AA73" s="172"/>
      <c r="AB73" s="174"/>
      <c r="AC73" s="174"/>
      <c r="AD73" s="175" t="n">
        <v>0.005206</v>
      </c>
      <c r="AE73" s="130" t="n">
        <f aca="false">IF(Y73="","",Y73)</f>
        <v>0.005206</v>
      </c>
      <c r="AF73" s="173"/>
      <c r="AG73" s="186"/>
      <c r="AH73" s="187"/>
      <c r="AI73" s="176"/>
      <c r="AJ73" s="116" t="str">
        <f aca="false">IF(AG73="","N","Y")</f>
        <v>N</v>
      </c>
      <c r="AK73" s="177"/>
      <c r="AL73" s="138"/>
    </row>
    <row r="74" s="140" customFormat="true" ht="23.25" hidden="false" customHeight="true" outlineLevel="0" collapsed="false">
      <c r="A74" s="116" t="n">
        <f aca="false">IF(B74="","",IF((YEAR(B74)-YEAR(B73))=0,A73+1,1))</f>
        <v>18</v>
      </c>
      <c r="B74" s="160" t="n">
        <v>42807</v>
      </c>
      <c r="C74" s="161" t="s">
        <v>96</v>
      </c>
      <c r="D74" s="161" t="s">
        <v>119</v>
      </c>
      <c r="E74" s="116"/>
      <c r="F74" s="161" t="s">
        <v>98</v>
      </c>
      <c r="G74" s="162" t="n">
        <v>42807</v>
      </c>
      <c r="H74" s="162" t="n">
        <v>42824</v>
      </c>
      <c r="I74" s="116" t="n">
        <f aca="false">H74-G74</f>
        <v>17</v>
      </c>
      <c r="J74" s="122" t="n">
        <f aca="false">TRUNC(I74/30,0)</f>
        <v>0</v>
      </c>
      <c r="K74" s="181" t="s">
        <v>99</v>
      </c>
      <c r="L74" s="166" t="n">
        <v>60</v>
      </c>
      <c r="M74" s="167"/>
      <c r="N74" s="168"/>
      <c r="O74" s="169"/>
      <c r="P74" s="169"/>
      <c r="Q74" s="170" t="n">
        <v>0.0084611</v>
      </c>
      <c r="R74" s="171"/>
      <c r="S74" s="172" t="n">
        <v>0.007</v>
      </c>
      <c r="T74" s="171"/>
      <c r="U74" s="172"/>
      <c r="V74" s="172"/>
      <c r="W74" s="172"/>
      <c r="X74" s="172"/>
      <c r="Y74" s="173" t="n">
        <v>0.005206</v>
      </c>
      <c r="Z74" s="172"/>
      <c r="AA74" s="172"/>
      <c r="AB74" s="174"/>
      <c r="AC74" s="174"/>
      <c r="AD74" s="175" t="n">
        <v>0.0062</v>
      </c>
      <c r="AE74" s="130" t="n">
        <f aca="false">IF(Y74="","",Y74)</f>
        <v>0.005206</v>
      </c>
      <c r="AF74" s="173"/>
      <c r="AG74" s="186"/>
      <c r="AH74" s="187"/>
      <c r="AI74" s="176"/>
      <c r="AJ74" s="116" t="str">
        <f aca="false">IF(AG74="","N","Y")</f>
        <v>N</v>
      </c>
      <c r="AK74" s="177"/>
      <c r="AL74" s="138"/>
    </row>
    <row r="75" s="38" customFormat="true" ht="23.25" hidden="false" customHeight="true" outlineLevel="0" collapsed="false">
      <c r="A75" s="19" t="n">
        <f aca="false">IF(B75="","",IF((YEAR(B75)-YEAR(B74))=0,A74+1,1))</f>
        <v>19</v>
      </c>
      <c r="B75" s="141" t="n">
        <v>42807</v>
      </c>
      <c r="C75" s="63" t="s">
        <v>92</v>
      </c>
      <c r="D75" s="63" t="s">
        <v>120</v>
      </c>
      <c r="E75" s="19"/>
      <c r="F75" s="63" t="s">
        <v>121</v>
      </c>
      <c r="G75" s="142" t="n">
        <v>42807</v>
      </c>
      <c r="H75" s="142" t="n">
        <v>42870</v>
      </c>
      <c r="I75" s="19" t="n">
        <f aca="false">H75-G75</f>
        <v>63</v>
      </c>
      <c r="J75" s="100" t="n">
        <f aca="false">TRUNC(I75/30,0)</f>
        <v>2</v>
      </c>
      <c r="K75" s="183" t="s">
        <v>95</v>
      </c>
      <c r="L75" s="146" t="n">
        <v>1</v>
      </c>
      <c r="M75" s="147"/>
      <c r="N75" s="148"/>
      <c r="O75" s="149"/>
      <c r="P75" s="149"/>
      <c r="Q75" s="150" t="n">
        <v>0.006202</v>
      </c>
      <c r="R75" s="151"/>
      <c r="S75" s="152" t="n">
        <f aca="false">AVERAGE(0.0109,0.0125)</f>
        <v>0.0117</v>
      </c>
      <c r="T75" s="151"/>
      <c r="U75" s="152"/>
      <c r="V75" s="152"/>
      <c r="W75" s="152"/>
      <c r="X75" s="152"/>
      <c r="Y75" s="153" t="n">
        <v>0.006202</v>
      </c>
      <c r="Z75" s="152"/>
      <c r="AA75" s="152"/>
      <c r="AB75" s="154"/>
      <c r="AC75" s="154"/>
      <c r="AD75" s="155" t="n">
        <v>0.0068</v>
      </c>
      <c r="AE75" s="156" t="n">
        <f aca="false">IF(Y75="","",Y75)</f>
        <v>0.006202</v>
      </c>
      <c r="AF75" s="153"/>
      <c r="AG75" s="184" t="n">
        <v>0.0068</v>
      </c>
      <c r="AH75" s="185"/>
      <c r="AI75" s="35"/>
      <c r="AJ75" s="19" t="str">
        <f aca="false">IF(AG75="","N","Y")</f>
        <v>Y</v>
      </c>
      <c r="AK75" s="159"/>
      <c r="AL75" s="36"/>
      <c r="AM75" s="9"/>
    </row>
    <row r="76" s="140" customFormat="true" ht="23.25" hidden="false" customHeight="true" outlineLevel="0" collapsed="false">
      <c r="A76" s="116" t="n">
        <f aca="false">IF(B76="","",IF((YEAR(B76)-YEAR(B75))=0,A75+1,1))</f>
        <v>20</v>
      </c>
      <c r="B76" s="160" t="n">
        <v>42811</v>
      </c>
      <c r="C76" s="161" t="s">
        <v>100</v>
      </c>
      <c r="D76" s="161" t="s">
        <v>101</v>
      </c>
      <c r="E76" s="116"/>
      <c r="F76" s="161" t="s">
        <v>102</v>
      </c>
      <c r="G76" s="162" t="n">
        <v>42811</v>
      </c>
      <c r="H76" s="162" t="n">
        <v>42829</v>
      </c>
      <c r="I76" s="116" t="n">
        <f aca="false">H76-G76</f>
        <v>18</v>
      </c>
      <c r="J76" s="122" t="n">
        <f aca="false">TRUNC(I76/30,0)</f>
        <v>0</v>
      </c>
      <c r="K76" s="180" t="s">
        <v>95</v>
      </c>
      <c r="L76" s="166" t="n">
        <v>60</v>
      </c>
      <c r="M76" s="167"/>
      <c r="N76" s="168"/>
      <c r="O76" s="169"/>
      <c r="P76" s="169"/>
      <c r="Q76" s="170" t="n">
        <v>0.0094567</v>
      </c>
      <c r="R76" s="171"/>
      <c r="S76" s="172" t="n">
        <f aca="false">AVERAGE(0.0094,0.01)</f>
        <v>0.0097</v>
      </c>
      <c r="T76" s="171"/>
      <c r="U76" s="172"/>
      <c r="V76" s="172"/>
      <c r="W76" s="172"/>
      <c r="X76" s="172"/>
      <c r="Y76" s="173" t="n">
        <v>0.006132</v>
      </c>
      <c r="Z76" s="172"/>
      <c r="AA76" s="172"/>
      <c r="AB76" s="174"/>
      <c r="AC76" s="174"/>
      <c r="AD76" s="175" t="n">
        <v>0.0074</v>
      </c>
      <c r="AE76" s="130" t="n">
        <f aca="false">IF(Y76="","",Y76)</f>
        <v>0.006132</v>
      </c>
      <c r="AF76" s="173"/>
      <c r="AG76" s="186"/>
      <c r="AH76" s="187"/>
      <c r="AI76" s="176"/>
      <c r="AJ76" s="116" t="str">
        <f aca="false">IF(AG76="","N","Y")</f>
        <v>N</v>
      </c>
      <c r="AK76" s="177"/>
      <c r="AL76" s="138"/>
      <c r="AM76" s="139"/>
    </row>
    <row r="77" s="140" customFormat="true" ht="23.25" hidden="false" customHeight="true" outlineLevel="0" collapsed="false">
      <c r="A77" s="116" t="n">
        <f aca="false">IF(B77="","",IF((YEAR(B77)-YEAR(B76))=0,A76+1,1))</f>
        <v>21</v>
      </c>
      <c r="B77" s="160" t="n">
        <v>42814</v>
      </c>
      <c r="C77" s="161" t="s">
        <v>96</v>
      </c>
      <c r="D77" s="161" t="s">
        <v>97</v>
      </c>
      <c r="E77" s="116"/>
      <c r="F77" s="161" t="s">
        <v>98</v>
      </c>
      <c r="G77" s="162" t="n">
        <v>42814</v>
      </c>
      <c r="H77" s="162" t="n">
        <v>42821</v>
      </c>
      <c r="I77" s="116" t="n">
        <f aca="false">H77-G77</f>
        <v>7</v>
      </c>
      <c r="J77" s="122" t="n">
        <f aca="false">TRUNC(I77/30,0)</f>
        <v>0</v>
      </c>
      <c r="K77" s="180" t="s">
        <v>95</v>
      </c>
      <c r="L77" s="166"/>
      <c r="M77" s="167"/>
      <c r="N77" s="168"/>
      <c r="O77" s="169"/>
      <c r="P77" s="169"/>
      <c r="Q77" s="170" t="n">
        <v>0.0094611</v>
      </c>
      <c r="R77" s="171"/>
      <c r="S77" s="172" t="n">
        <v>0.0094</v>
      </c>
      <c r="T77" s="171"/>
      <c r="U77" s="172"/>
      <c r="V77" s="172"/>
      <c r="W77" s="172"/>
      <c r="X77" s="172"/>
      <c r="Y77" s="173" t="n">
        <v>0.006136</v>
      </c>
      <c r="Z77" s="172"/>
      <c r="AA77" s="172"/>
      <c r="AB77" s="174"/>
      <c r="AC77" s="174"/>
      <c r="AD77" s="175" t="n">
        <v>0.0052</v>
      </c>
      <c r="AE77" s="130" t="n">
        <f aca="false">IF(Y77="","",Y77)</f>
        <v>0.006136</v>
      </c>
      <c r="AF77" s="173"/>
      <c r="AG77" s="186"/>
      <c r="AH77" s="187"/>
      <c r="AI77" s="176"/>
      <c r="AJ77" s="116" t="str">
        <f aca="false">IF(AG77="","N","Y")</f>
        <v>N</v>
      </c>
      <c r="AK77" s="177"/>
      <c r="AL77" s="138"/>
    </row>
    <row r="78" s="38" customFormat="true" ht="23.25" hidden="false" customHeight="true" outlineLevel="0" collapsed="false">
      <c r="A78" s="19" t="n">
        <f aca="false">IF(B78="","",IF((YEAR(B78)-YEAR(B77))=0,A77+1,1))</f>
        <v>22</v>
      </c>
      <c r="B78" s="141" t="n">
        <v>42816</v>
      </c>
      <c r="C78" s="63" t="s">
        <v>96</v>
      </c>
      <c r="D78" s="63" t="s">
        <v>97</v>
      </c>
      <c r="E78" s="19"/>
      <c r="F78" s="19" t="s">
        <v>112</v>
      </c>
      <c r="G78" s="142" t="n">
        <v>42816</v>
      </c>
      <c r="H78" s="142" t="n">
        <v>42846</v>
      </c>
      <c r="I78" s="19" t="n">
        <f aca="false">H78-G78</f>
        <v>30</v>
      </c>
      <c r="J78" s="100" t="n">
        <f aca="false">TRUNC(I78/30,0)</f>
        <v>1</v>
      </c>
      <c r="K78" s="189" t="s">
        <v>99</v>
      </c>
      <c r="L78" s="146" t="n">
        <v>100</v>
      </c>
      <c r="M78" s="147"/>
      <c r="N78" s="148"/>
      <c r="O78" s="149"/>
      <c r="P78" s="149"/>
      <c r="Q78" s="150" t="n">
        <v>0.0092533</v>
      </c>
      <c r="R78" s="151"/>
      <c r="S78" s="152" t="n">
        <v>0.0094</v>
      </c>
      <c r="T78" s="151"/>
      <c r="U78" s="152"/>
      <c r="V78" s="152"/>
      <c r="W78" s="152"/>
      <c r="X78" s="152"/>
      <c r="Y78" s="153" t="n">
        <v>0.005536</v>
      </c>
      <c r="Z78" s="152"/>
      <c r="AA78" s="152"/>
      <c r="AB78" s="154"/>
      <c r="AC78" s="154"/>
      <c r="AD78" s="155" t="n">
        <v>0.0065</v>
      </c>
      <c r="AE78" s="156" t="n">
        <f aca="false">IF(Y78="","",Y78)</f>
        <v>0.005536</v>
      </c>
      <c r="AF78" s="153"/>
      <c r="AG78" s="184" t="n">
        <v>0.0065</v>
      </c>
      <c r="AH78" s="185"/>
      <c r="AI78" s="35"/>
      <c r="AJ78" s="19" t="str">
        <f aca="false">IF(AG78="","N","Y")</f>
        <v>Y</v>
      </c>
      <c r="AK78" s="159"/>
      <c r="AL78" s="36"/>
    </row>
    <row r="79" s="140" customFormat="true" ht="23.25" hidden="false" customHeight="true" outlineLevel="0" collapsed="false">
      <c r="A79" s="116" t="n">
        <f aca="false">IF(B79="","",IF((YEAR(B79)-YEAR(B78))=0,A78+1,1))</f>
        <v>23</v>
      </c>
      <c r="B79" s="160" t="n">
        <v>42818</v>
      </c>
      <c r="C79" s="161" t="s">
        <v>96</v>
      </c>
      <c r="D79" s="161" t="s">
        <v>97</v>
      </c>
      <c r="E79" s="116"/>
      <c r="F79" s="161" t="s">
        <v>98</v>
      </c>
      <c r="G79" s="162" t="n">
        <v>42818</v>
      </c>
      <c r="H79" s="162" t="n">
        <v>42912</v>
      </c>
      <c r="I79" s="116" t="n">
        <f aca="false">H79-G79</f>
        <v>94</v>
      </c>
      <c r="J79" s="122" t="n">
        <f aca="false">TRUNC(I79/30,0)</f>
        <v>3</v>
      </c>
      <c r="K79" s="180" t="s">
        <v>95</v>
      </c>
      <c r="L79" s="166" t="n">
        <v>50</v>
      </c>
      <c r="M79" s="167"/>
      <c r="N79" s="168"/>
      <c r="O79" s="169"/>
      <c r="P79" s="169"/>
      <c r="Q79" s="170" t="n">
        <v>0.0115289</v>
      </c>
      <c r="R79" s="171"/>
      <c r="S79" s="172" t="n">
        <f aca="false">AVERAGE(0.011,0.0145,0.012)</f>
        <v>0.0125</v>
      </c>
      <c r="T79" s="171"/>
      <c r="U79" s="172"/>
      <c r="V79" s="172"/>
      <c r="W79" s="172"/>
      <c r="X79" s="172"/>
      <c r="Y79" s="173" t="n">
        <v>0.009173</v>
      </c>
      <c r="Z79" s="172"/>
      <c r="AA79" s="172"/>
      <c r="AB79" s="174"/>
      <c r="AC79" s="174"/>
      <c r="AD79" s="175" t="n">
        <v>0.01</v>
      </c>
      <c r="AE79" s="130" t="n">
        <f aca="false">IF(Y79="","",Y79)</f>
        <v>0.009173</v>
      </c>
      <c r="AF79" s="173"/>
      <c r="AG79" s="186"/>
      <c r="AH79" s="187"/>
      <c r="AI79" s="176"/>
      <c r="AJ79" s="116" t="str">
        <f aca="false">IF(AG79="","N","Y")</f>
        <v>N</v>
      </c>
      <c r="AK79" s="177"/>
      <c r="AL79" s="138"/>
    </row>
    <row r="80" s="140" customFormat="true" ht="23.25" hidden="false" customHeight="true" outlineLevel="0" collapsed="false">
      <c r="A80" s="116" t="n">
        <f aca="false">IF(B80="","",IF((YEAR(B80)-YEAR(B79))=0,A79+1,1))</f>
        <v>24</v>
      </c>
      <c r="B80" s="160" t="n">
        <v>42818</v>
      </c>
      <c r="C80" s="161" t="s">
        <v>96</v>
      </c>
      <c r="D80" s="161" t="s">
        <v>97</v>
      </c>
      <c r="E80" s="116"/>
      <c r="F80" s="161" t="s">
        <v>98</v>
      </c>
      <c r="G80" s="162" t="n">
        <v>42818</v>
      </c>
      <c r="H80" s="162" t="n">
        <v>42849</v>
      </c>
      <c r="I80" s="116" t="n">
        <f aca="false">H80-G80</f>
        <v>31</v>
      </c>
      <c r="J80" s="122" t="n">
        <f aca="false">TRUNC(I80/30,0)</f>
        <v>1</v>
      </c>
      <c r="K80" s="181" t="s">
        <v>99</v>
      </c>
      <c r="L80" s="166" t="n">
        <v>50</v>
      </c>
      <c r="M80" s="167"/>
      <c r="N80" s="168"/>
      <c r="O80" s="169"/>
      <c r="P80" s="169"/>
      <c r="Q80" s="170" t="n">
        <v>0.0092611</v>
      </c>
      <c r="R80" s="171"/>
      <c r="S80" s="172" t="n">
        <v>0.0094</v>
      </c>
      <c r="T80" s="171"/>
      <c r="U80" s="172"/>
      <c r="V80" s="172"/>
      <c r="W80" s="172"/>
      <c r="X80" s="172"/>
      <c r="Y80" s="173" t="n">
        <v>0.005515</v>
      </c>
      <c r="Z80" s="172"/>
      <c r="AA80" s="172"/>
      <c r="AB80" s="174"/>
      <c r="AC80" s="174"/>
      <c r="AD80" s="175" t="n">
        <v>0.0065</v>
      </c>
      <c r="AE80" s="130" t="n">
        <f aca="false">IF(Y80="","",Y80)</f>
        <v>0.005515</v>
      </c>
      <c r="AF80" s="173"/>
      <c r="AG80" s="186"/>
      <c r="AH80" s="187"/>
      <c r="AI80" s="176"/>
      <c r="AJ80" s="116" t="str">
        <f aca="false">IF(AG80="","N","Y")</f>
        <v>N</v>
      </c>
      <c r="AK80" s="177"/>
      <c r="AL80" s="138"/>
    </row>
    <row r="81" s="140" customFormat="true" ht="23.25" hidden="false" customHeight="true" outlineLevel="0" collapsed="false">
      <c r="A81" s="116" t="n">
        <f aca="false">IF(B81="","",IF((YEAR(B81)-YEAR(B80))=0,A80+1,1))</f>
        <v>25</v>
      </c>
      <c r="B81" s="160" t="n">
        <v>42822</v>
      </c>
      <c r="C81" s="161" t="s">
        <v>100</v>
      </c>
      <c r="D81" s="161" t="s">
        <v>101</v>
      </c>
      <c r="E81" s="116"/>
      <c r="F81" s="161" t="s">
        <v>102</v>
      </c>
      <c r="G81" s="162" t="n">
        <v>42822</v>
      </c>
      <c r="H81" s="162" t="n">
        <v>42828</v>
      </c>
      <c r="I81" s="116" t="n">
        <f aca="false">H81-G81</f>
        <v>6</v>
      </c>
      <c r="J81" s="122" t="n">
        <f aca="false">TRUNC(I81/30,0)</f>
        <v>0</v>
      </c>
      <c r="K81" s="180" t="s">
        <v>95</v>
      </c>
      <c r="L81" s="166" t="n">
        <v>200</v>
      </c>
      <c r="M81" s="167"/>
      <c r="N81" s="168"/>
      <c r="O81" s="169"/>
      <c r="P81" s="169"/>
      <c r="Q81" s="170" t="n">
        <v>0.0094389</v>
      </c>
      <c r="R81" s="171"/>
      <c r="S81" s="172" t="n">
        <v>0.0095</v>
      </c>
      <c r="T81" s="171"/>
      <c r="U81" s="172"/>
      <c r="V81" s="172"/>
      <c r="W81" s="172"/>
      <c r="X81" s="172"/>
      <c r="Y81" s="173" t="n">
        <v>0.005515</v>
      </c>
      <c r="Z81" s="172"/>
      <c r="AA81" s="172"/>
      <c r="AB81" s="174"/>
      <c r="AC81" s="174"/>
      <c r="AD81" s="175" t="n">
        <v>0.0074</v>
      </c>
      <c r="AE81" s="130" t="n">
        <f aca="false">IF(Y81="","",Y81)</f>
        <v>0.005515</v>
      </c>
      <c r="AF81" s="173"/>
      <c r="AG81" s="186"/>
      <c r="AH81" s="187"/>
      <c r="AI81" s="176"/>
      <c r="AJ81" s="116" t="str">
        <f aca="false">IF(AG81="","N","Y")</f>
        <v>N</v>
      </c>
      <c r="AK81" s="177"/>
      <c r="AL81" s="138"/>
      <c r="AM81" s="190"/>
    </row>
    <row r="82" s="140" customFormat="true" ht="23.25" hidden="false" customHeight="true" outlineLevel="0" collapsed="false">
      <c r="A82" s="116" t="n">
        <f aca="false">IF(B82="","",IF((YEAR(B82)-YEAR(B81))=0,A81+1,1))</f>
        <v>26</v>
      </c>
      <c r="B82" s="160" t="n">
        <v>42822</v>
      </c>
      <c r="C82" s="161" t="s">
        <v>100</v>
      </c>
      <c r="D82" s="161" t="s">
        <v>101</v>
      </c>
      <c r="E82" s="116"/>
      <c r="F82" s="161" t="s">
        <v>102</v>
      </c>
      <c r="G82" s="162" t="n">
        <v>42822</v>
      </c>
      <c r="H82" s="162" t="n">
        <v>42843</v>
      </c>
      <c r="I82" s="116" t="n">
        <f aca="false">H82-G82</f>
        <v>21</v>
      </c>
      <c r="J82" s="122" t="n">
        <f aca="false">TRUNC(I82/30,0)</f>
        <v>0</v>
      </c>
      <c r="K82" s="180" t="s">
        <v>95</v>
      </c>
      <c r="L82" s="166" t="n">
        <v>50</v>
      </c>
      <c r="M82" s="167"/>
      <c r="N82" s="168"/>
      <c r="O82" s="169"/>
      <c r="P82" s="169"/>
      <c r="Q82" s="170" t="n">
        <v>0.0094389</v>
      </c>
      <c r="R82" s="171"/>
      <c r="S82" s="172" t="n">
        <f aca="false">AVERAGE(0.0102,0.0105)</f>
        <v>0.01035</v>
      </c>
      <c r="T82" s="171"/>
      <c r="U82" s="172"/>
      <c r="V82" s="172"/>
      <c r="W82" s="172"/>
      <c r="X82" s="172"/>
      <c r="Y82" s="173" t="n">
        <v>0.006115</v>
      </c>
      <c r="Z82" s="172"/>
      <c r="AA82" s="172"/>
      <c r="AB82" s="174"/>
      <c r="AC82" s="174"/>
      <c r="AD82" s="175" t="n">
        <v>0.008</v>
      </c>
      <c r="AE82" s="130" t="n">
        <f aca="false">IF(Y82="","",Y82)</f>
        <v>0.006115</v>
      </c>
      <c r="AF82" s="173"/>
      <c r="AG82" s="186"/>
      <c r="AH82" s="187"/>
      <c r="AI82" s="176"/>
      <c r="AJ82" s="116" t="str">
        <f aca="false">IF(AG82="","N","Y")</f>
        <v>N</v>
      </c>
      <c r="AK82" s="177"/>
      <c r="AL82" s="138"/>
    </row>
    <row r="83" s="140" customFormat="true" ht="23.25" hidden="false" customHeight="true" outlineLevel="0" collapsed="false">
      <c r="A83" s="116" t="n">
        <f aca="false">IF(B83="","",IF((YEAR(B83)-YEAR(B82))=0,A82+1,1))</f>
        <v>27</v>
      </c>
      <c r="B83" s="160" t="n">
        <v>42822</v>
      </c>
      <c r="C83" s="161" t="s">
        <v>100</v>
      </c>
      <c r="D83" s="161" t="s">
        <v>101</v>
      </c>
      <c r="E83" s="116"/>
      <c r="F83" s="161" t="s">
        <v>102</v>
      </c>
      <c r="G83" s="162" t="n">
        <v>42822</v>
      </c>
      <c r="H83" s="162" t="n">
        <v>42865</v>
      </c>
      <c r="I83" s="116" t="n">
        <f aca="false">H83-G83</f>
        <v>43</v>
      </c>
      <c r="J83" s="122" t="n">
        <f aca="false">TRUNC(I83/30,0)</f>
        <v>1</v>
      </c>
      <c r="K83" s="180" t="s">
        <v>95</v>
      </c>
      <c r="L83" s="166" t="n">
        <v>100</v>
      </c>
      <c r="M83" s="167"/>
      <c r="N83" s="168"/>
      <c r="O83" s="169"/>
      <c r="P83" s="169"/>
      <c r="Q83" s="170" t="n">
        <v>0.0098278</v>
      </c>
      <c r="R83" s="171"/>
      <c r="S83" s="172" t="n">
        <f aca="false">AVERAGE(0.0111,0.012)</f>
        <v>0.01155</v>
      </c>
      <c r="T83" s="171"/>
      <c r="U83" s="172"/>
      <c r="V83" s="172"/>
      <c r="W83" s="172"/>
      <c r="X83" s="172"/>
      <c r="Y83" s="173" t="n">
        <v>0.007106</v>
      </c>
      <c r="Z83" s="172"/>
      <c r="AA83" s="172"/>
      <c r="AB83" s="174"/>
      <c r="AC83" s="174"/>
      <c r="AD83" s="175" t="n">
        <v>0.009</v>
      </c>
      <c r="AE83" s="130" t="n">
        <f aca="false">IF(Y83="","",Y83)</f>
        <v>0.007106</v>
      </c>
      <c r="AF83" s="173"/>
      <c r="AG83" s="186"/>
      <c r="AH83" s="187"/>
      <c r="AI83" s="176"/>
      <c r="AJ83" s="116" t="str">
        <f aca="false">IF(AG83="","N","Y")</f>
        <v>N</v>
      </c>
      <c r="AK83" s="177"/>
      <c r="AL83" s="138"/>
    </row>
    <row r="84" s="140" customFormat="true" ht="23.25" hidden="false" customHeight="true" outlineLevel="0" collapsed="false">
      <c r="A84" s="116" t="n">
        <f aca="false">IF(B84="","",IF((YEAR(B84)-YEAR(B83))=0,A83+1,1))</f>
        <v>28</v>
      </c>
      <c r="B84" s="160" t="n">
        <v>42822</v>
      </c>
      <c r="C84" s="161" t="s">
        <v>100</v>
      </c>
      <c r="D84" s="161" t="s">
        <v>101</v>
      </c>
      <c r="E84" s="116"/>
      <c r="F84" s="161" t="s">
        <v>102</v>
      </c>
      <c r="G84" s="162" t="n">
        <v>42822</v>
      </c>
      <c r="H84" s="162" t="n">
        <v>42893</v>
      </c>
      <c r="I84" s="116" t="n">
        <f aca="false">H84-G84</f>
        <v>71</v>
      </c>
      <c r="J84" s="122" t="n">
        <f aca="false">TRUNC(I84/30,0)</f>
        <v>2</v>
      </c>
      <c r="K84" s="180" t="s">
        <v>95</v>
      </c>
      <c r="L84" s="166" t="n">
        <v>100</v>
      </c>
      <c r="M84" s="167"/>
      <c r="N84" s="168"/>
      <c r="O84" s="169"/>
      <c r="P84" s="169"/>
      <c r="Q84" s="170" t="n">
        <v>0.0102278</v>
      </c>
      <c r="R84" s="171"/>
      <c r="S84" s="172" t="n">
        <f aca="false">AVERAGE(0.0114,0.012,0.0119)</f>
        <v>0.0117666666666667</v>
      </c>
      <c r="T84" s="171"/>
      <c r="U84" s="172"/>
      <c r="V84" s="172"/>
      <c r="W84" s="172"/>
      <c r="X84" s="172"/>
      <c r="Y84" s="173" t="n">
        <v>0.007106</v>
      </c>
      <c r="Z84" s="172"/>
      <c r="AA84" s="172"/>
      <c r="AB84" s="174"/>
      <c r="AC84" s="174"/>
      <c r="AD84" s="175" t="n">
        <v>0.0095</v>
      </c>
      <c r="AE84" s="130" t="n">
        <f aca="false">IF(Y84="","",Y84)</f>
        <v>0.007106</v>
      </c>
      <c r="AF84" s="173"/>
      <c r="AG84" s="186"/>
      <c r="AH84" s="187"/>
      <c r="AI84" s="176"/>
      <c r="AJ84" s="116" t="str">
        <f aca="false">IF(AG84="","N","Y")</f>
        <v>N</v>
      </c>
      <c r="AK84" s="177"/>
      <c r="AL84" s="138"/>
    </row>
    <row r="85" s="140" customFormat="true" ht="23.25" hidden="false" customHeight="true" outlineLevel="0" collapsed="false">
      <c r="A85" s="116" t="n">
        <f aca="false">IF(B85="","",IF((YEAR(B85)-YEAR(B84))=0,A84+1,1))</f>
        <v>29</v>
      </c>
      <c r="B85" s="160" t="n">
        <v>42822</v>
      </c>
      <c r="C85" s="161" t="s">
        <v>100</v>
      </c>
      <c r="D85" s="161" t="s">
        <v>101</v>
      </c>
      <c r="E85" s="116"/>
      <c r="F85" s="161" t="s">
        <v>102</v>
      </c>
      <c r="G85" s="162" t="n">
        <v>42822</v>
      </c>
      <c r="H85" s="162" t="n">
        <v>42920</v>
      </c>
      <c r="I85" s="116" t="n">
        <f aca="false">H85-G85</f>
        <v>98</v>
      </c>
      <c r="J85" s="122" t="n">
        <f aca="false">TRUNC(I85/30,0)</f>
        <v>3</v>
      </c>
      <c r="K85" s="180" t="s">
        <v>95</v>
      </c>
      <c r="L85" s="166" t="n">
        <v>200</v>
      </c>
      <c r="M85" s="167"/>
      <c r="N85" s="168"/>
      <c r="O85" s="169"/>
      <c r="P85" s="169"/>
      <c r="Q85" s="170" t="n">
        <v>0.0115128</v>
      </c>
      <c r="R85" s="171"/>
      <c r="S85" s="172" t="n">
        <f aca="false">AVERAGE(0.012,0.0119,0.012)</f>
        <v>0.0119666666666667</v>
      </c>
      <c r="T85" s="171"/>
      <c r="U85" s="172"/>
      <c r="V85" s="172"/>
      <c r="W85" s="172"/>
      <c r="X85" s="172"/>
      <c r="Y85" s="173" t="n">
        <v>0.009157</v>
      </c>
      <c r="Z85" s="172"/>
      <c r="AA85" s="172"/>
      <c r="AB85" s="174"/>
      <c r="AC85" s="174"/>
      <c r="AD85" s="175" t="n">
        <v>0.01</v>
      </c>
      <c r="AE85" s="130" t="n">
        <f aca="false">IF(Y85="","",Y85)</f>
        <v>0.009157</v>
      </c>
      <c r="AF85" s="173"/>
      <c r="AG85" s="186"/>
      <c r="AH85" s="187"/>
      <c r="AI85" s="176"/>
      <c r="AJ85" s="116" t="str">
        <f aca="false">IF(AG85="","N","Y")</f>
        <v>N</v>
      </c>
      <c r="AK85" s="177"/>
      <c r="AL85" s="138"/>
    </row>
    <row r="86" s="140" customFormat="true" ht="23.25" hidden="false" customHeight="true" outlineLevel="0" collapsed="false">
      <c r="A86" s="116" t="n">
        <f aca="false">IF(B86="","",IF((YEAR(B86)-YEAR(B85))=0,A85+1,1))</f>
        <v>30</v>
      </c>
      <c r="B86" s="160" t="n">
        <v>42821</v>
      </c>
      <c r="C86" s="161" t="s">
        <v>96</v>
      </c>
      <c r="D86" s="161" t="s">
        <v>97</v>
      </c>
      <c r="E86" s="116"/>
      <c r="F86" s="161" t="s">
        <v>98</v>
      </c>
      <c r="G86" s="162" t="n">
        <v>42821</v>
      </c>
      <c r="H86" s="162" t="n">
        <v>42852</v>
      </c>
      <c r="I86" s="116" t="n">
        <f aca="false">H86-G86</f>
        <v>31</v>
      </c>
      <c r="J86" s="122" t="n">
        <f aca="false">TRUNC(I86/30,0)</f>
        <v>1</v>
      </c>
      <c r="K86" s="181" t="s">
        <v>99</v>
      </c>
      <c r="L86" s="166" t="n">
        <v>70</v>
      </c>
      <c r="M86" s="167"/>
      <c r="N86" s="168"/>
      <c r="O86" s="169"/>
      <c r="P86" s="169"/>
      <c r="Q86" s="170" t="n">
        <v>0.0092667</v>
      </c>
      <c r="R86" s="171"/>
      <c r="S86" s="172" t="n">
        <f aca="false">AVERAGE(0.0098,0.0097,0.0096)</f>
        <v>0.0097</v>
      </c>
      <c r="T86" s="171"/>
      <c r="U86" s="172"/>
      <c r="V86" s="172"/>
      <c r="W86" s="172"/>
      <c r="X86" s="172"/>
      <c r="Y86" s="173" t="n">
        <v>0.005515</v>
      </c>
      <c r="Z86" s="172"/>
      <c r="AA86" s="172"/>
      <c r="AB86" s="174"/>
      <c r="AC86" s="174"/>
      <c r="AD86" s="175" t="n">
        <v>0.0066</v>
      </c>
      <c r="AE86" s="130" t="n">
        <f aca="false">IF(Y86="","",Y86)</f>
        <v>0.005515</v>
      </c>
      <c r="AF86" s="173"/>
      <c r="AG86" s="186"/>
      <c r="AH86" s="187"/>
      <c r="AI86" s="176"/>
      <c r="AJ86" s="116" t="str">
        <f aca="false">IF(AG86="","N","Y")</f>
        <v>N</v>
      </c>
      <c r="AK86" s="177"/>
      <c r="AL86" s="138"/>
    </row>
    <row r="87" s="38" customFormat="true" ht="23.25" hidden="false" customHeight="true" outlineLevel="0" collapsed="false">
      <c r="A87" s="19" t="n">
        <f aca="false">IF(B87="","",IF((YEAR(B87)-YEAR(B86))=0,A86+1,1))</f>
        <v>31</v>
      </c>
      <c r="B87" s="141" t="n">
        <v>42823</v>
      </c>
      <c r="C87" s="63" t="s">
        <v>96</v>
      </c>
      <c r="D87" s="63" t="s">
        <v>119</v>
      </c>
      <c r="E87" s="19"/>
      <c r="F87" s="19" t="s">
        <v>112</v>
      </c>
      <c r="G87" s="142" t="n">
        <v>42823</v>
      </c>
      <c r="H87" s="142" t="n">
        <v>42854</v>
      </c>
      <c r="I87" s="19" t="n">
        <f aca="false">H87-G87</f>
        <v>31</v>
      </c>
      <c r="J87" s="100" t="n">
        <f aca="false">TRUNC(I87/30,0)</f>
        <v>1</v>
      </c>
      <c r="K87" s="189" t="s">
        <v>99</v>
      </c>
      <c r="L87" s="146" t="n">
        <v>50</v>
      </c>
      <c r="M87" s="147"/>
      <c r="N87" s="148"/>
      <c r="O87" s="149"/>
      <c r="P87" s="149"/>
      <c r="Q87" s="150" t="n">
        <v>0.0092667</v>
      </c>
      <c r="R87" s="151"/>
      <c r="S87" s="152" t="n">
        <f aca="false">AVERAGE(0.0098,0.0097,0.0096)</f>
        <v>0.0097</v>
      </c>
      <c r="T87" s="151"/>
      <c r="U87" s="152"/>
      <c r="V87" s="152"/>
      <c r="W87" s="152"/>
      <c r="X87" s="152"/>
      <c r="Y87" s="153" t="n">
        <v>0.005515</v>
      </c>
      <c r="Z87" s="152"/>
      <c r="AA87" s="152"/>
      <c r="AB87" s="154"/>
      <c r="AC87" s="154"/>
      <c r="AD87" s="155" t="n">
        <v>0.0063</v>
      </c>
      <c r="AE87" s="156" t="n">
        <f aca="false">IF(Y87="","",Y87)</f>
        <v>0.005515</v>
      </c>
      <c r="AF87" s="153"/>
      <c r="AG87" s="184" t="n">
        <v>0.0065</v>
      </c>
      <c r="AH87" s="185"/>
      <c r="AI87" s="35"/>
      <c r="AJ87" s="19" t="str">
        <f aca="false">IF(AG87="","N","Y")</f>
        <v>Y</v>
      </c>
      <c r="AK87" s="159"/>
      <c r="AL87" s="36"/>
    </row>
    <row r="88" s="140" customFormat="true" ht="23.25" hidden="false" customHeight="true" outlineLevel="0" collapsed="false">
      <c r="A88" s="116" t="n">
        <f aca="false">IF(B88="","",IF((YEAR(B88)-YEAR(B87))=0,A87+1,1))</f>
        <v>32</v>
      </c>
      <c r="B88" s="160" t="n">
        <v>42824</v>
      </c>
      <c r="C88" s="161" t="s">
        <v>96</v>
      </c>
      <c r="D88" s="161" t="s">
        <v>97</v>
      </c>
      <c r="E88" s="116"/>
      <c r="F88" s="161" t="s">
        <v>98</v>
      </c>
      <c r="G88" s="162" t="n">
        <v>42824</v>
      </c>
      <c r="H88" s="162" t="n">
        <v>42855</v>
      </c>
      <c r="I88" s="116" t="n">
        <f aca="false">H88-G88</f>
        <v>31</v>
      </c>
      <c r="J88" s="122" t="n">
        <f aca="false">TRUNC(I88/30,0)</f>
        <v>1</v>
      </c>
      <c r="K88" s="181" t="s">
        <v>99</v>
      </c>
      <c r="L88" s="166" t="n">
        <v>30</v>
      </c>
      <c r="M88" s="167"/>
      <c r="N88" s="168"/>
      <c r="O88" s="169"/>
      <c r="P88" s="169"/>
      <c r="Q88" s="170" t="n">
        <v>0.0092556</v>
      </c>
      <c r="R88" s="171"/>
      <c r="S88" s="172" t="n">
        <f aca="false">AVERAGE(0.0098,0.0097)</f>
        <v>0.00975</v>
      </c>
      <c r="T88" s="171"/>
      <c r="U88" s="172"/>
      <c r="V88" s="172"/>
      <c r="W88" s="172"/>
      <c r="X88" s="172"/>
      <c r="Y88" s="173" t="n">
        <v>0.005551</v>
      </c>
      <c r="Z88" s="172"/>
      <c r="AA88" s="172"/>
      <c r="AB88" s="174"/>
      <c r="AC88" s="174"/>
      <c r="AD88" s="175" t="n">
        <v>0.0066</v>
      </c>
      <c r="AE88" s="130" t="n">
        <f aca="false">IF(Y88="","",Y88)</f>
        <v>0.005551</v>
      </c>
      <c r="AF88" s="173"/>
      <c r="AG88" s="186"/>
      <c r="AH88" s="187"/>
      <c r="AI88" s="176"/>
      <c r="AJ88" s="116" t="str">
        <f aca="false">IF(AG88="","N","Y")</f>
        <v>N</v>
      </c>
      <c r="AK88" s="177"/>
      <c r="AL88" s="138"/>
    </row>
    <row r="89" s="140" customFormat="true" ht="23.25" hidden="false" customHeight="true" outlineLevel="0" collapsed="false">
      <c r="A89" s="116" t="n">
        <f aca="false">IF(B89="","",IF((YEAR(B89)-YEAR(B88))=0,A88+1,1))</f>
        <v>33</v>
      </c>
      <c r="B89" s="160" t="n">
        <v>42829</v>
      </c>
      <c r="C89" s="161" t="s">
        <v>100</v>
      </c>
      <c r="D89" s="161" t="s">
        <v>101</v>
      </c>
      <c r="E89" s="116"/>
      <c r="F89" s="161" t="s">
        <v>102</v>
      </c>
      <c r="G89" s="162" t="n">
        <v>42829</v>
      </c>
      <c r="H89" s="162" t="n">
        <v>42850</v>
      </c>
      <c r="I89" s="116" t="n">
        <f aca="false">H89-G89</f>
        <v>21</v>
      </c>
      <c r="J89" s="122" t="n">
        <f aca="false">TRUNC(I89/30,0)</f>
        <v>0</v>
      </c>
      <c r="K89" s="180" t="s">
        <v>95</v>
      </c>
      <c r="L89" s="166" t="n">
        <v>60</v>
      </c>
      <c r="M89" s="167"/>
      <c r="N89" s="168"/>
      <c r="O89" s="169"/>
      <c r="P89" s="169"/>
      <c r="Q89" s="170" t="n">
        <v>0.009511</v>
      </c>
      <c r="R89" s="171"/>
      <c r="S89" s="172" t="n">
        <f aca="false">AVERAGE(0.011,0.0103)</f>
        <v>0.01065</v>
      </c>
      <c r="T89" s="171"/>
      <c r="U89" s="172"/>
      <c r="V89" s="172"/>
      <c r="W89" s="172"/>
      <c r="X89" s="172"/>
      <c r="Y89" s="173" t="n">
        <v>0.006181</v>
      </c>
      <c r="Z89" s="172"/>
      <c r="AA89" s="172"/>
      <c r="AB89" s="174"/>
      <c r="AC89" s="174"/>
      <c r="AD89" s="175" t="n">
        <v>0.0074</v>
      </c>
      <c r="AE89" s="130" t="n">
        <f aca="false">IF(Y89="","",Y89)</f>
        <v>0.006181</v>
      </c>
      <c r="AF89" s="173"/>
      <c r="AG89" s="186"/>
      <c r="AH89" s="187"/>
      <c r="AI89" s="176"/>
      <c r="AJ89" s="116" t="str">
        <f aca="false">IF(AG89="","N","Y")</f>
        <v>N</v>
      </c>
      <c r="AK89" s="177"/>
      <c r="AL89" s="138"/>
    </row>
    <row r="90" s="140" customFormat="true" ht="23.25" hidden="false" customHeight="true" outlineLevel="0" collapsed="false">
      <c r="A90" s="116" t="n">
        <f aca="false">IF(B90="","",IF((YEAR(B90)-YEAR(B89))=0,A89+1,1))</f>
        <v>34</v>
      </c>
      <c r="B90" s="160" t="n">
        <v>42839</v>
      </c>
      <c r="C90" s="161" t="s">
        <v>96</v>
      </c>
      <c r="D90" s="161" t="s">
        <v>97</v>
      </c>
      <c r="E90" s="116"/>
      <c r="F90" s="161" t="s">
        <v>98</v>
      </c>
      <c r="G90" s="162" t="n">
        <v>42839</v>
      </c>
      <c r="H90" s="162" t="n">
        <v>42849</v>
      </c>
      <c r="I90" s="116" t="n">
        <f aca="false">H90-G90</f>
        <v>10</v>
      </c>
      <c r="J90" s="122" t="n">
        <f aca="false">TRUNC(I90/30,0)</f>
        <v>0</v>
      </c>
      <c r="K90" s="180" t="s">
        <v>95</v>
      </c>
      <c r="L90" s="166" t="n">
        <v>50</v>
      </c>
      <c r="M90" s="167"/>
      <c r="N90" s="168"/>
      <c r="O90" s="169"/>
      <c r="P90" s="169"/>
      <c r="Q90" s="170" t="n">
        <v>0.008205</v>
      </c>
      <c r="R90" s="171"/>
      <c r="S90" s="172" t="n">
        <v>0.0097</v>
      </c>
      <c r="T90" s="171"/>
      <c r="U90" s="172"/>
      <c r="V90" s="172"/>
      <c r="W90" s="172"/>
      <c r="X90" s="172"/>
      <c r="Y90" s="173" t="n">
        <v>0.005131</v>
      </c>
      <c r="Z90" s="172"/>
      <c r="AA90" s="172"/>
      <c r="AB90" s="174"/>
      <c r="AC90" s="174"/>
      <c r="AD90" s="175" t="n">
        <v>0.007</v>
      </c>
      <c r="AE90" s="130" t="n">
        <f aca="false">IF(Y90="","",Y90)</f>
        <v>0.005131</v>
      </c>
      <c r="AF90" s="173"/>
      <c r="AG90" s="186"/>
      <c r="AH90" s="187"/>
      <c r="AI90" s="176"/>
      <c r="AJ90" s="116" t="str">
        <f aca="false">IF(AG90="","N","Y")</f>
        <v>N</v>
      </c>
      <c r="AK90" s="177"/>
      <c r="AL90" s="138"/>
    </row>
    <row r="91" s="140" customFormat="true" ht="23.25" hidden="false" customHeight="true" outlineLevel="0" collapsed="false">
      <c r="A91" s="116" t="n">
        <f aca="false">IF(B91="","",IF((YEAR(B91)-YEAR(B90))=0,A90+1,1))</f>
        <v>35</v>
      </c>
      <c r="B91" s="160" t="n">
        <v>42839</v>
      </c>
      <c r="C91" s="161" t="s">
        <v>96</v>
      </c>
      <c r="D91" s="161" t="s">
        <v>97</v>
      </c>
      <c r="E91" s="116"/>
      <c r="F91" s="161" t="s">
        <v>98</v>
      </c>
      <c r="G91" s="162" t="n">
        <v>42839</v>
      </c>
      <c r="H91" s="162" t="n">
        <v>42853</v>
      </c>
      <c r="I91" s="116" t="n">
        <f aca="false">H91-G91</f>
        <v>14</v>
      </c>
      <c r="J91" s="122" t="n">
        <f aca="false">TRUNC(I91/30,0)</f>
        <v>0</v>
      </c>
      <c r="K91" s="181" t="s">
        <v>99</v>
      </c>
      <c r="L91" s="166" t="n">
        <v>45</v>
      </c>
      <c r="M91" s="167"/>
      <c r="N91" s="168"/>
      <c r="O91" s="169"/>
      <c r="P91" s="169"/>
      <c r="Q91" s="170" t="n">
        <v>0.008011</v>
      </c>
      <c r="R91" s="171"/>
      <c r="S91" s="172" t="n">
        <v>0.0097</v>
      </c>
      <c r="T91" s="171"/>
      <c r="U91" s="172"/>
      <c r="V91" s="172"/>
      <c r="W91" s="172"/>
      <c r="X91" s="172"/>
      <c r="Y91" s="173" t="n">
        <v>0.004331</v>
      </c>
      <c r="Z91" s="172"/>
      <c r="AA91" s="172"/>
      <c r="AB91" s="174"/>
      <c r="AC91" s="174"/>
      <c r="AD91" s="175" t="n">
        <v>0.0064</v>
      </c>
      <c r="AE91" s="130" t="n">
        <f aca="false">IF(Y91="","",Y91)</f>
        <v>0.004331</v>
      </c>
      <c r="AF91" s="173"/>
      <c r="AG91" s="186"/>
      <c r="AH91" s="187"/>
      <c r="AI91" s="176"/>
      <c r="AJ91" s="116" t="str">
        <f aca="false">IF(AG91="","N","Y")</f>
        <v>N</v>
      </c>
      <c r="AK91" s="177"/>
      <c r="AL91" s="138"/>
    </row>
    <row r="92" s="140" customFormat="true" ht="23.25" hidden="false" customHeight="true" outlineLevel="0" collapsed="false">
      <c r="A92" s="116" t="n">
        <f aca="false">IF(B92="","",IF((YEAR(B92)-YEAR(B91))=0,A91+1,1))</f>
        <v>36</v>
      </c>
      <c r="B92" s="160" t="n">
        <v>42843</v>
      </c>
      <c r="C92" s="161" t="s">
        <v>100</v>
      </c>
      <c r="D92" s="161" t="s">
        <v>101</v>
      </c>
      <c r="E92" s="116"/>
      <c r="F92" s="161" t="s">
        <v>102</v>
      </c>
      <c r="G92" s="162" t="n">
        <v>42843</v>
      </c>
      <c r="H92" s="162" t="n">
        <v>42879</v>
      </c>
      <c r="I92" s="116" t="n">
        <f aca="false">H92-G92</f>
        <v>36</v>
      </c>
      <c r="J92" s="122" t="n">
        <f aca="false">TRUNC(I92/30,0)</f>
        <v>1</v>
      </c>
      <c r="K92" s="180" t="s">
        <v>95</v>
      </c>
      <c r="L92" s="166" t="n">
        <v>40</v>
      </c>
      <c r="M92" s="167"/>
      <c r="N92" s="168"/>
      <c r="O92" s="169"/>
      <c r="P92" s="169"/>
      <c r="Q92" s="170" t="n">
        <v>0.0099444</v>
      </c>
      <c r="R92" s="171"/>
      <c r="S92" s="172" t="n">
        <f aca="false">AVERAGE(0.0113,0.0112)</f>
        <v>0.01125</v>
      </c>
      <c r="T92" s="171"/>
      <c r="U92" s="172"/>
      <c r="V92" s="172"/>
      <c r="W92" s="172"/>
      <c r="X92" s="172"/>
      <c r="Y92" s="173" t="n">
        <v>0.00632</v>
      </c>
      <c r="Z92" s="172"/>
      <c r="AA92" s="172"/>
      <c r="AB92" s="174"/>
      <c r="AC92" s="174"/>
      <c r="AD92" s="175" t="n">
        <v>0.009</v>
      </c>
      <c r="AE92" s="130" t="n">
        <f aca="false">IF(Y92="","",Y92)</f>
        <v>0.00632</v>
      </c>
      <c r="AF92" s="173"/>
      <c r="AG92" s="186"/>
      <c r="AH92" s="187"/>
      <c r="AI92" s="176"/>
      <c r="AJ92" s="116" t="str">
        <f aca="false">IF(AG92="","N","Y")</f>
        <v>N</v>
      </c>
      <c r="AK92" s="177"/>
      <c r="AL92" s="138"/>
    </row>
    <row r="93" s="140" customFormat="true" ht="23.25" hidden="false" customHeight="true" outlineLevel="0" collapsed="false">
      <c r="A93" s="116" t="n">
        <f aca="false">IF(B93="","",IF((YEAR(B93)-YEAR(B92))=0,A92+1,1))</f>
        <v>37</v>
      </c>
      <c r="B93" s="160" t="n">
        <v>42845</v>
      </c>
      <c r="C93" s="161" t="s">
        <v>96</v>
      </c>
      <c r="D93" s="161" t="s">
        <v>97</v>
      </c>
      <c r="E93" s="116"/>
      <c r="F93" s="116" t="s">
        <v>112</v>
      </c>
      <c r="G93" s="162" t="n">
        <v>42845</v>
      </c>
      <c r="H93" s="162" t="n">
        <v>42877</v>
      </c>
      <c r="I93" s="116" t="n">
        <f aca="false">H93-G93</f>
        <v>32</v>
      </c>
      <c r="J93" s="122" t="n">
        <f aca="false">TRUNC(I93/30,0)</f>
        <v>1</v>
      </c>
      <c r="K93" s="181" t="s">
        <v>99</v>
      </c>
      <c r="L93" s="166" t="n">
        <v>150</v>
      </c>
      <c r="M93" s="167"/>
      <c r="N93" s="168"/>
      <c r="O93" s="169"/>
      <c r="P93" s="169"/>
      <c r="Q93" s="170" t="n">
        <v>0.0093</v>
      </c>
      <c r="R93" s="171"/>
      <c r="S93" s="172" t="n">
        <f aca="false">AVERAGE(0.0098,0.0096)</f>
        <v>0.0097</v>
      </c>
      <c r="T93" s="171"/>
      <c r="U93" s="172"/>
      <c r="V93" s="172"/>
      <c r="W93" s="172"/>
      <c r="X93" s="172"/>
      <c r="Y93" s="173" t="n">
        <v>0.004336</v>
      </c>
      <c r="Z93" s="172"/>
      <c r="AA93" s="172"/>
      <c r="AB93" s="174"/>
      <c r="AC93" s="174"/>
      <c r="AD93" s="175" t="n">
        <v>0.0065</v>
      </c>
      <c r="AE93" s="130" t="n">
        <f aca="false">IF(Y93="","",Y93)</f>
        <v>0.004336</v>
      </c>
      <c r="AF93" s="173"/>
      <c r="AG93" s="186"/>
      <c r="AH93" s="187"/>
      <c r="AI93" s="176"/>
      <c r="AJ93" s="116" t="str">
        <f aca="false">IF(AG93="","N","Y")</f>
        <v>N</v>
      </c>
      <c r="AK93" s="177"/>
      <c r="AL93" s="138"/>
    </row>
    <row r="94" s="140" customFormat="true" ht="23.25" hidden="false" customHeight="true" outlineLevel="0" collapsed="false">
      <c r="A94" s="116" t="n">
        <f aca="false">IF(B94="","",IF((YEAR(B94)-YEAR(B93))=0,A93+1,1))</f>
        <v>38</v>
      </c>
      <c r="B94" s="160" t="n">
        <v>42849</v>
      </c>
      <c r="C94" s="161" t="s">
        <v>96</v>
      </c>
      <c r="D94" s="161" t="s">
        <v>97</v>
      </c>
      <c r="E94" s="116"/>
      <c r="F94" s="161" t="s">
        <v>98</v>
      </c>
      <c r="G94" s="162" t="n">
        <v>42849</v>
      </c>
      <c r="H94" s="162" t="n">
        <v>42879</v>
      </c>
      <c r="I94" s="116" t="n">
        <f aca="false">H94-G94</f>
        <v>30</v>
      </c>
      <c r="J94" s="122" t="n">
        <f aca="false">TRUNC(I94/30,0)</f>
        <v>1</v>
      </c>
      <c r="K94" s="181" t="s">
        <v>99</v>
      </c>
      <c r="L94" s="166" t="n">
        <v>50</v>
      </c>
      <c r="M94" s="167"/>
      <c r="N94" s="168"/>
      <c r="O94" s="169"/>
      <c r="P94" s="169"/>
      <c r="Q94" s="170" t="n">
        <v>0.0092944</v>
      </c>
      <c r="R94" s="171"/>
      <c r="S94" s="172" t="n">
        <f aca="false">AVERAGE(0.0098,0.0096)</f>
        <v>0.0097</v>
      </c>
      <c r="T94" s="171"/>
      <c r="U94" s="172"/>
      <c r="V94" s="172"/>
      <c r="W94" s="172"/>
      <c r="X94" s="172"/>
      <c r="Y94" s="173" t="n">
        <v>0.004326</v>
      </c>
      <c r="Z94" s="172"/>
      <c r="AA94" s="172"/>
      <c r="AB94" s="174"/>
      <c r="AC94" s="174"/>
      <c r="AD94" s="175" t="n">
        <v>0.0068</v>
      </c>
      <c r="AE94" s="130" t="n">
        <f aca="false">IF(Y94="","",Y94)</f>
        <v>0.004326</v>
      </c>
      <c r="AF94" s="173"/>
      <c r="AG94" s="186"/>
      <c r="AH94" s="187"/>
      <c r="AI94" s="176"/>
      <c r="AJ94" s="116" t="str">
        <f aca="false">IF(AG94="","N","Y")</f>
        <v>N</v>
      </c>
      <c r="AK94" s="177"/>
      <c r="AL94" s="138"/>
    </row>
    <row r="95" s="140" customFormat="true" ht="23.25" hidden="false" customHeight="true" outlineLevel="0" collapsed="false">
      <c r="A95" s="116" t="n">
        <f aca="false">IF(B95="","",IF((YEAR(B95)-YEAR(B94))=0,A94+1,1))</f>
        <v>39</v>
      </c>
      <c r="B95" s="160" t="n">
        <v>42850</v>
      </c>
      <c r="C95" s="161" t="s">
        <v>100</v>
      </c>
      <c r="D95" s="161" t="s">
        <v>101</v>
      </c>
      <c r="E95" s="116"/>
      <c r="F95" s="161" t="s">
        <v>102</v>
      </c>
      <c r="G95" s="162" t="n">
        <v>42850</v>
      </c>
      <c r="H95" s="162" t="n">
        <v>42885</v>
      </c>
      <c r="I95" s="116" t="n">
        <f aca="false">H95-G95</f>
        <v>35</v>
      </c>
      <c r="J95" s="122" t="n">
        <f aca="false">TRUNC(I95/30,0)</f>
        <v>1</v>
      </c>
      <c r="K95" s="180" t="s">
        <v>95</v>
      </c>
      <c r="L95" s="166" t="n">
        <v>60</v>
      </c>
      <c r="M95" s="167"/>
      <c r="N95" s="168"/>
      <c r="O95" s="169"/>
      <c r="P95" s="169"/>
      <c r="Q95" s="170" t="n">
        <v>0.0099111</v>
      </c>
      <c r="R95" s="171"/>
      <c r="S95" s="172" t="n">
        <f aca="false">AVERAGE(0.0111,0.0115)</f>
        <v>0.0113</v>
      </c>
      <c r="T95" s="171"/>
      <c r="U95" s="172"/>
      <c r="V95" s="172"/>
      <c r="W95" s="172"/>
      <c r="X95" s="172"/>
      <c r="Y95" s="173" t="n">
        <v>0.006287</v>
      </c>
      <c r="Z95" s="172"/>
      <c r="AA95" s="172"/>
      <c r="AB95" s="174"/>
      <c r="AC95" s="174"/>
      <c r="AD95" s="175" t="n">
        <v>0.0085</v>
      </c>
      <c r="AE95" s="130" t="n">
        <f aca="false">IF(Y95="","",Y95)</f>
        <v>0.006287</v>
      </c>
      <c r="AF95" s="173"/>
      <c r="AG95" s="186"/>
      <c r="AH95" s="187"/>
      <c r="AI95" s="176"/>
      <c r="AJ95" s="116" t="str">
        <f aca="false">IF(AG95="","N","Y")</f>
        <v>N</v>
      </c>
      <c r="AK95" s="177"/>
      <c r="AL95" s="138"/>
    </row>
    <row r="96" s="140" customFormat="true" ht="23.25" hidden="false" customHeight="true" outlineLevel="0" collapsed="false">
      <c r="A96" s="116" t="n">
        <f aca="false">IF(B96="","",IF((YEAR(B96)-YEAR(B95))=0,A95+1,1))</f>
        <v>40</v>
      </c>
      <c r="B96" s="160" t="n">
        <v>42851</v>
      </c>
      <c r="C96" s="161" t="s">
        <v>96</v>
      </c>
      <c r="D96" s="161" t="s">
        <v>97</v>
      </c>
      <c r="E96" s="116"/>
      <c r="F96" s="161" t="s">
        <v>98</v>
      </c>
      <c r="G96" s="162" t="n">
        <v>42851</v>
      </c>
      <c r="H96" s="162" t="n">
        <v>42881</v>
      </c>
      <c r="I96" s="116" t="n">
        <f aca="false">H96-G96</f>
        <v>30</v>
      </c>
      <c r="J96" s="122" t="n">
        <f aca="false">TRUNC(I96/30,0)</f>
        <v>1</v>
      </c>
      <c r="K96" s="180" t="s">
        <v>95</v>
      </c>
      <c r="L96" s="166" t="n">
        <v>50</v>
      </c>
      <c r="M96" s="167"/>
      <c r="N96" s="168"/>
      <c r="O96" s="169"/>
      <c r="P96" s="169"/>
      <c r="Q96" s="170" t="n">
        <v>0.0099222</v>
      </c>
      <c r="R96" s="171"/>
      <c r="S96" s="172" t="n">
        <f aca="false">AVERAGE(0.0111,0.0115)</f>
        <v>0.0113</v>
      </c>
      <c r="T96" s="171"/>
      <c r="U96" s="172"/>
      <c r="V96" s="172"/>
      <c r="W96" s="172"/>
      <c r="X96" s="172"/>
      <c r="Y96" s="173" t="n">
        <v>0.006298</v>
      </c>
      <c r="Z96" s="172" t="n">
        <v>0.0021</v>
      </c>
      <c r="AA96" s="172" t="n">
        <v>0.001</v>
      </c>
      <c r="AB96" s="174"/>
      <c r="AC96" s="174" t="n">
        <f aca="false">S96-Z96-AA96</f>
        <v>0.0082</v>
      </c>
      <c r="AD96" s="175" t="n">
        <v>0.009</v>
      </c>
      <c r="AE96" s="130" t="n">
        <f aca="false">IF(Y96="","",Y96)</f>
        <v>0.006298</v>
      </c>
      <c r="AF96" s="173"/>
      <c r="AG96" s="186"/>
      <c r="AH96" s="187"/>
      <c r="AI96" s="176"/>
      <c r="AJ96" s="116" t="str">
        <f aca="false">IF(AG96="","N","Y")</f>
        <v>N</v>
      </c>
      <c r="AK96" s="177"/>
      <c r="AL96" s="191" t="s">
        <v>122</v>
      </c>
    </row>
    <row r="97" s="140" customFormat="true" ht="23.25" hidden="false" customHeight="true" outlineLevel="0" collapsed="false">
      <c r="A97" s="116" t="n">
        <f aca="false">IF(B97="","",IF((YEAR(B97)-YEAR(B96))=0,A96+1,1))</f>
        <v>41</v>
      </c>
      <c r="B97" s="160" t="n">
        <v>42851</v>
      </c>
      <c r="C97" s="161" t="s">
        <v>96</v>
      </c>
      <c r="D97" s="161" t="s">
        <v>97</v>
      </c>
      <c r="E97" s="116"/>
      <c r="F97" s="161" t="s">
        <v>98</v>
      </c>
      <c r="G97" s="162" t="n">
        <v>42851</v>
      </c>
      <c r="H97" s="162" t="n">
        <v>42912</v>
      </c>
      <c r="I97" s="116" t="n">
        <f aca="false">H97-G97</f>
        <v>61</v>
      </c>
      <c r="J97" s="122" t="n">
        <f aca="false">TRUNC(I97/30,0)</f>
        <v>2</v>
      </c>
      <c r="K97" s="180" t="s">
        <v>95</v>
      </c>
      <c r="L97" s="166" t="n">
        <v>50</v>
      </c>
      <c r="M97" s="167"/>
      <c r="N97" s="168"/>
      <c r="O97" s="169"/>
      <c r="P97" s="169"/>
      <c r="Q97" s="170" t="n">
        <v>0.0104056</v>
      </c>
      <c r="R97" s="171"/>
      <c r="S97" s="172" t="n">
        <v>0.0124</v>
      </c>
      <c r="T97" s="171"/>
      <c r="U97" s="172"/>
      <c r="V97" s="172"/>
      <c r="W97" s="172"/>
      <c r="X97" s="172"/>
      <c r="Y97" s="173" t="n">
        <v>0.006771</v>
      </c>
      <c r="Z97" s="172" t="n">
        <v>0.0021</v>
      </c>
      <c r="AA97" s="172" t="n">
        <v>0.001</v>
      </c>
      <c r="AB97" s="174"/>
      <c r="AC97" s="174" t="n">
        <f aca="false">S97-Z97-AA97</f>
        <v>0.0093</v>
      </c>
      <c r="AD97" s="175" t="n">
        <v>0.0092</v>
      </c>
      <c r="AE97" s="130" t="n">
        <f aca="false">IF(Y97="","",Y97)</f>
        <v>0.006771</v>
      </c>
      <c r="AF97" s="173"/>
      <c r="AG97" s="186"/>
      <c r="AH97" s="187"/>
      <c r="AI97" s="176"/>
      <c r="AJ97" s="116" t="str">
        <f aca="false">IF(AG97="","N","Y")</f>
        <v>N</v>
      </c>
      <c r="AK97" s="177"/>
      <c r="AL97" s="138"/>
    </row>
    <row r="98" s="140" customFormat="true" ht="23.25" hidden="false" customHeight="true" outlineLevel="0" collapsed="false">
      <c r="A98" s="116" t="n">
        <f aca="false">IF(B98="","",IF((YEAR(B98)-YEAR(B97))=0,A97+1,1))</f>
        <v>42</v>
      </c>
      <c r="B98" s="160" t="n">
        <v>42851</v>
      </c>
      <c r="C98" s="161" t="s">
        <v>96</v>
      </c>
      <c r="D98" s="161" t="s">
        <v>97</v>
      </c>
      <c r="E98" s="116"/>
      <c r="F98" s="161" t="s">
        <v>98</v>
      </c>
      <c r="G98" s="162" t="n">
        <v>42851</v>
      </c>
      <c r="H98" s="162" t="n">
        <v>42943</v>
      </c>
      <c r="I98" s="116" t="n">
        <f aca="false">H98-G98</f>
        <v>92</v>
      </c>
      <c r="J98" s="122" t="n">
        <f aca="false">TRUNC(I98/30,0)</f>
        <v>3</v>
      </c>
      <c r="K98" s="180" t="s">
        <v>95</v>
      </c>
      <c r="L98" s="166" t="n">
        <v>50</v>
      </c>
      <c r="M98" s="167"/>
      <c r="N98" s="168"/>
      <c r="O98" s="169"/>
      <c r="P98" s="169"/>
      <c r="Q98" s="170" t="n">
        <v>0.0117039</v>
      </c>
      <c r="R98" s="171"/>
      <c r="S98" s="172" t="n">
        <f aca="false">AVERAGE(0.0133,0.014)</f>
        <v>0.01365</v>
      </c>
      <c r="T98" s="171"/>
      <c r="U98" s="172"/>
      <c r="V98" s="172"/>
      <c r="W98" s="172"/>
      <c r="X98" s="172"/>
      <c r="Y98" s="173" t="n">
        <v>0.007544</v>
      </c>
      <c r="Z98" s="172" t="n">
        <v>0.0021</v>
      </c>
      <c r="AA98" s="172" t="n">
        <v>0.001</v>
      </c>
      <c r="AB98" s="174"/>
      <c r="AC98" s="174" t="n">
        <f aca="false">S98-Z98-AA98</f>
        <v>0.01055</v>
      </c>
      <c r="AD98" s="175" t="n">
        <v>0.011</v>
      </c>
      <c r="AE98" s="130" t="n">
        <f aca="false">IF(Y98="","",Y98)</f>
        <v>0.007544</v>
      </c>
      <c r="AF98" s="173"/>
      <c r="AG98" s="186"/>
      <c r="AH98" s="187"/>
      <c r="AI98" s="176"/>
      <c r="AJ98" s="116" t="str">
        <f aca="false">IF(AG98="","N","Y")</f>
        <v>N</v>
      </c>
      <c r="AK98" s="177"/>
      <c r="AL98" s="191" t="s">
        <v>123</v>
      </c>
    </row>
    <row r="99" s="140" customFormat="true" ht="23.25" hidden="false" customHeight="true" outlineLevel="0" collapsed="false">
      <c r="A99" s="116" t="n">
        <f aca="false">IF(B99="","",IF((YEAR(B99)-YEAR(B98))=0,A98+1,1))</f>
        <v>43</v>
      </c>
      <c r="B99" s="160" t="n">
        <v>42865</v>
      </c>
      <c r="C99" s="161" t="s">
        <v>100</v>
      </c>
      <c r="D99" s="161" t="s">
        <v>101</v>
      </c>
      <c r="E99" s="116"/>
      <c r="F99" s="161" t="s">
        <v>102</v>
      </c>
      <c r="G99" s="162" t="n">
        <v>42865</v>
      </c>
      <c r="H99" s="162" t="n">
        <v>42907</v>
      </c>
      <c r="I99" s="116" t="n">
        <f aca="false">H99-G99</f>
        <v>42</v>
      </c>
      <c r="J99" s="122" t="n">
        <f aca="false">TRUNC(I99/30,0)</f>
        <v>1</v>
      </c>
      <c r="K99" s="180" t="s">
        <v>95</v>
      </c>
      <c r="L99" s="166" t="n">
        <v>30</v>
      </c>
      <c r="M99" s="167"/>
      <c r="N99" s="168"/>
      <c r="O99" s="169"/>
      <c r="P99" s="169"/>
      <c r="Q99" s="170" t="n">
        <v>0.0098856</v>
      </c>
      <c r="R99" s="171"/>
      <c r="S99" s="172" t="n">
        <f aca="false">AVERAGE(0.0113,0.0112)</f>
        <v>0.01125</v>
      </c>
      <c r="T99" s="171"/>
      <c r="U99" s="172"/>
      <c r="V99" s="172"/>
      <c r="W99" s="172"/>
      <c r="X99" s="172"/>
      <c r="Y99" s="173" t="n">
        <v>0.006262</v>
      </c>
      <c r="Z99" s="172" t="n">
        <v>0.0021</v>
      </c>
      <c r="AA99" s="172" t="n">
        <v>0.001</v>
      </c>
      <c r="AB99" s="174"/>
      <c r="AC99" s="174" t="n">
        <f aca="false">S99-Z99-AA99</f>
        <v>0.00815</v>
      </c>
      <c r="AD99" s="175" t="n">
        <v>0.009</v>
      </c>
      <c r="AE99" s="130" t="n">
        <f aca="false">IF(Y99="","",Y99)</f>
        <v>0.006262</v>
      </c>
      <c r="AF99" s="173"/>
      <c r="AG99" s="186"/>
      <c r="AH99" s="187"/>
      <c r="AI99" s="176"/>
      <c r="AJ99" s="116" t="str">
        <f aca="false">IF(AG99="","N","Y")</f>
        <v>N</v>
      </c>
      <c r="AK99" s="177"/>
      <c r="AL99" s="138"/>
    </row>
    <row r="100" s="38" customFormat="true" ht="23.25" hidden="false" customHeight="true" outlineLevel="0" collapsed="false">
      <c r="A100" s="19" t="n">
        <f aca="false">IF(B100="","",IF((YEAR(B100)-YEAR(B99))=0,A99+1,1))</f>
        <v>44</v>
      </c>
      <c r="B100" s="141" t="n">
        <v>42874</v>
      </c>
      <c r="C100" s="63" t="s">
        <v>103</v>
      </c>
      <c r="D100" s="63" t="s">
        <v>104</v>
      </c>
      <c r="E100" s="19"/>
      <c r="F100" s="63" t="s">
        <v>105</v>
      </c>
      <c r="G100" s="142" t="n">
        <v>42874</v>
      </c>
      <c r="H100" s="142" t="n">
        <v>42905</v>
      </c>
      <c r="I100" s="19" t="n">
        <f aca="false">H100-G100</f>
        <v>31</v>
      </c>
      <c r="J100" s="100" t="n">
        <f aca="false">TRUNC(I100/30,0)</f>
        <v>1</v>
      </c>
      <c r="K100" s="189" t="s">
        <v>99</v>
      </c>
      <c r="L100" s="146" t="n">
        <v>10</v>
      </c>
      <c r="M100" s="147"/>
      <c r="N100" s="148"/>
      <c r="O100" s="149"/>
      <c r="P100" s="149"/>
      <c r="Q100" s="150" t="n">
        <v>0.0092778</v>
      </c>
      <c r="R100" s="151"/>
      <c r="S100" s="152" t="n">
        <f aca="false">AVERAGE(0.0099,0.0098)</f>
        <v>0.00985</v>
      </c>
      <c r="T100" s="151"/>
      <c r="U100" s="152"/>
      <c r="V100" s="152"/>
      <c r="W100" s="152"/>
      <c r="X100" s="152"/>
      <c r="Y100" s="153" t="n">
        <v>0.004346</v>
      </c>
      <c r="Z100" s="152" t="n">
        <v>0.0032</v>
      </c>
      <c r="AA100" s="152" t="n">
        <v>0.001</v>
      </c>
      <c r="AB100" s="154"/>
      <c r="AC100" s="154" t="n">
        <f aca="false">S100-Z100-AA100</f>
        <v>0.00565</v>
      </c>
      <c r="AD100" s="155" t="n">
        <v>0.006</v>
      </c>
      <c r="AE100" s="156" t="n">
        <f aca="false">IF(Y100="","",Y100)</f>
        <v>0.004346</v>
      </c>
      <c r="AF100" s="153"/>
      <c r="AG100" s="184" t="n">
        <v>0.006</v>
      </c>
      <c r="AH100" s="185"/>
      <c r="AI100" s="35"/>
      <c r="AJ100" s="19" t="str">
        <f aca="false">IF(AG100="","N","Y")</f>
        <v>Y</v>
      </c>
      <c r="AK100" s="159"/>
      <c r="AL100" s="36"/>
    </row>
    <row r="101" s="38" customFormat="true" ht="23.25" hidden="false" customHeight="true" outlineLevel="0" collapsed="false">
      <c r="A101" s="19" t="n">
        <f aca="false">IF(B101="","",IF((YEAR(B101)-YEAR(B100))=0,A100+1,1))</f>
        <v>45</v>
      </c>
      <c r="B101" s="141" t="n">
        <v>42874</v>
      </c>
      <c r="C101" s="63" t="s">
        <v>96</v>
      </c>
      <c r="D101" s="63" t="s">
        <v>97</v>
      </c>
      <c r="E101" s="19"/>
      <c r="F101" s="19" t="s">
        <v>112</v>
      </c>
      <c r="G101" s="142" t="n">
        <v>42874</v>
      </c>
      <c r="H101" s="142" t="n">
        <v>42908</v>
      </c>
      <c r="I101" s="19" t="n">
        <f aca="false">H101-G101</f>
        <v>34</v>
      </c>
      <c r="J101" s="100" t="n">
        <f aca="false">TRUNC(I101/30,0)</f>
        <v>1</v>
      </c>
      <c r="K101" s="189" t="s">
        <v>99</v>
      </c>
      <c r="L101" s="146" t="n">
        <v>150</v>
      </c>
      <c r="M101" s="147"/>
      <c r="N101" s="148"/>
      <c r="O101" s="149"/>
      <c r="P101" s="149"/>
      <c r="Q101" s="150" t="n">
        <v>0.0092778</v>
      </c>
      <c r="R101" s="151"/>
      <c r="S101" s="152" t="n">
        <f aca="false">AVERAGE(0.0099,0.0098)</f>
        <v>0.00985</v>
      </c>
      <c r="T101" s="151"/>
      <c r="U101" s="152"/>
      <c r="V101" s="152"/>
      <c r="W101" s="152"/>
      <c r="X101" s="152"/>
      <c r="Y101" s="153" t="n">
        <v>0.004346</v>
      </c>
      <c r="Z101" s="152" t="n">
        <v>0.0032</v>
      </c>
      <c r="AA101" s="152" t="n">
        <v>0.001</v>
      </c>
      <c r="AB101" s="154"/>
      <c r="AC101" s="154" t="n">
        <f aca="false">S101-Z101-AA101</f>
        <v>0.00565</v>
      </c>
      <c r="AD101" s="155" t="n">
        <v>0.0065</v>
      </c>
      <c r="AE101" s="156" t="n">
        <f aca="false">IF(Y101="","",Y101)</f>
        <v>0.004346</v>
      </c>
      <c r="AF101" s="153"/>
      <c r="AG101" s="184" t="n">
        <v>0.0065</v>
      </c>
      <c r="AH101" s="185"/>
      <c r="AI101" s="35"/>
      <c r="AJ101" s="19" t="str">
        <f aca="false">IF(AG101="","N","Y")</f>
        <v>Y</v>
      </c>
      <c r="AK101" s="159"/>
      <c r="AL101" s="36"/>
    </row>
    <row r="102" s="38" customFormat="true" ht="23.25" hidden="false" customHeight="true" outlineLevel="0" collapsed="false">
      <c r="A102" s="19" t="n">
        <f aca="false">IF(B102="","",IF((YEAR(B102)-YEAR(B101))=0,A101+1,1))</f>
        <v>46</v>
      </c>
      <c r="B102" s="141" t="n">
        <v>42877</v>
      </c>
      <c r="C102" s="63" t="s">
        <v>124</v>
      </c>
      <c r="D102" s="63" t="s">
        <v>125</v>
      </c>
      <c r="E102" s="19"/>
      <c r="F102" s="63" t="s">
        <v>126</v>
      </c>
      <c r="G102" s="142" t="n">
        <v>42877</v>
      </c>
      <c r="H102" s="142" t="n">
        <v>42908</v>
      </c>
      <c r="I102" s="19" t="n">
        <f aca="false">H102-G102</f>
        <v>31</v>
      </c>
      <c r="J102" s="100" t="n">
        <f aca="false">TRUNC(I102/30,0)</f>
        <v>1</v>
      </c>
      <c r="K102" s="183" t="s">
        <v>95</v>
      </c>
      <c r="L102" s="146" t="n">
        <v>20</v>
      </c>
      <c r="M102" s="147"/>
      <c r="N102" s="148"/>
      <c r="O102" s="149"/>
      <c r="P102" s="149"/>
      <c r="Q102" s="150" t="n">
        <v>0.0100994</v>
      </c>
      <c r="R102" s="151"/>
      <c r="S102" s="152" t="n">
        <f aca="false">AVERAGE(0.012,0.012)</f>
        <v>0.012</v>
      </c>
      <c r="T102" s="151"/>
      <c r="U102" s="152"/>
      <c r="V102" s="152"/>
      <c r="W102" s="152"/>
      <c r="X102" s="152"/>
      <c r="Y102" s="153" t="n">
        <v>0.006472</v>
      </c>
      <c r="Z102" s="152" t="n">
        <v>0.002</v>
      </c>
      <c r="AA102" s="152" t="n">
        <v>0.0015</v>
      </c>
      <c r="AB102" s="154"/>
      <c r="AC102" s="154" t="n">
        <f aca="false">S102-Z102-AA102</f>
        <v>0.0085</v>
      </c>
      <c r="AD102" s="155" t="n">
        <v>0.0086</v>
      </c>
      <c r="AE102" s="156" t="n">
        <f aca="false">IF(Y102="","",Y102)</f>
        <v>0.006472</v>
      </c>
      <c r="AF102" s="153"/>
      <c r="AG102" s="184" t="n">
        <v>0.0086</v>
      </c>
      <c r="AH102" s="185"/>
      <c r="AI102" s="35"/>
      <c r="AJ102" s="19" t="str">
        <f aca="false">IF(AG102="","N","Y")</f>
        <v>Y</v>
      </c>
      <c r="AK102" s="159"/>
      <c r="AL102" s="36"/>
    </row>
    <row r="103" s="140" customFormat="true" ht="23.25" hidden="false" customHeight="true" outlineLevel="0" collapsed="false">
      <c r="A103" s="116" t="n">
        <f aca="false">IF(B103="","",IF((YEAR(B103)-YEAR(B102))=0,A102+1,1))</f>
        <v>47</v>
      </c>
      <c r="B103" s="160" t="n">
        <v>42877</v>
      </c>
      <c r="C103" s="161" t="s">
        <v>124</v>
      </c>
      <c r="D103" s="161" t="s">
        <v>125</v>
      </c>
      <c r="E103" s="116"/>
      <c r="F103" s="161" t="s">
        <v>126</v>
      </c>
      <c r="G103" s="162" t="n">
        <v>42877</v>
      </c>
      <c r="H103" s="162" t="n">
        <v>42940</v>
      </c>
      <c r="I103" s="116" t="n">
        <f aca="false">H103-G103</f>
        <v>63</v>
      </c>
      <c r="J103" s="122" t="n">
        <f aca="false">TRUNC(I103/30,0)</f>
        <v>2</v>
      </c>
      <c r="K103" s="180" t="s">
        <v>95</v>
      </c>
      <c r="L103" s="166" t="n">
        <v>20</v>
      </c>
      <c r="M103" s="167"/>
      <c r="N103" s="168"/>
      <c r="O103" s="169"/>
      <c r="P103" s="169"/>
      <c r="Q103" s="170" t="n">
        <v>0.0107639</v>
      </c>
      <c r="R103" s="171"/>
      <c r="S103" s="172" t="n">
        <f aca="false">AVERAGE(0.013,0.014)</f>
        <v>0.0135</v>
      </c>
      <c r="T103" s="171"/>
      <c r="U103" s="172"/>
      <c r="V103" s="172"/>
      <c r="W103" s="172"/>
      <c r="X103" s="172"/>
      <c r="Y103" s="173" t="n">
        <v>0.007122</v>
      </c>
      <c r="Z103" s="172" t="n">
        <v>0.002</v>
      </c>
      <c r="AA103" s="172" t="n">
        <v>0.002</v>
      </c>
      <c r="AB103" s="174"/>
      <c r="AC103" s="174" t="n">
        <f aca="false">S103-Z103-AA103</f>
        <v>0.0095</v>
      </c>
      <c r="AD103" s="175" t="n">
        <v>0.0095</v>
      </c>
      <c r="AE103" s="130" t="n">
        <f aca="false">IF(Y103="","",Y103)</f>
        <v>0.007122</v>
      </c>
      <c r="AF103" s="173"/>
      <c r="AG103" s="186"/>
      <c r="AH103" s="187"/>
      <c r="AI103" s="176"/>
      <c r="AJ103" s="116" t="str">
        <f aca="false">IF(AG103="","N","Y")</f>
        <v>N</v>
      </c>
      <c r="AK103" s="177"/>
      <c r="AL103" s="138"/>
    </row>
    <row r="104" s="140" customFormat="true" ht="23.25" hidden="false" customHeight="true" outlineLevel="0" collapsed="false">
      <c r="A104" s="116" t="n">
        <f aca="false">IF(B104="","",IF((YEAR(B104)-YEAR(B103))=0,A103+1,1))</f>
        <v>48</v>
      </c>
      <c r="B104" s="160" t="n">
        <v>42877</v>
      </c>
      <c r="C104" s="161" t="s">
        <v>124</v>
      </c>
      <c r="D104" s="161" t="s">
        <v>125</v>
      </c>
      <c r="E104" s="116"/>
      <c r="F104" s="161" t="s">
        <v>126</v>
      </c>
      <c r="G104" s="162" t="n">
        <v>42877</v>
      </c>
      <c r="H104" s="162" t="n">
        <v>42969</v>
      </c>
      <c r="I104" s="116" t="n">
        <f aca="false">H104-G104</f>
        <v>92</v>
      </c>
      <c r="J104" s="122" t="n">
        <f aca="false">TRUNC(I104/30,0)</f>
        <v>3</v>
      </c>
      <c r="K104" s="180" t="s">
        <v>95</v>
      </c>
      <c r="L104" s="166" t="n">
        <v>20</v>
      </c>
      <c r="M104" s="167"/>
      <c r="N104" s="168"/>
      <c r="O104" s="169"/>
      <c r="P104" s="169"/>
      <c r="Q104" s="170" t="n">
        <v>0.0117172</v>
      </c>
      <c r="R104" s="171"/>
      <c r="S104" s="172" t="n">
        <f aca="false">AVERAGE(0.015,0.015)</f>
        <v>0.015</v>
      </c>
      <c r="T104" s="171"/>
      <c r="U104" s="172"/>
      <c r="V104" s="172"/>
      <c r="W104" s="172"/>
      <c r="X104" s="172"/>
      <c r="Y104" s="173" t="n">
        <v>0.007557</v>
      </c>
      <c r="Z104" s="172" t="n">
        <v>0.002</v>
      </c>
      <c r="AA104" s="172" t="n">
        <v>0.0015</v>
      </c>
      <c r="AB104" s="174"/>
      <c r="AC104" s="174" t="n">
        <f aca="false">S104-Z104-AA104</f>
        <v>0.0115</v>
      </c>
      <c r="AD104" s="175" t="n">
        <v>0.0115</v>
      </c>
      <c r="AE104" s="130" t="n">
        <f aca="false">IF(Y104="","",Y104)</f>
        <v>0.007557</v>
      </c>
      <c r="AF104" s="173"/>
      <c r="AG104" s="186"/>
      <c r="AH104" s="187"/>
      <c r="AI104" s="176"/>
      <c r="AJ104" s="116" t="str">
        <f aca="false">IF(AG104="","N","Y")</f>
        <v>N</v>
      </c>
      <c r="AK104" s="177"/>
      <c r="AL104" s="138"/>
    </row>
    <row r="105" s="140" customFormat="true" ht="23.25" hidden="false" customHeight="true" outlineLevel="0" collapsed="false">
      <c r="A105" s="116" t="n">
        <f aca="false">IF(B105="","",IF((YEAR(B105)-YEAR(B104))=0,A104+1,1))</f>
        <v>49</v>
      </c>
      <c r="B105" s="160" t="n">
        <v>42878</v>
      </c>
      <c r="C105" s="161" t="s">
        <v>127</v>
      </c>
      <c r="D105" s="161" t="s">
        <v>128</v>
      </c>
      <c r="E105" s="116"/>
      <c r="F105" s="161" t="s">
        <v>129</v>
      </c>
      <c r="G105" s="162" t="n">
        <v>42878</v>
      </c>
      <c r="H105" s="162" t="n">
        <v>42970</v>
      </c>
      <c r="I105" s="116" t="n">
        <f aca="false">H105-G105</f>
        <v>92</v>
      </c>
      <c r="J105" s="122" t="n">
        <f aca="false">TRUNC(I105/30,0)</f>
        <v>3</v>
      </c>
      <c r="K105" s="180" t="s">
        <v>95</v>
      </c>
      <c r="L105" s="166" t="n">
        <v>3</v>
      </c>
      <c r="M105" s="167"/>
      <c r="N105" s="168"/>
      <c r="O105" s="169"/>
      <c r="P105" s="169"/>
      <c r="Q105" s="170" t="n">
        <v>0.01192</v>
      </c>
      <c r="R105" s="171"/>
      <c r="S105" s="172" t="n">
        <f aca="false">AVERAGE(0.015,0.015)</f>
        <v>0.015</v>
      </c>
      <c r="T105" s="171"/>
      <c r="U105" s="172"/>
      <c r="V105" s="172"/>
      <c r="W105" s="172"/>
      <c r="X105" s="172"/>
      <c r="Y105" s="173" t="n">
        <v>0.007756</v>
      </c>
      <c r="Z105" s="172" t="n">
        <v>0.002</v>
      </c>
      <c r="AA105" s="172" t="n">
        <v>0.0045</v>
      </c>
      <c r="AB105" s="174"/>
      <c r="AC105" s="174" t="n">
        <f aca="false">S105-Z105-AA105</f>
        <v>0.0085</v>
      </c>
      <c r="AD105" s="175" t="n">
        <v>0.0085</v>
      </c>
      <c r="AE105" s="130" t="n">
        <f aca="false">IF(Y105="","",Y105)</f>
        <v>0.007756</v>
      </c>
      <c r="AF105" s="173"/>
      <c r="AG105" s="186"/>
      <c r="AH105" s="187"/>
      <c r="AI105" s="176"/>
      <c r="AJ105" s="116" t="str">
        <f aca="false">IF(AG105="","N","Y")</f>
        <v>N</v>
      </c>
      <c r="AK105" s="177"/>
      <c r="AL105" s="138"/>
    </row>
    <row r="106" s="140" customFormat="true" ht="23.25" hidden="false" customHeight="true" outlineLevel="0" collapsed="false">
      <c r="A106" s="116" t="n">
        <f aca="false">IF(B106="","",IF((YEAR(B106)-YEAR(B105))=0,A105+1,1))</f>
        <v>50</v>
      </c>
      <c r="B106" s="160" t="n">
        <v>42878</v>
      </c>
      <c r="C106" s="161" t="s">
        <v>130</v>
      </c>
      <c r="D106" s="161" t="s">
        <v>131</v>
      </c>
      <c r="E106" s="116"/>
      <c r="F106" s="161" t="s">
        <v>132</v>
      </c>
      <c r="G106" s="162" t="n">
        <v>42878</v>
      </c>
      <c r="H106" s="162" t="n">
        <v>42909</v>
      </c>
      <c r="I106" s="116" t="n">
        <f aca="false">H106-G106</f>
        <v>31</v>
      </c>
      <c r="J106" s="122" t="n">
        <f aca="false">TRUNC(I106/30,0)</f>
        <v>1</v>
      </c>
      <c r="K106" s="180" t="s">
        <v>95</v>
      </c>
      <c r="L106" s="166" t="n">
        <v>3</v>
      </c>
      <c r="M106" s="167"/>
      <c r="N106" s="168"/>
      <c r="O106" s="169"/>
      <c r="P106" s="169"/>
      <c r="Q106" s="170" t="n">
        <v>0.0102939</v>
      </c>
      <c r="R106" s="171"/>
      <c r="S106" s="172" t="n">
        <v>0.012</v>
      </c>
      <c r="T106" s="171"/>
      <c r="U106" s="172"/>
      <c r="V106" s="172"/>
      <c r="W106" s="172"/>
      <c r="X106" s="172"/>
      <c r="Y106" s="173" t="n">
        <v>0.006663</v>
      </c>
      <c r="Z106" s="172" t="n">
        <v>0.002</v>
      </c>
      <c r="AA106" s="172" t="n">
        <v>0.0025</v>
      </c>
      <c r="AB106" s="174"/>
      <c r="AC106" s="174" t="n">
        <f aca="false">S106-Z106-AA106</f>
        <v>0.0075</v>
      </c>
      <c r="AD106" s="175" t="n">
        <v>0.008</v>
      </c>
      <c r="AE106" s="130" t="n">
        <f aca="false">IF(Y106="","",Y106)</f>
        <v>0.006663</v>
      </c>
      <c r="AF106" s="173"/>
      <c r="AG106" s="186"/>
      <c r="AH106" s="187"/>
      <c r="AI106" s="176"/>
      <c r="AJ106" s="116" t="str">
        <f aca="false">IF(AG106="","N","Y")</f>
        <v>N</v>
      </c>
      <c r="AK106" s="177"/>
      <c r="AL106" s="138"/>
    </row>
    <row r="107" s="140" customFormat="true" ht="23.25" hidden="false" customHeight="true" outlineLevel="0" collapsed="false">
      <c r="A107" s="116" t="n">
        <f aca="false">IF(B107="","",IF((YEAR(B107)-YEAR(B106))=0,A106+1,1))</f>
        <v>51</v>
      </c>
      <c r="B107" s="160" t="n">
        <v>42879</v>
      </c>
      <c r="C107" s="161" t="s">
        <v>133</v>
      </c>
      <c r="D107" s="161" t="s">
        <v>134</v>
      </c>
      <c r="E107" s="116"/>
      <c r="F107" s="116"/>
      <c r="G107" s="162" t="n">
        <v>42879</v>
      </c>
      <c r="H107" s="162" t="n">
        <v>43244</v>
      </c>
      <c r="I107" s="116" t="n">
        <f aca="false">H107-G107</f>
        <v>365</v>
      </c>
      <c r="J107" s="122" t="n">
        <f aca="false">TRUNC(I107/30,0)</f>
        <v>12</v>
      </c>
      <c r="K107" s="180" t="s">
        <v>95</v>
      </c>
      <c r="L107" s="166" t="n">
        <v>1.5</v>
      </c>
      <c r="M107" s="167"/>
      <c r="N107" s="168"/>
      <c r="O107" s="169"/>
      <c r="P107" s="169"/>
      <c r="Q107" s="170" t="n">
        <v>0.0171956</v>
      </c>
      <c r="R107" s="171"/>
      <c r="S107" s="172" t="n">
        <f aca="false">AVERAGE(0.02,0.018)</f>
        <v>0.019</v>
      </c>
      <c r="T107" s="171"/>
      <c r="U107" s="172"/>
      <c r="V107" s="172"/>
      <c r="W107" s="172"/>
      <c r="X107" s="172"/>
      <c r="Y107" s="173" t="n">
        <v>0.011826</v>
      </c>
      <c r="Z107" s="172" t="n">
        <v>0.0023</v>
      </c>
      <c r="AA107" s="172" t="n">
        <v>0.004</v>
      </c>
      <c r="AB107" s="174"/>
      <c r="AC107" s="174" t="n">
        <f aca="false">S107-Z107-AA107</f>
        <v>0.0127</v>
      </c>
      <c r="AD107" s="175" t="n">
        <v>0.013</v>
      </c>
      <c r="AE107" s="130" t="n">
        <f aca="false">IF(Y107="","",Y107)</f>
        <v>0.011826</v>
      </c>
      <c r="AF107" s="173"/>
      <c r="AG107" s="186"/>
      <c r="AH107" s="187"/>
      <c r="AI107" s="176"/>
      <c r="AJ107" s="116" t="str">
        <f aca="false">IF(AG107="","N","Y")</f>
        <v>N</v>
      </c>
      <c r="AK107" s="177"/>
      <c r="AL107" s="138"/>
    </row>
    <row r="108" s="140" customFormat="true" ht="23.25" hidden="false" customHeight="true" outlineLevel="0" collapsed="false">
      <c r="A108" s="116" t="n">
        <f aca="false">IF(B108="","",IF((YEAR(B108)-YEAR(B107))=0,A107+1,1))</f>
        <v>52</v>
      </c>
      <c r="B108" s="160" t="n">
        <v>42879</v>
      </c>
      <c r="C108" s="161" t="s">
        <v>100</v>
      </c>
      <c r="D108" s="161" t="s">
        <v>101</v>
      </c>
      <c r="E108" s="116"/>
      <c r="F108" s="161" t="s">
        <v>102</v>
      </c>
      <c r="G108" s="162" t="n">
        <v>42879</v>
      </c>
      <c r="H108" s="162" t="n">
        <v>42920</v>
      </c>
      <c r="I108" s="116" t="n">
        <f aca="false">H108-G108</f>
        <v>41</v>
      </c>
      <c r="J108" s="122" t="n">
        <f aca="false">TRUNC(I108/30,0)</f>
        <v>1</v>
      </c>
      <c r="K108" s="180" t="s">
        <v>95</v>
      </c>
      <c r="L108" s="166" t="n">
        <v>60</v>
      </c>
      <c r="M108" s="167"/>
      <c r="N108" s="168"/>
      <c r="O108" s="169"/>
      <c r="P108" s="169"/>
      <c r="Q108" s="170" t="n">
        <v>0.0102356</v>
      </c>
      <c r="R108" s="171"/>
      <c r="S108" s="172" t="n">
        <f aca="false">AVERAGE(0.0117,0.0115)</f>
        <v>0.0116</v>
      </c>
      <c r="T108" s="171"/>
      <c r="U108" s="172"/>
      <c r="V108" s="172"/>
      <c r="W108" s="172"/>
      <c r="X108" s="172"/>
      <c r="Y108" s="173" t="n">
        <v>0.006605</v>
      </c>
      <c r="Z108" s="172" t="n">
        <v>0.002</v>
      </c>
      <c r="AA108" s="172" t="n">
        <v>0.002</v>
      </c>
      <c r="AB108" s="174"/>
      <c r="AC108" s="174" t="n">
        <f aca="false">S108-Z108-AA108</f>
        <v>0.0076</v>
      </c>
      <c r="AD108" s="175" t="n">
        <v>0.0086</v>
      </c>
      <c r="AE108" s="130" t="n">
        <f aca="false">IF(Y108="","",Y108)</f>
        <v>0.006605</v>
      </c>
      <c r="AF108" s="173"/>
      <c r="AG108" s="186"/>
      <c r="AH108" s="187"/>
      <c r="AI108" s="176"/>
      <c r="AJ108" s="116" t="str">
        <f aca="false">IF(AG108="","N","Y")</f>
        <v>N</v>
      </c>
      <c r="AK108" s="177"/>
      <c r="AL108" s="138"/>
    </row>
    <row r="109" s="140" customFormat="true" ht="23.25" hidden="false" customHeight="true" outlineLevel="0" collapsed="false">
      <c r="A109" s="116" t="n">
        <f aca="false">IF(B109="","",IF((YEAR(B109)-YEAR(B108))=0,A108+1,1))</f>
        <v>53</v>
      </c>
      <c r="B109" s="160" t="n">
        <v>42880</v>
      </c>
      <c r="C109" s="161" t="s">
        <v>96</v>
      </c>
      <c r="D109" s="161" t="s">
        <v>97</v>
      </c>
      <c r="E109" s="116"/>
      <c r="F109" s="161" t="s">
        <v>98</v>
      </c>
      <c r="G109" s="162" t="n">
        <v>42880</v>
      </c>
      <c r="H109" s="162" t="n">
        <v>42911</v>
      </c>
      <c r="I109" s="116" t="n">
        <f aca="false">H109-G109</f>
        <v>31</v>
      </c>
      <c r="J109" s="122" t="n">
        <f aca="false">TRUNC(I109/30,0)</f>
        <v>1</v>
      </c>
      <c r="K109" s="180" t="s">
        <v>95</v>
      </c>
      <c r="L109" s="166" t="n">
        <v>100</v>
      </c>
      <c r="M109" s="167"/>
      <c r="N109" s="168"/>
      <c r="O109" s="169"/>
      <c r="P109" s="169"/>
      <c r="Q109" s="170" t="n">
        <v>0.0103272</v>
      </c>
      <c r="R109" s="171"/>
      <c r="S109" s="172" t="n">
        <f aca="false">AVERAGE(0.0117,0.0115)</f>
        <v>0.0116</v>
      </c>
      <c r="T109" s="171"/>
      <c r="U109" s="172"/>
      <c r="V109" s="172"/>
      <c r="W109" s="172"/>
      <c r="X109" s="172"/>
      <c r="Y109" s="173" t="n">
        <v>0.006695</v>
      </c>
      <c r="Z109" s="172" t="n">
        <v>0.002</v>
      </c>
      <c r="AA109" s="172" t="n">
        <v>0.002</v>
      </c>
      <c r="AB109" s="174"/>
      <c r="AC109" s="174" t="n">
        <f aca="false">S109-Z109-AA109</f>
        <v>0.0076</v>
      </c>
      <c r="AD109" s="175" t="n">
        <v>0.0086</v>
      </c>
      <c r="AE109" s="130" t="n">
        <f aca="false">IF(Y109="","",Y109)</f>
        <v>0.006695</v>
      </c>
      <c r="AF109" s="173"/>
      <c r="AG109" s="186"/>
      <c r="AH109" s="187"/>
      <c r="AI109" s="176"/>
      <c r="AJ109" s="116" t="str">
        <f aca="false">IF(AG109="","N","Y")</f>
        <v>N</v>
      </c>
      <c r="AK109" s="177"/>
      <c r="AL109" s="138"/>
    </row>
    <row r="110" s="140" customFormat="true" ht="23.25" hidden="false" customHeight="true" outlineLevel="0" collapsed="false">
      <c r="A110" s="116" t="n">
        <f aca="false">IF(B110="","",IF((YEAR(B110)-YEAR(B109))=0,A109+1,1))</f>
        <v>54</v>
      </c>
      <c r="B110" s="160" t="n">
        <v>42880</v>
      </c>
      <c r="C110" s="161" t="s">
        <v>96</v>
      </c>
      <c r="D110" s="161" t="s">
        <v>97</v>
      </c>
      <c r="E110" s="116"/>
      <c r="F110" s="161" t="s">
        <v>98</v>
      </c>
      <c r="G110" s="162" t="n">
        <v>42880</v>
      </c>
      <c r="H110" s="162" t="n">
        <v>42941</v>
      </c>
      <c r="I110" s="116" t="n">
        <f aca="false">H110-G110</f>
        <v>61</v>
      </c>
      <c r="J110" s="122" t="n">
        <f aca="false">TRUNC(I110/30,0)</f>
        <v>2</v>
      </c>
      <c r="K110" s="180" t="s">
        <v>95</v>
      </c>
      <c r="L110" s="166" t="n">
        <v>100</v>
      </c>
      <c r="M110" s="167"/>
      <c r="N110" s="168"/>
      <c r="O110" s="169"/>
      <c r="P110" s="169"/>
      <c r="Q110" s="170" t="n">
        <v>0.0111056</v>
      </c>
      <c r="R110" s="171"/>
      <c r="S110" s="172" t="n">
        <f aca="false">AVERAGE(0.013,0.014)</f>
        <v>0.0135</v>
      </c>
      <c r="T110" s="171"/>
      <c r="U110" s="172"/>
      <c r="V110" s="172"/>
      <c r="W110" s="172"/>
      <c r="X110" s="172"/>
      <c r="Y110" s="173" t="n">
        <v>0.007457</v>
      </c>
      <c r="Z110" s="172" t="n">
        <v>0.002</v>
      </c>
      <c r="AA110" s="172" t="n">
        <v>0.002</v>
      </c>
      <c r="AB110" s="174"/>
      <c r="AC110" s="174" t="n">
        <f aca="false">S110-Z110-AA110</f>
        <v>0.0095</v>
      </c>
      <c r="AD110" s="175" t="n">
        <v>0.011</v>
      </c>
      <c r="AE110" s="130" t="n">
        <f aca="false">IF(Y110="","",Y110)</f>
        <v>0.007457</v>
      </c>
      <c r="AF110" s="173"/>
      <c r="AG110" s="186"/>
      <c r="AH110" s="187"/>
      <c r="AI110" s="176"/>
      <c r="AJ110" s="116" t="str">
        <f aca="false">IF(AG110="","N","Y")</f>
        <v>N</v>
      </c>
      <c r="AK110" s="177"/>
      <c r="AL110" s="138"/>
    </row>
    <row r="111" s="140" customFormat="true" ht="23.25" hidden="false" customHeight="true" outlineLevel="0" collapsed="false">
      <c r="A111" s="116" t="n">
        <f aca="false">IF(B111="","",IF((YEAR(B111)-YEAR(B110))=0,A110+1,1))</f>
        <v>55</v>
      </c>
      <c r="B111" s="160" t="n">
        <v>42885</v>
      </c>
      <c r="C111" s="161" t="s">
        <v>100</v>
      </c>
      <c r="D111" s="161" t="s">
        <v>101</v>
      </c>
      <c r="E111" s="116"/>
      <c r="F111" s="161" t="s">
        <v>102</v>
      </c>
      <c r="G111" s="162" t="n">
        <v>42885</v>
      </c>
      <c r="H111" s="162" t="n">
        <v>42937</v>
      </c>
      <c r="I111" s="116" t="n">
        <f aca="false">H111-G111</f>
        <v>52</v>
      </c>
      <c r="J111" s="122" t="n">
        <f aca="false">TRUNC(I111/30,0)</f>
        <v>1</v>
      </c>
      <c r="K111" s="180" t="s">
        <v>95</v>
      </c>
      <c r="L111" s="166" t="n">
        <v>60</v>
      </c>
      <c r="M111" s="167"/>
      <c r="N111" s="168"/>
      <c r="O111" s="169"/>
      <c r="P111" s="169"/>
      <c r="Q111" s="170" t="n">
        <v>0.0104467</v>
      </c>
      <c r="R111" s="171"/>
      <c r="S111" s="172" t="n">
        <f aca="false">AVERAGE(0.0117,0.0128)</f>
        <v>0.01225</v>
      </c>
      <c r="T111" s="171"/>
      <c r="U111" s="172"/>
      <c r="V111" s="172"/>
      <c r="W111" s="172"/>
      <c r="X111" s="172"/>
      <c r="Y111" s="173" t="n">
        <v>0.006812</v>
      </c>
      <c r="Z111" s="172" t="n">
        <v>0.002</v>
      </c>
      <c r="AA111" s="172" t="n">
        <v>0.001</v>
      </c>
      <c r="AB111" s="174"/>
      <c r="AC111" s="174" t="n">
        <f aca="false">S111-Z111-AA111</f>
        <v>0.00925</v>
      </c>
      <c r="AD111" s="175" t="n">
        <v>0.009</v>
      </c>
      <c r="AE111" s="130" t="n">
        <f aca="false">IF(Y111="","",Y111)</f>
        <v>0.006812</v>
      </c>
      <c r="AF111" s="173"/>
      <c r="AG111" s="186"/>
      <c r="AH111" s="187"/>
      <c r="AI111" s="176"/>
      <c r="AJ111" s="116" t="str">
        <f aca="false">IF(AG111="","N","Y")</f>
        <v>N</v>
      </c>
      <c r="AK111" s="177"/>
      <c r="AL111" s="138"/>
    </row>
    <row r="112" s="140" customFormat="true" ht="23.25" hidden="false" customHeight="true" outlineLevel="0" collapsed="false">
      <c r="A112" s="116" t="n">
        <f aca="false">IF(B112="","",IF((YEAR(B112)-YEAR(B111))=0,A111+1,1))</f>
        <v>56</v>
      </c>
      <c r="B112" s="160" t="n">
        <v>42886</v>
      </c>
      <c r="C112" s="161" t="s">
        <v>96</v>
      </c>
      <c r="D112" s="161" t="s">
        <v>97</v>
      </c>
      <c r="E112" s="116"/>
      <c r="F112" s="161" t="s">
        <v>98</v>
      </c>
      <c r="G112" s="162" t="n">
        <v>42886</v>
      </c>
      <c r="H112" s="162" t="n">
        <v>42893</v>
      </c>
      <c r="I112" s="116" t="n">
        <f aca="false">H112-G112</f>
        <v>7</v>
      </c>
      <c r="J112" s="122" t="n">
        <f aca="false">TRUNC(I112/30,0)</f>
        <v>0</v>
      </c>
      <c r="K112" s="180" t="s">
        <v>95</v>
      </c>
      <c r="L112" s="166" t="n">
        <v>150</v>
      </c>
      <c r="M112" s="167"/>
      <c r="N112" s="168"/>
      <c r="O112" s="169"/>
      <c r="P112" s="169"/>
      <c r="Q112" s="170" t="n">
        <v>0.0095061</v>
      </c>
      <c r="R112" s="171"/>
      <c r="S112" s="172" t="n">
        <v>0.01</v>
      </c>
      <c r="T112" s="171"/>
      <c r="U112" s="172"/>
      <c r="V112" s="172"/>
      <c r="W112" s="172"/>
      <c r="X112" s="172"/>
      <c r="Y112" s="173" t="n">
        <v>0.005178</v>
      </c>
      <c r="Z112" s="172" t="n">
        <v>0.002</v>
      </c>
      <c r="AA112" s="172" t="n">
        <v>0.001</v>
      </c>
      <c r="AB112" s="174"/>
      <c r="AC112" s="174" t="n">
        <f aca="false">S112-Z112-AA112</f>
        <v>0.007</v>
      </c>
      <c r="AD112" s="175" t="n">
        <v>0.007</v>
      </c>
      <c r="AE112" s="130" t="n">
        <f aca="false">IF(Y112="","",Y112)</f>
        <v>0.005178</v>
      </c>
      <c r="AF112" s="173"/>
      <c r="AG112" s="186"/>
      <c r="AH112" s="187"/>
      <c r="AI112" s="176"/>
      <c r="AJ112" s="116" t="str">
        <f aca="false">IF(AG112="","N","Y")</f>
        <v>N</v>
      </c>
      <c r="AK112" s="177"/>
      <c r="AL112" s="138"/>
    </row>
    <row r="113" s="140" customFormat="true" ht="23.25" hidden="false" customHeight="true" outlineLevel="0" collapsed="false">
      <c r="A113" s="116" t="n">
        <f aca="false">IF(B113="","",IF((YEAR(B113)-YEAR(B112))=0,A112+1,1))</f>
        <v>57</v>
      </c>
      <c r="B113" s="160" t="n">
        <v>42886</v>
      </c>
      <c r="C113" s="161" t="s">
        <v>96</v>
      </c>
      <c r="D113" s="161" t="s">
        <v>97</v>
      </c>
      <c r="E113" s="116"/>
      <c r="F113" s="161" t="s">
        <v>98</v>
      </c>
      <c r="G113" s="162" t="n">
        <v>42886</v>
      </c>
      <c r="H113" s="162" t="n">
        <v>42916</v>
      </c>
      <c r="I113" s="116" t="n">
        <f aca="false">H113-G113</f>
        <v>30</v>
      </c>
      <c r="J113" s="122" t="n">
        <f aca="false">TRUNC(I113/30,0)</f>
        <v>1</v>
      </c>
      <c r="K113" s="181" t="s">
        <v>99</v>
      </c>
      <c r="L113" s="166" t="n">
        <v>80</v>
      </c>
      <c r="M113" s="167"/>
      <c r="N113" s="168"/>
      <c r="O113" s="169"/>
      <c r="P113" s="169"/>
      <c r="Q113" s="170" t="n">
        <v>0.0093111</v>
      </c>
      <c r="R113" s="171"/>
      <c r="S113" s="172" t="n">
        <v>0.0099</v>
      </c>
      <c r="T113" s="171"/>
      <c r="U113" s="172"/>
      <c r="V113" s="172"/>
      <c r="W113" s="172"/>
      <c r="X113" s="172"/>
      <c r="Y113" s="173" t="n">
        <v>0.004378</v>
      </c>
      <c r="Z113" s="172" t="n">
        <v>0.0032</v>
      </c>
      <c r="AA113" s="172" t="n">
        <v>0.001</v>
      </c>
      <c r="AB113" s="174"/>
      <c r="AC113" s="174" t="n">
        <f aca="false">S113-Z113-AA113</f>
        <v>0.0057</v>
      </c>
      <c r="AD113" s="175" t="n">
        <v>0.0065</v>
      </c>
      <c r="AE113" s="130" t="n">
        <f aca="false">IF(Y113="","",Y113)</f>
        <v>0.004378</v>
      </c>
      <c r="AF113" s="173"/>
      <c r="AG113" s="186"/>
      <c r="AH113" s="187"/>
      <c r="AI113" s="176"/>
      <c r="AJ113" s="116" t="str">
        <f aca="false">IF(AG113="","N","Y")</f>
        <v>N</v>
      </c>
      <c r="AK113" s="177"/>
      <c r="AL113" s="138"/>
    </row>
    <row r="114" s="140" customFormat="true" ht="23.25" hidden="false" customHeight="true" outlineLevel="0" collapsed="false">
      <c r="A114" s="116" t="n">
        <f aca="false">IF(B114="","",IF((YEAR(B114)-YEAR(B113))=0,A113+1,1))</f>
        <v>58</v>
      </c>
      <c r="B114" s="160" t="n">
        <v>42886</v>
      </c>
      <c r="C114" s="161" t="s">
        <v>127</v>
      </c>
      <c r="D114" s="161" t="s">
        <v>128</v>
      </c>
      <c r="E114" s="116"/>
      <c r="F114" s="161" t="s">
        <v>129</v>
      </c>
      <c r="G114" s="162" t="n">
        <v>42886</v>
      </c>
      <c r="H114" s="162" t="n">
        <v>42978</v>
      </c>
      <c r="I114" s="116" t="n">
        <f aca="false">H114-G114</f>
        <v>92</v>
      </c>
      <c r="J114" s="122" t="n">
        <f aca="false">TRUNC(I114/30,0)</f>
        <v>3</v>
      </c>
      <c r="K114" s="180" t="s">
        <v>95</v>
      </c>
      <c r="L114" s="166" t="n">
        <v>1</v>
      </c>
      <c r="M114" s="167"/>
      <c r="N114" s="168"/>
      <c r="O114" s="169"/>
      <c r="P114" s="169"/>
      <c r="Q114" s="170" t="n">
        <v>0.0120178</v>
      </c>
      <c r="R114" s="171"/>
      <c r="S114" s="172" t="n">
        <f aca="false">AVERAGE(0.015,0.015)</f>
        <v>0.015</v>
      </c>
      <c r="T114" s="171"/>
      <c r="U114" s="172"/>
      <c r="V114" s="172"/>
      <c r="W114" s="172"/>
      <c r="X114" s="172"/>
      <c r="Y114" s="173" t="n">
        <v>0.007756</v>
      </c>
      <c r="Z114" s="172" t="n">
        <v>0.002</v>
      </c>
      <c r="AA114" s="172" t="n">
        <v>0.0045</v>
      </c>
      <c r="AB114" s="174"/>
      <c r="AC114" s="174" t="n">
        <f aca="false">S114-Z114-AA114</f>
        <v>0.0085</v>
      </c>
      <c r="AD114" s="175" t="n">
        <v>0.0085</v>
      </c>
      <c r="AE114" s="130" t="n">
        <f aca="false">IF(Y114="","",Y114)</f>
        <v>0.007756</v>
      </c>
      <c r="AF114" s="173"/>
      <c r="AG114" s="186"/>
      <c r="AH114" s="187"/>
      <c r="AI114" s="176"/>
      <c r="AJ114" s="116" t="str">
        <f aca="false">IF(AG114="","N","Y")</f>
        <v>N</v>
      </c>
      <c r="AK114" s="177"/>
      <c r="AL114" s="138"/>
    </row>
    <row r="115" s="38" customFormat="true" ht="23.25" hidden="false" customHeight="true" outlineLevel="0" collapsed="false">
      <c r="A115" s="19" t="n">
        <f aca="false">IF(B115="","",IF((YEAR(B115)-YEAR(B114))=0,A114+1,1))</f>
        <v>59</v>
      </c>
      <c r="B115" s="141" t="n">
        <v>42893</v>
      </c>
      <c r="C115" s="63" t="s">
        <v>100</v>
      </c>
      <c r="D115" s="63" t="s">
        <v>101</v>
      </c>
      <c r="E115" s="19"/>
      <c r="F115" s="63" t="s">
        <v>102</v>
      </c>
      <c r="G115" s="142" t="n">
        <v>42893</v>
      </c>
      <c r="H115" s="142" t="n">
        <v>42914</v>
      </c>
      <c r="I115" s="19" t="n">
        <f aca="false">H115-G115</f>
        <v>21</v>
      </c>
      <c r="J115" s="100" t="n">
        <f aca="false">TRUNC(I115/30,0)</f>
        <v>0</v>
      </c>
      <c r="K115" s="183" t="s">
        <v>95</v>
      </c>
      <c r="L115" s="146" t="n">
        <v>50</v>
      </c>
      <c r="M115" s="147"/>
      <c r="N115" s="148"/>
      <c r="O115" s="149"/>
      <c r="P115" s="149"/>
      <c r="Q115" s="150" t="n">
        <v>0.0108867</v>
      </c>
      <c r="R115" s="151"/>
      <c r="S115" s="152" t="n">
        <f aca="false">AVERAGE(0.0117,0.0125)</f>
        <v>0.0121</v>
      </c>
      <c r="T115" s="151"/>
      <c r="U115" s="152"/>
      <c r="V115" s="152"/>
      <c r="W115" s="152"/>
      <c r="X115" s="152"/>
      <c r="Y115" s="153" t="n">
        <v>0.005202</v>
      </c>
      <c r="Z115" s="152" t="n">
        <v>0.002</v>
      </c>
      <c r="AA115" s="152" t="n">
        <v>0.002</v>
      </c>
      <c r="AB115" s="154"/>
      <c r="AC115" s="154" t="n">
        <f aca="false">S115-Z115-AA115</f>
        <v>0.0081</v>
      </c>
      <c r="AD115" s="155" t="n">
        <v>0.0085</v>
      </c>
      <c r="AE115" s="156" t="n">
        <f aca="false">IF(Y115="","",Y115)</f>
        <v>0.005202</v>
      </c>
      <c r="AF115" s="153"/>
      <c r="AG115" s="184" t="n">
        <v>0.008</v>
      </c>
      <c r="AH115" s="185"/>
      <c r="AI115" s="35"/>
      <c r="AJ115" s="19" t="str">
        <f aca="false">IF(AG115="","N","Y")</f>
        <v>Y</v>
      </c>
      <c r="AK115" s="159"/>
      <c r="AL115" s="36"/>
    </row>
    <row r="116" s="140" customFormat="true" ht="23.25" hidden="false" customHeight="true" outlineLevel="0" collapsed="false">
      <c r="A116" s="116" t="n">
        <f aca="false">IF(B116="","",IF((YEAR(B116)-YEAR(B115))=0,A115+1,1))</f>
        <v>60</v>
      </c>
      <c r="B116" s="160" t="n">
        <v>42893</v>
      </c>
      <c r="C116" s="161" t="s">
        <v>96</v>
      </c>
      <c r="D116" s="161" t="s">
        <v>97</v>
      </c>
      <c r="E116" s="116"/>
      <c r="F116" s="161" t="s">
        <v>98</v>
      </c>
      <c r="G116" s="162" t="n">
        <v>42893</v>
      </c>
      <c r="H116" s="162" t="n">
        <v>42900</v>
      </c>
      <c r="I116" s="116" t="n">
        <f aca="false">H116-G116</f>
        <v>7</v>
      </c>
      <c r="J116" s="122" t="n">
        <f aca="false">TRUNC(I116/30,0)</f>
        <v>0</v>
      </c>
      <c r="K116" s="180" t="s">
        <v>95</v>
      </c>
      <c r="L116" s="166" t="n">
        <v>50</v>
      </c>
      <c r="M116" s="167"/>
      <c r="N116" s="168"/>
      <c r="O116" s="169"/>
      <c r="P116" s="169"/>
      <c r="Q116" s="170" t="n">
        <v>0.0095322</v>
      </c>
      <c r="R116" s="171"/>
      <c r="S116" s="172" t="n">
        <v>0.01</v>
      </c>
      <c r="T116" s="171"/>
      <c r="U116" s="172"/>
      <c r="V116" s="172"/>
      <c r="W116" s="172"/>
      <c r="X116" s="172"/>
      <c r="Y116" s="173" t="n">
        <v>0.005202</v>
      </c>
      <c r="Z116" s="172" t="n">
        <v>0.002</v>
      </c>
      <c r="AA116" s="172" t="n">
        <v>0.002</v>
      </c>
      <c r="AB116" s="174"/>
      <c r="AC116" s="174" t="n">
        <f aca="false">S116-Z116-AA116</f>
        <v>0.006</v>
      </c>
      <c r="AD116" s="175" t="n">
        <v>0.007</v>
      </c>
      <c r="AE116" s="130" t="n">
        <f aca="false">IF(Y116="","",Y116)</f>
        <v>0.005202</v>
      </c>
      <c r="AF116" s="173"/>
      <c r="AG116" s="186"/>
      <c r="AH116" s="187"/>
      <c r="AI116" s="176"/>
      <c r="AJ116" s="116" t="str">
        <f aca="false">IF(AG116="","N","Y")</f>
        <v>N</v>
      </c>
      <c r="AK116" s="177"/>
      <c r="AL116" s="138"/>
    </row>
    <row r="117" s="140" customFormat="true" ht="23.25" hidden="false" customHeight="true" outlineLevel="0" collapsed="false">
      <c r="A117" s="116" t="n">
        <f aca="false">IF(B117="","",IF((YEAR(B117)-YEAR(B116))=0,A116+1,1))</f>
        <v>61</v>
      </c>
      <c r="B117" s="160" t="n">
        <v>42893</v>
      </c>
      <c r="C117" s="161" t="s">
        <v>96</v>
      </c>
      <c r="D117" s="161" t="s">
        <v>97</v>
      </c>
      <c r="E117" s="116"/>
      <c r="F117" s="161" t="s">
        <v>98</v>
      </c>
      <c r="G117" s="162" t="n">
        <v>42893</v>
      </c>
      <c r="H117" s="162" t="n">
        <v>42923</v>
      </c>
      <c r="I117" s="116" t="n">
        <f aca="false">H117-G117</f>
        <v>30</v>
      </c>
      <c r="J117" s="122" t="n">
        <f aca="false">TRUNC(I117/30,0)</f>
        <v>1</v>
      </c>
      <c r="K117" s="181" t="s">
        <v>99</v>
      </c>
      <c r="L117" s="166" t="n">
        <v>50</v>
      </c>
      <c r="M117" s="167"/>
      <c r="N117" s="168"/>
      <c r="O117" s="169"/>
      <c r="P117" s="169"/>
      <c r="Q117" s="170" t="n">
        <v>0.0093056</v>
      </c>
      <c r="R117" s="171"/>
      <c r="S117" s="172" t="n">
        <v>0.0099</v>
      </c>
      <c r="T117" s="171"/>
      <c r="U117" s="172"/>
      <c r="V117" s="172"/>
      <c r="W117" s="172"/>
      <c r="X117" s="172"/>
      <c r="Y117" s="173" t="n">
        <v>0.004402</v>
      </c>
      <c r="Z117" s="172" t="n">
        <v>0.0032</v>
      </c>
      <c r="AA117" s="172" t="n">
        <v>0.002</v>
      </c>
      <c r="AB117" s="174"/>
      <c r="AC117" s="174" t="n">
        <f aca="false">S117-Z117-AA117</f>
        <v>0.0047</v>
      </c>
      <c r="AD117" s="175" t="n">
        <v>0.0065</v>
      </c>
      <c r="AE117" s="130" t="n">
        <f aca="false">IF(Y117="","",Y117)</f>
        <v>0.004402</v>
      </c>
      <c r="AF117" s="173"/>
      <c r="AG117" s="186"/>
      <c r="AH117" s="187"/>
      <c r="AI117" s="176"/>
      <c r="AJ117" s="116" t="str">
        <f aca="false">IF(AG117="","N","Y")</f>
        <v>N</v>
      </c>
      <c r="AK117" s="177"/>
      <c r="AL117" s="138"/>
    </row>
    <row r="118" s="140" customFormat="true" ht="23.25" hidden="false" customHeight="true" outlineLevel="0" collapsed="false">
      <c r="A118" s="116" t="n">
        <f aca="false">IF(B118="","",IF((YEAR(B118)-YEAR(B117))=0,A117+1,1))</f>
        <v>62</v>
      </c>
      <c r="B118" s="160" t="n">
        <v>42902</v>
      </c>
      <c r="C118" s="161" t="s">
        <v>96</v>
      </c>
      <c r="D118" s="161" t="s">
        <v>97</v>
      </c>
      <c r="E118" s="116"/>
      <c r="F118" s="161" t="s">
        <v>98</v>
      </c>
      <c r="G118" s="162" t="n">
        <v>42902</v>
      </c>
      <c r="H118" s="162" t="n">
        <v>42933</v>
      </c>
      <c r="I118" s="116" t="n">
        <f aca="false">H118-G118</f>
        <v>31</v>
      </c>
      <c r="J118" s="122" t="n">
        <f aca="false">TRUNC(I118/30,0)</f>
        <v>1</v>
      </c>
      <c r="K118" s="181" t="s">
        <v>99</v>
      </c>
      <c r="L118" s="166" t="n">
        <v>50</v>
      </c>
      <c r="M118" s="167"/>
      <c r="N118" s="168"/>
      <c r="O118" s="169"/>
      <c r="P118" s="169"/>
      <c r="Q118" s="170" t="n">
        <v>0.01175</v>
      </c>
      <c r="R118" s="171"/>
      <c r="S118" s="172" t="n">
        <f aca="false">AVERAGE(0.0122,0.0123,0.0121,0.0122)</f>
        <v>0.0122</v>
      </c>
      <c r="T118" s="171"/>
      <c r="U118" s="172"/>
      <c r="V118" s="172"/>
      <c r="W118" s="172"/>
      <c r="X118" s="172"/>
      <c r="Y118" s="173" t="n">
        <v>0.006588</v>
      </c>
      <c r="Z118" s="172" t="n">
        <v>0.0032</v>
      </c>
      <c r="AA118" s="172" t="n">
        <v>0.0015</v>
      </c>
      <c r="AB118" s="174"/>
      <c r="AC118" s="174" t="n">
        <f aca="false">S118-Z118-AA118</f>
        <v>0.0075</v>
      </c>
      <c r="AD118" s="175" t="n">
        <v>0.0075</v>
      </c>
      <c r="AE118" s="130" t="n">
        <f aca="false">IF(Y118="","",Y118)</f>
        <v>0.006588</v>
      </c>
      <c r="AF118" s="173"/>
      <c r="AG118" s="186"/>
      <c r="AH118" s="187"/>
      <c r="AI118" s="176"/>
      <c r="AJ118" s="116" t="str">
        <f aca="false">IF(AG118="","N","Y")</f>
        <v>N</v>
      </c>
      <c r="AK118" s="177"/>
      <c r="AL118" s="138"/>
    </row>
    <row r="119" s="140" customFormat="true" ht="23.25" hidden="false" customHeight="true" outlineLevel="0" collapsed="false">
      <c r="A119" s="116" t="n">
        <f aca="false">IF(B119="","",IF((YEAR(B119)-YEAR(B118))=0,A118+1,1))</f>
        <v>63</v>
      </c>
      <c r="B119" s="160" t="n">
        <v>42905</v>
      </c>
      <c r="C119" s="161" t="s">
        <v>96</v>
      </c>
      <c r="D119" s="161" t="s">
        <v>119</v>
      </c>
      <c r="E119" s="116"/>
      <c r="F119" s="161" t="s">
        <v>135</v>
      </c>
      <c r="G119" s="162" t="n">
        <v>42905</v>
      </c>
      <c r="H119" s="162" t="n">
        <v>42997</v>
      </c>
      <c r="I119" s="116" t="n">
        <f aca="false">H119-G119</f>
        <v>92</v>
      </c>
      <c r="J119" s="122" t="n">
        <f aca="false">TRUNC(I119/30,0)</f>
        <v>3</v>
      </c>
      <c r="K119" s="180" t="s">
        <v>95</v>
      </c>
      <c r="L119" s="166" t="n">
        <v>13</v>
      </c>
      <c r="M119" s="167"/>
      <c r="N119" s="168"/>
      <c r="O119" s="169"/>
      <c r="P119" s="169"/>
      <c r="Q119" s="170" t="n">
        <v>0.0127356</v>
      </c>
      <c r="R119" s="171"/>
      <c r="S119" s="172" t="n">
        <f aca="false">AVERAGE(0.0134,0.014,0.0185)</f>
        <v>0.0153</v>
      </c>
      <c r="T119" s="171"/>
      <c r="U119" s="172"/>
      <c r="V119" s="172"/>
      <c r="W119" s="172"/>
      <c r="X119" s="172"/>
      <c r="Y119" s="173" t="n">
        <v>0.008555</v>
      </c>
      <c r="Z119" s="172" t="n">
        <v>0.002</v>
      </c>
      <c r="AA119" s="172" t="n">
        <v>0.002</v>
      </c>
      <c r="AB119" s="174"/>
      <c r="AC119" s="174" t="n">
        <f aca="false">S119-Z119-AA119</f>
        <v>0.0113</v>
      </c>
      <c r="AD119" s="175" t="n">
        <v>0.0105</v>
      </c>
      <c r="AE119" s="130" t="n">
        <f aca="false">IF(Y119="","",Y119)</f>
        <v>0.008555</v>
      </c>
      <c r="AF119" s="173"/>
      <c r="AG119" s="186"/>
      <c r="AH119" s="187"/>
      <c r="AI119" s="176"/>
      <c r="AJ119" s="116" t="str">
        <f aca="false">IF(AG119="","N","Y")</f>
        <v>N</v>
      </c>
      <c r="AK119" s="177"/>
      <c r="AL119" s="138"/>
    </row>
    <row r="120" s="140" customFormat="true" ht="23.25" hidden="false" customHeight="true" outlineLevel="0" collapsed="false">
      <c r="A120" s="116" t="n">
        <f aca="false">IF(B120="","",IF((YEAR(B120)-YEAR(B119))=0,A119+1,1))</f>
        <v>64</v>
      </c>
      <c r="B120" s="160" t="n">
        <v>42905</v>
      </c>
      <c r="C120" s="161" t="s">
        <v>103</v>
      </c>
      <c r="D120" s="161" t="s">
        <v>104</v>
      </c>
      <c r="E120" s="116"/>
      <c r="F120" s="161" t="s">
        <v>136</v>
      </c>
      <c r="G120" s="162" t="n">
        <v>42905</v>
      </c>
      <c r="H120" s="162" t="n">
        <v>42935</v>
      </c>
      <c r="I120" s="116" t="n">
        <f aca="false">H120-G120</f>
        <v>30</v>
      </c>
      <c r="J120" s="122" t="n">
        <f aca="false">TRUNC(I120/30,0)</f>
        <v>1</v>
      </c>
      <c r="K120" s="181" t="s">
        <v>99</v>
      </c>
      <c r="L120" s="166" t="n">
        <v>10</v>
      </c>
      <c r="M120" s="167"/>
      <c r="N120" s="168"/>
      <c r="O120" s="169"/>
      <c r="P120" s="169"/>
      <c r="Q120" s="170" t="n">
        <v>0.0117722</v>
      </c>
      <c r="R120" s="171"/>
      <c r="S120" s="172" t="n">
        <f aca="false">AVERAGE(0.0122,0.0121,0.0122)</f>
        <v>0.0121666666666667</v>
      </c>
      <c r="T120" s="171"/>
      <c r="U120" s="172"/>
      <c r="V120" s="172"/>
      <c r="W120" s="172"/>
      <c r="X120" s="172"/>
      <c r="Y120" s="173" t="n">
        <v>0.006604</v>
      </c>
      <c r="Z120" s="172" t="n">
        <v>0.0032</v>
      </c>
      <c r="AA120" s="172" t="n">
        <v>0.0015</v>
      </c>
      <c r="AB120" s="174"/>
      <c r="AC120" s="174" t="n">
        <f aca="false">S120-Z120-AA120</f>
        <v>0.00746666666666667</v>
      </c>
      <c r="AD120" s="175" t="n">
        <v>0.006604</v>
      </c>
      <c r="AE120" s="130" t="n">
        <f aca="false">IF(Y120="","",Y120)</f>
        <v>0.006604</v>
      </c>
      <c r="AF120" s="173"/>
      <c r="AG120" s="186"/>
      <c r="AH120" s="187"/>
      <c r="AI120" s="176"/>
      <c r="AJ120" s="116" t="str">
        <f aca="false">IF(AG120="","N","Y")</f>
        <v>N</v>
      </c>
      <c r="AK120" s="177"/>
      <c r="AL120" s="138"/>
    </row>
    <row r="121" s="38" customFormat="true" ht="23.25" hidden="false" customHeight="true" outlineLevel="0" collapsed="false">
      <c r="A121" s="19" t="n">
        <f aca="false">IF(B121="","",IF((YEAR(B121)-YEAR(B120))=0,A120+1,1))</f>
        <v>65</v>
      </c>
      <c r="B121" s="141" t="n">
        <v>42906</v>
      </c>
      <c r="C121" s="63" t="s">
        <v>96</v>
      </c>
      <c r="D121" s="63" t="s">
        <v>119</v>
      </c>
      <c r="E121" s="19"/>
      <c r="F121" s="63" t="s">
        <v>137</v>
      </c>
      <c r="G121" s="142" t="n">
        <v>42906</v>
      </c>
      <c r="H121" s="142" t="n">
        <v>42936</v>
      </c>
      <c r="I121" s="19" t="n">
        <f aca="false">H121-G121</f>
        <v>30</v>
      </c>
      <c r="J121" s="100" t="n">
        <f aca="false">TRUNC(I121/30,0)</f>
        <v>1</v>
      </c>
      <c r="K121" s="189" t="s">
        <v>99</v>
      </c>
      <c r="L121" s="146" t="n">
        <v>13.22</v>
      </c>
      <c r="M121" s="147"/>
      <c r="N121" s="148"/>
      <c r="O121" s="149"/>
      <c r="P121" s="149"/>
      <c r="Q121" s="150" t="n">
        <v>0.0117667</v>
      </c>
      <c r="R121" s="151"/>
      <c r="S121" s="152" t="n">
        <f aca="false">AVERAGE(0.0122,0.0121,0.0122)</f>
        <v>0.0121666666666667</v>
      </c>
      <c r="T121" s="151"/>
      <c r="U121" s="152"/>
      <c r="V121" s="152"/>
      <c r="W121" s="152"/>
      <c r="X121" s="152"/>
      <c r="Y121" s="153" t="n">
        <v>0.00663</v>
      </c>
      <c r="Z121" s="152" t="n">
        <v>0.0032</v>
      </c>
      <c r="AA121" s="152" t="n">
        <v>0.0015</v>
      </c>
      <c r="AB121" s="154"/>
      <c r="AC121" s="154" t="n">
        <f aca="false">S121-Z121-AA121</f>
        <v>0.00746666666666667</v>
      </c>
      <c r="AD121" s="155" t="n">
        <v>0.0078</v>
      </c>
      <c r="AE121" s="156" t="n">
        <f aca="false">IF(Y121="","",Y121)</f>
        <v>0.00663</v>
      </c>
      <c r="AF121" s="153"/>
      <c r="AG121" s="184" t="n">
        <v>0.0078</v>
      </c>
      <c r="AH121" s="185"/>
      <c r="AI121" s="35"/>
      <c r="AJ121" s="19" t="str">
        <f aca="false">IF(AG121="","N","Y")</f>
        <v>Y</v>
      </c>
      <c r="AK121" s="159"/>
      <c r="AL121" s="36"/>
    </row>
    <row r="122" s="140" customFormat="true" ht="23.25" hidden="false" customHeight="true" outlineLevel="0" collapsed="false">
      <c r="A122" s="116" t="n">
        <f aca="false">IF(B122="","",IF((YEAR(B122)-YEAR(B121))=0,A121+1,1))</f>
        <v>66</v>
      </c>
      <c r="B122" s="160" t="n">
        <v>42906</v>
      </c>
      <c r="C122" s="161" t="s">
        <v>100</v>
      </c>
      <c r="D122" s="161" t="s">
        <v>101</v>
      </c>
      <c r="E122" s="116"/>
      <c r="F122" s="161" t="s">
        <v>102</v>
      </c>
      <c r="G122" s="162" t="n">
        <v>42906</v>
      </c>
      <c r="H122" s="162" t="n">
        <v>42971</v>
      </c>
      <c r="I122" s="116" t="n">
        <f aca="false">H122-G122</f>
        <v>65</v>
      </c>
      <c r="J122" s="122" t="n">
        <f aca="false">TRUNC(I122/30,0)</f>
        <v>2</v>
      </c>
      <c r="K122" s="180" t="s">
        <v>95</v>
      </c>
      <c r="L122" s="166" t="n">
        <v>40</v>
      </c>
      <c r="M122" s="167"/>
      <c r="N122" s="168"/>
      <c r="O122" s="169"/>
      <c r="P122" s="169"/>
      <c r="Q122" s="170" t="n">
        <v>0.0124611</v>
      </c>
      <c r="R122" s="171"/>
      <c r="S122" s="172" t="n">
        <v>0.014</v>
      </c>
      <c r="T122" s="171"/>
      <c r="U122" s="172"/>
      <c r="V122" s="172"/>
      <c r="W122" s="172"/>
      <c r="X122" s="172"/>
      <c r="Y122" s="173" t="n">
        <v>0.008487</v>
      </c>
      <c r="Z122" s="172" t="n">
        <v>0.002</v>
      </c>
      <c r="AA122" s="172" t="n">
        <v>0.002</v>
      </c>
      <c r="AB122" s="174"/>
      <c r="AC122" s="174" t="n">
        <f aca="false">S122-Z122-AA122</f>
        <v>0.01</v>
      </c>
      <c r="AD122" s="175" t="n">
        <v>0.0105</v>
      </c>
      <c r="AE122" s="130" t="n">
        <f aca="false">IF(Y122="","",Y122)</f>
        <v>0.008487</v>
      </c>
      <c r="AF122" s="173"/>
      <c r="AG122" s="186"/>
      <c r="AH122" s="187"/>
      <c r="AI122" s="176"/>
      <c r="AJ122" s="116" t="str">
        <f aca="false">IF(AG122="","N","Y")</f>
        <v>N</v>
      </c>
      <c r="AK122" s="177"/>
      <c r="AL122" s="138"/>
    </row>
    <row r="123" s="140" customFormat="true" ht="23.25" hidden="false" customHeight="true" outlineLevel="0" collapsed="false">
      <c r="A123" s="116" t="n">
        <f aca="false">IF(B123="","",IF((YEAR(B123)-YEAR(B122))=0,A122+1,1))</f>
        <v>67</v>
      </c>
      <c r="B123" s="160" t="n">
        <v>42908</v>
      </c>
      <c r="C123" s="161" t="s">
        <v>96</v>
      </c>
      <c r="D123" s="161" t="s">
        <v>97</v>
      </c>
      <c r="E123" s="116"/>
      <c r="F123" s="161" t="s">
        <v>98</v>
      </c>
      <c r="G123" s="162" t="n">
        <v>42908</v>
      </c>
      <c r="H123" s="162" t="n">
        <v>42940</v>
      </c>
      <c r="I123" s="116" t="n">
        <f aca="false">H123-G123</f>
        <v>32</v>
      </c>
      <c r="J123" s="122" t="n">
        <f aca="false">TRUNC(I123/30,0)</f>
        <v>1</v>
      </c>
      <c r="K123" s="180" t="s">
        <v>95</v>
      </c>
      <c r="L123" s="166" t="n">
        <v>50</v>
      </c>
      <c r="M123" s="167"/>
      <c r="N123" s="168"/>
      <c r="O123" s="169"/>
      <c r="P123" s="169"/>
      <c r="Q123" s="170" t="n">
        <v>0.0121556</v>
      </c>
      <c r="R123" s="171"/>
      <c r="S123" s="172" t="n">
        <f aca="false">AVERAGE(0.018,0.014,0.0125)</f>
        <v>0.0148333333333333</v>
      </c>
      <c r="T123" s="171"/>
      <c r="U123" s="172"/>
      <c r="V123" s="172"/>
      <c r="W123" s="172"/>
      <c r="X123" s="172"/>
      <c r="Y123" s="173" t="n">
        <v>0.006587</v>
      </c>
      <c r="Z123" s="172" t="n">
        <v>0.002</v>
      </c>
      <c r="AA123" s="172" t="n">
        <v>0.002</v>
      </c>
      <c r="AB123" s="174"/>
      <c r="AC123" s="174" t="n">
        <f aca="false">S123-Z123-AA123</f>
        <v>0.0108333333333333</v>
      </c>
      <c r="AD123" s="175" t="n">
        <v>0.0095</v>
      </c>
      <c r="AE123" s="130" t="n">
        <f aca="false">IF(Y123="","",Y123)</f>
        <v>0.006587</v>
      </c>
      <c r="AF123" s="173"/>
      <c r="AG123" s="186"/>
      <c r="AH123" s="187"/>
      <c r="AI123" s="176"/>
      <c r="AJ123" s="116" t="str">
        <f aca="false">IF(AG123="","N","Y")</f>
        <v>N</v>
      </c>
      <c r="AK123" s="177"/>
      <c r="AL123" s="138"/>
    </row>
    <row r="124" s="140" customFormat="true" ht="23.25" hidden="false" customHeight="true" outlineLevel="0" collapsed="false">
      <c r="A124" s="116" t="n">
        <f aca="false">IF(B124="","",IF((YEAR(B124)-YEAR(B123))=0,A123+1,1))</f>
        <v>68</v>
      </c>
      <c r="B124" s="160" t="n">
        <v>42908</v>
      </c>
      <c r="C124" s="161" t="s">
        <v>96</v>
      </c>
      <c r="D124" s="161" t="s">
        <v>97</v>
      </c>
      <c r="E124" s="116"/>
      <c r="F124" s="161" t="s">
        <v>98</v>
      </c>
      <c r="G124" s="162" t="n">
        <v>42908</v>
      </c>
      <c r="H124" s="162" t="n">
        <v>42969</v>
      </c>
      <c r="I124" s="116" t="n">
        <f aca="false">H124-G124</f>
        <v>61</v>
      </c>
      <c r="J124" s="122" t="n">
        <f aca="false">TRUNC(I124/30,0)</f>
        <v>2</v>
      </c>
      <c r="K124" s="180" t="s">
        <v>95</v>
      </c>
      <c r="L124" s="166" t="n">
        <v>50</v>
      </c>
      <c r="M124" s="167"/>
      <c r="N124" s="168"/>
      <c r="O124" s="169"/>
      <c r="P124" s="169"/>
      <c r="Q124" s="170" t="n">
        <v>0.0125056</v>
      </c>
      <c r="R124" s="171"/>
      <c r="S124" s="172" t="n">
        <f aca="false">AVERAGE(0.016,0.0165)</f>
        <v>0.01625</v>
      </c>
      <c r="T124" s="171"/>
      <c r="U124" s="172"/>
      <c r="V124" s="172"/>
      <c r="W124" s="172"/>
      <c r="X124" s="172"/>
      <c r="Y124" s="173" t="n">
        <v>0.006929</v>
      </c>
      <c r="Z124" s="172" t="n">
        <v>0.002</v>
      </c>
      <c r="AA124" s="172" t="n">
        <v>0.002</v>
      </c>
      <c r="AB124" s="174"/>
      <c r="AC124" s="174" t="n">
        <f aca="false">S124-Z124-AA124</f>
        <v>0.01225</v>
      </c>
      <c r="AD124" s="175" t="n">
        <v>0.01</v>
      </c>
      <c r="AE124" s="130" t="n">
        <f aca="false">IF(Y124="","",Y124)</f>
        <v>0.006929</v>
      </c>
      <c r="AF124" s="173"/>
      <c r="AG124" s="186"/>
      <c r="AH124" s="187"/>
      <c r="AI124" s="176"/>
      <c r="AJ124" s="116" t="str">
        <f aca="false">IF(AG124="","N","Y")</f>
        <v>N</v>
      </c>
      <c r="AK124" s="177"/>
      <c r="AL124" s="138"/>
    </row>
    <row r="125" s="140" customFormat="true" ht="23.25" hidden="false" customHeight="true" outlineLevel="0" collapsed="false">
      <c r="A125" s="116" t="n">
        <f aca="false">IF(B125="","",IF((YEAR(B125)-YEAR(B124))=0,A124+1,1))</f>
        <v>69</v>
      </c>
      <c r="B125" s="160" t="n">
        <v>42908</v>
      </c>
      <c r="C125" s="161" t="s">
        <v>96</v>
      </c>
      <c r="D125" s="161" t="s">
        <v>97</v>
      </c>
      <c r="E125" s="116"/>
      <c r="F125" s="161" t="s">
        <v>98</v>
      </c>
      <c r="G125" s="162" t="n">
        <v>42908</v>
      </c>
      <c r="H125" s="162" t="n">
        <v>43000</v>
      </c>
      <c r="I125" s="116" t="n">
        <f aca="false">H125-G125</f>
        <v>92</v>
      </c>
      <c r="J125" s="122" t="n">
        <f aca="false">TRUNC(I125/30,0)</f>
        <v>3</v>
      </c>
      <c r="K125" s="180" t="s">
        <v>95</v>
      </c>
      <c r="L125" s="166" t="n">
        <v>50</v>
      </c>
      <c r="M125" s="167"/>
      <c r="N125" s="168"/>
      <c r="O125" s="169"/>
      <c r="P125" s="169"/>
      <c r="Q125" s="170" t="n">
        <v>0.0128944</v>
      </c>
      <c r="R125" s="171"/>
      <c r="S125" s="172" t="n">
        <f aca="false">AVERAGE(0.016,0.018)</f>
        <v>0.017</v>
      </c>
      <c r="T125" s="171"/>
      <c r="U125" s="172"/>
      <c r="V125" s="172"/>
      <c r="W125" s="172"/>
      <c r="X125" s="172"/>
      <c r="Y125" s="173" t="n">
        <v>0.008511</v>
      </c>
      <c r="Z125" s="172" t="n">
        <v>0.002</v>
      </c>
      <c r="AA125" s="172" t="n">
        <v>0.002</v>
      </c>
      <c r="AB125" s="174"/>
      <c r="AC125" s="174" t="n">
        <f aca="false">S125-Z125-AA125</f>
        <v>0.013</v>
      </c>
      <c r="AD125" s="175" t="n">
        <v>0.011</v>
      </c>
      <c r="AE125" s="130" t="n">
        <f aca="false">IF(Y125="","",Y125)</f>
        <v>0.008511</v>
      </c>
      <c r="AF125" s="173"/>
      <c r="AG125" s="186"/>
      <c r="AH125" s="187"/>
      <c r="AI125" s="176"/>
      <c r="AJ125" s="116" t="str">
        <f aca="false">IF(AG125="","N","Y")</f>
        <v>N</v>
      </c>
      <c r="AK125" s="177"/>
      <c r="AL125" s="138"/>
    </row>
    <row r="126" s="140" customFormat="true" ht="23.25" hidden="false" customHeight="true" outlineLevel="0" collapsed="false">
      <c r="A126" s="116" t="n">
        <f aca="false">IF(B126="","",IF((YEAR(B126)-YEAR(B125))=0,A125+1,1))</f>
        <v>70</v>
      </c>
      <c r="B126" s="160" t="n">
        <v>42908</v>
      </c>
      <c r="C126" s="161" t="s">
        <v>124</v>
      </c>
      <c r="D126" s="161" t="s">
        <v>125</v>
      </c>
      <c r="E126" s="116"/>
      <c r="F126" s="161" t="s">
        <v>126</v>
      </c>
      <c r="G126" s="162" t="n">
        <v>42908</v>
      </c>
      <c r="H126" s="162" t="n">
        <v>42938</v>
      </c>
      <c r="I126" s="116" t="n">
        <f aca="false">H126-G126</f>
        <v>30</v>
      </c>
      <c r="J126" s="122" t="n">
        <f aca="false">TRUNC(I126/30,0)</f>
        <v>1</v>
      </c>
      <c r="K126" s="180" t="s">
        <v>95</v>
      </c>
      <c r="L126" s="166" t="n">
        <v>20</v>
      </c>
      <c r="M126" s="167"/>
      <c r="N126" s="168"/>
      <c r="O126" s="169"/>
      <c r="P126" s="169"/>
      <c r="Q126" s="170" t="n">
        <v>0.0121556</v>
      </c>
      <c r="R126" s="171"/>
      <c r="S126" s="172" t="n">
        <v>0.013</v>
      </c>
      <c r="T126" s="171"/>
      <c r="U126" s="172"/>
      <c r="V126" s="172"/>
      <c r="W126" s="172"/>
      <c r="X126" s="172"/>
      <c r="Y126" s="173" t="n">
        <v>0.008487</v>
      </c>
      <c r="Z126" s="172" t="n">
        <v>0.002</v>
      </c>
      <c r="AA126" s="172" t="n">
        <v>0.002</v>
      </c>
      <c r="AB126" s="174"/>
      <c r="AC126" s="174" t="n">
        <f aca="false">S126-Z126-AA126</f>
        <v>0.009</v>
      </c>
      <c r="AD126" s="175" t="n">
        <v>0.0095</v>
      </c>
      <c r="AE126" s="130" t="n">
        <f aca="false">IF(Y126="","",Y126)</f>
        <v>0.008487</v>
      </c>
      <c r="AF126" s="173"/>
      <c r="AG126" s="186"/>
      <c r="AH126" s="187"/>
      <c r="AI126" s="176"/>
      <c r="AJ126" s="116" t="str">
        <f aca="false">IF(AG126="","N","Y")</f>
        <v>N</v>
      </c>
      <c r="AK126" s="177"/>
      <c r="AL126" s="138"/>
    </row>
    <row r="127" s="38" customFormat="true" ht="23.25" hidden="false" customHeight="true" outlineLevel="0" collapsed="false">
      <c r="A127" s="19" t="n">
        <f aca="false">IF(B127="","",IF((YEAR(B127)-YEAR(B126))=0,A126+1,1))</f>
        <v>71</v>
      </c>
      <c r="B127" s="141" t="n">
        <v>42909</v>
      </c>
      <c r="C127" s="63" t="s">
        <v>124</v>
      </c>
      <c r="D127" s="63" t="s">
        <v>125</v>
      </c>
      <c r="E127" s="19"/>
      <c r="F127" s="63" t="s">
        <v>138</v>
      </c>
      <c r="G127" s="142" t="n">
        <v>42909</v>
      </c>
      <c r="H127" s="142" t="n">
        <v>42940</v>
      </c>
      <c r="I127" s="19" t="n">
        <f aca="false">H127-G127</f>
        <v>31</v>
      </c>
      <c r="J127" s="100" t="n">
        <f aca="false">TRUNC(I127/30,0)</f>
        <v>1</v>
      </c>
      <c r="K127" s="183" t="s">
        <v>95</v>
      </c>
      <c r="L127" s="146" t="n">
        <v>10</v>
      </c>
      <c r="M127" s="147"/>
      <c r="N127" s="148"/>
      <c r="O127" s="149"/>
      <c r="P127" s="149"/>
      <c r="Q127" s="150" t="n">
        <v>0.0121611</v>
      </c>
      <c r="R127" s="151"/>
      <c r="S127" s="152" t="n">
        <f aca="false">AVERAGE(0.017,0.0124)</f>
        <v>0.0147</v>
      </c>
      <c r="T127" s="151"/>
      <c r="U127" s="152"/>
      <c r="V127" s="152"/>
      <c r="W127" s="152"/>
      <c r="X127" s="152"/>
      <c r="Y127" s="153" t="n">
        <v>0.006592</v>
      </c>
      <c r="Z127" s="152" t="n">
        <v>0.002</v>
      </c>
      <c r="AA127" s="152" t="n">
        <v>0.002</v>
      </c>
      <c r="AB127" s="154"/>
      <c r="AC127" s="154" t="n">
        <f aca="false">S127-Z127-AA127</f>
        <v>0.0107</v>
      </c>
      <c r="AD127" s="155" t="n">
        <v>0.0095</v>
      </c>
      <c r="AE127" s="156" t="n">
        <f aca="false">IF(Y127="","",Y127)</f>
        <v>0.006592</v>
      </c>
      <c r="AF127" s="153"/>
      <c r="AG127" s="184" t="n">
        <v>0.0086</v>
      </c>
      <c r="AH127" s="185"/>
      <c r="AI127" s="35"/>
      <c r="AJ127" s="19" t="str">
        <f aca="false">IF(AG127="","N","Y")</f>
        <v>Y</v>
      </c>
      <c r="AK127" s="159"/>
      <c r="AL127" s="36"/>
    </row>
    <row r="128" s="38" customFormat="true" ht="23.25" hidden="false" customHeight="true" outlineLevel="0" collapsed="false">
      <c r="A128" s="19" t="n">
        <f aca="false">IF(B128="","",IF((YEAR(B128)-YEAR(B127))=0,A127+1,1))</f>
        <v>72</v>
      </c>
      <c r="B128" s="141" t="n">
        <v>42909</v>
      </c>
      <c r="C128" s="63" t="s">
        <v>124</v>
      </c>
      <c r="D128" s="63" t="s">
        <v>125</v>
      </c>
      <c r="E128" s="19"/>
      <c r="F128" s="63" t="s">
        <v>139</v>
      </c>
      <c r="G128" s="142" t="n">
        <v>42909</v>
      </c>
      <c r="H128" s="142" t="n">
        <v>42940</v>
      </c>
      <c r="I128" s="19" t="n">
        <f aca="false">H128-G128</f>
        <v>31</v>
      </c>
      <c r="J128" s="100" t="n">
        <f aca="false">TRUNC(I128/30,0)</f>
        <v>1</v>
      </c>
      <c r="K128" s="183" t="s">
        <v>95</v>
      </c>
      <c r="L128" s="146" t="n">
        <v>10</v>
      </c>
      <c r="M128" s="147"/>
      <c r="N128" s="148"/>
      <c r="O128" s="149"/>
      <c r="P128" s="149"/>
      <c r="Q128" s="150" t="n">
        <v>0.0121611</v>
      </c>
      <c r="R128" s="151"/>
      <c r="S128" s="152" t="n">
        <f aca="false">AVERAGE(0.017,0.0124)</f>
        <v>0.0147</v>
      </c>
      <c r="T128" s="151"/>
      <c r="U128" s="152"/>
      <c r="V128" s="152"/>
      <c r="W128" s="152"/>
      <c r="X128" s="152"/>
      <c r="Y128" s="153" t="n">
        <v>0.006592</v>
      </c>
      <c r="Z128" s="152" t="n">
        <v>0.002</v>
      </c>
      <c r="AA128" s="152" t="n">
        <v>0.002</v>
      </c>
      <c r="AB128" s="154"/>
      <c r="AC128" s="154" t="n">
        <f aca="false">S128-Z128-AA128</f>
        <v>0.0107</v>
      </c>
      <c r="AD128" s="155" t="n">
        <v>0.0095</v>
      </c>
      <c r="AE128" s="156" t="n">
        <f aca="false">IF(Y128="","",Y128)</f>
        <v>0.006592</v>
      </c>
      <c r="AF128" s="153"/>
      <c r="AG128" s="184" t="n">
        <v>0.0086</v>
      </c>
      <c r="AH128" s="185"/>
      <c r="AI128" s="35"/>
      <c r="AJ128" s="19" t="str">
        <f aca="false">IF(AG128="","N","Y")</f>
        <v>Y</v>
      </c>
      <c r="AK128" s="159"/>
      <c r="AL128" s="36"/>
    </row>
    <row r="129" s="38" customFormat="true" ht="23.25" hidden="false" customHeight="true" outlineLevel="0" collapsed="false">
      <c r="A129" s="19" t="n">
        <f aca="false">IF(B129="","",IF((YEAR(B129)-YEAR(B128))=0,A128+1,1))</f>
        <v>73</v>
      </c>
      <c r="B129" s="141" t="n">
        <v>42909</v>
      </c>
      <c r="C129" s="63" t="s">
        <v>130</v>
      </c>
      <c r="D129" s="63" t="s">
        <v>140</v>
      </c>
      <c r="E129" s="19"/>
      <c r="F129" s="63" t="s">
        <v>132</v>
      </c>
      <c r="G129" s="142" t="n">
        <v>42909</v>
      </c>
      <c r="H129" s="142" t="n">
        <v>42940</v>
      </c>
      <c r="I129" s="19" t="n">
        <f aca="false">H129-G129</f>
        <v>31</v>
      </c>
      <c r="J129" s="100" t="n">
        <f aca="false">TRUNC(I129/30,0)</f>
        <v>1</v>
      </c>
      <c r="K129" s="183" t="s">
        <v>95</v>
      </c>
      <c r="L129" s="146" t="n">
        <v>3</v>
      </c>
      <c r="M129" s="147"/>
      <c r="N129" s="148"/>
      <c r="O129" s="149"/>
      <c r="P129" s="149"/>
      <c r="Q129" s="150" t="n">
        <v>0.0121611</v>
      </c>
      <c r="R129" s="151"/>
      <c r="S129" s="152" t="n">
        <f aca="false">AVERAGE(0.017,0.0124)</f>
        <v>0.0147</v>
      </c>
      <c r="T129" s="151"/>
      <c r="U129" s="152"/>
      <c r="V129" s="152"/>
      <c r="W129" s="152"/>
      <c r="X129" s="152"/>
      <c r="Y129" s="153" t="n">
        <v>0.006592</v>
      </c>
      <c r="Z129" s="152" t="n">
        <v>0.002</v>
      </c>
      <c r="AA129" s="152" t="n">
        <v>0.002</v>
      </c>
      <c r="AB129" s="154"/>
      <c r="AC129" s="154" t="n">
        <f aca="false">S129-Z129-AA129</f>
        <v>0.0107</v>
      </c>
      <c r="AD129" s="155" t="n">
        <v>0.0085</v>
      </c>
      <c r="AE129" s="156" t="n">
        <f aca="false">IF(Y129="","",Y129)</f>
        <v>0.006592</v>
      </c>
      <c r="AF129" s="153"/>
      <c r="AG129" s="184" t="n">
        <v>0.0081</v>
      </c>
      <c r="AH129" s="185"/>
      <c r="AI129" s="35"/>
      <c r="AJ129" s="19" t="str">
        <f aca="false">IF(AG129="","N","Y")</f>
        <v>Y</v>
      </c>
      <c r="AK129" s="159"/>
      <c r="AL129" s="36"/>
    </row>
    <row r="130" s="140" customFormat="true" ht="23.25" hidden="false" customHeight="true" outlineLevel="0" collapsed="false">
      <c r="A130" s="116" t="n">
        <f aca="false">IF(B130="","",IF((YEAR(B130)-YEAR(B129))=0,A129+1,1))</f>
        <v>74</v>
      </c>
      <c r="B130" s="160" t="n">
        <v>42914</v>
      </c>
      <c r="C130" s="161" t="s">
        <v>100</v>
      </c>
      <c r="D130" s="161" t="s">
        <v>101</v>
      </c>
      <c r="E130" s="116"/>
      <c r="F130" s="161" t="s">
        <v>102</v>
      </c>
      <c r="G130" s="162" t="n">
        <v>42914</v>
      </c>
      <c r="H130" s="162" t="n">
        <v>42964</v>
      </c>
      <c r="I130" s="116" t="n">
        <f aca="false">H130-G130</f>
        <v>50</v>
      </c>
      <c r="J130" s="122" t="n">
        <f aca="false">TRUNC(I130/30,0)</f>
        <v>1</v>
      </c>
      <c r="K130" s="180" t="s">
        <v>95</v>
      </c>
      <c r="L130" s="166" t="n">
        <v>40</v>
      </c>
      <c r="M130" s="167"/>
      <c r="N130" s="168"/>
      <c r="O130" s="169"/>
      <c r="P130" s="169"/>
      <c r="Q130" s="170" t="n">
        <v>0.0122378</v>
      </c>
      <c r="R130" s="171"/>
      <c r="S130" s="172" t="n">
        <f aca="false">AVERAGE(0.017,0.0124)</f>
        <v>0.0147</v>
      </c>
      <c r="T130" s="171"/>
      <c r="U130" s="172"/>
      <c r="V130" s="172"/>
      <c r="W130" s="172"/>
      <c r="X130" s="172"/>
      <c r="Y130" s="173" t="n">
        <v>0.006667</v>
      </c>
      <c r="Z130" s="172" t="n">
        <v>0.002</v>
      </c>
      <c r="AA130" s="172" t="n">
        <v>0.002</v>
      </c>
      <c r="AB130" s="174"/>
      <c r="AC130" s="174" t="n">
        <f aca="false">S130-Z130-AA130</f>
        <v>0.0107</v>
      </c>
      <c r="AD130" s="175" t="n">
        <v>0.0152</v>
      </c>
      <c r="AE130" s="130" t="n">
        <f aca="false">IF(Y130="","",Y130)</f>
        <v>0.006667</v>
      </c>
      <c r="AF130" s="173"/>
      <c r="AG130" s="186"/>
      <c r="AH130" s="187"/>
      <c r="AI130" s="176"/>
      <c r="AJ130" s="116" t="str">
        <f aca="false">IF(AG130="","N","Y")</f>
        <v>N</v>
      </c>
      <c r="AK130" s="177"/>
      <c r="AL130" s="138"/>
    </row>
    <row r="131" s="140" customFormat="true" ht="23.25" hidden="false" customHeight="true" outlineLevel="0" collapsed="false">
      <c r="A131" s="116" t="n">
        <f aca="false">IF(B131="","",IF((YEAR(B131)-YEAR(B130))=0,A130+1,1))</f>
        <v>75</v>
      </c>
      <c r="B131" s="160" t="n">
        <v>42914</v>
      </c>
      <c r="C131" s="161" t="s">
        <v>100</v>
      </c>
      <c r="D131" s="161" t="s">
        <v>101</v>
      </c>
      <c r="E131" s="116"/>
      <c r="F131" s="161" t="s">
        <v>102</v>
      </c>
      <c r="G131" s="162" t="n">
        <v>42914</v>
      </c>
      <c r="H131" s="162" t="n">
        <v>42942</v>
      </c>
      <c r="I131" s="116" t="n">
        <f aca="false">H131-G131</f>
        <v>28</v>
      </c>
      <c r="J131" s="122" t="n">
        <f aca="false">TRUNC(I131/30,0)</f>
        <v>0</v>
      </c>
      <c r="K131" s="180" t="s">
        <v>95</v>
      </c>
      <c r="L131" s="166" t="n">
        <v>10</v>
      </c>
      <c r="M131" s="167"/>
      <c r="N131" s="168"/>
      <c r="O131" s="169"/>
      <c r="P131" s="169"/>
      <c r="Q131" s="170" t="n">
        <v>0.0122378</v>
      </c>
      <c r="R131" s="171"/>
      <c r="S131" s="172" t="n">
        <f aca="false">AVERAGE(0.017,0.0124)</f>
        <v>0.0147</v>
      </c>
      <c r="T131" s="171"/>
      <c r="U131" s="172"/>
      <c r="V131" s="172"/>
      <c r="W131" s="172"/>
      <c r="X131" s="172"/>
      <c r="Y131" s="173" t="n">
        <v>0.006667</v>
      </c>
      <c r="Z131" s="172" t="n">
        <v>0.002</v>
      </c>
      <c r="AA131" s="172" t="n">
        <v>0.002</v>
      </c>
      <c r="AB131" s="174"/>
      <c r="AC131" s="174" t="n">
        <f aca="false">S131-Z131-AA131</f>
        <v>0.0107</v>
      </c>
      <c r="AD131" s="175" t="n">
        <v>0.0148</v>
      </c>
      <c r="AE131" s="130" t="n">
        <f aca="false">IF(Y131="","",Y131)</f>
        <v>0.006667</v>
      </c>
      <c r="AF131" s="173"/>
      <c r="AG131" s="186"/>
      <c r="AH131" s="187"/>
      <c r="AI131" s="176"/>
      <c r="AJ131" s="116" t="str">
        <f aca="false">IF(AG131="","N","Y")</f>
        <v>N</v>
      </c>
      <c r="AK131" s="177"/>
      <c r="AL131" s="138"/>
    </row>
    <row r="132" s="38" customFormat="true" ht="23.25" hidden="false" customHeight="true" outlineLevel="0" collapsed="false">
      <c r="A132" s="19" t="n">
        <f aca="false">IF(B132="","",IF((YEAR(B132)-YEAR(B131))=0,A131+1,1))</f>
        <v>76</v>
      </c>
      <c r="B132" s="141" t="n">
        <v>42919</v>
      </c>
      <c r="C132" s="63" t="s">
        <v>103</v>
      </c>
      <c r="D132" s="63" t="s">
        <v>104</v>
      </c>
      <c r="E132" s="19"/>
      <c r="F132" s="63" t="s">
        <v>141</v>
      </c>
      <c r="G132" s="142" t="n">
        <v>42919</v>
      </c>
      <c r="H132" s="142" t="n">
        <v>42950</v>
      </c>
      <c r="I132" s="19" t="n">
        <f aca="false">H132-G132</f>
        <v>31</v>
      </c>
      <c r="J132" s="100" t="n">
        <f aca="false">TRUNC(I132/30,0)</f>
        <v>1</v>
      </c>
      <c r="K132" s="183" t="s">
        <v>95</v>
      </c>
      <c r="L132" s="146" t="n">
        <v>5.3</v>
      </c>
      <c r="M132" s="147"/>
      <c r="N132" s="148"/>
      <c r="O132" s="149"/>
      <c r="P132" s="149"/>
      <c r="Q132" s="150" t="n">
        <v>0.0122389</v>
      </c>
      <c r="R132" s="151"/>
      <c r="S132" s="152" t="n">
        <f aca="false">AVERAGE(0.0133,0.0138,0.0138)</f>
        <v>0.0136333333333333</v>
      </c>
      <c r="T132" s="151"/>
      <c r="U132" s="152"/>
      <c r="V132" s="152"/>
      <c r="W132" s="152"/>
      <c r="X132" s="152"/>
      <c r="Y132" s="153" t="n">
        <v>0.006669</v>
      </c>
      <c r="Z132" s="152" t="n">
        <v>0.002</v>
      </c>
      <c r="AA132" s="152" t="n">
        <v>0.002</v>
      </c>
      <c r="AB132" s="154"/>
      <c r="AC132" s="154" t="n">
        <f aca="false">S132-Z132-AA132</f>
        <v>0.00963333333333333</v>
      </c>
      <c r="AD132" s="155"/>
      <c r="AE132" s="156" t="n">
        <f aca="false">IF(Y132="","",Y132)</f>
        <v>0.006669</v>
      </c>
      <c r="AF132" s="153"/>
      <c r="AG132" s="184" t="n">
        <v>0.006669</v>
      </c>
      <c r="AH132" s="185"/>
      <c r="AI132" s="35"/>
      <c r="AJ132" s="19" t="str">
        <f aca="false">IF(AG132="","N","Y")</f>
        <v>Y</v>
      </c>
      <c r="AK132" s="159"/>
      <c r="AL132" s="36"/>
    </row>
    <row r="133" s="140" customFormat="true" ht="23.25" hidden="false" customHeight="true" outlineLevel="0" collapsed="false">
      <c r="A133" s="116" t="n">
        <f aca="false">IF(B133="","",IF((YEAR(B133)-YEAR(B132))=0,A132+1,1))</f>
        <v>77</v>
      </c>
      <c r="B133" s="160" t="n">
        <v>42920</v>
      </c>
      <c r="C133" s="161" t="s">
        <v>100</v>
      </c>
      <c r="D133" s="161" t="s">
        <v>101</v>
      </c>
      <c r="E133" s="116"/>
      <c r="F133" s="161" t="s">
        <v>102</v>
      </c>
      <c r="G133" s="162" t="n">
        <v>42920</v>
      </c>
      <c r="H133" s="162" t="n">
        <v>42955</v>
      </c>
      <c r="I133" s="116" t="n">
        <f aca="false">H133-G133</f>
        <v>35</v>
      </c>
      <c r="J133" s="122" t="n">
        <f aca="false">TRUNC(I133/30,0)</f>
        <v>1</v>
      </c>
      <c r="K133" s="180" t="s">
        <v>95</v>
      </c>
      <c r="L133" s="166" t="n">
        <v>60</v>
      </c>
      <c r="M133" s="167"/>
      <c r="N133" s="168"/>
      <c r="O133" s="169"/>
      <c r="P133" s="169"/>
      <c r="Q133" s="170" t="n">
        <v>0.0122689</v>
      </c>
      <c r="R133" s="171"/>
      <c r="S133" s="172" t="n">
        <f aca="false">AVERAGE(0.0133,0.0138,0.0138)</f>
        <v>0.0136333333333333</v>
      </c>
      <c r="T133" s="171"/>
      <c r="U133" s="172"/>
      <c r="V133" s="172"/>
      <c r="W133" s="172"/>
      <c r="X133" s="172"/>
      <c r="Y133" s="173" t="n">
        <v>0.006698</v>
      </c>
      <c r="Z133" s="172" t="n">
        <v>0.002</v>
      </c>
      <c r="AA133" s="172" t="n">
        <v>0.002</v>
      </c>
      <c r="AB133" s="174"/>
      <c r="AC133" s="174" t="n">
        <f aca="false">S133-Z133-AA133</f>
        <v>0.00963333333333333</v>
      </c>
      <c r="AD133" s="175" t="n">
        <v>0.014</v>
      </c>
      <c r="AE133" s="130" t="n">
        <f aca="false">IF(Y133="","",Y133)</f>
        <v>0.006698</v>
      </c>
      <c r="AF133" s="173"/>
      <c r="AG133" s="186"/>
      <c r="AH133" s="187"/>
      <c r="AI133" s="176"/>
      <c r="AJ133" s="116" t="str">
        <f aca="false">IF(AG133="","N","Y")</f>
        <v>N</v>
      </c>
      <c r="AK133" s="177"/>
      <c r="AL133" s="138"/>
    </row>
    <row r="134" s="140" customFormat="true" ht="23.25" hidden="false" customHeight="true" outlineLevel="0" collapsed="false">
      <c r="A134" s="116" t="n">
        <f aca="false">IF(B134="","",IF((YEAR(B134)-YEAR(B133))=0,A133+1,1))</f>
        <v>78</v>
      </c>
      <c r="B134" s="160" t="n">
        <v>42921</v>
      </c>
      <c r="C134" s="161" t="s">
        <v>100</v>
      </c>
      <c r="D134" s="161" t="s">
        <v>101</v>
      </c>
      <c r="E134" s="116"/>
      <c r="F134" s="161" t="s">
        <v>102</v>
      </c>
      <c r="G134" s="162" t="n">
        <v>42921</v>
      </c>
      <c r="H134" s="162" t="n">
        <v>42942</v>
      </c>
      <c r="I134" s="116" t="n">
        <f aca="false">H134-G134</f>
        <v>21</v>
      </c>
      <c r="J134" s="122" t="n">
        <f aca="false">TRUNC(I134/30,0)</f>
        <v>0</v>
      </c>
      <c r="K134" s="180" t="s">
        <v>95</v>
      </c>
      <c r="L134" s="166" t="n">
        <v>40</v>
      </c>
      <c r="M134" s="167"/>
      <c r="N134" s="168"/>
      <c r="O134" s="169"/>
      <c r="P134" s="169"/>
      <c r="Q134" s="170" t="n">
        <v>0.0122333</v>
      </c>
      <c r="R134" s="171"/>
      <c r="S134" s="172" t="n">
        <f aca="false">AVERAGE(0.0133,0.0138,0.0138)</f>
        <v>0.0136333333333333</v>
      </c>
      <c r="T134" s="171"/>
      <c r="U134" s="172"/>
      <c r="V134" s="172"/>
      <c r="W134" s="172"/>
      <c r="X134" s="172"/>
      <c r="Y134" s="173" t="n">
        <v>0.005009</v>
      </c>
      <c r="Z134" s="172" t="n">
        <v>0.002</v>
      </c>
      <c r="AA134" s="172" t="n">
        <v>0.002</v>
      </c>
      <c r="AB134" s="174"/>
      <c r="AC134" s="174" t="n">
        <f aca="false">S134-Z134-AA134</f>
        <v>0.00963333333333333</v>
      </c>
      <c r="AD134" s="175" t="n">
        <v>0.014</v>
      </c>
      <c r="AE134" s="130" t="n">
        <f aca="false">IF(Y134="","",Y134)</f>
        <v>0.005009</v>
      </c>
      <c r="AF134" s="173"/>
      <c r="AG134" s="186"/>
      <c r="AH134" s="187"/>
      <c r="AI134" s="176"/>
      <c r="AJ134" s="116" t="str">
        <f aca="false">IF(AG134="","N","Y")</f>
        <v>N</v>
      </c>
      <c r="AK134" s="177"/>
      <c r="AL134" s="138"/>
    </row>
    <row r="135" s="38" customFormat="true" ht="23.25" hidden="false" customHeight="true" outlineLevel="0" collapsed="false">
      <c r="A135" s="19" t="n">
        <f aca="false">IF(B135="","",IF((YEAR(B135)-YEAR(B134))=0,A134+1,1))</f>
        <v>79</v>
      </c>
      <c r="B135" s="141" t="n">
        <v>42934</v>
      </c>
      <c r="C135" s="63" t="s">
        <v>96</v>
      </c>
      <c r="D135" s="63" t="s">
        <v>142</v>
      </c>
      <c r="E135" s="19"/>
      <c r="F135" s="19" t="s">
        <v>112</v>
      </c>
      <c r="G135" s="142" t="n">
        <v>42934</v>
      </c>
      <c r="H135" s="142" t="n">
        <v>42965</v>
      </c>
      <c r="I135" s="19" t="n">
        <f aca="false">H135-G135</f>
        <v>31</v>
      </c>
      <c r="J135" s="100" t="n">
        <f aca="false">TRUNC(I135/30,0)</f>
        <v>1</v>
      </c>
      <c r="K135" s="189" t="s">
        <v>99</v>
      </c>
      <c r="L135" s="146" t="n">
        <v>50</v>
      </c>
      <c r="M135" s="147"/>
      <c r="N135" s="148"/>
      <c r="O135" s="149"/>
      <c r="P135" s="149"/>
      <c r="Q135" s="150" t="n">
        <v>0.0117778</v>
      </c>
      <c r="R135" s="151"/>
      <c r="S135" s="152" t="n">
        <f aca="false">AVERAGE(0.014,0.015,0.0139)</f>
        <v>0.0143</v>
      </c>
      <c r="T135" s="151"/>
      <c r="U135" s="152"/>
      <c r="V135" s="152"/>
      <c r="W135" s="152"/>
      <c r="X135" s="152"/>
      <c r="Y135" s="153" t="n">
        <v>0.003014</v>
      </c>
      <c r="Z135" s="152" t="n">
        <v>0.0033</v>
      </c>
      <c r="AA135" s="152" t="n">
        <v>0.002</v>
      </c>
      <c r="AB135" s="154"/>
      <c r="AC135" s="154" t="n">
        <f aca="false">S135-Z135-AA135</f>
        <v>0.009</v>
      </c>
      <c r="AD135" s="155" t="n">
        <v>0.0075</v>
      </c>
      <c r="AE135" s="156" t="n">
        <f aca="false">IF(Y135="","",Y135)</f>
        <v>0.003014</v>
      </c>
      <c r="AF135" s="153"/>
      <c r="AG135" s="184" t="n">
        <v>0.008</v>
      </c>
      <c r="AH135" s="185"/>
      <c r="AI135" s="35"/>
      <c r="AJ135" s="19" t="str">
        <f aca="false">IF(AG135="","N","Y")</f>
        <v>Y</v>
      </c>
      <c r="AK135" s="159"/>
      <c r="AL135" s="36"/>
    </row>
    <row r="136" s="140" customFormat="true" ht="23.25" hidden="false" customHeight="true" outlineLevel="0" collapsed="false">
      <c r="A136" s="116" t="n">
        <f aca="false">IF(B136="","",IF((YEAR(B136)-YEAR(B135))=0,A135+1,1))</f>
        <v>80</v>
      </c>
      <c r="B136" s="160" t="n">
        <v>42936</v>
      </c>
      <c r="C136" s="161" t="s">
        <v>96</v>
      </c>
      <c r="D136" s="161" t="s">
        <v>97</v>
      </c>
      <c r="E136" s="116"/>
      <c r="F136" s="161" t="s">
        <v>98</v>
      </c>
      <c r="G136" s="162" t="n">
        <v>42936</v>
      </c>
      <c r="H136" s="162" t="n">
        <v>42968</v>
      </c>
      <c r="I136" s="116" t="n">
        <f aca="false">H136-G136</f>
        <v>32</v>
      </c>
      <c r="J136" s="122" t="n">
        <f aca="false">TRUNC(I136/30,0)</f>
        <v>1</v>
      </c>
      <c r="K136" s="181" t="s">
        <v>99</v>
      </c>
      <c r="L136" s="166" t="n">
        <v>50</v>
      </c>
      <c r="M136" s="167"/>
      <c r="N136" s="168"/>
      <c r="O136" s="169"/>
      <c r="P136" s="169"/>
      <c r="Q136" s="170" t="n">
        <v>0.0117889</v>
      </c>
      <c r="R136" s="171"/>
      <c r="S136" s="172" t="n">
        <f aca="false">AVERAGE(0.014,0.015,0.0139)</f>
        <v>0.0143</v>
      </c>
      <c r="T136" s="171"/>
      <c r="U136" s="172"/>
      <c r="V136" s="172"/>
      <c r="W136" s="172"/>
      <c r="X136" s="172"/>
      <c r="Y136" s="173" t="n">
        <v>0.003004</v>
      </c>
      <c r="Z136" s="172" t="n">
        <v>0.0033</v>
      </c>
      <c r="AA136" s="172" t="n">
        <v>0.002</v>
      </c>
      <c r="AB136" s="174"/>
      <c r="AC136" s="174" t="n">
        <f aca="false">S136-Z136-AA136</f>
        <v>0.009</v>
      </c>
      <c r="AD136" s="175" t="n">
        <v>0.0075</v>
      </c>
      <c r="AE136" s="130" t="n">
        <f aca="false">IF(Y136="","",Y136)</f>
        <v>0.003004</v>
      </c>
      <c r="AF136" s="173"/>
      <c r="AG136" s="186"/>
      <c r="AH136" s="187"/>
      <c r="AI136" s="176"/>
      <c r="AJ136" s="116" t="str">
        <f aca="false">IF(AG136="","N","Y")</f>
        <v>N</v>
      </c>
      <c r="AK136" s="177"/>
      <c r="AL136" s="138"/>
    </row>
    <row r="137" s="140" customFormat="true" ht="23.25" hidden="false" customHeight="true" outlineLevel="0" collapsed="false">
      <c r="A137" s="116" t="n">
        <f aca="false">IF(B137="","",IF((YEAR(B137)-YEAR(B136))=0,A136+1,1))</f>
        <v>81</v>
      </c>
      <c r="B137" s="160" t="n">
        <v>42936</v>
      </c>
      <c r="C137" s="161" t="s">
        <v>96</v>
      </c>
      <c r="D137" s="161" t="s">
        <v>143</v>
      </c>
      <c r="E137" s="116"/>
      <c r="F137" s="161" t="s">
        <v>137</v>
      </c>
      <c r="G137" s="162" t="n">
        <v>42936</v>
      </c>
      <c r="H137" s="162" t="n">
        <v>42967</v>
      </c>
      <c r="I137" s="116" t="n">
        <f aca="false">H137-G137</f>
        <v>31</v>
      </c>
      <c r="J137" s="122" t="n">
        <f aca="false">TRUNC(I137/30,0)</f>
        <v>1</v>
      </c>
      <c r="K137" s="181" t="s">
        <v>99</v>
      </c>
      <c r="L137" s="166" t="n">
        <v>10</v>
      </c>
      <c r="M137" s="167"/>
      <c r="N137" s="168"/>
      <c r="O137" s="169"/>
      <c r="P137" s="169"/>
      <c r="Q137" s="170" t="n">
        <v>0.0117889</v>
      </c>
      <c r="R137" s="171"/>
      <c r="S137" s="172" t="n">
        <f aca="false">AVERAGE(0.014,0.015,0.0139)</f>
        <v>0.0143</v>
      </c>
      <c r="T137" s="171"/>
      <c r="U137" s="172"/>
      <c r="V137" s="172"/>
      <c r="W137" s="172"/>
      <c r="X137" s="172"/>
      <c r="Y137" s="173" t="n">
        <v>0.003004</v>
      </c>
      <c r="Z137" s="172" t="n">
        <v>0.0033</v>
      </c>
      <c r="AA137" s="172" t="n">
        <v>0.002</v>
      </c>
      <c r="AB137" s="174"/>
      <c r="AC137" s="174" t="n">
        <f aca="false">S137-Z137-AA137</f>
        <v>0.009</v>
      </c>
      <c r="AD137" s="175" t="n">
        <v>0.0075</v>
      </c>
      <c r="AE137" s="130" t="n">
        <f aca="false">IF(Y137="","",Y137)</f>
        <v>0.003004</v>
      </c>
      <c r="AF137" s="173"/>
      <c r="AG137" s="186"/>
      <c r="AH137" s="187"/>
      <c r="AI137" s="176"/>
      <c r="AJ137" s="116" t="str">
        <f aca="false">IF(AG137="","N","Y")</f>
        <v>N</v>
      </c>
      <c r="AK137" s="177"/>
      <c r="AL137" s="138"/>
    </row>
    <row r="138" s="140" customFormat="true" ht="23.25" hidden="false" customHeight="true" outlineLevel="0" collapsed="false">
      <c r="A138" s="116" t="n">
        <f aca="false">IF(B138="","",IF((YEAR(B138)-YEAR(B137))=0,A137+1,1))</f>
        <v>82</v>
      </c>
      <c r="B138" s="160" t="n">
        <v>42936</v>
      </c>
      <c r="C138" s="161" t="s">
        <v>103</v>
      </c>
      <c r="D138" s="161" t="s">
        <v>104</v>
      </c>
      <c r="E138" s="116"/>
      <c r="F138" s="161" t="s">
        <v>144</v>
      </c>
      <c r="G138" s="162" t="n">
        <v>42936</v>
      </c>
      <c r="H138" s="162" t="n">
        <v>42967</v>
      </c>
      <c r="I138" s="116" t="n">
        <f aca="false">H138-G138</f>
        <v>31</v>
      </c>
      <c r="J138" s="122" t="n">
        <f aca="false">TRUNC(I138/30,0)</f>
        <v>1</v>
      </c>
      <c r="K138" s="181" t="s">
        <v>99</v>
      </c>
      <c r="L138" s="166" t="n">
        <v>10</v>
      </c>
      <c r="M138" s="167"/>
      <c r="N138" s="168"/>
      <c r="O138" s="169"/>
      <c r="P138" s="169"/>
      <c r="Q138" s="170" t="n">
        <v>0.0117889</v>
      </c>
      <c r="R138" s="171"/>
      <c r="S138" s="172" t="n">
        <f aca="false">AVERAGE(0.014,0.015,0.0139)</f>
        <v>0.0143</v>
      </c>
      <c r="T138" s="171"/>
      <c r="U138" s="172"/>
      <c r="V138" s="172"/>
      <c r="W138" s="172"/>
      <c r="X138" s="172"/>
      <c r="Y138" s="173" t="n">
        <v>0.003004</v>
      </c>
      <c r="Z138" s="172" t="n">
        <v>0.0033</v>
      </c>
      <c r="AA138" s="172" t="n">
        <v>0.002</v>
      </c>
      <c r="AB138" s="174"/>
      <c r="AC138" s="174" t="n">
        <f aca="false">S138-Z138-AA138</f>
        <v>0.009</v>
      </c>
      <c r="AD138" s="175" t="n">
        <v>0.0075</v>
      </c>
      <c r="AE138" s="130" t="n">
        <f aca="false">IF(Y138="","",Y138)</f>
        <v>0.003004</v>
      </c>
      <c r="AF138" s="173"/>
      <c r="AG138" s="186"/>
      <c r="AH138" s="187"/>
      <c r="AI138" s="176"/>
      <c r="AJ138" s="116" t="str">
        <f aca="false">IF(AG138="","N","Y")</f>
        <v>N</v>
      </c>
      <c r="AK138" s="177"/>
      <c r="AL138" s="138"/>
    </row>
    <row r="139" s="140" customFormat="true" ht="23.25" hidden="false" customHeight="true" outlineLevel="0" collapsed="false">
      <c r="A139" s="116" t="n">
        <f aca="false">IF(B139="","",IF((YEAR(B139)-YEAR(B138))=0,A138+1,1))</f>
        <v>83</v>
      </c>
      <c r="B139" s="160" t="n">
        <v>42937</v>
      </c>
      <c r="C139" s="161" t="s">
        <v>100</v>
      </c>
      <c r="D139" s="161" t="s">
        <v>101</v>
      </c>
      <c r="E139" s="116"/>
      <c r="F139" s="161" t="s">
        <v>102</v>
      </c>
      <c r="G139" s="162" t="n">
        <v>42937</v>
      </c>
      <c r="H139" s="162" t="n">
        <v>42990</v>
      </c>
      <c r="I139" s="116" t="n">
        <f aca="false">H139-G139</f>
        <v>53</v>
      </c>
      <c r="J139" s="122" t="n">
        <f aca="false">TRUNC(I139/30,0)</f>
        <v>1</v>
      </c>
      <c r="K139" s="180" t="s">
        <v>95</v>
      </c>
      <c r="L139" s="166" t="n">
        <v>60</v>
      </c>
      <c r="M139" s="167"/>
      <c r="N139" s="168"/>
      <c r="O139" s="169"/>
      <c r="P139" s="169"/>
      <c r="Q139" s="170" t="n">
        <v>0.0122889</v>
      </c>
      <c r="R139" s="171"/>
      <c r="S139" s="172" t="n">
        <f aca="false">AVERAGE(0.014,0.016,0.0139)</f>
        <v>0.0146333333333333</v>
      </c>
      <c r="T139" s="171"/>
      <c r="U139" s="172"/>
      <c r="V139" s="172"/>
      <c r="W139" s="172"/>
      <c r="X139" s="172"/>
      <c r="Y139" s="173" t="n">
        <v>0.006718</v>
      </c>
      <c r="Z139" s="172" t="n">
        <v>0.002</v>
      </c>
      <c r="AA139" s="172" t="n">
        <v>0.002</v>
      </c>
      <c r="AB139" s="174"/>
      <c r="AC139" s="174" t="n">
        <f aca="false">S139-Z139-AA139</f>
        <v>0.0106333333333333</v>
      </c>
      <c r="AD139" s="175" t="n">
        <v>0.0115</v>
      </c>
      <c r="AE139" s="130" t="n">
        <f aca="false">IF(Y139="","",Y139)</f>
        <v>0.006718</v>
      </c>
      <c r="AF139" s="173"/>
      <c r="AG139" s="186"/>
      <c r="AH139" s="187"/>
      <c r="AI139" s="176"/>
      <c r="AJ139" s="116" t="str">
        <f aca="false">IF(AG139="","N","Y")</f>
        <v>N</v>
      </c>
      <c r="AK139" s="177"/>
      <c r="AL139" s="138"/>
    </row>
    <row r="140" s="140" customFormat="true" ht="23.25" hidden="false" customHeight="true" outlineLevel="0" collapsed="false">
      <c r="A140" s="116" t="n">
        <f aca="false">IF(B140="","",IF((YEAR(B140)-YEAR(B139))=0,A139+1,1))</f>
        <v>84</v>
      </c>
      <c r="B140" s="160" t="n">
        <v>42940</v>
      </c>
      <c r="C140" s="161" t="s">
        <v>130</v>
      </c>
      <c r="D140" s="161" t="s">
        <v>140</v>
      </c>
      <c r="E140" s="116"/>
      <c r="F140" s="161" t="s">
        <v>132</v>
      </c>
      <c r="G140" s="162" t="n">
        <v>42940</v>
      </c>
      <c r="H140" s="162" t="n">
        <v>42971</v>
      </c>
      <c r="I140" s="116" t="n">
        <f aca="false">H140-G140</f>
        <v>31</v>
      </c>
      <c r="J140" s="122" t="n">
        <f aca="false">TRUNC(I140/30,0)</f>
        <v>1</v>
      </c>
      <c r="K140" s="180" t="s">
        <v>95</v>
      </c>
      <c r="L140" s="166" t="n">
        <v>33.23</v>
      </c>
      <c r="M140" s="167"/>
      <c r="N140" s="168"/>
      <c r="O140" s="169"/>
      <c r="P140" s="169"/>
      <c r="Q140" s="170" t="n">
        <v>0.0123222</v>
      </c>
      <c r="R140" s="171"/>
      <c r="S140" s="172" t="n">
        <f aca="false">AVERAGE(0.014,0.016,0.0139)</f>
        <v>0.0146333333333333</v>
      </c>
      <c r="T140" s="171"/>
      <c r="U140" s="172"/>
      <c r="V140" s="172"/>
      <c r="W140" s="172"/>
      <c r="X140" s="172"/>
      <c r="Y140" s="173" t="n">
        <v>0.006701</v>
      </c>
      <c r="Z140" s="172" t="n">
        <v>0.002</v>
      </c>
      <c r="AA140" s="172" t="n">
        <v>0.002</v>
      </c>
      <c r="AB140" s="174"/>
      <c r="AC140" s="174" t="n">
        <f aca="false">S140-Z140-AA140</f>
        <v>0.0106333333333333</v>
      </c>
      <c r="AD140" s="175" t="n">
        <v>0.0081</v>
      </c>
      <c r="AE140" s="130" t="n">
        <f aca="false">IF(Y140="","",Y140)</f>
        <v>0.006701</v>
      </c>
      <c r="AF140" s="173"/>
      <c r="AG140" s="186"/>
      <c r="AH140" s="187"/>
      <c r="AI140" s="176"/>
      <c r="AJ140" s="116" t="str">
        <f aca="false">IF(AG140="","N","Y")</f>
        <v>N</v>
      </c>
      <c r="AK140" s="177"/>
      <c r="AL140" s="138"/>
    </row>
    <row r="141" s="140" customFormat="true" ht="23.25" hidden="false" customHeight="true" outlineLevel="0" collapsed="false">
      <c r="A141" s="116" t="n">
        <f aca="false">IF(B141="","",IF((YEAR(B141)-YEAR(B140))=0,A140+1,1))</f>
        <v>85</v>
      </c>
      <c r="B141" s="160" t="n">
        <v>42942</v>
      </c>
      <c r="C141" s="161" t="s">
        <v>145</v>
      </c>
      <c r="D141" s="161" t="s">
        <v>146</v>
      </c>
      <c r="E141" s="116"/>
      <c r="F141" s="161" t="s">
        <v>147</v>
      </c>
      <c r="G141" s="162" t="n">
        <v>42942</v>
      </c>
      <c r="H141" s="162" t="n">
        <v>42956</v>
      </c>
      <c r="I141" s="116" t="n">
        <f aca="false">H141-G141</f>
        <v>14</v>
      </c>
      <c r="J141" s="122" t="n">
        <f aca="false">TRUNC(I141/30,0)</f>
        <v>0</v>
      </c>
      <c r="K141" s="180" t="s">
        <v>95</v>
      </c>
      <c r="L141" s="166" t="n">
        <v>65</v>
      </c>
      <c r="M141" s="167"/>
      <c r="N141" s="168"/>
      <c r="O141" s="169"/>
      <c r="P141" s="169"/>
      <c r="Q141" s="170" t="n">
        <v>0.0119444</v>
      </c>
      <c r="R141" s="171"/>
      <c r="S141" s="172" t="n">
        <f aca="false">AVERAGE(0.0134,0.0135,0.0124)</f>
        <v>0.0131</v>
      </c>
      <c r="T141" s="171"/>
      <c r="U141" s="172"/>
      <c r="V141" s="172"/>
      <c r="W141" s="172"/>
      <c r="X141" s="172"/>
      <c r="Y141" s="173" t="n">
        <v>0.005045</v>
      </c>
      <c r="Z141" s="172" t="n">
        <v>0.002</v>
      </c>
      <c r="AA141" s="172" t="n">
        <v>0.002</v>
      </c>
      <c r="AB141" s="174"/>
      <c r="AC141" s="174" t="n">
        <f aca="false">S141-Z141-AA141</f>
        <v>0.0091</v>
      </c>
      <c r="AD141" s="175" t="n">
        <v>0.0075</v>
      </c>
      <c r="AE141" s="130" t="n">
        <f aca="false">IF(Y141="","",Y141)</f>
        <v>0.005045</v>
      </c>
      <c r="AF141" s="173"/>
      <c r="AG141" s="186"/>
      <c r="AH141" s="187"/>
      <c r="AI141" s="176"/>
      <c r="AJ141" s="116" t="str">
        <f aca="false">IF(AG141="","N","Y")</f>
        <v>N</v>
      </c>
      <c r="AK141" s="177"/>
      <c r="AL141" s="138"/>
    </row>
    <row r="142" s="140" customFormat="true" ht="23.25" hidden="false" customHeight="true" outlineLevel="0" collapsed="false">
      <c r="A142" s="116" t="n">
        <f aca="false">IF(B142="","",IF((YEAR(B142)-YEAR(B141))=0,A141+1,1))</f>
        <v>86</v>
      </c>
      <c r="B142" s="160" t="n">
        <v>42942</v>
      </c>
      <c r="C142" s="161" t="s">
        <v>145</v>
      </c>
      <c r="D142" s="161" t="s">
        <v>146</v>
      </c>
      <c r="E142" s="116"/>
      <c r="F142" s="161" t="s">
        <v>147</v>
      </c>
      <c r="G142" s="162" t="n">
        <v>42942</v>
      </c>
      <c r="H142" s="162" t="n">
        <v>42975</v>
      </c>
      <c r="I142" s="116" t="n">
        <f aca="false">H142-G142</f>
        <v>33</v>
      </c>
      <c r="J142" s="122" t="n">
        <f aca="false">TRUNC(I142/30,0)</f>
        <v>1</v>
      </c>
      <c r="K142" s="180" t="s">
        <v>95</v>
      </c>
      <c r="L142" s="166" t="n">
        <v>115</v>
      </c>
      <c r="M142" s="167"/>
      <c r="N142" s="168"/>
      <c r="O142" s="169"/>
      <c r="P142" s="169"/>
      <c r="Q142" s="170" t="n">
        <v>0.0123278</v>
      </c>
      <c r="R142" s="171"/>
      <c r="S142" s="172" t="n">
        <f aca="false">AVERAGE(0.0138)</f>
        <v>0.0138</v>
      </c>
      <c r="T142" s="171"/>
      <c r="U142" s="172"/>
      <c r="V142" s="172"/>
      <c r="W142" s="172"/>
      <c r="X142" s="172"/>
      <c r="Y142" s="173" t="n">
        <v>0.006756</v>
      </c>
      <c r="Z142" s="172" t="n">
        <v>0.002</v>
      </c>
      <c r="AA142" s="172" t="n">
        <v>0.002</v>
      </c>
      <c r="AB142" s="174"/>
      <c r="AC142" s="174" t="n">
        <f aca="false">S142-Z142-AA142</f>
        <v>0.0098</v>
      </c>
      <c r="AD142" s="175" t="n">
        <v>0.0085</v>
      </c>
      <c r="AE142" s="130" t="n">
        <f aca="false">IF(Y142="","",Y142)</f>
        <v>0.006756</v>
      </c>
      <c r="AF142" s="173"/>
      <c r="AG142" s="186"/>
      <c r="AH142" s="187"/>
      <c r="AI142" s="176"/>
      <c r="AJ142" s="116" t="str">
        <f aca="false">IF(AG142="","N","Y")</f>
        <v>N</v>
      </c>
      <c r="AK142" s="177"/>
      <c r="AL142" s="138"/>
    </row>
    <row r="143" s="140" customFormat="true" ht="23.25" hidden="false" customHeight="true" outlineLevel="0" collapsed="false">
      <c r="A143" s="116" t="n">
        <f aca="false">IF(B143="","",IF((YEAR(B143)-YEAR(B142))=0,A142+1,1))</f>
        <v>87</v>
      </c>
      <c r="B143" s="160" t="n">
        <v>42942</v>
      </c>
      <c r="C143" s="161" t="s">
        <v>145</v>
      </c>
      <c r="D143" s="161" t="s">
        <v>146</v>
      </c>
      <c r="E143" s="116"/>
      <c r="F143" s="161" t="s">
        <v>147</v>
      </c>
      <c r="G143" s="162" t="n">
        <v>42942</v>
      </c>
      <c r="H143" s="162" t="n">
        <v>43019</v>
      </c>
      <c r="I143" s="116" t="n">
        <f aca="false">H143-G143</f>
        <v>77</v>
      </c>
      <c r="J143" s="122" t="n">
        <f aca="false">TRUNC(I143/30,0)</f>
        <v>2</v>
      </c>
      <c r="K143" s="180" t="s">
        <v>95</v>
      </c>
      <c r="L143" s="166" t="n">
        <v>60</v>
      </c>
      <c r="M143" s="167"/>
      <c r="N143" s="168"/>
      <c r="O143" s="169"/>
      <c r="P143" s="169"/>
      <c r="Q143" s="170" t="n">
        <v>0.0126</v>
      </c>
      <c r="R143" s="171"/>
      <c r="S143" s="172" t="n">
        <f aca="false">AVERAGE(0.014,0.015)</f>
        <v>0.0145</v>
      </c>
      <c r="T143" s="171"/>
      <c r="U143" s="172"/>
      <c r="V143" s="172"/>
      <c r="W143" s="172"/>
      <c r="X143" s="172"/>
      <c r="Y143" s="173" t="n">
        <v>0.007023</v>
      </c>
      <c r="Z143" s="172" t="n">
        <v>0.002</v>
      </c>
      <c r="AA143" s="172" t="n">
        <v>0.002</v>
      </c>
      <c r="AB143" s="174"/>
      <c r="AC143" s="174" t="n">
        <f aca="false">S143-Z143-AA143</f>
        <v>0.0105</v>
      </c>
      <c r="AD143" s="175" t="n">
        <v>0.0093</v>
      </c>
      <c r="AE143" s="130" t="n">
        <f aca="false">IF(Y143="","",Y143)</f>
        <v>0.007023</v>
      </c>
      <c r="AF143" s="173"/>
      <c r="AG143" s="186"/>
      <c r="AH143" s="187"/>
      <c r="AI143" s="176"/>
      <c r="AJ143" s="116" t="str">
        <f aca="false">IF(AG143="","N","Y")</f>
        <v>N</v>
      </c>
      <c r="AK143" s="177"/>
      <c r="AL143" s="138"/>
    </row>
    <row r="144" s="140" customFormat="true" ht="23.25" hidden="false" customHeight="true" outlineLevel="0" collapsed="false">
      <c r="A144" s="116" t="n">
        <f aca="false">IF(B144="","",IF((YEAR(B144)-YEAR(B143))=0,A143+1,1))</f>
        <v>88</v>
      </c>
      <c r="B144" s="160" t="n">
        <v>42942</v>
      </c>
      <c r="C144" s="161" t="s">
        <v>145</v>
      </c>
      <c r="D144" s="161" t="s">
        <v>146</v>
      </c>
      <c r="E144" s="116"/>
      <c r="F144" s="161" t="s">
        <v>147</v>
      </c>
      <c r="G144" s="162" t="n">
        <v>42942</v>
      </c>
      <c r="H144" s="162" t="n">
        <v>42973</v>
      </c>
      <c r="I144" s="116" t="n">
        <f aca="false">H144-G144</f>
        <v>31</v>
      </c>
      <c r="J144" s="122" t="n">
        <f aca="false">TRUNC(I144/30,0)</f>
        <v>1</v>
      </c>
      <c r="K144" s="181" t="s">
        <v>99</v>
      </c>
      <c r="L144" s="166" t="n">
        <v>57</v>
      </c>
      <c r="M144" s="167"/>
      <c r="N144" s="168"/>
      <c r="O144" s="169"/>
      <c r="P144" s="169"/>
      <c r="Q144" s="170" t="n">
        <v>0.0117889</v>
      </c>
      <c r="R144" s="171"/>
      <c r="S144" s="172" t="n">
        <f aca="false">AVERAGE(0.0138)</f>
        <v>0.0138</v>
      </c>
      <c r="T144" s="171"/>
      <c r="U144" s="172"/>
      <c r="V144" s="172"/>
      <c r="W144" s="172"/>
      <c r="X144" s="172"/>
      <c r="Y144" s="173" t="n">
        <v>0.003045</v>
      </c>
      <c r="Z144" s="172" t="n">
        <v>0.0033</v>
      </c>
      <c r="AA144" s="172" t="n">
        <v>0.002</v>
      </c>
      <c r="AB144" s="174"/>
      <c r="AC144" s="174" t="n">
        <f aca="false">S144-Z144-AA144</f>
        <v>0.0085</v>
      </c>
      <c r="AD144" s="175" t="n">
        <v>0.0075</v>
      </c>
      <c r="AE144" s="130" t="n">
        <f aca="false">IF(Y144="","",Y144)</f>
        <v>0.003045</v>
      </c>
      <c r="AF144" s="173"/>
      <c r="AG144" s="186"/>
      <c r="AH144" s="187"/>
      <c r="AI144" s="176"/>
      <c r="AJ144" s="116" t="str">
        <f aca="false">IF(AG144="","N","Y")</f>
        <v>N</v>
      </c>
      <c r="AK144" s="177"/>
      <c r="AL144" s="138"/>
    </row>
    <row r="145" s="140" customFormat="true" ht="23.25" hidden="false" customHeight="true" outlineLevel="0" collapsed="false">
      <c r="A145" s="116" t="n">
        <f aca="false">IF(B145="","",IF((YEAR(B145)-YEAR(B144))=0,A144+1,1))</f>
        <v>89</v>
      </c>
      <c r="B145" s="160" t="n">
        <v>42942</v>
      </c>
      <c r="C145" s="161" t="s">
        <v>96</v>
      </c>
      <c r="D145" s="161" t="s">
        <v>97</v>
      </c>
      <c r="E145" s="116"/>
      <c r="F145" s="161" t="s">
        <v>98</v>
      </c>
      <c r="G145" s="162" t="n">
        <v>42942</v>
      </c>
      <c r="H145" s="162" t="n">
        <v>43004</v>
      </c>
      <c r="I145" s="116" t="n">
        <f aca="false">H145-G145</f>
        <v>62</v>
      </c>
      <c r="J145" s="122" t="n">
        <f aca="false">TRUNC(I145/30,0)</f>
        <v>2</v>
      </c>
      <c r="K145" s="180" t="s">
        <v>95</v>
      </c>
      <c r="L145" s="166" t="n">
        <v>100</v>
      </c>
      <c r="M145" s="167"/>
      <c r="N145" s="168"/>
      <c r="O145" s="169"/>
      <c r="P145" s="169"/>
      <c r="Q145" s="170" t="n">
        <v>0.0125667</v>
      </c>
      <c r="R145" s="171"/>
      <c r="S145" s="172" t="n">
        <f aca="false">AVERAGE(0.014,0.015)</f>
        <v>0.0145</v>
      </c>
      <c r="T145" s="171"/>
      <c r="U145" s="172"/>
      <c r="V145" s="172"/>
      <c r="W145" s="172"/>
      <c r="X145" s="172"/>
      <c r="Y145" s="173" t="n">
        <v>0.006989</v>
      </c>
      <c r="Z145" s="172" t="n">
        <v>0.002</v>
      </c>
      <c r="AA145" s="172" t="n">
        <v>0.002</v>
      </c>
      <c r="AB145" s="174"/>
      <c r="AC145" s="174" t="n">
        <f aca="false">S145-Z145-AA145</f>
        <v>0.0105</v>
      </c>
      <c r="AD145" s="175" t="n">
        <v>0.0093</v>
      </c>
      <c r="AE145" s="130" t="n">
        <f aca="false">IF(Y145="","",Y145)</f>
        <v>0.006989</v>
      </c>
      <c r="AF145" s="173"/>
      <c r="AG145" s="186"/>
      <c r="AH145" s="187"/>
      <c r="AI145" s="176"/>
      <c r="AJ145" s="116" t="str">
        <f aca="false">IF(AG145="","N","Y")</f>
        <v>N</v>
      </c>
      <c r="AK145" s="177"/>
      <c r="AL145" s="138"/>
    </row>
    <row r="146" s="140" customFormat="true" ht="23.25" hidden="false" customHeight="true" outlineLevel="0" collapsed="false">
      <c r="A146" s="116" t="n">
        <f aca="false">IF(B146="","",IF((YEAR(B146)-YEAR(B145))=0,A145+1,1))</f>
        <v>90</v>
      </c>
      <c r="B146" s="160" t="n">
        <v>42942</v>
      </c>
      <c r="C146" s="161" t="s">
        <v>96</v>
      </c>
      <c r="D146" s="161" t="s">
        <v>97</v>
      </c>
      <c r="E146" s="116"/>
      <c r="F146" s="161" t="s">
        <v>98</v>
      </c>
      <c r="G146" s="162" t="n">
        <v>42942</v>
      </c>
      <c r="H146" s="162" t="n">
        <v>43034</v>
      </c>
      <c r="I146" s="116" t="n">
        <f aca="false">H146-G146</f>
        <v>92</v>
      </c>
      <c r="J146" s="122" t="n">
        <f aca="false">TRUNC(I146/30,0)</f>
        <v>3</v>
      </c>
      <c r="K146" s="180" t="s">
        <v>95</v>
      </c>
      <c r="L146" s="166" t="n">
        <v>200</v>
      </c>
      <c r="M146" s="167"/>
      <c r="N146" s="168"/>
      <c r="O146" s="169"/>
      <c r="P146" s="169"/>
      <c r="Q146" s="170" t="n">
        <v>0.0131667</v>
      </c>
      <c r="R146" s="171"/>
      <c r="S146" s="172" t="n">
        <f aca="false">AVERAGE(0.018,0.0146)</f>
        <v>0.0163</v>
      </c>
      <c r="T146" s="171"/>
      <c r="U146" s="172"/>
      <c r="V146" s="172"/>
      <c r="W146" s="172"/>
      <c r="X146" s="172"/>
      <c r="Y146" s="173" t="n">
        <v>0.008777</v>
      </c>
      <c r="Z146" s="172" t="n">
        <v>0.002</v>
      </c>
      <c r="AA146" s="172" t="n">
        <v>0.002</v>
      </c>
      <c r="AB146" s="174"/>
      <c r="AC146" s="174" t="n">
        <f aca="false">S146-Z146-AA146</f>
        <v>0.0123</v>
      </c>
      <c r="AD146" s="175" t="n">
        <v>0.0115</v>
      </c>
      <c r="AE146" s="130" t="n">
        <f aca="false">IF(Y146="","",Y146)</f>
        <v>0.008777</v>
      </c>
      <c r="AF146" s="173"/>
      <c r="AG146" s="186"/>
      <c r="AH146" s="187"/>
      <c r="AI146" s="176"/>
      <c r="AJ146" s="116" t="str">
        <f aca="false">IF(AG146="","N","Y")</f>
        <v>N</v>
      </c>
      <c r="AK146" s="177"/>
      <c r="AL146" s="138"/>
    </row>
    <row r="147" s="140" customFormat="true" ht="23.25" hidden="false" customHeight="true" outlineLevel="0" collapsed="false">
      <c r="A147" s="116" t="n">
        <f aca="false">IF(B147="","",IF((YEAR(B147)-YEAR(B146))=0,A146+1,1))</f>
        <v>91</v>
      </c>
      <c r="B147" s="160" t="n">
        <v>42942</v>
      </c>
      <c r="C147" s="161" t="s">
        <v>96</v>
      </c>
      <c r="D147" s="161" t="s">
        <v>97</v>
      </c>
      <c r="E147" s="116"/>
      <c r="F147" s="161" t="s">
        <v>98</v>
      </c>
      <c r="G147" s="162" t="n">
        <v>42943</v>
      </c>
      <c r="H147" s="162" t="n">
        <v>43035</v>
      </c>
      <c r="I147" s="116" t="n">
        <f aca="false">H147-G147</f>
        <v>92</v>
      </c>
      <c r="J147" s="122" t="n">
        <f aca="false">TRUNC(I147/30,0)</f>
        <v>3</v>
      </c>
      <c r="K147" s="180" t="s">
        <v>95</v>
      </c>
      <c r="L147" s="166" t="n">
        <v>100</v>
      </c>
      <c r="M147" s="167"/>
      <c r="N147" s="168"/>
      <c r="O147" s="169"/>
      <c r="P147" s="169"/>
      <c r="Q147" s="170" t="n">
        <v>0.0131667</v>
      </c>
      <c r="R147" s="171"/>
      <c r="S147" s="172" t="n">
        <f aca="false">AVERAGE(0.018,0.0146)</f>
        <v>0.0163</v>
      </c>
      <c r="T147" s="171"/>
      <c r="U147" s="172"/>
      <c r="V147" s="172"/>
      <c r="W147" s="172"/>
      <c r="X147" s="172"/>
      <c r="Y147" s="173" t="n">
        <v>0.008777</v>
      </c>
      <c r="Z147" s="172" t="n">
        <v>0.002</v>
      </c>
      <c r="AA147" s="172" t="n">
        <v>0.002</v>
      </c>
      <c r="AB147" s="174"/>
      <c r="AC147" s="174" t="n">
        <f aca="false">S147-Z147-AA147</f>
        <v>0.0123</v>
      </c>
      <c r="AD147" s="175" t="n">
        <v>0.0115</v>
      </c>
      <c r="AE147" s="130" t="n">
        <f aca="false">IF(Y147="","",Y147)</f>
        <v>0.008777</v>
      </c>
      <c r="AF147" s="173"/>
      <c r="AG147" s="186"/>
      <c r="AH147" s="187"/>
      <c r="AI147" s="176"/>
      <c r="AJ147" s="116" t="str">
        <f aca="false">IF(AG147="","N","Y")</f>
        <v>N</v>
      </c>
      <c r="AK147" s="177"/>
      <c r="AL147" s="138"/>
    </row>
    <row r="148" s="140" customFormat="true" ht="23.25" hidden="false" customHeight="true" outlineLevel="0" collapsed="false">
      <c r="A148" s="116" t="n">
        <f aca="false">IF(B148="","",IF((YEAR(B148)-YEAR(B147))=0,A147+1,1))</f>
        <v>92</v>
      </c>
      <c r="B148" s="160" t="n">
        <v>42942</v>
      </c>
      <c r="C148" s="161" t="s">
        <v>100</v>
      </c>
      <c r="D148" s="161" t="s">
        <v>101</v>
      </c>
      <c r="E148" s="116"/>
      <c r="F148" s="161" t="s">
        <v>102</v>
      </c>
      <c r="G148" s="162" t="n">
        <v>42943</v>
      </c>
      <c r="H148" s="162" t="n">
        <v>43006</v>
      </c>
      <c r="I148" s="116" t="n">
        <f aca="false">H148-G148</f>
        <v>63</v>
      </c>
      <c r="J148" s="122" t="n">
        <f aca="false">TRUNC(I148/30,0)</f>
        <v>2</v>
      </c>
      <c r="K148" s="180" t="s">
        <v>95</v>
      </c>
      <c r="L148" s="166" t="n">
        <v>40</v>
      </c>
      <c r="M148" s="167"/>
      <c r="N148" s="168"/>
      <c r="O148" s="169"/>
      <c r="P148" s="169"/>
      <c r="Q148" s="170" t="n">
        <v>0.0125667</v>
      </c>
      <c r="R148" s="171"/>
      <c r="S148" s="172" t="n">
        <f aca="false">AVERAGE(0.014,0.015)</f>
        <v>0.0145</v>
      </c>
      <c r="T148" s="171"/>
      <c r="U148" s="172"/>
      <c r="V148" s="172"/>
      <c r="W148" s="172"/>
      <c r="X148" s="172"/>
      <c r="Y148" s="173" t="n">
        <v>0.006989</v>
      </c>
      <c r="Z148" s="172" t="n">
        <v>0.002</v>
      </c>
      <c r="AA148" s="172" t="n">
        <v>0.002</v>
      </c>
      <c r="AB148" s="174"/>
      <c r="AC148" s="174" t="n">
        <f aca="false">S148-Z148-AA148</f>
        <v>0.0105</v>
      </c>
      <c r="AD148" s="175" t="n">
        <v>0.0105</v>
      </c>
      <c r="AE148" s="130" t="n">
        <f aca="false">IF(Y148="","",Y148)</f>
        <v>0.006989</v>
      </c>
      <c r="AF148" s="173"/>
      <c r="AG148" s="186"/>
      <c r="AH148" s="187"/>
      <c r="AI148" s="176"/>
      <c r="AJ148" s="116" t="str">
        <f aca="false">IF(AG148="","N","Y")</f>
        <v>N</v>
      </c>
      <c r="AK148" s="177"/>
      <c r="AL148" s="138"/>
    </row>
    <row r="149" s="140" customFormat="true" ht="23.25" hidden="false" customHeight="true" outlineLevel="0" collapsed="false">
      <c r="A149" s="116" t="n">
        <f aca="false">IF(B149="","",IF((YEAR(B149)-YEAR(B148))=0,A148+1,1))</f>
        <v>93</v>
      </c>
      <c r="B149" s="160" t="n">
        <v>42943</v>
      </c>
      <c r="C149" s="161" t="s">
        <v>103</v>
      </c>
      <c r="D149" s="161" t="s">
        <v>111</v>
      </c>
      <c r="E149" s="116"/>
      <c r="F149" s="161" t="s">
        <v>148</v>
      </c>
      <c r="G149" s="162" t="n">
        <v>42943</v>
      </c>
      <c r="H149" s="162" t="n">
        <v>42974</v>
      </c>
      <c r="I149" s="116" t="n">
        <f aca="false">H149-G149</f>
        <v>31</v>
      </c>
      <c r="J149" s="122" t="n">
        <f aca="false">TRUNC(I149/30,0)</f>
        <v>1</v>
      </c>
      <c r="K149" s="181" t="s">
        <v>99</v>
      </c>
      <c r="L149" s="166" t="n">
        <v>10</v>
      </c>
      <c r="M149" s="167"/>
      <c r="N149" s="168"/>
      <c r="O149" s="169"/>
      <c r="P149" s="169"/>
      <c r="Q149" s="170" t="n">
        <v>0.0117778</v>
      </c>
      <c r="R149" s="171"/>
      <c r="S149" s="172" t="n">
        <v>0.0124</v>
      </c>
      <c r="T149" s="171"/>
      <c r="U149" s="172"/>
      <c r="V149" s="172"/>
      <c r="W149" s="172"/>
      <c r="X149" s="172"/>
      <c r="Y149" s="173" t="n">
        <v>0.00304</v>
      </c>
      <c r="Z149" s="172" t="n">
        <v>0.0033</v>
      </c>
      <c r="AA149" s="172" t="n">
        <v>0.002</v>
      </c>
      <c r="AB149" s="174"/>
      <c r="AC149" s="174" t="n">
        <f aca="false">S149-Z149-AA149</f>
        <v>0.0071</v>
      </c>
      <c r="AD149" s="175" t="n">
        <v>0.0075</v>
      </c>
      <c r="AE149" s="130" t="n">
        <f aca="false">IF(Y149="","",Y149)</f>
        <v>0.00304</v>
      </c>
      <c r="AF149" s="173"/>
      <c r="AG149" s="186"/>
      <c r="AH149" s="187"/>
      <c r="AI149" s="176"/>
      <c r="AJ149" s="116" t="str">
        <f aca="false">IF(AG149="","N","Y")</f>
        <v>N</v>
      </c>
      <c r="AK149" s="177"/>
      <c r="AL149" s="138"/>
    </row>
    <row r="150" s="140" customFormat="true" ht="23.25" hidden="false" customHeight="true" outlineLevel="0" collapsed="false">
      <c r="A150" s="116" t="n">
        <f aca="false">IF(B150="","",IF((YEAR(B150)-YEAR(B149))=0,A149+1,1))</f>
        <v>94</v>
      </c>
      <c r="B150" s="160" t="n">
        <v>42956</v>
      </c>
      <c r="C150" s="161" t="s">
        <v>145</v>
      </c>
      <c r="D150" s="161" t="s">
        <v>146</v>
      </c>
      <c r="E150" s="116"/>
      <c r="F150" s="161" t="s">
        <v>147</v>
      </c>
      <c r="G150" s="162" t="n">
        <v>42956</v>
      </c>
      <c r="H150" s="162" t="n">
        <v>42989</v>
      </c>
      <c r="I150" s="116" t="n">
        <f aca="false">H150-G150</f>
        <v>33</v>
      </c>
      <c r="J150" s="122" t="n">
        <f aca="false">TRUNC(I150/30,0)</f>
        <v>1</v>
      </c>
      <c r="K150" s="181" t="s">
        <v>99</v>
      </c>
      <c r="L150" s="166" t="n">
        <v>50</v>
      </c>
      <c r="M150" s="167"/>
      <c r="N150" s="168"/>
      <c r="O150" s="169"/>
      <c r="P150" s="169"/>
      <c r="Q150" s="170" t="n">
        <v>0.011055</v>
      </c>
      <c r="R150" s="171"/>
      <c r="S150" s="172" t="n">
        <v>0.0124</v>
      </c>
      <c r="T150" s="171"/>
      <c r="U150" s="172"/>
      <c r="V150" s="172"/>
      <c r="W150" s="172"/>
      <c r="X150" s="172"/>
      <c r="Y150" s="173" t="n">
        <v>0.003061</v>
      </c>
      <c r="Z150" s="172" t="n">
        <v>0.0033</v>
      </c>
      <c r="AA150" s="172" t="n">
        <v>0.002</v>
      </c>
      <c r="AB150" s="174"/>
      <c r="AC150" s="174" t="n">
        <f aca="false">S150-Z150-AA150</f>
        <v>0.0071</v>
      </c>
      <c r="AD150" s="175" t="n">
        <v>0.008</v>
      </c>
      <c r="AE150" s="130" t="n">
        <f aca="false">IF(Y150="","",Y150)</f>
        <v>0.003061</v>
      </c>
      <c r="AF150" s="173"/>
      <c r="AG150" s="186"/>
      <c r="AH150" s="187"/>
      <c r="AI150" s="176"/>
      <c r="AJ150" s="116" t="str">
        <f aca="false">IF(AG150="","N","Y")</f>
        <v>N</v>
      </c>
      <c r="AK150" s="177"/>
      <c r="AL150" s="138"/>
    </row>
    <row r="151" s="140" customFormat="true" ht="23.25" hidden="false" customHeight="true" outlineLevel="0" collapsed="false">
      <c r="A151" s="116" t="n">
        <f aca="false">IF(B151="","",IF((YEAR(B151)-YEAR(B150))=0,A150+1,1))</f>
        <v>95</v>
      </c>
      <c r="B151" s="160" t="n">
        <v>42963</v>
      </c>
      <c r="C151" s="161" t="s">
        <v>100</v>
      </c>
      <c r="D151" s="161" t="s">
        <v>101</v>
      </c>
      <c r="E151" s="116"/>
      <c r="F151" s="161" t="s">
        <v>102</v>
      </c>
      <c r="G151" s="162" t="n">
        <v>42964</v>
      </c>
      <c r="H151" s="162" t="n">
        <v>43034</v>
      </c>
      <c r="I151" s="116" t="n">
        <f aca="false">H151-G151</f>
        <v>70</v>
      </c>
      <c r="J151" s="122" t="n">
        <f aca="false">TRUNC(I151/30,0)</f>
        <v>2</v>
      </c>
      <c r="K151" s="180" t="s">
        <v>95</v>
      </c>
      <c r="L151" s="166" t="n">
        <v>40</v>
      </c>
      <c r="M151" s="167"/>
      <c r="N151" s="168"/>
      <c r="O151" s="169"/>
      <c r="P151" s="169"/>
      <c r="Q151" s="170" t="n">
        <v>0.0126278</v>
      </c>
      <c r="R151" s="171"/>
      <c r="S151" s="172" t="n">
        <f aca="false">AVERAGE(0.0168,0.0172,0.017)</f>
        <v>0.017</v>
      </c>
      <c r="T151" s="171"/>
      <c r="U151" s="172"/>
      <c r="V151" s="172"/>
      <c r="W151" s="172"/>
      <c r="X151" s="172"/>
      <c r="Y151" s="173" t="n">
        <v>0.007049</v>
      </c>
      <c r="Z151" s="172" t="n">
        <v>0.002</v>
      </c>
      <c r="AA151" s="172" t="n">
        <v>0.002</v>
      </c>
      <c r="AB151" s="174"/>
      <c r="AC151" s="174" t="n">
        <f aca="false">S151-Z151-AA151</f>
        <v>0.013</v>
      </c>
      <c r="AD151" s="175" t="n">
        <v>0.014</v>
      </c>
      <c r="AE151" s="130" t="n">
        <f aca="false">IF(Y151="","",Y151)</f>
        <v>0.007049</v>
      </c>
      <c r="AF151" s="173"/>
      <c r="AG151" s="186"/>
      <c r="AH151" s="187"/>
      <c r="AI151" s="176"/>
      <c r="AJ151" s="116" t="str">
        <f aca="false">IF(AG151="","N","Y")</f>
        <v>N</v>
      </c>
      <c r="AK151" s="177"/>
      <c r="AL151" s="138"/>
    </row>
    <row r="152" s="140" customFormat="true" ht="23.25" hidden="false" customHeight="true" outlineLevel="0" collapsed="false">
      <c r="A152" s="116" t="n">
        <f aca="false">IF(B152="","",IF((YEAR(B152)-YEAR(B151))=0,A151+1,1))</f>
        <v>96</v>
      </c>
      <c r="B152" s="160" t="n">
        <v>42968</v>
      </c>
      <c r="C152" s="161" t="s">
        <v>96</v>
      </c>
      <c r="D152" s="161" t="s">
        <v>143</v>
      </c>
      <c r="E152" s="116"/>
      <c r="F152" s="161" t="s">
        <v>137</v>
      </c>
      <c r="G152" s="162" t="n">
        <v>42968</v>
      </c>
      <c r="H152" s="162" t="n">
        <v>42999</v>
      </c>
      <c r="I152" s="116" t="n">
        <f aca="false">H152-G152</f>
        <v>31</v>
      </c>
      <c r="J152" s="122" t="n">
        <f aca="false">TRUNC(I152/30,0)</f>
        <v>1</v>
      </c>
      <c r="K152" s="181" t="s">
        <v>99</v>
      </c>
      <c r="L152" s="166" t="n">
        <v>5.84</v>
      </c>
      <c r="M152" s="167"/>
      <c r="N152" s="168"/>
      <c r="O152" s="169"/>
      <c r="P152" s="169"/>
      <c r="Q152" s="170" t="n">
        <v>0.0117722</v>
      </c>
      <c r="R152" s="171"/>
      <c r="S152" s="172" t="n">
        <v>0.0124</v>
      </c>
      <c r="T152" s="171"/>
      <c r="U152" s="172"/>
      <c r="V152" s="172"/>
      <c r="W152" s="172"/>
      <c r="X152" s="172"/>
      <c r="Y152" s="173" t="n">
        <v>0.003092</v>
      </c>
      <c r="Z152" s="172" t="n">
        <v>0.0033</v>
      </c>
      <c r="AA152" s="172" t="n">
        <v>0.002</v>
      </c>
      <c r="AB152" s="174"/>
      <c r="AC152" s="174" t="n">
        <f aca="false">S152-Z152-AA152</f>
        <v>0.0071</v>
      </c>
      <c r="AD152" s="175" t="n">
        <v>0.0078</v>
      </c>
      <c r="AE152" s="130" t="n">
        <f aca="false">IF(Y152="","",Y152)</f>
        <v>0.003092</v>
      </c>
      <c r="AF152" s="173"/>
      <c r="AG152" s="186"/>
      <c r="AH152" s="187"/>
      <c r="AI152" s="176"/>
      <c r="AJ152" s="116" t="str">
        <f aca="false">IF(AG152="","N","Y")</f>
        <v>N</v>
      </c>
      <c r="AK152" s="177"/>
      <c r="AL152" s="138"/>
    </row>
    <row r="153" s="140" customFormat="true" ht="23.25" hidden="false" customHeight="true" outlineLevel="0" collapsed="false">
      <c r="A153" s="116" t="n">
        <f aca="false">IF(B153="","",IF((YEAR(B153)-YEAR(B152))=0,A152+1,1))</f>
        <v>97</v>
      </c>
      <c r="B153" s="160" t="n">
        <v>42975</v>
      </c>
      <c r="C153" s="161" t="s">
        <v>96</v>
      </c>
      <c r="D153" s="161" t="s">
        <v>97</v>
      </c>
      <c r="E153" s="116"/>
      <c r="F153" s="161" t="s">
        <v>98</v>
      </c>
      <c r="G153" s="162" t="n">
        <v>42975</v>
      </c>
      <c r="H153" s="162" t="n">
        <v>43067</v>
      </c>
      <c r="I153" s="116" t="n">
        <f aca="false">H153-G153</f>
        <v>92</v>
      </c>
      <c r="J153" s="122" t="n">
        <f aca="false">TRUNC(I153/30,0)</f>
        <v>3</v>
      </c>
      <c r="K153" s="180" t="s">
        <v>95</v>
      </c>
      <c r="L153" s="166" t="n">
        <v>200</v>
      </c>
      <c r="M153" s="167"/>
      <c r="N153" s="168"/>
      <c r="O153" s="169"/>
      <c r="P153" s="169"/>
      <c r="Q153" s="170" t="n">
        <v>0.0131778</v>
      </c>
      <c r="R153" s="171"/>
      <c r="S153" s="172" t="n">
        <f aca="false">AVERAGE(0.0183,0.0182)</f>
        <v>0.01825</v>
      </c>
      <c r="T153" s="171"/>
      <c r="U153" s="172"/>
      <c r="V153" s="172"/>
      <c r="W153" s="172"/>
      <c r="X153" s="172"/>
      <c r="Y153" s="173" t="n">
        <v>0.008788</v>
      </c>
      <c r="Z153" s="172" t="n">
        <v>0.002</v>
      </c>
      <c r="AA153" s="172" t="n">
        <v>0.002</v>
      </c>
      <c r="AB153" s="174"/>
      <c r="AC153" s="174" t="n">
        <f aca="false">S153-Z153-AA153</f>
        <v>0.01425</v>
      </c>
      <c r="AD153" s="175" t="n">
        <v>0.014</v>
      </c>
      <c r="AE153" s="130" t="n">
        <f aca="false">IF(Y153="","",Y153)</f>
        <v>0.008788</v>
      </c>
      <c r="AF153" s="173"/>
      <c r="AG153" s="186"/>
      <c r="AH153" s="187"/>
      <c r="AI153" s="176"/>
      <c r="AJ153" s="116" t="str">
        <f aca="false">IF(AG153="","N","Y")</f>
        <v>N</v>
      </c>
      <c r="AK153" s="177"/>
      <c r="AL153" s="138"/>
    </row>
    <row r="154" s="140" customFormat="true" ht="23.25" hidden="false" customHeight="true" outlineLevel="0" collapsed="false">
      <c r="A154" s="116" t="n">
        <f aca="false">IF(B154="","",IF((YEAR(B154)-YEAR(B153))=0,A153+1,1))</f>
        <v>98</v>
      </c>
      <c r="B154" s="160" t="n">
        <v>42975</v>
      </c>
      <c r="C154" s="161" t="s">
        <v>145</v>
      </c>
      <c r="D154" s="161" t="s">
        <v>149</v>
      </c>
      <c r="E154" s="116"/>
      <c r="F154" s="161" t="s">
        <v>147</v>
      </c>
      <c r="G154" s="162" t="n">
        <v>42975</v>
      </c>
      <c r="H154" s="162" t="n">
        <v>43006</v>
      </c>
      <c r="I154" s="116" t="n">
        <f aca="false">H154-G154</f>
        <v>31</v>
      </c>
      <c r="J154" s="122" t="n">
        <f aca="false">TRUNC(I154/30,0)</f>
        <v>1</v>
      </c>
      <c r="K154" s="181" t="s">
        <v>99</v>
      </c>
      <c r="L154" s="166" t="n">
        <v>130</v>
      </c>
      <c r="M154" s="167"/>
      <c r="N154" s="168"/>
      <c r="O154" s="169"/>
      <c r="P154" s="169"/>
      <c r="Q154" s="170" t="n">
        <v>0.0117778</v>
      </c>
      <c r="R154" s="171"/>
      <c r="S154" s="172" t="n">
        <v>0.0124</v>
      </c>
      <c r="T154" s="171"/>
      <c r="U154" s="172"/>
      <c r="V154" s="172"/>
      <c r="W154" s="172"/>
      <c r="X154" s="172"/>
      <c r="Y154" s="173" t="n">
        <v>0.003066</v>
      </c>
      <c r="Z154" s="172" t="n">
        <v>0.0033</v>
      </c>
      <c r="AA154" s="172" t="n">
        <v>0.001</v>
      </c>
      <c r="AB154" s="174"/>
      <c r="AC154" s="174" t="n">
        <f aca="false">S154-Z154-AA154</f>
        <v>0.0081</v>
      </c>
      <c r="AD154" s="175" t="n">
        <v>0.0085</v>
      </c>
      <c r="AE154" s="130" t="n">
        <f aca="false">IF(Y154="","",Y154)</f>
        <v>0.003066</v>
      </c>
      <c r="AF154" s="173"/>
      <c r="AG154" s="186"/>
      <c r="AH154" s="187"/>
      <c r="AI154" s="176"/>
      <c r="AJ154" s="116" t="str">
        <f aca="false">IF(AG154="","N","Y")</f>
        <v>N</v>
      </c>
      <c r="AK154" s="177"/>
      <c r="AL154" s="138"/>
    </row>
    <row r="155" s="140" customFormat="true" ht="23.25" hidden="false" customHeight="true" outlineLevel="0" collapsed="false">
      <c r="A155" s="116" t="n">
        <f aca="false">IF(B155="","",IF((YEAR(B155)-YEAR(B154))=0,A154+1,1))</f>
        <v>99</v>
      </c>
      <c r="B155" s="160" t="n">
        <v>42975</v>
      </c>
      <c r="C155" s="161" t="s">
        <v>150</v>
      </c>
      <c r="D155" s="161" t="s">
        <v>151</v>
      </c>
      <c r="E155" s="116"/>
      <c r="F155" s="161" t="s">
        <v>152</v>
      </c>
      <c r="G155" s="162" t="n">
        <v>42976</v>
      </c>
      <c r="H155" s="162" t="n">
        <v>43068</v>
      </c>
      <c r="I155" s="116" t="n">
        <f aca="false">H155-G155</f>
        <v>92</v>
      </c>
      <c r="J155" s="122" t="n">
        <f aca="false">TRUNC(I155/30,0)</f>
        <v>3</v>
      </c>
      <c r="K155" s="180" t="s">
        <v>95</v>
      </c>
      <c r="L155" s="166" t="n">
        <v>1</v>
      </c>
      <c r="M155" s="167"/>
      <c r="N155" s="168"/>
      <c r="O155" s="169"/>
      <c r="P155" s="169"/>
      <c r="Q155" s="170" t="n">
        <v>0.0131778</v>
      </c>
      <c r="R155" s="171"/>
      <c r="S155" s="172" t="n">
        <f aca="false">AVERAGE(0.0183,0.0182)</f>
        <v>0.01825</v>
      </c>
      <c r="T155" s="171"/>
      <c r="U155" s="172"/>
      <c r="V155" s="172"/>
      <c r="W155" s="172"/>
      <c r="X155" s="172"/>
      <c r="Y155" s="173" t="n">
        <v>0.008788</v>
      </c>
      <c r="Z155" s="172" t="n">
        <v>0.002</v>
      </c>
      <c r="AA155" s="172" t="n">
        <v>0.002</v>
      </c>
      <c r="AB155" s="174"/>
      <c r="AC155" s="174" t="n">
        <f aca="false">S155-Z155-AA155</f>
        <v>0.01425</v>
      </c>
      <c r="AD155" s="175" t="n">
        <v>0.0127</v>
      </c>
      <c r="AE155" s="130" t="n">
        <f aca="false">IF(Y155="","",Y155)</f>
        <v>0.008788</v>
      </c>
      <c r="AF155" s="173"/>
      <c r="AG155" s="186"/>
      <c r="AH155" s="187"/>
      <c r="AI155" s="176"/>
      <c r="AJ155" s="116" t="str">
        <f aca="false">IF(AG155="","N","Y")</f>
        <v>N</v>
      </c>
      <c r="AK155" s="177"/>
      <c r="AL155" s="138"/>
    </row>
    <row r="156" s="140" customFormat="true" ht="23.25" hidden="false" customHeight="true" outlineLevel="0" collapsed="false">
      <c r="A156" s="116" t="n">
        <f aca="false">IF(B156="","",IF((YEAR(B156)-YEAR(B155))=0,A155+1,1))</f>
        <v>100</v>
      </c>
      <c r="B156" s="160" t="n">
        <v>42978</v>
      </c>
      <c r="C156" s="161" t="s">
        <v>103</v>
      </c>
      <c r="D156" s="161" t="s">
        <v>153</v>
      </c>
      <c r="E156" s="116"/>
      <c r="F156" s="161" t="s">
        <v>148</v>
      </c>
      <c r="G156" s="162" t="n">
        <v>42978</v>
      </c>
      <c r="H156" s="162" t="n">
        <v>43008</v>
      </c>
      <c r="I156" s="116" t="n">
        <f aca="false">H156-G156</f>
        <v>30</v>
      </c>
      <c r="J156" s="122" t="n">
        <f aca="false">TRUNC(I156/30,0)</f>
        <v>1</v>
      </c>
      <c r="K156" s="181" t="s">
        <v>99</v>
      </c>
      <c r="L156" s="166" t="n">
        <v>10</v>
      </c>
      <c r="M156" s="167"/>
      <c r="N156" s="168"/>
      <c r="O156" s="169"/>
      <c r="P156" s="169"/>
      <c r="Q156" s="170" t="n">
        <v>0.0117778</v>
      </c>
      <c r="R156" s="171"/>
      <c r="S156" s="172" t="n">
        <v>0.0124</v>
      </c>
      <c r="T156" s="171"/>
      <c r="U156" s="172"/>
      <c r="V156" s="172"/>
      <c r="W156" s="172"/>
      <c r="X156" s="172"/>
      <c r="Y156" s="173" t="n">
        <v>0.003113</v>
      </c>
      <c r="Z156" s="172" t="n">
        <v>0.0033</v>
      </c>
      <c r="AA156" s="172" t="n">
        <v>0.002</v>
      </c>
      <c r="AB156" s="174"/>
      <c r="AC156" s="174" t="n">
        <f aca="false">S156-Z156-AA156</f>
        <v>0.0071</v>
      </c>
      <c r="AD156" s="175" t="n">
        <v>0.0075</v>
      </c>
      <c r="AE156" s="130" t="n">
        <f aca="false">IF(Y156="","",Y156)</f>
        <v>0.003113</v>
      </c>
      <c r="AF156" s="173"/>
      <c r="AG156" s="186"/>
      <c r="AH156" s="187"/>
      <c r="AI156" s="176"/>
      <c r="AJ156" s="116" t="str">
        <f aca="false">IF(AG156="","N","Y")</f>
        <v>N</v>
      </c>
      <c r="AK156" s="177"/>
      <c r="AL156" s="138"/>
    </row>
    <row r="157" s="140" customFormat="true" ht="23.25" hidden="false" customHeight="true" outlineLevel="0" collapsed="false">
      <c r="A157" s="116" t="n">
        <f aca="false">IF(B157="","",IF((YEAR(B157)-YEAR(B156))=0,A156+1,1))</f>
        <v>101</v>
      </c>
      <c r="B157" s="160" t="n">
        <v>42982</v>
      </c>
      <c r="C157" s="161" t="s">
        <v>103</v>
      </c>
      <c r="D157" s="161" t="s">
        <v>104</v>
      </c>
      <c r="E157" s="116"/>
      <c r="F157" s="161" t="s">
        <v>141</v>
      </c>
      <c r="G157" s="162" t="n">
        <v>42982</v>
      </c>
      <c r="H157" s="162" t="n">
        <v>43018</v>
      </c>
      <c r="I157" s="116" t="n">
        <f aca="false">H157-G157</f>
        <v>36</v>
      </c>
      <c r="J157" s="122" t="n">
        <f aca="false">TRUNC(I157/30,0)</f>
        <v>1</v>
      </c>
      <c r="K157" s="180" t="s">
        <v>95</v>
      </c>
      <c r="L157" s="166" t="n">
        <v>5.3</v>
      </c>
      <c r="M157" s="167"/>
      <c r="N157" s="168"/>
      <c r="O157" s="169"/>
      <c r="P157" s="169"/>
      <c r="Q157" s="170" t="n">
        <v>0.0123056</v>
      </c>
      <c r="R157" s="171"/>
      <c r="S157" s="172" t="n">
        <f aca="false">AVERAGE(0.0138)</f>
        <v>0.0138</v>
      </c>
      <c r="T157" s="171"/>
      <c r="U157" s="172"/>
      <c r="V157" s="172"/>
      <c r="W157" s="172"/>
      <c r="X157" s="172"/>
      <c r="Y157" s="173" t="n">
        <v>0.006734</v>
      </c>
      <c r="Z157" s="172" t="n">
        <v>0.002</v>
      </c>
      <c r="AA157" s="172" t="n">
        <v>0.002</v>
      </c>
      <c r="AB157" s="174"/>
      <c r="AC157" s="174" t="n">
        <f aca="false">S157-Z157-AA157</f>
        <v>0.0098</v>
      </c>
      <c r="AD157" s="175" t="n">
        <v>0.006734</v>
      </c>
      <c r="AE157" s="130" t="n">
        <f aca="false">IF(Y157="","",Y157)</f>
        <v>0.006734</v>
      </c>
      <c r="AF157" s="173"/>
      <c r="AG157" s="186"/>
      <c r="AH157" s="187"/>
      <c r="AI157" s="176"/>
      <c r="AJ157" s="116" t="str">
        <f aca="false">IF(AG157="","N","Y")</f>
        <v>N</v>
      </c>
      <c r="AK157" s="177"/>
      <c r="AL157" s="138"/>
    </row>
    <row r="158" s="140" customFormat="true" ht="23.25" hidden="false" customHeight="true" outlineLevel="0" collapsed="false">
      <c r="A158" s="116" t="n">
        <f aca="false">IF(B158="","",IF((YEAR(B158)-YEAR(B157))=0,A157+1,1))</f>
        <v>102</v>
      </c>
      <c r="B158" s="160" t="n">
        <v>42985</v>
      </c>
      <c r="C158" s="161" t="s">
        <v>96</v>
      </c>
      <c r="D158" s="161" t="s">
        <v>97</v>
      </c>
      <c r="E158" s="116"/>
      <c r="F158" s="161" t="s">
        <v>98</v>
      </c>
      <c r="G158" s="162" t="n">
        <v>42985</v>
      </c>
      <c r="H158" s="162" t="n">
        <v>42996</v>
      </c>
      <c r="I158" s="116" t="n">
        <f aca="false">H158-G158</f>
        <v>11</v>
      </c>
      <c r="J158" s="122" t="n">
        <f aca="false">TRUNC(I158/30,0)</f>
        <v>0</v>
      </c>
      <c r="K158" s="180" t="s">
        <v>95</v>
      </c>
      <c r="L158" s="166" t="n">
        <v>50</v>
      </c>
      <c r="M158" s="167"/>
      <c r="N158" s="168"/>
      <c r="O158" s="169"/>
      <c r="P158" s="169"/>
      <c r="Q158" s="170" t="n">
        <v>0.01195</v>
      </c>
      <c r="R158" s="171"/>
      <c r="S158" s="172" t="n">
        <v>0.0135</v>
      </c>
      <c r="T158" s="171"/>
      <c r="U158" s="172"/>
      <c r="V158" s="172"/>
      <c r="W158" s="172"/>
      <c r="X158" s="172"/>
      <c r="Y158" s="173" t="n">
        <v>0.005051</v>
      </c>
      <c r="Z158" s="172" t="n">
        <v>0.002</v>
      </c>
      <c r="AA158" s="172" t="n">
        <v>0.002</v>
      </c>
      <c r="AB158" s="174"/>
      <c r="AC158" s="174" t="n">
        <f aca="false">S158-Z158-AA158</f>
        <v>0.0095</v>
      </c>
      <c r="AD158" s="175" t="n">
        <v>0.008</v>
      </c>
      <c r="AE158" s="130" t="n">
        <f aca="false">IF(Y158="","",Y158)</f>
        <v>0.005051</v>
      </c>
      <c r="AF158" s="173"/>
      <c r="AG158" s="186"/>
      <c r="AH158" s="187"/>
      <c r="AI158" s="176"/>
      <c r="AJ158" s="116" t="str">
        <f aca="false">IF(AG158="","N","Y")</f>
        <v>N</v>
      </c>
      <c r="AK158" s="177"/>
      <c r="AL158" s="138"/>
    </row>
    <row r="159" s="140" customFormat="true" ht="23.25" hidden="false" customHeight="true" outlineLevel="0" collapsed="false">
      <c r="A159" s="116" t="n">
        <f aca="false">IF(B159="","",IF((YEAR(B159)-YEAR(B158))=0,A158+1,1))</f>
        <v>103</v>
      </c>
      <c r="B159" s="160" t="n">
        <v>42990</v>
      </c>
      <c r="C159" s="161" t="s">
        <v>100</v>
      </c>
      <c r="D159" s="161" t="s">
        <v>101</v>
      </c>
      <c r="E159" s="116"/>
      <c r="F159" s="161" t="s">
        <v>102</v>
      </c>
      <c r="G159" s="162" t="n">
        <v>42990</v>
      </c>
      <c r="H159" s="162" t="n">
        <v>43005</v>
      </c>
      <c r="I159" s="116" t="n">
        <f aca="false">H159-G159</f>
        <v>15</v>
      </c>
      <c r="J159" s="122" t="n">
        <f aca="false">TRUNC(I159/30,0)</f>
        <v>0</v>
      </c>
      <c r="K159" s="180" t="s">
        <v>95</v>
      </c>
      <c r="L159" s="166" t="n">
        <v>60</v>
      </c>
      <c r="M159" s="167"/>
      <c r="N159" s="168"/>
      <c r="O159" s="169"/>
      <c r="P159" s="169"/>
      <c r="Q159" s="170" t="n">
        <v>0.0119667</v>
      </c>
      <c r="R159" s="171"/>
      <c r="S159" s="172" t="n">
        <v>0.0135</v>
      </c>
      <c r="T159" s="171"/>
      <c r="U159" s="172"/>
      <c r="V159" s="172"/>
      <c r="W159" s="172"/>
      <c r="X159" s="172"/>
      <c r="Y159" s="173" t="n">
        <v>0.005066</v>
      </c>
      <c r="Z159" s="172" t="n">
        <v>0.002</v>
      </c>
      <c r="AA159" s="172" t="n">
        <v>0.002</v>
      </c>
      <c r="AB159" s="174"/>
      <c r="AC159" s="174" t="n">
        <f aca="false">S159-Z159-AA159</f>
        <v>0.0095</v>
      </c>
      <c r="AD159" s="175" t="n">
        <v>0.0095</v>
      </c>
      <c r="AE159" s="130" t="n">
        <f aca="false">IF(Y159="","",Y159)</f>
        <v>0.005066</v>
      </c>
      <c r="AF159" s="173"/>
      <c r="AG159" s="186"/>
      <c r="AH159" s="187"/>
      <c r="AI159" s="176"/>
      <c r="AJ159" s="116" t="str">
        <f aca="false">IF(AG159="","N","Y")</f>
        <v>N</v>
      </c>
      <c r="AK159" s="177"/>
      <c r="AL159" s="138"/>
    </row>
    <row r="160" s="38" customFormat="true" ht="23.25" hidden="false" customHeight="true" outlineLevel="0" collapsed="false">
      <c r="A160" s="19" t="n">
        <f aca="false">IF(B160="","",IF((YEAR(B160)-YEAR(B159))=0,A159+1,1))</f>
        <v>104</v>
      </c>
      <c r="B160" s="141" t="n">
        <v>42998</v>
      </c>
      <c r="C160" s="63" t="s">
        <v>100</v>
      </c>
      <c r="D160" s="63" t="s">
        <v>101</v>
      </c>
      <c r="E160" s="19"/>
      <c r="F160" s="63" t="s">
        <v>102</v>
      </c>
      <c r="G160" s="142" t="n">
        <v>42998</v>
      </c>
      <c r="H160" s="142" t="n">
        <v>43047</v>
      </c>
      <c r="I160" s="19" t="n">
        <f aca="false">H160-G160</f>
        <v>49</v>
      </c>
      <c r="J160" s="100" t="n">
        <f aca="false">TRUNC(I160/30,0)</f>
        <v>1</v>
      </c>
      <c r="K160" s="183" t="s">
        <v>95</v>
      </c>
      <c r="L160" s="146" t="n">
        <v>30</v>
      </c>
      <c r="M160" s="147"/>
      <c r="N160" s="148"/>
      <c r="O160" s="149"/>
      <c r="P160" s="149"/>
      <c r="Q160" s="150" t="n">
        <v>0.0123722</v>
      </c>
      <c r="R160" s="151"/>
      <c r="S160" s="152" t="n">
        <f aca="false">AVERAGE(0.019,0.0185,0.018)</f>
        <v>0.0185</v>
      </c>
      <c r="T160" s="151"/>
      <c r="U160" s="152"/>
      <c r="V160" s="152"/>
      <c r="W160" s="152"/>
      <c r="X160" s="152"/>
      <c r="Y160" s="153" t="n">
        <v>0.006799</v>
      </c>
      <c r="Z160" s="152" t="n">
        <v>0.002</v>
      </c>
      <c r="AA160" s="152" t="n">
        <v>0.002</v>
      </c>
      <c r="AB160" s="154"/>
      <c r="AC160" s="154" t="n">
        <f aca="false">S160-Z160-AA160</f>
        <v>0.0145</v>
      </c>
      <c r="AD160" s="155" t="n">
        <v>0.0145</v>
      </c>
      <c r="AE160" s="156" t="n">
        <f aca="false">IF(Y160="","",Y160)</f>
        <v>0.006799</v>
      </c>
      <c r="AF160" s="153"/>
      <c r="AG160" s="184" t="n">
        <v>0.0136</v>
      </c>
      <c r="AH160" s="185"/>
      <c r="AI160" s="35"/>
      <c r="AJ160" s="19" t="str">
        <f aca="false">IF(AG160="","N","Y")</f>
        <v>Y</v>
      </c>
      <c r="AK160" s="159"/>
      <c r="AL160" s="36"/>
    </row>
    <row r="161" s="140" customFormat="true" ht="23.25" hidden="false" customHeight="true" outlineLevel="0" collapsed="false">
      <c r="A161" s="116" t="n">
        <f aca="false">IF(B161="","",IF((YEAR(B161)-YEAR(B160))=0,A160+1,1))</f>
        <v>105</v>
      </c>
      <c r="B161" s="160" t="n">
        <v>42998</v>
      </c>
      <c r="C161" s="161" t="s">
        <v>96</v>
      </c>
      <c r="D161" s="161" t="s">
        <v>97</v>
      </c>
      <c r="E161" s="116"/>
      <c r="F161" s="161" t="s">
        <v>98</v>
      </c>
      <c r="G161" s="139" t="n">
        <v>42998</v>
      </c>
      <c r="H161" s="162" t="n">
        <v>43039</v>
      </c>
      <c r="I161" s="116" t="n">
        <f aca="false">H161-G161</f>
        <v>41</v>
      </c>
      <c r="J161" s="122" t="n">
        <f aca="false">TRUNC(I161/30,0)</f>
        <v>1</v>
      </c>
      <c r="K161" s="181" t="s">
        <v>99</v>
      </c>
      <c r="L161" s="166" t="n">
        <v>110</v>
      </c>
      <c r="M161" s="167"/>
      <c r="N161" s="168"/>
      <c r="O161" s="169"/>
      <c r="P161" s="169"/>
      <c r="Q161" s="170" t="n">
        <v>0.0117889</v>
      </c>
      <c r="R161" s="171"/>
      <c r="S161" s="172" t="n">
        <v>0.0124</v>
      </c>
      <c r="T161" s="171"/>
      <c r="U161" s="172"/>
      <c r="V161" s="172"/>
      <c r="W161" s="172"/>
      <c r="X161" s="172"/>
      <c r="Y161" s="173" t="n">
        <v>0.003066</v>
      </c>
      <c r="Z161" s="172" t="n">
        <v>0.0033</v>
      </c>
      <c r="AA161" s="172" t="n">
        <v>0.002</v>
      </c>
      <c r="AB161" s="174"/>
      <c r="AC161" s="174" t="n">
        <f aca="false">S161-Z161-AA161</f>
        <v>0.0071</v>
      </c>
      <c r="AD161" s="175" t="n">
        <v>0.0081</v>
      </c>
      <c r="AE161" s="130" t="n">
        <f aca="false">IF(Y161="","",Y161)</f>
        <v>0.003066</v>
      </c>
      <c r="AF161" s="173"/>
      <c r="AG161" s="186"/>
      <c r="AH161" s="187"/>
      <c r="AI161" s="176"/>
      <c r="AJ161" s="116" t="str">
        <f aca="false">IF(AG161="","N","Y")</f>
        <v>N</v>
      </c>
      <c r="AK161" s="177"/>
      <c r="AL161" s="138"/>
    </row>
    <row r="162" s="140" customFormat="true" ht="23.25" hidden="false" customHeight="true" outlineLevel="0" collapsed="false">
      <c r="A162" s="116" t="n">
        <f aca="false">IF(B162="","",IF((YEAR(B162)-YEAR(B161))=0,A161+1,1))</f>
        <v>106</v>
      </c>
      <c r="B162" s="160" t="n">
        <v>43003</v>
      </c>
      <c r="C162" s="161" t="s">
        <v>145</v>
      </c>
      <c r="D162" s="161" t="s">
        <v>149</v>
      </c>
      <c r="E162" s="116"/>
      <c r="F162" s="161" t="s">
        <v>147</v>
      </c>
      <c r="G162" s="162" t="n">
        <v>43003</v>
      </c>
      <c r="H162" s="162" t="n">
        <v>43033</v>
      </c>
      <c r="I162" s="116" t="n">
        <f aca="false">H162-G162</f>
        <v>30</v>
      </c>
      <c r="J162" s="122" t="n">
        <f aca="false">TRUNC(I162/30,0)</f>
        <v>1</v>
      </c>
      <c r="K162" s="181" t="s">
        <v>99</v>
      </c>
      <c r="L162" s="166" t="n">
        <v>13.2</v>
      </c>
      <c r="M162" s="167"/>
      <c r="N162" s="168"/>
      <c r="O162" s="169"/>
      <c r="P162" s="169"/>
      <c r="Q162" s="170" t="n">
        <v>0.0117889</v>
      </c>
      <c r="R162" s="171"/>
      <c r="S162" s="172" t="n">
        <v>0.0124</v>
      </c>
      <c r="T162" s="171"/>
      <c r="U162" s="172"/>
      <c r="V162" s="172"/>
      <c r="W162" s="172"/>
      <c r="X162" s="172"/>
      <c r="Y162" s="173" t="n">
        <v>0.003045</v>
      </c>
      <c r="Z162" s="172" t="n">
        <v>0.0033</v>
      </c>
      <c r="AA162" s="172" t="n">
        <v>0.002</v>
      </c>
      <c r="AB162" s="174"/>
      <c r="AC162" s="174" t="n">
        <f aca="false">S162-Z162-AA162</f>
        <v>0.0071</v>
      </c>
      <c r="AD162" s="175" t="n">
        <v>0.0085</v>
      </c>
      <c r="AE162" s="130" t="n">
        <f aca="false">IF(Y162="","",Y162)</f>
        <v>0.003045</v>
      </c>
      <c r="AF162" s="173"/>
      <c r="AG162" s="186"/>
      <c r="AH162" s="187"/>
      <c r="AI162" s="176"/>
      <c r="AJ162" s="116" t="str">
        <f aca="false">IF(AG162="","N","Y")</f>
        <v>N</v>
      </c>
      <c r="AK162" s="177"/>
      <c r="AL162" s="138"/>
    </row>
    <row r="163" s="140" customFormat="true" ht="23.25" hidden="false" customHeight="true" outlineLevel="0" collapsed="false">
      <c r="A163" s="116" t="n">
        <f aca="false">IF(B163="","",IF((YEAR(B163)-YEAR(B162))=0,A162+1,1))</f>
        <v>107</v>
      </c>
      <c r="B163" s="160" t="n">
        <v>43004</v>
      </c>
      <c r="C163" s="161" t="s">
        <v>96</v>
      </c>
      <c r="D163" s="161" t="s">
        <v>97</v>
      </c>
      <c r="E163" s="116"/>
      <c r="F163" s="161" t="s">
        <v>98</v>
      </c>
      <c r="G163" s="162" t="n">
        <v>43004</v>
      </c>
      <c r="H163" s="162" t="n">
        <v>43095</v>
      </c>
      <c r="I163" s="116" t="n">
        <f aca="false">H163-G163</f>
        <v>91</v>
      </c>
      <c r="J163" s="122" t="n">
        <f aca="false">TRUNC(I163/30,0)</f>
        <v>3</v>
      </c>
      <c r="K163" s="180" t="s">
        <v>95</v>
      </c>
      <c r="L163" s="166" t="n">
        <v>260</v>
      </c>
      <c r="M163" s="167"/>
      <c r="N163" s="168"/>
      <c r="O163" s="169"/>
      <c r="P163" s="169"/>
      <c r="Q163" s="170" t="n">
        <v>0.0132972</v>
      </c>
      <c r="R163" s="171"/>
      <c r="S163" s="172" t="n">
        <f aca="false">AVERAGE(0.0199,0.0205,0.0195)</f>
        <v>0.0199666666666667</v>
      </c>
      <c r="T163" s="171"/>
      <c r="U163" s="172"/>
      <c r="V163" s="172"/>
      <c r="W163" s="172"/>
      <c r="X163" s="172"/>
      <c r="Y163" s="173" t="n">
        <v>0.008906</v>
      </c>
      <c r="Z163" s="172" t="n">
        <v>0.002</v>
      </c>
      <c r="AA163" s="172" t="n">
        <v>0.002</v>
      </c>
      <c r="AB163" s="174" t="n">
        <f aca="false">S163-Z163</f>
        <v>0.0179666666666667</v>
      </c>
      <c r="AC163" s="174" t="n">
        <f aca="false">U163-Z163-AA163</f>
        <v>-0.004</v>
      </c>
      <c r="AD163" s="175" t="n">
        <v>0.0159</v>
      </c>
      <c r="AE163" s="130" t="n">
        <f aca="false">IF(Y163="","",Y163)</f>
        <v>0.008906</v>
      </c>
      <c r="AF163" s="173"/>
      <c r="AG163" s="186"/>
      <c r="AH163" s="187"/>
      <c r="AI163" s="176"/>
      <c r="AJ163" s="116" t="str">
        <f aca="false">IF(AG163="","N","Y")</f>
        <v>N</v>
      </c>
      <c r="AK163" s="177"/>
      <c r="AL163" s="138"/>
    </row>
    <row r="164" s="140" customFormat="true" ht="23.25" hidden="false" customHeight="true" outlineLevel="0" collapsed="false">
      <c r="A164" s="116" t="n">
        <f aca="false">IF(B164="","",IF((YEAR(B164)-YEAR(B163))=0,A163+1,1))</f>
        <v>108</v>
      </c>
      <c r="B164" s="160" t="n">
        <v>43005</v>
      </c>
      <c r="C164" s="161" t="s">
        <v>100</v>
      </c>
      <c r="D164" s="161" t="s">
        <v>101</v>
      </c>
      <c r="E164" s="116"/>
      <c r="F164" s="161" t="s">
        <v>102</v>
      </c>
      <c r="G164" s="162" t="n">
        <v>43005</v>
      </c>
      <c r="H164" s="162" t="n">
        <v>43026</v>
      </c>
      <c r="I164" s="116" t="n">
        <f aca="false">H164-G164</f>
        <v>21</v>
      </c>
      <c r="J164" s="122" t="n">
        <f aca="false">TRUNC(I164/30,0)</f>
        <v>0</v>
      </c>
      <c r="K164" s="180" t="s">
        <v>95</v>
      </c>
      <c r="L164" s="166" t="n">
        <v>20</v>
      </c>
      <c r="M164" s="167"/>
      <c r="N164" s="168"/>
      <c r="O164" s="169"/>
      <c r="P164" s="169"/>
      <c r="Q164" s="170" t="n">
        <v>0.0119556</v>
      </c>
      <c r="R164" s="171"/>
      <c r="S164" s="172" t="n">
        <f aca="false">AVERAGE(0.019,0.0165,0.018)</f>
        <v>0.0178333333333333</v>
      </c>
      <c r="T164" s="171"/>
      <c r="U164" s="172"/>
      <c r="V164" s="172"/>
      <c r="W164" s="172"/>
      <c r="X164" s="172"/>
      <c r="Y164" s="173" t="n">
        <v>0.005056</v>
      </c>
      <c r="Z164" s="172" t="n">
        <v>0.002</v>
      </c>
      <c r="AA164" s="172" t="n">
        <v>0.002</v>
      </c>
      <c r="AB164" s="174" t="n">
        <f aca="false">S164-Z164</f>
        <v>0.0158333333333333</v>
      </c>
      <c r="AC164" s="174" t="n">
        <f aca="false">U164-Z164-AA164</f>
        <v>-0.004</v>
      </c>
      <c r="AD164" s="175" t="n">
        <v>0.0135</v>
      </c>
      <c r="AE164" s="130" t="n">
        <f aca="false">IF(Y164="","",Y164)</f>
        <v>0.005056</v>
      </c>
      <c r="AF164" s="173"/>
      <c r="AG164" s="186"/>
      <c r="AH164" s="187"/>
      <c r="AI164" s="176"/>
      <c r="AJ164" s="116" t="str">
        <f aca="false">IF(AG164="","N","Y")</f>
        <v>N</v>
      </c>
      <c r="AK164" s="177"/>
      <c r="AL164" s="138"/>
    </row>
    <row r="165" s="38" customFormat="true" ht="23.25" hidden="false" customHeight="true" outlineLevel="0" collapsed="false">
      <c r="A165" s="19" t="n">
        <f aca="false">IF(B165="","",IF((YEAR(B165)-YEAR(B164))=0,A164+1,1))</f>
        <v>109</v>
      </c>
      <c r="B165" s="141" t="n">
        <v>43005</v>
      </c>
      <c r="C165" s="63" t="s">
        <v>100</v>
      </c>
      <c r="D165" s="63" t="s">
        <v>101</v>
      </c>
      <c r="E165" s="19"/>
      <c r="F165" s="63" t="s">
        <v>102</v>
      </c>
      <c r="G165" s="142" t="n">
        <v>43005</v>
      </c>
      <c r="H165" s="142" t="n">
        <v>43049</v>
      </c>
      <c r="I165" s="19" t="n">
        <f aca="false">H165-G165</f>
        <v>44</v>
      </c>
      <c r="J165" s="100" t="n">
        <f aca="false">TRUNC(I165/30,0)</f>
        <v>1</v>
      </c>
      <c r="K165" s="183" t="s">
        <v>95</v>
      </c>
      <c r="L165" s="146" t="n">
        <v>100</v>
      </c>
      <c r="M165" s="147"/>
      <c r="N165" s="148"/>
      <c r="O165" s="149"/>
      <c r="P165" s="149"/>
      <c r="Q165" s="150" t="n">
        <v>0.0123444</v>
      </c>
      <c r="R165" s="151"/>
      <c r="S165" s="152" t="n">
        <f aca="false">AVERAGE(0.0187,0.0192,0.019)</f>
        <v>0.0189666666666667</v>
      </c>
      <c r="T165" s="151"/>
      <c r="U165" s="152"/>
      <c r="V165" s="152"/>
      <c r="W165" s="152"/>
      <c r="X165" s="152"/>
      <c r="Y165" s="153" t="n">
        <v>0.006772</v>
      </c>
      <c r="Z165" s="152" t="n">
        <v>0.002</v>
      </c>
      <c r="AA165" s="152" t="n">
        <v>0.002</v>
      </c>
      <c r="AB165" s="154" t="n">
        <f aca="false">S165-Z165</f>
        <v>0.0169666666666667</v>
      </c>
      <c r="AC165" s="154" t="n">
        <f aca="false">U165-Z165-AA165</f>
        <v>-0.004</v>
      </c>
      <c r="AD165" s="155" t="n">
        <v>0.0145</v>
      </c>
      <c r="AE165" s="156" t="n">
        <f aca="false">IF(Y165="","",Y165)</f>
        <v>0.006772</v>
      </c>
      <c r="AF165" s="153"/>
      <c r="AG165" s="184" t="n">
        <v>0.0139</v>
      </c>
      <c r="AH165" s="185"/>
      <c r="AI165" s="35"/>
      <c r="AJ165" s="19" t="str">
        <f aca="false">IF(AG165="","N","Y")</f>
        <v>Y</v>
      </c>
      <c r="AK165" s="159"/>
      <c r="AL165" s="36"/>
    </row>
    <row r="166" s="38" customFormat="true" ht="23.25" hidden="false" customHeight="true" outlineLevel="0" collapsed="false">
      <c r="A166" s="19" t="n">
        <f aca="false">IF(B166="","",IF((YEAR(B166)-YEAR(B165))=0,A165+1,1))</f>
        <v>110</v>
      </c>
      <c r="B166" s="141" t="n">
        <v>43007</v>
      </c>
      <c r="C166" s="63" t="s">
        <v>100</v>
      </c>
      <c r="D166" s="63" t="s">
        <v>101</v>
      </c>
      <c r="E166" s="19"/>
      <c r="F166" s="63" t="s">
        <v>102</v>
      </c>
      <c r="G166" s="142" t="n">
        <v>43007</v>
      </c>
      <c r="H166" s="142" t="n">
        <v>43047</v>
      </c>
      <c r="I166" s="19" t="n">
        <f aca="false">H166-G166</f>
        <v>40</v>
      </c>
      <c r="J166" s="100" t="n">
        <f aca="false">TRUNC(I166/30,0)</f>
        <v>1</v>
      </c>
      <c r="K166" s="183" t="s">
        <v>95</v>
      </c>
      <c r="L166" s="146" t="n">
        <v>40</v>
      </c>
      <c r="M166" s="147"/>
      <c r="N166" s="148"/>
      <c r="O166" s="149"/>
      <c r="P166" s="149"/>
      <c r="Q166" s="150" t="n">
        <v>0.01235</v>
      </c>
      <c r="R166" s="151"/>
      <c r="S166" s="152" t="n">
        <f aca="false">AVERAGE(0.0155,0.0185,0.018,0.015)</f>
        <v>0.01675</v>
      </c>
      <c r="T166" s="151"/>
      <c r="U166" s="152"/>
      <c r="V166" s="152"/>
      <c r="W166" s="152"/>
      <c r="X166" s="152"/>
      <c r="Y166" s="153" t="n">
        <v>0.006778</v>
      </c>
      <c r="Z166" s="152" t="n">
        <v>0.002</v>
      </c>
      <c r="AA166" s="152" t="n">
        <v>0.002</v>
      </c>
      <c r="AB166" s="154" t="n">
        <f aca="false">S166-Z166</f>
        <v>0.01475</v>
      </c>
      <c r="AC166" s="154" t="n">
        <f aca="false">U166-Z166-AA166</f>
        <v>-0.004</v>
      </c>
      <c r="AD166" s="155" t="n">
        <v>0.0127</v>
      </c>
      <c r="AE166" s="156" t="n">
        <f aca="false">IF(Y166="","",Y166)</f>
        <v>0.006778</v>
      </c>
      <c r="AF166" s="153"/>
      <c r="AG166" s="184" t="n">
        <v>0.0127</v>
      </c>
      <c r="AH166" s="185"/>
      <c r="AI166" s="35"/>
      <c r="AJ166" s="19" t="str">
        <f aca="false">IF(AG166="","N","Y")</f>
        <v>Y</v>
      </c>
      <c r="AK166" s="159"/>
      <c r="AL166" s="36"/>
    </row>
    <row r="167" s="140" customFormat="true" ht="23.25" hidden="false" customHeight="true" outlineLevel="0" collapsed="false">
      <c r="A167" s="116" t="n">
        <f aca="false">IF(B167="","",IF((YEAR(B167)-YEAR(B166))=0,A166+1,1))</f>
        <v>111</v>
      </c>
      <c r="B167" s="160" t="n">
        <v>43019</v>
      </c>
      <c r="C167" s="161" t="s">
        <v>145</v>
      </c>
      <c r="D167" s="161" t="s">
        <v>149</v>
      </c>
      <c r="E167" s="116"/>
      <c r="F167" s="161" t="s">
        <v>147</v>
      </c>
      <c r="G167" s="162" t="n">
        <v>43019</v>
      </c>
      <c r="H167" s="162" t="n">
        <v>43052</v>
      </c>
      <c r="I167" s="116" t="n">
        <f aca="false">H167-G167</f>
        <v>33</v>
      </c>
      <c r="J167" s="122" t="n">
        <f aca="false">TRUNC(I167/30,0)</f>
        <v>1</v>
      </c>
      <c r="K167" s="181" t="s">
        <v>99</v>
      </c>
      <c r="L167" s="166" t="n">
        <v>60</v>
      </c>
      <c r="M167" s="167"/>
      <c r="N167" s="168"/>
      <c r="O167" s="169"/>
      <c r="P167" s="169"/>
      <c r="Q167" s="170" t="n">
        <v>0.011867</v>
      </c>
      <c r="R167" s="171"/>
      <c r="S167" s="172" t="n">
        <v>0.0125</v>
      </c>
      <c r="T167" s="171"/>
      <c r="U167" s="172"/>
      <c r="V167" s="172"/>
      <c r="W167" s="172"/>
      <c r="X167" s="172"/>
      <c r="Y167" s="173" t="n">
        <v>0.003144</v>
      </c>
      <c r="Z167" s="172" t="n">
        <v>0.0033</v>
      </c>
      <c r="AA167" s="172" t="n">
        <v>0.002</v>
      </c>
      <c r="AB167" s="174" t="n">
        <f aca="false">S167-Z167</f>
        <v>0.0092</v>
      </c>
      <c r="AC167" s="174" t="n">
        <f aca="false">U167-Z167-AA167</f>
        <v>-0.0053</v>
      </c>
      <c r="AD167" s="175" t="n">
        <v>0.0085</v>
      </c>
      <c r="AE167" s="130" t="n">
        <f aca="false">IF(Y167="","",Y167)</f>
        <v>0.003144</v>
      </c>
      <c r="AF167" s="173"/>
      <c r="AG167" s="186"/>
      <c r="AH167" s="187"/>
      <c r="AI167" s="176"/>
      <c r="AJ167" s="116" t="str">
        <f aca="false">IF(AG167="","N","Y")</f>
        <v>N</v>
      </c>
      <c r="AK167" s="177"/>
      <c r="AL167" s="138"/>
    </row>
    <row r="168" s="140" customFormat="true" ht="23.25" hidden="false" customHeight="true" outlineLevel="0" collapsed="false">
      <c r="A168" s="116" t="n">
        <f aca="false">IF(B168="","",IF((YEAR(B168)-YEAR(B167))=0,A167+1,1))</f>
        <v>112</v>
      </c>
      <c r="B168" s="160" t="n">
        <v>43021</v>
      </c>
      <c r="C168" s="161" t="s">
        <v>103</v>
      </c>
      <c r="D168" s="161" t="s">
        <v>154</v>
      </c>
      <c r="E168" s="116"/>
      <c r="F168" s="161" t="s">
        <v>155</v>
      </c>
      <c r="G168" s="162" t="n">
        <v>43031</v>
      </c>
      <c r="H168" s="162" t="n">
        <v>43396</v>
      </c>
      <c r="I168" s="116" t="n">
        <f aca="false">H168-G168</f>
        <v>365</v>
      </c>
      <c r="J168" s="122" t="n">
        <f aca="false">TRUNC(I168/30,0)</f>
        <v>12</v>
      </c>
      <c r="K168" s="180" t="s">
        <v>95</v>
      </c>
      <c r="L168" s="166" t="n">
        <v>8.5</v>
      </c>
      <c r="M168" s="167"/>
      <c r="N168" s="168"/>
      <c r="O168" s="169"/>
      <c r="P168" s="169"/>
      <c r="Q168" s="170" t="n">
        <v>0.0180844</v>
      </c>
      <c r="R168" s="171"/>
      <c r="S168" s="172" t="n">
        <f aca="false">AVERAGE(0.019,0.0205,0.0203)</f>
        <v>0.0199333333333333</v>
      </c>
      <c r="T168" s="171"/>
      <c r="U168" s="172"/>
      <c r="V168" s="172"/>
      <c r="W168" s="172"/>
      <c r="X168" s="172"/>
      <c r="Y168" s="173" t="n">
        <v>0.012741</v>
      </c>
      <c r="Z168" s="172" t="n">
        <v>0.002</v>
      </c>
      <c r="AA168" s="172" t="n">
        <v>0.002</v>
      </c>
      <c r="AB168" s="174" t="n">
        <f aca="false">S168-Z168</f>
        <v>0.0179333333333333</v>
      </c>
      <c r="AC168" s="174" t="n">
        <f aca="false">U168-Z168-AA168</f>
        <v>-0.004</v>
      </c>
      <c r="AD168" s="175" t="n">
        <v>0.0175</v>
      </c>
      <c r="AE168" s="130" t="n">
        <f aca="false">IF(Y168="","",Y168)</f>
        <v>0.012741</v>
      </c>
      <c r="AF168" s="173"/>
      <c r="AG168" s="186"/>
      <c r="AH168" s="187"/>
      <c r="AI168" s="176"/>
      <c r="AJ168" s="116" t="str">
        <f aca="false">IF(AG168="","N","Y")</f>
        <v>N</v>
      </c>
      <c r="AK168" s="177"/>
      <c r="AL168" s="138"/>
    </row>
    <row r="169" s="140" customFormat="true" ht="23.25" hidden="false" customHeight="true" outlineLevel="0" collapsed="false">
      <c r="A169" s="116" t="n">
        <f aca="false">IF(B169="","",IF((YEAR(B169)-YEAR(B168))=0,A168+1,1))</f>
        <v>113</v>
      </c>
      <c r="B169" s="160" t="n">
        <v>43027</v>
      </c>
      <c r="C169" s="161" t="s">
        <v>156</v>
      </c>
      <c r="D169" s="161" t="s">
        <v>157</v>
      </c>
      <c r="E169" s="116"/>
      <c r="F169" s="116" t="n">
        <v>2943</v>
      </c>
      <c r="G169" s="162" t="n">
        <v>43027</v>
      </c>
      <c r="H169" s="162"/>
      <c r="I169" s="116"/>
      <c r="J169" s="122" t="n">
        <f aca="false">TRUNC(I169/30,0)</f>
        <v>0</v>
      </c>
      <c r="K169" s="181" t="s">
        <v>99</v>
      </c>
      <c r="L169" s="192" t="s">
        <v>158</v>
      </c>
      <c r="M169" s="167"/>
      <c r="N169" s="168"/>
      <c r="O169" s="169"/>
      <c r="P169" s="169"/>
      <c r="Q169" s="170" t="n">
        <v>0.011867</v>
      </c>
      <c r="R169" s="171"/>
      <c r="S169" s="172" t="n">
        <v>0.0125</v>
      </c>
      <c r="T169" s="171"/>
      <c r="U169" s="172"/>
      <c r="V169" s="172"/>
      <c r="W169" s="172"/>
      <c r="X169" s="172"/>
      <c r="Y169" s="173" t="n">
        <v>0.003144</v>
      </c>
      <c r="Z169" s="172" t="n">
        <v>0.0033</v>
      </c>
      <c r="AA169" s="172" t="n">
        <v>0.002</v>
      </c>
      <c r="AB169" s="174" t="n">
        <f aca="false">S169-Z169</f>
        <v>0.0092</v>
      </c>
      <c r="AC169" s="174" t="n">
        <f aca="false">U169-Z169-AA169</f>
        <v>-0.0053</v>
      </c>
      <c r="AD169" s="175" t="n">
        <v>0.0085</v>
      </c>
      <c r="AE169" s="130" t="n">
        <f aca="false">IF(Y169="","",Y169)</f>
        <v>0.003144</v>
      </c>
      <c r="AF169" s="173"/>
      <c r="AG169" s="186"/>
      <c r="AH169" s="187"/>
      <c r="AI169" s="176"/>
      <c r="AJ169" s="116" t="str">
        <f aca="false">IF(AG169="","N","Y")</f>
        <v>N</v>
      </c>
      <c r="AK169" s="177"/>
      <c r="AL169" s="138"/>
    </row>
    <row r="170" s="38" customFormat="true" ht="23.25" hidden="false" customHeight="true" outlineLevel="0" collapsed="false">
      <c r="A170" s="19" t="n">
        <f aca="false">IF(B170="","",IF((YEAR(B170)-YEAR(B169))=0,A169+1,1))</f>
        <v>114</v>
      </c>
      <c r="B170" s="141" t="n">
        <v>43028</v>
      </c>
      <c r="C170" s="63" t="s">
        <v>96</v>
      </c>
      <c r="D170" s="63" t="s">
        <v>97</v>
      </c>
      <c r="E170" s="19"/>
      <c r="F170" s="63" t="s">
        <v>137</v>
      </c>
      <c r="G170" s="9" t="n">
        <v>43028</v>
      </c>
      <c r="H170" s="142" t="n">
        <v>43059</v>
      </c>
      <c r="I170" s="19" t="n">
        <f aca="false">H170-G170</f>
        <v>31</v>
      </c>
      <c r="J170" s="100" t="n">
        <f aca="false">TRUNC(I170/30,0)</f>
        <v>1</v>
      </c>
      <c r="K170" s="189" t="s">
        <v>99</v>
      </c>
      <c r="L170" s="146" t="n">
        <v>10</v>
      </c>
      <c r="M170" s="147"/>
      <c r="N170" s="148"/>
      <c r="O170" s="149"/>
      <c r="P170" s="149"/>
      <c r="Q170" s="150" t="n">
        <v>0.01185</v>
      </c>
      <c r="R170" s="151"/>
      <c r="S170" s="152" t="n">
        <v>0.0124</v>
      </c>
      <c r="T170" s="151"/>
      <c r="U170" s="152"/>
      <c r="V170" s="152"/>
      <c r="W170" s="152"/>
      <c r="X170" s="152"/>
      <c r="Y170" s="153" t="n">
        <v>0.003149</v>
      </c>
      <c r="Z170" s="152" t="n">
        <v>0.0033</v>
      </c>
      <c r="AA170" s="152" t="n">
        <v>0.002</v>
      </c>
      <c r="AB170" s="154" t="n">
        <f aca="false">S170-Z170</f>
        <v>0.0091</v>
      </c>
      <c r="AC170" s="154" t="n">
        <f aca="false">U170-Z170-AA170</f>
        <v>-0.0053</v>
      </c>
      <c r="AD170" s="155" t="n">
        <v>0.0085</v>
      </c>
      <c r="AE170" s="156" t="n">
        <f aca="false">IF(Y170="","",Y170)</f>
        <v>0.003149</v>
      </c>
      <c r="AF170" s="153"/>
      <c r="AG170" s="184" t="n">
        <v>0.0078</v>
      </c>
      <c r="AH170" s="185"/>
      <c r="AI170" s="35"/>
      <c r="AJ170" s="19" t="str">
        <f aca="false">IF(AG170="","N","Y")</f>
        <v>Y</v>
      </c>
      <c r="AK170" s="159"/>
      <c r="AL170" s="36"/>
    </row>
    <row r="171" s="140" customFormat="true" ht="23.25" hidden="false" customHeight="true" outlineLevel="0" collapsed="false">
      <c r="A171" s="116" t="n">
        <f aca="false">IF(B171="","",IF((YEAR(B171)-YEAR(B170))=0,A170+1,1))</f>
        <v>115</v>
      </c>
      <c r="B171" s="160" t="n">
        <v>43031</v>
      </c>
      <c r="C171" s="161" t="s">
        <v>156</v>
      </c>
      <c r="D171" s="161" t="s">
        <v>159</v>
      </c>
      <c r="E171" s="116"/>
      <c r="F171" s="161" t="s">
        <v>160</v>
      </c>
      <c r="G171" s="162" t="n">
        <v>43049</v>
      </c>
      <c r="H171" s="162" t="n">
        <v>43141</v>
      </c>
      <c r="I171" s="116" t="n">
        <f aca="false">H171-G171</f>
        <v>92</v>
      </c>
      <c r="J171" s="122" t="n">
        <f aca="false">TRUNC(I171/30,0)</f>
        <v>3</v>
      </c>
      <c r="K171" s="180" t="s">
        <v>95</v>
      </c>
      <c r="L171" s="166" t="n">
        <v>1</v>
      </c>
      <c r="M171" s="167"/>
      <c r="N171" s="168"/>
      <c r="O171" s="169"/>
      <c r="P171" s="169"/>
      <c r="Q171" s="170" t="n">
        <v>0.0136476</v>
      </c>
      <c r="R171" s="171"/>
      <c r="S171" s="172" t="n">
        <f aca="false">AVERAGE(0.0199,0.0205,0.0195)</f>
        <v>0.0199666666666667</v>
      </c>
      <c r="T171" s="171"/>
      <c r="U171" s="172"/>
      <c r="V171" s="172"/>
      <c r="W171" s="172"/>
      <c r="X171" s="172"/>
      <c r="Y171" s="173" t="n">
        <v>0.009249</v>
      </c>
      <c r="Z171" s="172" t="n">
        <v>0.002</v>
      </c>
      <c r="AA171" s="172" t="n">
        <v>0.002</v>
      </c>
      <c r="AB171" s="174" t="n">
        <f aca="false">S171-Z171</f>
        <v>0.0179666666666667</v>
      </c>
      <c r="AC171" s="174" t="n">
        <f aca="false">U171-Z171-AA171</f>
        <v>-0.004</v>
      </c>
      <c r="AD171" s="175" t="n">
        <v>0.014</v>
      </c>
      <c r="AE171" s="130" t="n">
        <f aca="false">IF(Y171="","",Y171)</f>
        <v>0.009249</v>
      </c>
      <c r="AF171" s="173"/>
      <c r="AG171" s="186"/>
      <c r="AH171" s="187"/>
      <c r="AI171" s="176"/>
      <c r="AJ171" s="116" t="str">
        <f aca="false">IF(AG171="","N","Y")</f>
        <v>N</v>
      </c>
      <c r="AK171" s="177"/>
      <c r="AL171" s="138"/>
    </row>
    <row r="172" s="140" customFormat="true" ht="23.25" hidden="false" customHeight="true" outlineLevel="0" collapsed="false">
      <c r="A172" s="116" t="n">
        <f aca="false">IF(B172="","",IF((YEAR(B172)-YEAR(B171))=0,A171+1,1))</f>
        <v>116</v>
      </c>
      <c r="B172" s="160" t="n">
        <v>43031</v>
      </c>
      <c r="C172" s="161" t="s">
        <v>156</v>
      </c>
      <c r="D172" s="161" t="s">
        <v>159</v>
      </c>
      <c r="E172" s="116"/>
      <c r="F172" s="161" t="s">
        <v>160</v>
      </c>
      <c r="G172" s="162" t="n">
        <v>43049</v>
      </c>
      <c r="H172" s="162" t="n">
        <v>43414</v>
      </c>
      <c r="I172" s="116" t="n">
        <f aca="false">H172-G172</f>
        <v>365</v>
      </c>
      <c r="J172" s="122" t="n">
        <f aca="false">TRUNC(I172/30,0)</f>
        <v>12</v>
      </c>
      <c r="K172" s="180" t="s">
        <v>95</v>
      </c>
      <c r="L172" s="166" t="n">
        <v>1</v>
      </c>
      <c r="M172" s="167"/>
      <c r="N172" s="168"/>
      <c r="O172" s="169"/>
      <c r="P172" s="169"/>
      <c r="Q172" s="170" t="n">
        <v>0.0183122</v>
      </c>
      <c r="R172" s="171"/>
      <c r="S172" s="172" t="n">
        <f aca="false">AVERAGE(0.019,0.0205,0.0203)</f>
        <v>0.0199333333333333</v>
      </c>
      <c r="T172" s="171"/>
      <c r="U172" s="172"/>
      <c r="V172" s="172"/>
      <c r="W172" s="172"/>
      <c r="X172" s="172"/>
      <c r="Y172" s="173" t="n">
        <v>0.011612</v>
      </c>
      <c r="Z172" s="172" t="n">
        <v>0.002</v>
      </c>
      <c r="AA172" s="172" t="n">
        <v>0.002</v>
      </c>
      <c r="AB172" s="174" t="n">
        <f aca="false">S172-Z172</f>
        <v>0.0179333333333333</v>
      </c>
      <c r="AC172" s="174" t="n">
        <f aca="false">U172-Z172-AA172</f>
        <v>-0.004</v>
      </c>
      <c r="AD172" s="175" t="n">
        <v>0.0155</v>
      </c>
      <c r="AE172" s="130" t="n">
        <f aca="false">IF(Y172="","",Y172)</f>
        <v>0.011612</v>
      </c>
      <c r="AF172" s="173"/>
      <c r="AG172" s="186"/>
      <c r="AH172" s="187"/>
      <c r="AI172" s="176"/>
      <c r="AJ172" s="116" t="str">
        <f aca="false">IF(AG172="","N","Y")</f>
        <v>N</v>
      </c>
      <c r="AK172" s="177"/>
      <c r="AL172" s="138"/>
    </row>
    <row r="173" s="38" customFormat="true" ht="23.25" hidden="false" customHeight="true" outlineLevel="0" collapsed="false">
      <c r="A173" s="19" t="n">
        <f aca="false">IF(B173="","",IF((YEAR(B173)-YEAR(B172))=0,A172+1,1))</f>
        <v>117</v>
      </c>
      <c r="B173" s="141" t="n">
        <v>43033</v>
      </c>
      <c r="C173" s="63" t="s">
        <v>96</v>
      </c>
      <c r="D173" s="63" t="s">
        <v>142</v>
      </c>
      <c r="E173" s="19"/>
      <c r="F173" s="19" t="s">
        <v>112</v>
      </c>
      <c r="G173" s="142" t="n">
        <v>43033</v>
      </c>
      <c r="H173" s="142" t="n">
        <v>43063</v>
      </c>
      <c r="I173" s="19" t="n">
        <f aca="false">H173-G173</f>
        <v>30</v>
      </c>
      <c r="J173" s="100" t="n">
        <f aca="false">TRUNC(I173/30,0)</f>
        <v>1</v>
      </c>
      <c r="K173" s="189" t="s">
        <v>99</v>
      </c>
      <c r="L173" s="146" t="n">
        <v>50</v>
      </c>
      <c r="M173" s="147"/>
      <c r="N173" s="148"/>
      <c r="O173" s="149"/>
      <c r="P173" s="149"/>
      <c r="Q173" s="150" t="n">
        <v>0.0118444</v>
      </c>
      <c r="R173" s="151"/>
      <c r="S173" s="152" t="n">
        <f aca="false">AVERAGE(0.016,0.0155,0.0148)</f>
        <v>0.0154333333333333</v>
      </c>
      <c r="T173" s="151"/>
      <c r="U173" s="152"/>
      <c r="V173" s="152"/>
      <c r="W173" s="152"/>
      <c r="X173" s="152"/>
      <c r="Y173" s="153" t="n">
        <v>0.003119</v>
      </c>
      <c r="Z173" s="152" t="n">
        <v>0.0033</v>
      </c>
      <c r="AA173" s="152" t="n">
        <v>0.002</v>
      </c>
      <c r="AB173" s="154" t="n">
        <f aca="false">S173-Z173</f>
        <v>0.0121333333333333</v>
      </c>
      <c r="AC173" s="154" t="n">
        <f aca="false">U173-Z173-AA173</f>
        <v>-0.0053</v>
      </c>
      <c r="AD173" s="155" t="n">
        <v>0.009</v>
      </c>
      <c r="AE173" s="156" t="n">
        <f aca="false">IF(Y173="","",Y173)</f>
        <v>0.003119</v>
      </c>
      <c r="AF173" s="153"/>
      <c r="AG173" s="184" t="n">
        <v>0.009</v>
      </c>
      <c r="AH173" s="185"/>
      <c r="AI173" s="35"/>
      <c r="AJ173" s="19" t="str">
        <f aca="false">IF(AG173="","N","Y")</f>
        <v>Y</v>
      </c>
      <c r="AK173" s="159"/>
      <c r="AL173" s="36"/>
    </row>
    <row r="174" s="140" customFormat="true" ht="23.25" hidden="false" customHeight="true" outlineLevel="0" collapsed="false">
      <c r="A174" s="116" t="n">
        <f aca="false">IF(B174="","",IF((YEAR(B174)-YEAR(B173))=0,A173+1,1))</f>
        <v>118</v>
      </c>
      <c r="B174" s="160" t="n">
        <v>43035</v>
      </c>
      <c r="C174" s="161" t="s">
        <v>96</v>
      </c>
      <c r="D174" s="161" t="s">
        <v>97</v>
      </c>
      <c r="E174" s="116"/>
      <c r="F174" s="161" t="s">
        <v>98</v>
      </c>
      <c r="G174" s="162" t="n">
        <v>43035</v>
      </c>
      <c r="H174" s="162" t="n">
        <v>43066</v>
      </c>
      <c r="I174" s="116" t="n">
        <f aca="false">H174-G174</f>
        <v>31</v>
      </c>
      <c r="J174" s="122" t="n">
        <f aca="false">TRUNC(I174/30,0)</f>
        <v>1</v>
      </c>
      <c r="K174" s="181" t="s">
        <v>99</v>
      </c>
      <c r="L174" s="166" t="n">
        <v>150</v>
      </c>
      <c r="M174" s="167"/>
      <c r="N174" s="168"/>
      <c r="O174" s="169"/>
      <c r="P174" s="169"/>
      <c r="Q174" s="170" t="n">
        <v>0.011844</v>
      </c>
      <c r="R174" s="171"/>
      <c r="S174" s="172" t="n">
        <v>0.0124</v>
      </c>
      <c r="T174" s="171"/>
      <c r="U174" s="172"/>
      <c r="V174" s="172"/>
      <c r="W174" s="172"/>
      <c r="X174" s="172"/>
      <c r="Y174" s="173" t="n">
        <v>0.003145</v>
      </c>
      <c r="Z174" s="172" t="n">
        <v>0.0033</v>
      </c>
      <c r="AA174" s="172" t="n">
        <v>0.002</v>
      </c>
      <c r="AB174" s="174" t="n">
        <f aca="false">S174-Z174</f>
        <v>0.0091</v>
      </c>
      <c r="AC174" s="174" t="n">
        <f aca="false">U174-Z174-AA174</f>
        <v>-0.0053</v>
      </c>
      <c r="AD174" s="175" t="n">
        <v>0.0081</v>
      </c>
      <c r="AE174" s="130" t="n">
        <f aca="false">IF(Y174="","",Y174)</f>
        <v>0.003145</v>
      </c>
      <c r="AF174" s="173"/>
      <c r="AG174" s="186"/>
      <c r="AH174" s="187"/>
      <c r="AI174" s="176"/>
      <c r="AJ174" s="116" t="str">
        <f aca="false">IF(AG174="","N","Y")</f>
        <v>N</v>
      </c>
      <c r="AK174" s="177"/>
      <c r="AL174" s="138"/>
    </row>
    <row r="175" s="140" customFormat="true" ht="23.25" hidden="false" customHeight="true" outlineLevel="0" collapsed="false">
      <c r="A175" s="116" t="n">
        <f aca="false">IF(B175="","",IF((YEAR(B175)-YEAR(B174))=0,A174+1,1))</f>
        <v>119</v>
      </c>
      <c r="B175" s="160" t="n">
        <v>43035</v>
      </c>
      <c r="C175" s="161" t="s">
        <v>96</v>
      </c>
      <c r="D175" s="161" t="s">
        <v>97</v>
      </c>
      <c r="E175" s="116"/>
      <c r="F175" s="161" t="s">
        <v>98</v>
      </c>
      <c r="G175" s="162" t="n">
        <v>43035</v>
      </c>
      <c r="H175" s="162" t="n">
        <v>43129</v>
      </c>
      <c r="I175" s="116" t="n">
        <f aca="false">H175-G175</f>
        <v>94</v>
      </c>
      <c r="J175" s="122" t="n">
        <f aca="false">TRUNC(I175/30,0)</f>
        <v>3</v>
      </c>
      <c r="K175" s="180" t="s">
        <v>95</v>
      </c>
      <c r="L175" s="166" t="n">
        <v>130</v>
      </c>
      <c r="M175" s="167"/>
      <c r="N175" s="168"/>
      <c r="O175" s="169"/>
      <c r="P175" s="169"/>
      <c r="Q175" s="170" t="n">
        <v>0.0137796</v>
      </c>
      <c r="R175" s="171"/>
      <c r="S175" s="172" t="n">
        <f aca="false">AVERAGE(0.018,0.0198,0.0195,0.0209,0.0205)</f>
        <v>0.01974</v>
      </c>
      <c r="T175" s="171"/>
      <c r="U175" s="172"/>
      <c r="V175" s="172"/>
      <c r="W175" s="172"/>
      <c r="X175" s="172"/>
      <c r="Y175" s="173" t="n">
        <v>0.009379</v>
      </c>
      <c r="Z175" s="172" t="n">
        <v>0.002</v>
      </c>
      <c r="AA175" s="172" t="n">
        <v>0.002</v>
      </c>
      <c r="AB175" s="174" t="n">
        <f aca="false">S175-Z175</f>
        <v>0.01774</v>
      </c>
      <c r="AC175" s="174" t="n">
        <f aca="false">U175-Z175-AA175</f>
        <v>-0.004</v>
      </c>
      <c r="AD175" s="175" t="n">
        <v>0.0157</v>
      </c>
      <c r="AE175" s="130" t="n">
        <f aca="false">IF(Y175="","",Y175)</f>
        <v>0.009379</v>
      </c>
      <c r="AF175" s="173"/>
      <c r="AG175" s="186"/>
      <c r="AH175" s="187"/>
      <c r="AI175" s="176"/>
      <c r="AJ175" s="116" t="str">
        <f aca="false">IF(AG175="","N","Y")</f>
        <v>N</v>
      </c>
      <c r="AK175" s="177"/>
      <c r="AL175" s="138"/>
    </row>
    <row r="176" s="140" customFormat="true" ht="23.25" hidden="false" customHeight="true" outlineLevel="0" collapsed="false">
      <c r="A176" s="116" t="n">
        <f aca="false">IF(B176="","",IF((YEAR(B176)-YEAR(B175))=0,A175+1,1))</f>
        <v>120</v>
      </c>
      <c r="B176" s="160" t="n">
        <v>43035</v>
      </c>
      <c r="C176" s="161" t="s">
        <v>96</v>
      </c>
      <c r="D176" s="161" t="s">
        <v>97</v>
      </c>
      <c r="E176" s="116"/>
      <c r="F176" s="161" t="s">
        <v>98</v>
      </c>
      <c r="G176" s="162" t="n">
        <v>43035</v>
      </c>
      <c r="H176" s="162" t="n">
        <v>43217</v>
      </c>
      <c r="I176" s="116" t="n">
        <f aca="false">H176-G176</f>
        <v>182</v>
      </c>
      <c r="J176" s="122" t="n">
        <f aca="false">TRUNC(I176/30,0)</f>
        <v>6</v>
      </c>
      <c r="K176" s="180" t="s">
        <v>95</v>
      </c>
      <c r="L176" s="166" t="n">
        <v>150</v>
      </c>
      <c r="M176" s="167"/>
      <c r="N176" s="168"/>
      <c r="O176" s="169"/>
      <c r="P176" s="169"/>
      <c r="Q176" s="170" t="n">
        <v>0.0156447</v>
      </c>
      <c r="R176" s="171"/>
      <c r="S176" s="172" t="n">
        <f aca="false">AVERAGE(0.022,0.0202,0.0207,0.0216,0.021)</f>
        <v>0.0211</v>
      </c>
      <c r="T176" s="171"/>
      <c r="U176" s="172"/>
      <c r="V176" s="172"/>
      <c r="W176" s="172"/>
      <c r="X176" s="172"/>
      <c r="Y176" s="173" t="n">
        <v>0.011706</v>
      </c>
      <c r="Z176" s="172" t="n">
        <v>0.002</v>
      </c>
      <c r="AA176" s="172" t="n">
        <v>0.002</v>
      </c>
      <c r="AB176" s="174" t="n">
        <f aca="false">S176-Z176</f>
        <v>0.0191</v>
      </c>
      <c r="AC176" s="174" t="n">
        <f aca="false">U176-Z176-AA176</f>
        <v>-0.004</v>
      </c>
      <c r="AD176" s="175" t="n">
        <v>0.0165</v>
      </c>
      <c r="AE176" s="130" t="n">
        <f aca="false">IF(Y176="","",Y176)</f>
        <v>0.011706</v>
      </c>
      <c r="AF176" s="173"/>
      <c r="AG176" s="186"/>
      <c r="AH176" s="187"/>
      <c r="AI176" s="176"/>
      <c r="AJ176" s="116" t="str">
        <f aca="false">IF(AG176="","N","Y")</f>
        <v>N</v>
      </c>
      <c r="AK176" s="177"/>
      <c r="AL176" s="138"/>
    </row>
    <row r="177" s="140" customFormat="true" ht="23.25" hidden="false" customHeight="true" outlineLevel="0" collapsed="false">
      <c r="A177" s="116" t="n">
        <f aca="false">IF(B177="","",IF((YEAR(B177)-YEAR(B176))=0,A176+1,1))</f>
        <v>121</v>
      </c>
      <c r="B177" s="160" t="n">
        <v>43040</v>
      </c>
      <c r="C177" s="161" t="s">
        <v>96</v>
      </c>
      <c r="D177" s="161" t="s">
        <v>97</v>
      </c>
      <c r="E177" s="116"/>
      <c r="F177" s="116"/>
      <c r="G177" s="162" t="n">
        <v>43040</v>
      </c>
      <c r="H177" s="162" t="n">
        <v>43222</v>
      </c>
      <c r="I177" s="116" t="n">
        <f aca="false">H177-G177</f>
        <v>182</v>
      </c>
      <c r="J177" s="122" t="n">
        <f aca="false">TRUNC(I177/30,0)</f>
        <v>6</v>
      </c>
      <c r="K177" s="180" t="s">
        <v>95</v>
      </c>
      <c r="L177" s="166" t="n">
        <v>1</v>
      </c>
      <c r="M177" s="167"/>
      <c r="N177" s="168"/>
      <c r="O177" s="169"/>
      <c r="P177" s="169"/>
      <c r="Q177" s="170" t="n">
        <v>0.0157511</v>
      </c>
      <c r="R177" s="171"/>
      <c r="S177" s="172" t="n">
        <f aca="false">AVERAGE(0.021,0.0202,0.0207,0.0216,0.021)</f>
        <v>0.0209</v>
      </c>
      <c r="T177" s="171"/>
      <c r="U177" s="172"/>
      <c r="V177" s="172"/>
      <c r="W177" s="172"/>
      <c r="X177" s="172"/>
      <c r="Y177" s="173" t="n">
        <v>0.011811</v>
      </c>
      <c r="Z177" s="172" t="n">
        <v>0.002</v>
      </c>
      <c r="AA177" s="172" t="n">
        <v>0.002</v>
      </c>
      <c r="AB177" s="174" t="n">
        <f aca="false">S177-Z177</f>
        <v>0.0189</v>
      </c>
      <c r="AC177" s="174" t="n">
        <f aca="false">U177-Z177-AA177</f>
        <v>-0.004</v>
      </c>
      <c r="AD177" s="175" t="n">
        <v>0.0165</v>
      </c>
      <c r="AE177" s="130" t="n">
        <f aca="false">IF(Y177="","",Y177)</f>
        <v>0.011811</v>
      </c>
      <c r="AF177" s="173"/>
      <c r="AG177" s="186"/>
      <c r="AH177" s="187"/>
      <c r="AI177" s="176"/>
      <c r="AJ177" s="116" t="str">
        <f aca="false">IF(AG177="","N","Y")</f>
        <v>N</v>
      </c>
      <c r="AK177" s="177"/>
      <c r="AL177" s="138"/>
    </row>
    <row r="178" s="38" customFormat="true" ht="23.25" hidden="false" customHeight="true" outlineLevel="0" collapsed="false">
      <c r="A178" s="19" t="n">
        <f aca="false">IF(B178="","",IF((YEAR(B178)-YEAR(B177))=0,A177+1,1))</f>
        <v>122</v>
      </c>
      <c r="B178" s="141" t="n">
        <v>43040</v>
      </c>
      <c r="C178" s="63" t="s">
        <v>96</v>
      </c>
      <c r="D178" s="63" t="s">
        <v>97</v>
      </c>
      <c r="E178" s="19"/>
      <c r="F178" s="63" t="s">
        <v>161</v>
      </c>
      <c r="G178" s="142" t="n">
        <v>43045</v>
      </c>
      <c r="H178" s="142" t="n">
        <v>43410</v>
      </c>
      <c r="I178" s="19" t="n">
        <f aca="false">H178-G178</f>
        <v>365</v>
      </c>
      <c r="J178" s="100" t="n">
        <f aca="false">TRUNC(I178/30,0)</f>
        <v>12</v>
      </c>
      <c r="K178" s="183" t="s">
        <v>95</v>
      </c>
      <c r="L178" s="146" t="n">
        <v>1</v>
      </c>
      <c r="M178" s="147"/>
      <c r="N178" s="148"/>
      <c r="O178" s="149"/>
      <c r="P178" s="149"/>
      <c r="Q178" s="150" t="n">
        <v>0.0184844</v>
      </c>
      <c r="R178" s="151"/>
      <c r="S178" s="152" t="n">
        <f aca="false">AVERAGE(0.0204,0.0205,0.023)</f>
        <v>0.0213</v>
      </c>
      <c r="T178" s="151"/>
      <c r="U178" s="152"/>
      <c r="V178" s="152"/>
      <c r="W178" s="152"/>
      <c r="X178" s="152"/>
      <c r="Y178" s="153" t="n">
        <v>0.013149</v>
      </c>
      <c r="Z178" s="152" t="n">
        <v>0.002</v>
      </c>
      <c r="AA178" s="152" t="n">
        <v>0.002</v>
      </c>
      <c r="AB178" s="154" t="n">
        <f aca="false">S178-Z178</f>
        <v>0.0193</v>
      </c>
      <c r="AC178" s="154" t="n">
        <f aca="false">U178-Z178-AA178</f>
        <v>-0.004</v>
      </c>
      <c r="AD178" s="155" t="n">
        <v>0.0173</v>
      </c>
      <c r="AE178" s="156" t="n">
        <f aca="false">IF(Y178="","",Y178)</f>
        <v>0.013149</v>
      </c>
      <c r="AF178" s="153" t="n">
        <f aca="false">AG178-AE178</f>
        <v>0.003951</v>
      </c>
      <c r="AG178" s="184" t="n">
        <v>0.0171</v>
      </c>
      <c r="AH178" s="185"/>
      <c r="AI178" s="35"/>
      <c r="AJ178" s="19" t="str">
        <f aca="false">IF(AG178="","N","Y")</f>
        <v>Y</v>
      </c>
      <c r="AK178" s="159"/>
      <c r="AL178" s="36"/>
    </row>
    <row r="179" s="140" customFormat="true" ht="23.25" hidden="false" customHeight="true" outlineLevel="0" collapsed="false">
      <c r="A179" s="116" t="n">
        <f aca="false">IF(B179="","",IF((YEAR(B179)-YEAR(B178))=0,A178+1,1))</f>
        <v>123</v>
      </c>
      <c r="B179" s="160" t="n">
        <v>43049</v>
      </c>
      <c r="C179" s="161" t="s">
        <v>100</v>
      </c>
      <c r="D179" s="161" t="s">
        <v>101</v>
      </c>
      <c r="E179" s="116"/>
      <c r="F179" s="161" t="s">
        <v>102</v>
      </c>
      <c r="G179" s="162" t="n">
        <v>43049</v>
      </c>
      <c r="H179" s="162" t="n">
        <v>43059</v>
      </c>
      <c r="I179" s="116" t="n">
        <f aca="false">H179-G179</f>
        <v>10</v>
      </c>
      <c r="J179" s="122" t="n">
        <f aca="false">TRUNC(I179/30,0)</f>
        <v>0</v>
      </c>
      <c r="K179" s="180" t="s">
        <v>95</v>
      </c>
      <c r="L179" s="166" t="n">
        <v>20</v>
      </c>
      <c r="M179" s="167"/>
      <c r="N179" s="168"/>
      <c r="O179" s="169"/>
      <c r="P179" s="169"/>
      <c r="Q179" s="170" t="n">
        <v>0.0120272</v>
      </c>
      <c r="R179" s="171"/>
      <c r="S179" s="172" t="n">
        <f aca="false">AVERAGE(0.014,0.0147,0.014)</f>
        <v>0.0142333333333333</v>
      </c>
      <c r="T179" s="171"/>
      <c r="U179" s="172"/>
      <c r="V179" s="172"/>
      <c r="W179" s="172"/>
      <c r="X179" s="172"/>
      <c r="Y179" s="173" t="n">
        <v>0.005122</v>
      </c>
      <c r="Z179" s="172" t="n">
        <v>0.002</v>
      </c>
      <c r="AA179" s="172" t="n">
        <v>0.002</v>
      </c>
      <c r="AB179" s="174" t="n">
        <f aca="false">S179-Z179</f>
        <v>0.0122333333333333</v>
      </c>
      <c r="AC179" s="174" t="n">
        <f aca="false">U179-Z179-AA179</f>
        <v>-0.004</v>
      </c>
      <c r="AD179" s="175" t="n">
        <v>0.0095</v>
      </c>
      <c r="AE179" s="130" t="n">
        <f aca="false">IF(Y179="","",Y179)</f>
        <v>0.005122</v>
      </c>
      <c r="AF179" s="173"/>
      <c r="AG179" s="186"/>
      <c r="AH179" s="187"/>
      <c r="AI179" s="176"/>
      <c r="AJ179" s="116" t="str">
        <f aca="false">IF(AG179="","N","Y")</f>
        <v>N</v>
      </c>
      <c r="AK179" s="177"/>
      <c r="AL179" s="138"/>
    </row>
    <row r="180" s="140" customFormat="true" ht="23.25" hidden="false" customHeight="true" outlineLevel="0" collapsed="false">
      <c r="A180" s="116" t="n">
        <f aca="false">IF(B180="","",IF((YEAR(B180)-YEAR(B179))=0,A179+1,1))</f>
        <v>124</v>
      </c>
      <c r="B180" s="160" t="n">
        <v>43049</v>
      </c>
      <c r="C180" s="161" t="s">
        <v>100</v>
      </c>
      <c r="D180" s="161" t="s">
        <v>101</v>
      </c>
      <c r="E180" s="116"/>
      <c r="F180" s="161" t="s">
        <v>102</v>
      </c>
      <c r="G180" s="162" t="n">
        <v>43049</v>
      </c>
      <c r="H180" s="162" t="n">
        <v>43073</v>
      </c>
      <c r="I180" s="116" t="n">
        <f aca="false">H180-G180</f>
        <v>24</v>
      </c>
      <c r="J180" s="122" t="n">
        <f aca="false">TRUNC(I180/30,0)</f>
        <v>0</v>
      </c>
      <c r="K180" s="180" t="s">
        <v>95</v>
      </c>
      <c r="L180" s="166" t="n">
        <v>50</v>
      </c>
      <c r="M180" s="167"/>
      <c r="N180" s="168"/>
      <c r="O180" s="169"/>
      <c r="P180" s="169"/>
      <c r="Q180" s="170" t="n">
        <v>0.0124494</v>
      </c>
      <c r="R180" s="171"/>
      <c r="S180" s="172" t="n">
        <f aca="false">AVERAGE(0.0146,0.016,0.015)</f>
        <v>0.0152</v>
      </c>
      <c r="T180" s="171"/>
      <c r="U180" s="172"/>
      <c r="V180" s="172"/>
      <c r="W180" s="172"/>
      <c r="X180" s="172"/>
      <c r="Y180" s="173" t="n">
        <v>0.006875</v>
      </c>
      <c r="Z180" s="172" t="n">
        <v>0.002</v>
      </c>
      <c r="AA180" s="172" t="n">
        <v>0.002</v>
      </c>
      <c r="AB180" s="174" t="n">
        <f aca="false">S180-Z180</f>
        <v>0.0132</v>
      </c>
      <c r="AC180" s="174" t="n">
        <f aca="false">U180-Z180-AA180</f>
        <v>-0.004</v>
      </c>
      <c r="AD180" s="175" t="n">
        <v>0.0105</v>
      </c>
      <c r="AE180" s="130" t="n">
        <f aca="false">IF(Y180="","",Y180)</f>
        <v>0.006875</v>
      </c>
      <c r="AF180" s="173"/>
      <c r="AG180" s="186"/>
      <c r="AH180" s="187"/>
      <c r="AI180" s="176"/>
      <c r="AJ180" s="116" t="str">
        <f aca="false">IF(AG180="","N","Y")</f>
        <v>N</v>
      </c>
      <c r="AK180" s="177"/>
      <c r="AL180" s="138"/>
    </row>
    <row r="181" s="140" customFormat="true" ht="23.25" hidden="false" customHeight="true" outlineLevel="0" collapsed="false">
      <c r="A181" s="116" t="n">
        <f aca="false">IF(B181="","",IF((YEAR(B181)-YEAR(B180))=0,A180+1,1))</f>
        <v>125</v>
      </c>
      <c r="B181" s="160" t="n">
        <v>43053</v>
      </c>
      <c r="C181" s="161" t="s">
        <v>103</v>
      </c>
      <c r="D181" s="161" t="s">
        <v>104</v>
      </c>
      <c r="E181" s="116"/>
      <c r="F181" s="161" t="s">
        <v>141</v>
      </c>
      <c r="G181" s="162" t="n">
        <v>43053</v>
      </c>
      <c r="H181" s="162" t="n">
        <v>43083</v>
      </c>
      <c r="I181" s="116" t="n">
        <f aca="false">H181-G181</f>
        <v>30</v>
      </c>
      <c r="J181" s="122" t="n">
        <f aca="false">TRUNC(I181/30,0)</f>
        <v>1</v>
      </c>
      <c r="K181" s="181" t="s">
        <v>99</v>
      </c>
      <c r="L181" s="166" t="n">
        <v>10</v>
      </c>
      <c r="M181" s="167"/>
      <c r="N181" s="168"/>
      <c r="O181" s="169"/>
      <c r="P181" s="169"/>
      <c r="Q181" s="170" t="n">
        <v>0.0118278</v>
      </c>
      <c r="R181" s="171"/>
      <c r="S181" s="172" t="n">
        <v>0.0124</v>
      </c>
      <c r="T181" s="171"/>
      <c r="U181" s="172"/>
      <c r="V181" s="172"/>
      <c r="W181" s="172"/>
      <c r="X181" s="172"/>
      <c r="Y181" s="173" t="n">
        <v>0.00513</v>
      </c>
      <c r="Z181" s="172" t="n">
        <v>0.0033</v>
      </c>
      <c r="AA181" s="172" t="n">
        <v>0.002</v>
      </c>
      <c r="AB181" s="174" t="n">
        <f aca="false">S181-Z181</f>
        <v>0.0091</v>
      </c>
      <c r="AC181" s="174" t="n">
        <f aca="false">U181-Z181-AA181</f>
        <v>-0.0053</v>
      </c>
      <c r="AD181" s="175" t="n">
        <v>0.0081</v>
      </c>
      <c r="AE181" s="130" t="n">
        <f aca="false">IF(Y181="","",Y181)</f>
        <v>0.00513</v>
      </c>
      <c r="AF181" s="173"/>
      <c r="AG181" s="186"/>
      <c r="AH181" s="187"/>
      <c r="AI181" s="176"/>
      <c r="AJ181" s="116" t="str">
        <f aca="false">IF(AG181="","N","Y")</f>
        <v>N</v>
      </c>
      <c r="AK181" s="177"/>
      <c r="AL181" s="138"/>
    </row>
    <row r="182" s="38" customFormat="true" ht="23.25" hidden="false" customHeight="true" outlineLevel="0" collapsed="false">
      <c r="A182" s="19" t="n">
        <f aca="false">IF(B182="","",IF((YEAR(B182)-YEAR(B181))=0,A181+1,1))</f>
        <v>126</v>
      </c>
      <c r="B182" s="141" t="n">
        <v>43059</v>
      </c>
      <c r="C182" s="63" t="s">
        <v>96</v>
      </c>
      <c r="D182" s="63" t="s">
        <v>143</v>
      </c>
      <c r="E182" s="19"/>
      <c r="F182" s="63" t="s">
        <v>137</v>
      </c>
      <c r="G182" s="142" t="n">
        <v>43059</v>
      </c>
      <c r="H182" s="142" t="n">
        <v>43089</v>
      </c>
      <c r="I182" s="19" t="n">
        <f aca="false">H182-G182</f>
        <v>30</v>
      </c>
      <c r="J182" s="100" t="n">
        <f aca="false">TRUNC(I182/30,0)</f>
        <v>1</v>
      </c>
      <c r="K182" s="189" t="s">
        <v>99</v>
      </c>
      <c r="L182" s="146" t="n">
        <v>1</v>
      </c>
      <c r="M182" s="147"/>
      <c r="N182" s="148"/>
      <c r="O182" s="149"/>
      <c r="P182" s="149"/>
      <c r="Q182" s="150" t="n">
        <v>0.0118278</v>
      </c>
      <c r="R182" s="151"/>
      <c r="S182" s="152" t="n">
        <v>0.0124</v>
      </c>
      <c r="T182" s="151"/>
      <c r="U182" s="152"/>
      <c r="V182" s="152"/>
      <c r="W182" s="152"/>
      <c r="X182" s="152"/>
      <c r="Y182" s="153" t="n">
        <v>0.003122</v>
      </c>
      <c r="Z182" s="152" t="n">
        <v>0.0033</v>
      </c>
      <c r="AA182" s="152" t="n">
        <v>0.002</v>
      </c>
      <c r="AB182" s="154" t="n">
        <f aca="false">S182-Z182</f>
        <v>0.0091</v>
      </c>
      <c r="AC182" s="154" t="n">
        <f aca="false">U182-Z182-AA182</f>
        <v>-0.0053</v>
      </c>
      <c r="AD182" s="155" t="n">
        <v>0.0081</v>
      </c>
      <c r="AE182" s="156" t="n">
        <f aca="false">IF(Y182="","",Y182)</f>
        <v>0.003122</v>
      </c>
      <c r="AF182" s="153"/>
      <c r="AG182" s="184" t="n">
        <v>0.0078</v>
      </c>
      <c r="AH182" s="185"/>
      <c r="AI182" s="35"/>
      <c r="AJ182" s="19" t="str">
        <f aca="false">IF(AG182="","N","Y")</f>
        <v>Y</v>
      </c>
      <c r="AK182" s="159"/>
      <c r="AL182" s="36"/>
    </row>
    <row r="183" s="140" customFormat="true" ht="23.25" hidden="false" customHeight="true" outlineLevel="0" collapsed="false">
      <c r="A183" s="116" t="n">
        <f aca="false">IF(B183="","",IF((YEAR(B183)-YEAR(B182))=0,A182+1,1))</f>
        <v>127</v>
      </c>
      <c r="B183" s="160" t="n">
        <v>43062</v>
      </c>
      <c r="C183" s="161" t="s">
        <v>156</v>
      </c>
      <c r="D183" s="161" t="s">
        <v>159</v>
      </c>
      <c r="E183" s="116"/>
      <c r="F183" s="161" t="s">
        <v>160</v>
      </c>
      <c r="G183" s="139" t="n">
        <v>43062</v>
      </c>
      <c r="H183" s="162" t="n">
        <v>43095</v>
      </c>
      <c r="I183" s="116" t="n">
        <f aca="false">H183-G183</f>
        <v>33</v>
      </c>
      <c r="J183" s="122" t="n">
        <f aca="false">TRUNC(I183/30,0)</f>
        <v>1</v>
      </c>
      <c r="K183" s="181" t="s">
        <v>99</v>
      </c>
      <c r="L183" s="166" t="n">
        <v>1</v>
      </c>
      <c r="M183" s="167"/>
      <c r="N183" s="168"/>
      <c r="O183" s="169"/>
      <c r="P183" s="169"/>
      <c r="Q183" s="170" t="n">
        <v>0.0118278</v>
      </c>
      <c r="R183" s="171"/>
      <c r="S183" s="172" t="n">
        <v>0.0123</v>
      </c>
      <c r="T183" s="171"/>
      <c r="U183" s="172"/>
      <c r="V183" s="172"/>
      <c r="W183" s="172"/>
      <c r="X183" s="172"/>
      <c r="Y183" s="173" t="n">
        <v>0.003094</v>
      </c>
      <c r="Z183" s="172" t="n">
        <v>0.0033</v>
      </c>
      <c r="AA183" s="172" t="n">
        <v>0.002</v>
      </c>
      <c r="AB183" s="174" t="n">
        <f aca="false">S183-Z183</f>
        <v>0.009</v>
      </c>
      <c r="AC183" s="174" t="n">
        <f aca="false">U183-Z183-AA183</f>
        <v>-0.0053</v>
      </c>
      <c r="AD183" s="175" t="n">
        <v>0.003094</v>
      </c>
      <c r="AE183" s="130" t="n">
        <f aca="false">IF(Y183="","",Y183)</f>
        <v>0.003094</v>
      </c>
      <c r="AF183" s="173"/>
      <c r="AG183" s="186"/>
      <c r="AH183" s="187"/>
      <c r="AI183" s="176"/>
      <c r="AJ183" s="116" t="str">
        <f aca="false">IF(AG183="","N","Y")</f>
        <v>N</v>
      </c>
      <c r="AK183" s="177"/>
      <c r="AL183" s="138"/>
    </row>
    <row r="184" s="38" customFormat="true" ht="23.25" hidden="false" customHeight="true" outlineLevel="0" collapsed="false">
      <c r="A184" s="19" t="n">
        <f aca="false">IF(B184="","",IF((YEAR(B184)-YEAR(B183))=0,A183+1,1))</f>
        <v>128</v>
      </c>
      <c r="B184" s="141" t="n">
        <v>43063</v>
      </c>
      <c r="C184" s="63" t="s">
        <v>96</v>
      </c>
      <c r="D184" s="63" t="s">
        <v>142</v>
      </c>
      <c r="E184" s="19"/>
      <c r="F184" s="19" t="s">
        <v>112</v>
      </c>
      <c r="G184" s="142" t="n">
        <v>43063</v>
      </c>
      <c r="H184" s="142" t="n">
        <v>43096</v>
      </c>
      <c r="I184" s="19" t="n">
        <f aca="false">H184-G184</f>
        <v>33</v>
      </c>
      <c r="J184" s="100" t="n">
        <f aca="false">TRUNC(I184/30,0)</f>
        <v>1</v>
      </c>
      <c r="K184" s="189" t="s">
        <v>99</v>
      </c>
      <c r="L184" s="146" t="n">
        <v>50</v>
      </c>
      <c r="M184" s="147"/>
      <c r="N184" s="148"/>
      <c r="O184" s="149"/>
      <c r="P184" s="149"/>
      <c r="Q184" s="150" t="n">
        <v>0.012008</v>
      </c>
      <c r="R184" s="151"/>
      <c r="S184" s="152" t="n">
        <v>0.0123</v>
      </c>
      <c r="T184" s="151"/>
      <c r="U184" s="152"/>
      <c r="V184" s="152"/>
      <c r="W184" s="152"/>
      <c r="X184" s="152"/>
      <c r="Y184" s="153" t="n">
        <v>0.003104</v>
      </c>
      <c r="Z184" s="152" t="n">
        <v>0.0033</v>
      </c>
      <c r="AA184" s="152" t="n">
        <v>0.002</v>
      </c>
      <c r="AB184" s="154" t="n">
        <f aca="false">S184-Z184</f>
        <v>0.009</v>
      </c>
      <c r="AC184" s="154" t="n">
        <f aca="false">U184-Z184-AA184</f>
        <v>-0.0053</v>
      </c>
      <c r="AD184" s="155" t="n">
        <v>0.009</v>
      </c>
      <c r="AE184" s="156" t="n">
        <f aca="false">IF(Y184="","",Y184)</f>
        <v>0.003104</v>
      </c>
      <c r="AF184" s="153"/>
      <c r="AG184" s="184" t="n">
        <v>0.009</v>
      </c>
      <c r="AH184" s="185"/>
      <c r="AI184" s="35"/>
      <c r="AJ184" s="19" t="str">
        <f aca="false">IF(AG184="","N","Y")</f>
        <v>Y</v>
      </c>
      <c r="AK184" s="159"/>
      <c r="AL184" s="36"/>
    </row>
    <row r="185" s="140" customFormat="true" ht="23.25" hidden="false" customHeight="true" outlineLevel="0" collapsed="false">
      <c r="A185" s="116" t="n">
        <f aca="false">IF(B185="","",IF((YEAR(B185)-YEAR(B184))=0,A184+1,1))</f>
        <v>129</v>
      </c>
      <c r="B185" s="160" t="n">
        <v>43066</v>
      </c>
      <c r="C185" s="161" t="s">
        <v>96</v>
      </c>
      <c r="D185" s="161" t="s">
        <v>97</v>
      </c>
      <c r="E185" s="116"/>
      <c r="F185" s="161" t="s">
        <v>98</v>
      </c>
      <c r="G185" s="162" t="n">
        <v>43066</v>
      </c>
      <c r="H185" s="162" t="n">
        <v>43097</v>
      </c>
      <c r="I185" s="116" t="n">
        <f aca="false">H185-G185</f>
        <v>31</v>
      </c>
      <c r="J185" s="122" t="n">
        <f aca="false">TRUNC(I185/30,0)</f>
        <v>1</v>
      </c>
      <c r="K185" s="180" t="s">
        <v>95</v>
      </c>
      <c r="L185" s="166" t="n">
        <v>220</v>
      </c>
      <c r="M185" s="167"/>
      <c r="N185" s="168"/>
      <c r="O185" s="169"/>
      <c r="P185" s="169"/>
      <c r="Q185" s="170" t="n">
        <v>0.0134676</v>
      </c>
      <c r="R185" s="171"/>
      <c r="S185" s="172" t="n">
        <f aca="false">AVERAGE(0.0158,0.015,0.014)</f>
        <v>0.0149333333333333</v>
      </c>
      <c r="T185" s="171"/>
      <c r="U185" s="172"/>
      <c r="V185" s="172"/>
      <c r="W185" s="172"/>
      <c r="X185" s="172"/>
      <c r="Y185" s="173" t="n">
        <v>0.007873</v>
      </c>
      <c r="Z185" s="172" t="n">
        <v>0.002</v>
      </c>
      <c r="AA185" s="172" t="n">
        <v>0.002</v>
      </c>
      <c r="AB185" s="174" t="n">
        <f aca="false">S185-Z185</f>
        <v>0.0129333333333333</v>
      </c>
      <c r="AC185" s="174" t="n">
        <f aca="false">U185-Z185-AA185</f>
        <v>-0.004</v>
      </c>
      <c r="AD185" s="175" t="n">
        <v>0.0129</v>
      </c>
      <c r="AE185" s="130" t="n">
        <f aca="false">IF(Y185="","",Y185)</f>
        <v>0.007873</v>
      </c>
      <c r="AF185" s="173"/>
      <c r="AG185" s="186"/>
      <c r="AH185" s="187"/>
      <c r="AI185" s="176"/>
      <c r="AJ185" s="116" t="str">
        <f aca="false">IF(AG185="","N","Y")</f>
        <v>N</v>
      </c>
      <c r="AK185" s="177"/>
      <c r="AL185" s="138"/>
    </row>
    <row r="186" s="140" customFormat="true" ht="23.25" hidden="false" customHeight="true" outlineLevel="0" collapsed="false">
      <c r="A186" s="116" t="n">
        <f aca="false">IF(B186="","",IF((YEAR(B186)-YEAR(B185))=0,A185+1,1))</f>
        <v>130</v>
      </c>
      <c r="B186" s="160" t="n">
        <v>43068</v>
      </c>
      <c r="C186" s="161" t="s">
        <v>162</v>
      </c>
      <c r="D186" s="161" t="s">
        <v>163</v>
      </c>
      <c r="E186" s="116"/>
      <c r="F186" s="161" t="s">
        <v>164</v>
      </c>
      <c r="G186" s="162" t="n">
        <v>43068</v>
      </c>
      <c r="H186" s="162" t="n">
        <v>43098</v>
      </c>
      <c r="I186" s="116" t="n">
        <f aca="false">H186-G186</f>
        <v>30</v>
      </c>
      <c r="J186" s="122" t="n">
        <f aca="false">TRUNC(I186/30,0)</f>
        <v>1</v>
      </c>
      <c r="K186" s="180" t="s">
        <v>95</v>
      </c>
      <c r="L186" s="166" t="n">
        <v>2.4</v>
      </c>
      <c r="M186" s="167"/>
      <c r="N186" s="168"/>
      <c r="O186" s="169"/>
      <c r="P186" s="169"/>
      <c r="Q186" s="170" t="n">
        <v>0.0134978</v>
      </c>
      <c r="R186" s="171"/>
      <c r="S186" s="172" t="n">
        <f aca="false">AVERAGE(0.0153,0.0143)</f>
        <v>0.0148</v>
      </c>
      <c r="T186" s="171"/>
      <c r="U186" s="172"/>
      <c r="V186" s="172"/>
      <c r="W186" s="172"/>
      <c r="X186" s="172"/>
      <c r="Y186" s="173" t="n">
        <v>0.007902</v>
      </c>
      <c r="Z186" s="172" t="n">
        <v>0.002</v>
      </c>
      <c r="AA186" s="172" t="n">
        <v>0.002</v>
      </c>
      <c r="AB186" s="174" t="n">
        <f aca="false">S186-Z186</f>
        <v>0.0128</v>
      </c>
      <c r="AC186" s="174" t="n">
        <f aca="false">U186-Z186-AA186</f>
        <v>-0.004</v>
      </c>
      <c r="AD186" s="175" t="n">
        <v>0.0112</v>
      </c>
      <c r="AE186" s="130" t="n">
        <f aca="false">IF(Y186="","",Y186)</f>
        <v>0.007902</v>
      </c>
      <c r="AF186" s="173"/>
      <c r="AG186" s="186"/>
      <c r="AH186" s="187"/>
      <c r="AI186" s="176"/>
      <c r="AJ186" s="116" t="str">
        <f aca="false">IF(AG186="","N","Y")</f>
        <v>N</v>
      </c>
      <c r="AK186" s="177"/>
      <c r="AL186" s="138"/>
    </row>
    <row r="187" s="140" customFormat="true" ht="23.25" hidden="false" customHeight="true" outlineLevel="0" collapsed="false">
      <c r="A187" s="116" t="n">
        <f aca="false">IF(B187="","",IF((YEAR(B187)-YEAR(B186))=0,A186+1,1))</f>
        <v>131</v>
      </c>
      <c r="B187" s="160" t="n">
        <v>43068</v>
      </c>
      <c r="C187" s="161" t="s">
        <v>162</v>
      </c>
      <c r="D187" s="161" t="s">
        <v>163</v>
      </c>
      <c r="E187" s="116"/>
      <c r="F187" s="161" t="s">
        <v>164</v>
      </c>
      <c r="G187" s="162" t="n">
        <v>43068</v>
      </c>
      <c r="H187" s="162" t="n">
        <v>43159</v>
      </c>
      <c r="I187" s="116" t="n">
        <f aca="false">H187-G187</f>
        <v>91</v>
      </c>
      <c r="J187" s="122" t="n">
        <f aca="false">TRUNC(I187/30,0)</f>
        <v>3</v>
      </c>
      <c r="K187" s="180" t="s">
        <v>95</v>
      </c>
      <c r="L187" s="166" t="n">
        <v>2.4</v>
      </c>
      <c r="M187" s="167"/>
      <c r="N187" s="168"/>
      <c r="O187" s="169"/>
      <c r="P187" s="169"/>
      <c r="Q187" s="170" t="n">
        <v>0.0147882</v>
      </c>
      <c r="R187" s="171"/>
      <c r="S187" s="172" t="n">
        <f aca="false">AVERAGE(0.0221,0.0215,0.0168)</f>
        <v>0.0201333333333333</v>
      </c>
      <c r="T187" s="171"/>
      <c r="U187" s="172"/>
      <c r="V187" s="172"/>
      <c r="W187" s="172"/>
      <c r="X187" s="172"/>
      <c r="Y187" s="173" t="n">
        <v>0.010367</v>
      </c>
      <c r="Z187" s="172" t="n">
        <v>0.002</v>
      </c>
      <c r="AA187" s="172" t="n">
        <v>0.002</v>
      </c>
      <c r="AB187" s="174" t="n">
        <f aca="false">S187-Z187</f>
        <v>0.0181333333333333</v>
      </c>
      <c r="AC187" s="174" t="n">
        <f aca="false">U187-Z187-AA187</f>
        <v>-0.004</v>
      </c>
      <c r="AD187" s="175" t="n">
        <v>0.014</v>
      </c>
      <c r="AE187" s="130" t="n">
        <f aca="false">IF(Y187="","",Y187)</f>
        <v>0.010367</v>
      </c>
      <c r="AF187" s="173"/>
      <c r="AG187" s="186"/>
      <c r="AH187" s="187"/>
      <c r="AI187" s="176"/>
      <c r="AJ187" s="116" t="str">
        <f aca="false">IF(AG187="","N","Y")</f>
        <v>N</v>
      </c>
      <c r="AK187" s="177"/>
      <c r="AL187" s="138"/>
    </row>
    <row r="188" s="140" customFormat="true" ht="23.25" hidden="false" customHeight="true" outlineLevel="0" collapsed="false">
      <c r="A188" s="116" t="n">
        <f aca="false">IF(B188="","",IF((YEAR(B188)-YEAR(B187))=0,A187+1,1))</f>
        <v>132</v>
      </c>
      <c r="B188" s="160" t="n">
        <v>43073</v>
      </c>
      <c r="C188" s="161" t="s">
        <v>100</v>
      </c>
      <c r="D188" s="161" t="s">
        <v>101</v>
      </c>
      <c r="E188" s="116"/>
      <c r="F188" s="161" t="s">
        <v>102</v>
      </c>
      <c r="G188" s="162" t="n">
        <v>43073</v>
      </c>
      <c r="H188" s="162" t="n">
        <v>43110</v>
      </c>
      <c r="I188" s="116" t="n">
        <f aca="false">H188-G188</f>
        <v>37</v>
      </c>
      <c r="J188" s="122" t="n">
        <f aca="false">TRUNC(I188/30,0)</f>
        <v>1</v>
      </c>
      <c r="K188" s="180" t="s">
        <v>95</v>
      </c>
      <c r="L188" s="166" t="n">
        <v>30</v>
      </c>
      <c r="M188" s="167"/>
      <c r="N188" s="168"/>
      <c r="O188" s="169"/>
      <c r="P188" s="169"/>
      <c r="Q188" s="170" t="n">
        <v>0.0137938</v>
      </c>
      <c r="R188" s="171"/>
      <c r="S188" s="172" t="n">
        <f aca="false">AVERAGE(0.0215,0.02,0.0195)</f>
        <v>0.0203333333333333</v>
      </c>
      <c r="T188" s="171"/>
      <c r="U188" s="172"/>
      <c r="V188" s="172"/>
      <c r="W188" s="172"/>
      <c r="X188" s="172"/>
      <c r="Y188" s="173" t="n">
        <v>0.008192</v>
      </c>
      <c r="Z188" s="172" t="n">
        <v>0.002</v>
      </c>
      <c r="AA188" s="172" t="n">
        <v>0.002</v>
      </c>
      <c r="AB188" s="174" t="n">
        <f aca="false">S188-Z188</f>
        <v>0.0183333333333333</v>
      </c>
      <c r="AC188" s="174" t="n">
        <f aca="false">U188-Z188-AA188</f>
        <v>-0.004</v>
      </c>
      <c r="AD188" s="175" t="n">
        <v>0.016</v>
      </c>
      <c r="AE188" s="130" t="n">
        <f aca="false">IF(Y188="","",Y188)</f>
        <v>0.008192</v>
      </c>
      <c r="AF188" s="173"/>
      <c r="AG188" s="186"/>
      <c r="AH188" s="187"/>
      <c r="AI188" s="176"/>
      <c r="AJ188" s="116" t="str">
        <f aca="false">IF(AG188="","N","Y")</f>
        <v>N</v>
      </c>
      <c r="AK188" s="177"/>
      <c r="AL188" s="138"/>
    </row>
    <row r="189" s="140" customFormat="true" ht="23.25" hidden="false" customHeight="true" outlineLevel="0" collapsed="false">
      <c r="A189" s="116" t="n">
        <f aca="false">IF(B189="","",IF((YEAR(B189)-YEAR(B188))=0,A188+1,1))</f>
        <v>133</v>
      </c>
      <c r="B189" s="160" t="n">
        <v>43077</v>
      </c>
      <c r="C189" s="161" t="s">
        <v>100</v>
      </c>
      <c r="D189" s="161" t="s">
        <v>101</v>
      </c>
      <c r="E189" s="116"/>
      <c r="F189" s="161" t="s">
        <v>102</v>
      </c>
      <c r="G189" s="162" t="n">
        <v>43077</v>
      </c>
      <c r="H189" s="162" t="n">
        <v>43110</v>
      </c>
      <c r="I189" s="116" t="n">
        <f aca="false">H189-G189</f>
        <v>33</v>
      </c>
      <c r="J189" s="122" t="n">
        <f aca="false">TRUNC(I189/30,0)</f>
        <v>1</v>
      </c>
      <c r="K189" s="180" t="s">
        <v>95</v>
      </c>
      <c r="L189" s="166" t="n">
        <v>40</v>
      </c>
      <c r="M189" s="167"/>
      <c r="N189" s="168"/>
      <c r="O189" s="169"/>
      <c r="P189" s="169"/>
      <c r="Q189" s="170" t="n">
        <v>0.0143185</v>
      </c>
      <c r="R189" s="171"/>
      <c r="S189" s="172" t="n">
        <f aca="false">AVERAGE(0.0205,0.02,0.02)</f>
        <v>0.0201666666666667</v>
      </c>
      <c r="T189" s="171"/>
      <c r="U189" s="172"/>
      <c r="V189" s="172"/>
      <c r="W189" s="172"/>
      <c r="X189" s="172"/>
      <c r="Y189" s="173" t="n">
        <v>0.008707</v>
      </c>
      <c r="Z189" s="172" t="n">
        <v>0.002</v>
      </c>
      <c r="AA189" s="172" t="n">
        <v>0.002</v>
      </c>
      <c r="AB189" s="174" t="n">
        <f aca="false">S189-Z189</f>
        <v>0.0181666666666667</v>
      </c>
      <c r="AC189" s="174" t="n">
        <f aca="false">U189-Z189-AA189</f>
        <v>-0.004</v>
      </c>
      <c r="AD189" s="175" t="n">
        <v>0.016</v>
      </c>
      <c r="AE189" s="130" t="n">
        <f aca="false">IF(Y189="","",Y189)</f>
        <v>0.008707</v>
      </c>
      <c r="AF189" s="173"/>
      <c r="AG189" s="186"/>
      <c r="AH189" s="187"/>
      <c r="AI189" s="176"/>
      <c r="AJ189" s="116" t="str">
        <f aca="false">IF(AG189="","N","Y")</f>
        <v>N</v>
      </c>
      <c r="AK189" s="177"/>
      <c r="AL189" s="138"/>
    </row>
    <row r="190" s="140" customFormat="true" ht="23.25" hidden="false" customHeight="true" outlineLevel="0" collapsed="false">
      <c r="A190" s="116" t="n">
        <f aca="false">IF(B190="","",IF((YEAR(B190)-YEAR(B189))=0,A189+1,1))</f>
        <v>134</v>
      </c>
      <c r="B190" s="160" t="n">
        <v>43077</v>
      </c>
      <c r="C190" s="161" t="s">
        <v>100</v>
      </c>
      <c r="D190" s="161" t="s">
        <v>101</v>
      </c>
      <c r="E190" s="116"/>
      <c r="F190" s="161" t="s">
        <v>102</v>
      </c>
      <c r="G190" s="162" t="n">
        <v>43077</v>
      </c>
      <c r="H190" s="162" t="n">
        <v>43124</v>
      </c>
      <c r="I190" s="116" t="n">
        <f aca="false">H190-G190</f>
        <v>47</v>
      </c>
      <c r="J190" s="122" t="n">
        <f aca="false">TRUNC(I190/30,0)</f>
        <v>1</v>
      </c>
      <c r="K190" s="180" t="s">
        <v>95</v>
      </c>
      <c r="L190" s="166" t="n">
        <v>50</v>
      </c>
      <c r="M190" s="167"/>
      <c r="N190" s="168"/>
      <c r="O190" s="169"/>
      <c r="P190" s="169"/>
      <c r="Q190" s="170" t="n">
        <v>0.0143185</v>
      </c>
      <c r="R190" s="171"/>
      <c r="S190" s="172" t="n">
        <f aca="false">AVERAGE(0.0205,0.02,0.02)</f>
        <v>0.0201666666666667</v>
      </c>
      <c r="T190" s="171"/>
      <c r="U190" s="172"/>
      <c r="V190" s="172"/>
      <c r="W190" s="172"/>
      <c r="X190" s="172"/>
      <c r="Y190" s="173" t="n">
        <v>0.008707</v>
      </c>
      <c r="Z190" s="172" t="n">
        <v>0.002</v>
      </c>
      <c r="AA190" s="172" t="n">
        <v>0.002</v>
      </c>
      <c r="AB190" s="174" t="n">
        <f aca="false">S190-Z190</f>
        <v>0.0181666666666667</v>
      </c>
      <c r="AC190" s="174" t="n">
        <f aca="false">U190-Z190-AA190</f>
        <v>-0.004</v>
      </c>
      <c r="AD190" s="175" t="n">
        <v>0.016</v>
      </c>
      <c r="AE190" s="130" t="n">
        <f aca="false">IF(Y190="","",Y190)</f>
        <v>0.008707</v>
      </c>
      <c r="AF190" s="173"/>
      <c r="AG190" s="186"/>
      <c r="AH190" s="187"/>
      <c r="AI190" s="176"/>
      <c r="AJ190" s="116" t="str">
        <f aca="false">IF(AG190="","N","Y")</f>
        <v>N</v>
      </c>
      <c r="AK190" s="177"/>
      <c r="AL190" s="138"/>
    </row>
    <row r="191" s="140" customFormat="true" ht="23.25" hidden="false" customHeight="true" outlineLevel="0" collapsed="false">
      <c r="A191" s="116" t="n">
        <f aca="false">IF(B191="","",IF((YEAR(B191)-YEAR(B190))=0,A190+1,1))</f>
        <v>135</v>
      </c>
      <c r="B191" s="160" t="n">
        <v>43077</v>
      </c>
      <c r="C191" s="161" t="s">
        <v>96</v>
      </c>
      <c r="D191" s="161" t="s">
        <v>97</v>
      </c>
      <c r="E191" s="116"/>
      <c r="F191" s="161" t="s">
        <v>98</v>
      </c>
      <c r="G191" s="162" t="n">
        <v>43077</v>
      </c>
      <c r="H191" s="162" t="n">
        <v>43108</v>
      </c>
      <c r="I191" s="116" t="n">
        <f aca="false">H191-G191</f>
        <v>31</v>
      </c>
      <c r="J191" s="122" t="n">
        <f aca="false">TRUNC(I191/30,0)</f>
        <v>1</v>
      </c>
      <c r="K191" s="181" t="s">
        <v>99</v>
      </c>
      <c r="L191" s="166" t="n">
        <v>50</v>
      </c>
      <c r="M191" s="167"/>
      <c r="N191" s="168"/>
      <c r="O191" s="169"/>
      <c r="P191" s="169"/>
      <c r="Q191" s="170" t="n">
        <v>0.011825</v>
      </c>
      <c r="R191" s="171"/>
      <c r="S191" s="172" t="n">
        <f aca="false">AVERAGE(0.012,0.0122,0.0125)</f>
        <v>0.0122333333333333</v>
      </c>
      <c r="T191" s="171"/>
      <c r="U191" s="172"/>
      <c r="V191" s="172"/>
      <c r="W191" s="172"/>
      <c r="X191" s="172"/>
      <c r="Y191" s="173" t="n">
        <v>0.004021</v>
      </c>
      <c r="Z191" s="172" t="n">
        <v>0.0033</v>
      </c>
      <c r="AA191" s="172" t="n">
        <v>0.002</v>
      </c>
      <c r="AB191" s="174" t="n">
        <f aca="false">S191-Z191</f>
        <v>0.00893333333333334</v>
      </c>
      <c r="AC191" s="174" t="n">
        <f aca="false">U191-Z191-AA191</f>
        <v>-0.0053</v>
      </c>
      <c r="AD191" s="175" t="n">
        <v>0.009</v>
      </c>
      <c r="AE191" s="130" t="n">
        <f aca="false">IF(Y191="","",Y191)</f>
        <v>0.004021</v>
      </c>
      <c r="AF191" s="173"/>
      <c r="AG191" s="186"/>
      <c r="AH191" s="187"/>
      <c r="AI191" s="176"/>
      <c r="AJ191" s="116" t="str">
        <f aca="false">IF(AG191="","N","Y")</f>
        <v>N</v>
      </c>
      <c r="AK191" s="177"/>
      <c r="AL191" s="138"/>
    </row>
    <row r="192" s="140" customFormat="true" ht="23.25" hidden="false" customHeight="true" outlineLevel="0" collapsed="false">
      <c r="A192" s="116" t="n">
        <f aca="false">IF(B192="","",IF((YEAR(B192)-YEAR(B191))=0,A191+1,1))</f>
        <v>136</v>
      </c>
      <c r="B192" s="160" t="n">
        <v>43082</v>
      </c>
      <c r="C192" s="161" t="s">
        <v>96</v>
      </c>
      <c r="D192" s="161" t="s">
        <v>97</v>
      </c>
      <c r="E192" s="116"/>
      <c r="F192" s="161" t="s">
        <v>98</v>
      </c>
      <c r="G192" s="162" t="n">
        <v>43082</v>
      </c>
      <c r="H192" s="162" t="n">
        <v>43115</v>
      </c>
      <c r="I192" s="116" t="n">
        <f aca="false">H192-G192</f>
        <v>33</v>
      </c>
      <c r="J192" s="122" t="n">
        <f aca="false">TRUNC(I192/30,0)</f>
        <v>1</v>
      </c>
      <c r="K192" s="181" t="s">
        <v>99</v>
      </c>
      <c r="L192" s="166" t="n">
        <v>50</v>
      </c>
      <c r="M192" s="167"/>
      <c r="N192" s="168"/>
      <c r="O192" s="169"/>
      <c r="P192" s="169"/>
      <c r="Q192" s="170" t="n">
        <v>0.011825</v>
      </c>
      <c r="R192" s="171"/>
      <c r="S192" s="172" t="n">
        <f aca="false">AVERAGE(0.012,0.0122,0.0125)</f>
        <v>0.0122333333333333</v>
      </c>
      <c r="T192" s="171"/>
      <c r="U192" s="172"/>
      <c r="V192" s="172"/>
      <c r="W192" s="172"/>
      <c r="X192" s="172"/>
      <c r="Y192" s="173" t="n">
        <v>0.005178</v>
      </c>
      <c r="Z192" s="172" t="n">
        <v>0.0033</v>
      </c>
      <c r="AA192" s="172" t="n">
        <v>0.002</v>
      </c>
      <c r="AB192" s="174" t="n">
        <f aca="false">S192-Z192</f>
        <v>0.00893333333333334</v>
      </c>
      <c r="AC192" s="174" t="n">
        <f aca="false">U192-Z192-AA192</f>
        <v>-0.0053</v>
      </c>
      <c r="AD192" s="175" t="n">
        <v>0.009</v>
      </c>
      <c r="AE192" s="130" t="n">
        <f aca="false">IF(Y192="","",Y192)</f>
        <v>0.005178</v>
      </c>
      <c r="AF192" s="173"/>
      <c r="AG192" s="186"/>
      <c r="AH192" s="187"/>
      <c r="AI192" s="176"/>
      <c r="AJ192" s="116" t="str">
        <f aca="false">IF(AG192="","N","Y")</f>
        <v>N</v>
      </c>
      <c r="AK192" s="177"/>
      <c r="AL192" s="138"/>
    </row>
    <row r="193" s="140" customFormat="true" ht="23.25" hidden="false" customHeight="true" outlineLevel="0" collapsed="false">
      <c r="A193" s="116" t="n">
        <f aca="false">IF(B193="","",IF((YEAR(B193)-YEAR(B192))=0,A192+1,1))</f>
        <v>137</v>
      </c>
      <c r="B193" s="160" t="n">
        <v>43083</v>
      </c>
      <c r="C193" s="161" t="s">
        <v>165</v>
      </c>
      <c r="D193" s="161" t="s">
        <v>166</v>
      </c>
      <c r="E193" s="116"/>
      <c r="F193" s="161" t="s">
        <v>60</v>
      </c>
      <c r="G193" s="162" t="n">
        <v>43083</v>
      </c>
      <c r="H193" s="162" t="n">
        <v>43265</v>
      </c>
      <c r="I193" s="116" t="n">
        <f aca="false">H193-G193</f>
        <v>182</v>
      </c>
      <c r="J193" s="122" t="n">
        <f aca="false">TRUNC(I193/30,0)</f>
        <v>6</v>
      </c>
      <c r="K193" s="180" t="s">
        <v>95</v>
      </c>
      <c r="L193" s="166" t="n">
        <v>2</v>
      </c>
      <c r="M193" s="167"/>
      <c r="N193" s="168"/>
      <c r="O193" s="169"/>
      <c r="P193" s="169"/>
      <c r="Q193" s="170" t="n">
        <v>0.0175575</v>
      </c>
      <c r="R193" s="171"/>
      <c r="S193" s="172" t="n">
        <f aca="false">AVERAGE(0.0218,0.019,0.0225)</f>
        <v>0.0211</v>
      </c>
      <c r="T193" s="171"/>
      <c r="U193" s="172"/>
      <c r="V193" s="172"/>
      <c r="W193" s="172"/>
      <c r="X193" s="172"/>
      <c r="Y193" s="173" t="n">
        <v>0.01358</v>
      </c>
      <c r="Z193" s="172" t="n">
        <v>0.002</v>
      </c>
      <c r="AA193" s="172" t="n">
        <v>0.002</v>
      </c>
      <c r="AB193" s="174" t="n">
        <f aca="false">S193-Z193</f>
        <v>0.0191</v>
      </c>
      <c r="AC193" s="174" t="n">
        <f aca="false">U193-Z193-AA193</f>
        <v>-0.004</v>
      </c>
      <c r="AD193" s="175" t="n">
        <v>0.017</v>
      </c>
      <c r="AE193" s="130" t="n">
        <f aca="false">IF(Y193="","",Y193)</f>
        <v>0.01358</v>
      </c>
      <c r="AF193" s="173"/>
      <c r="AG193" s="186"/>
      <c r="AH193" s="187"/>
      <c r="AI193" s="176"/>
      <c r="AJ193" s="116" t="str">
        <f aca="false">IF(AG193="","N","Y")</f>
        <v>N</v>
      </c>
      <c r="AK193" s="177"/>
      <c r="AL193" s="138"/>
    </row>
    <row r="194" s="140" customFormat="true" ht="23.25" hidden="false" customHeight="true" outlineLevel="0" collapsed="false">
      <c r="A194" s="116" t="n">
        <f aca="false">IF(B194="","",IF((YEAR(B194)-YEAR(B193))=0,A193+1,1))</f>
        <v>138</v>
      </c>
      <c r="B194" s="160" t="n">
        <v>43083</v>
      </c>
      <c r="C194" s="161" t="s">
        <v>165</v>
      </c>
      <c r="D194" s="161" t="s">
        <v>166</v>
      </c>
      <c r="E194" s="116"/>
      <c r="F194" s="161" t="s">
        <v>60</v>
      </c>
      <c r="G194" s="162" t="n">
        <v>43083</v>
      </c>
      <c r="H194" s="162" t="n">
        <v>43448</v>
      </c>
      <c r="I194" s="116" t="n">
        <f aca="false">H194-G194</f>
        <v>365</v>
      </c>
      <c r="J194" s="122" t="n">
        <f aca="false">TRUNC(I194/30,0)</f>
        <v>12</v>
      </c>
      <c r="K194" s="180" t="s">
        <v>95</v>
      </c>
      <c r="L194" s="166" t="n">
        <v>2</v>
      </c>
      <c r="M194" s="167"/>
      <c r="N194" s="168"/>
      <c r="O194" s="169"/>
      <c r="P194" s="169"/>
      <c r="Q194" s="170" t="n">
        <v>0.0203856</v>
      </c>
      <c r="R194" s="171"/>
      <c r="S194" s="172" t="n">
        <f aca="false">AVERAGE(0.025,0.026,0.0234)</f>
        <v>0.0248</v>
      </c>
      <c r="T194" s="171"/>
      <c r="U194" s="172"/>
      <c r="V194" s="172"/>
      <c r="W194" s="172"/>
      <c r="X194" s="172"/>
      <c r="Y194" s="173" t="n">
        <v>0.014966</v>
      </c>
      <c r="Z194" s="172" t="n">
        <v>0.002</v>
      </c>
      <c r="AA194" s="172" t="n">
        <v>0.002</v>
      </c>
      <c r="AB194" s="174" t="n">
        <f aca="false">S194-Z194</f>
        <v>0.0228</v>
      </c>
      <c r="AC194" s="174" t="n">
        <f aca="false">U194-Z194-AA194</f>
        <v>-0.004</v>
      </c>
      <c r="AD194" s="175" t="n">
        <v>0.02</v>
      </c>
      <c r="AE194" s="130" t="n">
        <f aca="false">IF(Y194="","",Y194)</f>
        <v>0.014966</v>
      </c>
      <c r="AF194" s="173"/>
      <c r="AG194" s="186"/>
      <c r="AH194" s="187"/>
      <c r="AI194" s="176"/>
      <c r="AJ194" s="116" t="str">
        <f aca="false">IF(AG194="","N","Y")</f>
        <v>N</v>
      </c>
      <c r="AK194" s="177"/>
      <c r="AL194" s="138"/>
    </row>
    <row r="195" s="140" customFormat="true" ht="23.25" hidden="false" customHeight="true" outlineLevel="0" collapsed="false">
      <c r="A195" s="116" t="n">
        <f aca="false">IF(B195="","",IF((YEAR(B195)-YEAR(B194))=0,A194+1,1))</f>
        <v>1</v>
      </c>
      <c r="B195" s="160" t="n">
        <v>43110</v>
      </c>
      <c r="C195" s="161" t="s">
        <v>100</v>
      </c>
      <c r="D195" s="161" t="s">
        <v>101</v>
      </c>
      <c r="E195" s="116"/>
      <c r="F195" s="161" t="s">
        <v>102</v>
      </c>
      <c r="G195" s="162" t="n">
        <v>43110</v>
      </c>
      <c r="H195" s="162" t="n">
        <v>43129</v>
      </c>
      <c r="I195" s="116" t="n">
        <f aca="false">H195-G195</f>
        <v>19</v>
      </c>
      <c r="J195" s="122" t="n">
        <f aca="false">TRUNC(I195/30,0)</f>
        <v>0</v>
      </c>
      <c r="K195" s="180" t="s">
        <v>95</v>
      </c>
      <c r="L195" s="166" t="n">
        <v>50</v>
      </c>
      <c r="M195" s="167"/>
      <c r="N195" s="168"/>
      <c r="O195" s="169"/>
      <c r="P195" s="169"/>
      <c r="Q195" s="170" t="n">
        <v>0.0146438</v>
      </c>
      <c r="R195" s="171"/>
      <c r="S195" s="172" t="n">
        <f aca="false">AVERAGE(0.0147,0.016,0.0155)</f>
        <v>0.0154</v>
      </c>
      <c r="T195" s="171"/>
      <c r="U195" s="172"/>
      <c r="V195" s="172"/>
      <c r="W195" s="172"/>
      <c r="X195" s="172"/>
      <c r="Y195" s="173" t="n">
        <v>0.007556</v>
      </c>
      <c r="Z195" s="172" t="n">
        <v>0.002</v>
      </c>
      <c r="AA195" s="172" t="n">
        <v>0.002</v>
      </c>
      <c r="AB195" s="174" t="n">
        <f aca="false">S195-Z195</f>
        <v>0.0134</v>
      </c>
      <c r="AC195" s="174" t="n">
        <f aca="false">U195-Z195-AA195</f>
        <v>-0.004</v>
      </c>
      <c r="AD195" s="175" t="n">
        <v>0.011</v>
      </c>
      <c r="AE195" s="130" t="n">
        <f aca="false">IF(Y195="","",Y195)</f>
        <v>0.007556</v>
      </c>
      <c r="AF195" s="173"/>
      <c r="AG195" s="186"/>
      <c r="AH195" s="187"/>
      <c r="AI195" s="176"/>
      <c r="AJ195" s="116" t="str">
        <f aca="false">IF(AG195="","N","Y")</f>
        <v>N</v>
      </c>
      <c r="AK195" s="177"/>
      <c r="AL195" s="138"/>
    </row>
    <row r="196" s="140" customFormat="true" ht="23.25" hidden="false" customHeight="true" outlineLevel="0" collapsed="false">
      <c r="A196" s="116" t="n">
        <f aca="false">IF(B196="","",IF((YEAR(B196)-YEAR(B195))=0,A195+1,1))</f>
        <v>2</v>
      </c>
      <c r="B196" s="160" t="n">
        <v>43115</v>
      </c>
      <c r="C196" s="161" t="s">
        <v>89</v>
      </c>
      <c r="D196" s="161" t="s">
        <v>167</v>
      </c>
      <c r="E196" s="116"/>
      <c r="F196" s="161" t="s">
        <v>168</v>
      </c>
      <c r="G196" s="162" t="n">
        <v>43115</v>
      </c>
      <c r="H196" s="162" t="n">
        <v>43146</v>
      </c>
      <c r="I196" s="116" t="n">
        <f aca="false">H196-G196</f>
        <v>31</v>
      </c>
      <c r="J196" s="122" t="n">
        <f aca="false">TRUNC(I196/30,0)</f>
        <v>1</v>
      </c>
      <c r="K196" s="181" t="s">
        <v>99</v>
      </c>
      <c r="L196" s="166" t="n">
        <v>20</v>
      </c>
      <c r="M196" s="167"/>
      <c r="N196" s="168"/>
      <c r="O196" s="169"/>
      <c r="P196" s="169"/>
      <c r="Q196" s="170" t="n">
        <v>0.014375</v>
      </c>
      <c r="R196" s="171"/>
      <c r="S196" s="172" t="n">
        <v>0.0147</v>
      </c>
      <c r="T196" s="171"/>
      <c r="U196" s="172"/>
      <c r="V196" s="172"/>
      <c r="W196" s="172"/>
      <c r="X196" s="172"/>
      <c r="Y196" s="173" t="n">
        <v>0.005569</v>
      </c>
      <c r="Z196" s="172" t="n">
        <v>0.0033</v>
      </c>
      <c r="AA196" s="172" t="n">
        <v>0.002</v>
      </c>
      <c r="AB196" s="174" t="n">
        <f aca="false">S196-Z196</f>
        <v>0.0114</v>
      </c>
      <c r="AC196" s="174" t="n">
        <f aca="false">U196-Z196-AA196</f>
        <v>-0.0053</v>
      </c>
      <c r="AD196" s="175" t="n">
        <v>0.009</v>
      </c>
      <c r="AE196" s="130" t="n">
        <f aca="false">IF(Y196="","",Y196)</f>
        <v>0.005569</v>
      </c>
      <c r="AF196" s="173"/>
      <c r="AG196" s="186"/>
      <c r="AH196" s="187"/>
      <c r="AI196" s="176"/>
      <c r="AJ196" s="116" t="str">
        <f aca="false">IF(AG196="","N","Y")</f>
        <v>N</v>
      </c>
      <c r="AK196" s="177"/>
      <c r="AL196" s="138"/>
    </row>
    <row r="197" s="140" customFormat="true" ht="23.25" hidden="false" customHeight="true" outlineLevel="0" collapsed="false">
      <c r="A197" s="116" t="n">
        <f aca="false">IF(B197="","",IF((YEAR(B197)-YEAR(B196))=0,A196+1,1))</f>
        <v>3</v>
      </c>
      <c r="B197" s="160" t="n">
        <v>43115</v>
      </c>
      <c r="C197" s="161" t="s">
        <v>89</v>
      </c>
      <c r="D197" s="161" t="s">
        <v>167</v>
      </c>
      <c r="E197" s="116"/>
      <c r="F197" s="161" t="s">
        <v>168</v>
      </c>
      <c r="G197" s="162" t="n">
        <v>43115</v>
      </c>
      <c r="H197" s="162" t="n">
        <v>43250</v>
      </c>
      <c r="I197" s="116" t="n">
        <f aca="false">H197-G197</f>
        <v>135</v>
      </c>
      <c r="J197" s="122" t="n">
        <f aca="false">TRUNC(I197/30,0)</f>
        <v>4</v>
      </c>
      <c r="K197" s="180" t="s">
        <v>95</v>
      </c>
      <c r="L197" s="166" t="n">
        <v>20</v>
      </c>
      <c r="M197" s="167"/>
      <c r="N197" s="168"/>
      <c r="O197" s="169"/>
      <c r="P197" s="169"/>
      <c r="Q197" s="170" t="n">
        <v>0.0172152</v>
      </c>
      <c r="R197" s="171"/>
      <c r="S197" s="172" t="n">
        <f aca="false">AVERAGE(0.0232,0.022,0.022)</f>
        <v>0.0224</v>
      </c>
      <c r="T197" s="171"/>
      <c r="U197" s="172"/>
      <c r="V197" s="172"/>
      <c r="W197" s="172"/>
      <c r="X197" s="172"/>
      <c r="Y197" s="173" t="n">
        <v>0.013288</v>
      </c>
      <c r="Z197" s="172" t="n">
        <v>0.0033</v>
      </c>
      <c r="AA197" s="172" t="n">
        <v>0.002</v>
      </c>
      <c r="AB197" s="174" t="n">
        <f aca="false">S197-Z197</f>
        <v>0.0191</v>
      </c>
      <c r="AC197" s="174" t="n">
        <f aca="false">U197-Z197-AA197</f>
        <v>-0.0053</v>
      </c>
      <c r="AD197" s="175" t="n">
        <v>0.017</v>
      </c>
      <c r="AE197" s="130" t="n">
        <f aca="false">IF(Y197="","",Y197)</f>
        <v>0.013288</v>
      </c>
      <c r="AF197" s="173"/>
      <c r="AG197" s="186"/>
      <c r="AH197" s="187"/>
      <c r="AI197" s="176"/>
      <c r="AJ197" s="116" t="str">
        <f aca="false">IF(AG197="","N","Y")</f>
        <v>N</v>
      </c>
      <c r="AK197" s="177"/>
      <c r="AL197" s="138"/>
    </row>
    <row r="198" s="140" customFormat="true" ht="23.25" hidden="false" customHeight="true" outlineLevel="0" collapsed="false">
      <c r="A198" s="116" t="n">
        <f aca="false">IF(B198="","",IF((YEAR(B198)-YEAR(B197))=0,A197+1,1))</f>
        <v>4</v>
      </c>
      <c r="B198" s="160" t="n">
        <v>43115</v>
      </c>
      <c r="C198" s="161" t="s">
        <v>89</v>
      </c>
      <c r="D198" s="161" t="s">
        <v>167</v>
      </c>
      <c r="E198" s="116"/>
      <c r="F198" s="161" t="s">
        <v>168</v>
      </c>
      <c r="G198" s="162" t="n">
        <v>43115</v>
      </c>
      <c r="H198" s="162" t="n">
        <v>43174</v>
      </c>
      <c r="I198" s="116" t="n">
        <f aca="false">H198-G198</f>
        <v>59</v>
      </c>
      <c r="J198" s="122" t="n">
        <f aca="false">TRUNC(I198/30,0)</f>
        <v>1</v>
      </c>
      <c r="K198" s="180" t="s">
        <v>95</v>
      </c>
      <c r="L198" s="166" t="n">
        <v>20</v>
      </c>
      <c r="M198" s="167"/>
      <c r="N198" s="168"/>
      <c r="O198" s="169"/>
      <c r="P198" s="169"/>
      <c r="Q198" s="170" t="n">
        <v>0.0163065</v>
      </c>
      <c r="R198" s="171"/>
      <c r="S198" s="172" t="n">
        <f aca="false">AVERAGE(0.02,0.02,0.019)</f>
        <v>0.0196666666666667</v>
      </c>
      <c r="T198" s="171"/>
      <c r="U198" s="172"/>
      <c r="V198" s="172"/>
      <c r="W198" s="172"/>
      <c r="X198" s="172"/>
      <c r="Y198" s="173" t="n">
        <v>0.010654</v>
      </c>
      <c r="Z198" s="172" t="n">
        <v>0.002</v>
      </c>
      <c r="AA198" s="172" t="n">
        <v>0.002</v>
      </c>
      <c r="AB198" s="174" t="n">
        <f aca="false">S198-Z198</f>
        <v>0.0176666666666667</v>
      </c>
      <c r="AC198" s="174" t="n">
        <f aca="false">U198-Z198-AA198</f>
        <v>-0.004</v>
      </c>
      <c r="AD198" s="175" t="n">
        <v>0.0155</v>
      </c>
      <c r="AE198" s="130" t="n">
        <f aca="false">IF(Y198="","",Y198)</f>
        <v>0.010654</v>
      </c>
      <c r="AF198" s="173"/>
      <c r="AG198" s="186"/>
      <c r="AH198" s="187"/>
      <c r="AI198" s="176"/>
      <c r="AJ198" s="116" t="str">
        <f aca="false">IF(AG198="","N","Y")</f>
        <v>N</v>
      </c>
      <c r="AK198" s="177"/>
      <c r="AL198" s="138"/>
    </row>
    <row r="199" s="140" customFormat="true" ht="23.25" hidden="false" customHeight="true" outlineLevel="0" collapsed="false">
      <c r="A199" s="116" t="n">
        <f aca="false">IF(B199="","",IF((YEAR(B199)-YEAR(B198))=0,A198+1,1))</f>
        <v>5</v>
      </c>
      <c r="B199" s="160" t="n">
        <v>43119</v>
      </c>
      <c r="C199" s="161" t="s">
        <v>169</v>
      </c>
      <c r="D199" s="161" t="s">
        <v>170</v>
      </c>
      <c r="E199" s="116"/>
      <c r="F199" s="116"/>
      <c r="G199" s="162" t="n">
        <v>43119</v>
      </c>
      <c r="H199" s="162" t="n">
        <v>43209</v>
      </c>
      <c r="I199" s="116" t="n">
        <f aca="false">H199-G199</f>
        <v>90</v>
      </c>
      <c r="J199" s="122" t="n">
        <f aca="false">TRUNC(I199/30,0)</f>
        <v>3</v>
      </c>
      <c r="K199" s="180" t="s">
        <v>95</v>
      </c>
      <c r="L199" s="166" t="n">
        <v>3</v>
      </c>
      <c r="M199" s="167"/>
      <c r="N199" s="168"/>
      <c r="O199" s="169"/>
      <c r="P199" s="169"/>
      <c r="Q199" s="170" t="n">
        <v>0.017447</v>
      </c>
      <c r="R199" s="171"/>
      <c r="S199" s="172" t="n">
        <f aca="false">AVERAGE(0.0205,0.0235,0.0183)</f>
        <v>0.0207666666666667</v>
      </c>
      <c r="T199" s="171"/>
      <c r="U199" s="172"/>
      <c r="V199" s="172"/>
      <c r="W199" s="172"/>
      <c r="X199" s="172"/>
      <c r="Y199" s="173" t="n">
        <v>0.012973</v>
      </c>
      <c r="Z199" s="172" t="n">
        <v>0.002</v>
      </c>
      <c r="AA199" s="172" t="n">
        <v>0.002</v>
      </c>
      <c r="AB199" s="174" t="n">
        <f aca="false">S199-Z199</f>
        <v>0.0187666666666667</v>
      </c>
      <c r="AC199" s="174" t="n">
        <f aca="false">U199-Z199-AA199</f>
        <v>-0.004</v>
      </c>
      <c r="AD199" s="175" t="n">
        <v>0.015</v>
      </c>
      <c r="AE199" s="130" t="n">
        <f aca="false">IF(Y199="","",Y199)</f>
        <v>0.012973</v>
      </c>
      <c r="AF199" s="173"/>
      <c r="AG199" s="186"/>
      <c r="AH199" s="187"/>
      <c r="AI199" s="176"/>
      <c r="AJ199" s="116" t="str">
        <f aca="false">IF(AG199="","N","Y")</f>
        <v>N</v>
      </c>
      <c r="AK199" s="177"/>
      <c r="AL199" s="138"/>
    </row>
    <row r="200" s="140" customFormat="true" ht="23.25" hidden="false" customHeight="true" outlineLevel="0" collapsed="false">
      <c r="A200" s="116" t="n">
        <f aca="false">IF(B200="","",IF((YEAR(B200)-YEAR(B199))=0,A199+1,1))</f>
        <v>6</v>
      </c>
      <c r="B200" s="160" t="n">
        <v>43123</v>
      </c>
      <c r="C200" s="161" t="s">
        <v>100</v>
      </c>
      <c r="D200" s="161" t="s">
        <v>101</v>
      </c>
      <c r="E200" s="116"/>
      <c r="F200" s="161" t="s">
        <v>102</v>
      </c>
      <c r="G200" s="162" t="n">
        <v>43123</v>
      </c>
      <c r="H200" s="162" t="n">
        <v>43130</v>
      </c>
      <c r="I200" s="116" t="n">
        <f aca="false">H200-G200</f>
        <v>7</v>
      </c>
      <c r="J200" s="122" t="n">
        <f aca="false">TRUNC(I200/30,0)</f>
        <v>0</v>
      </c>
      <c r="K200" s="180" t="s">
        <v>95</v>
      </c>
      <c r="L200" s="166" t="n">
        <v>40</v>
      </c>
      <c r="M200" s="167"/>
      <c r="N200" s="168"/>
      <c r="O200" s="169"/>
      <c r="P200" s="169"/>
      <c r="Q200" s="170" t="n">
        <v>0.0146586</v>
      </c>
      <c r="R200" s="171"/>
      <c r="S200" s="172" t="n">
        <v>0.0147</v>
      </c>
      <c r="T200" s="171"/>
      <c r="U200" s="172"/>
      <c r="V200" s="172"/>
      <c r="W200" s="172"/>
      <c r="X200" s="172"/>
      <c r="Y200" s="173" t="n">
        <v>0.007569</v>
      </c>
      <c r="Z200" s="172" t="n">
        <v>0.002</v>
      </c>
      <c r="AA200" s="172" t="n">
        <v>0.002</v>
      </c>
      <c r="AB200" s="174" t="n">
        <f aca="false">S200-Z200</f>
        <v>0.0127</v>
      </c>
      <c r="AC200" s="174" t="n">
        <f aca="false">U200-Z200-AA200</f>
        <v>-0.004</v>
      </c>
      <c r="AD200" s="175" t="n">
        <v>0.009</v>
      </c>
      <c r="AE200" s="130" t="n">
        <f aca="false">IF(Y200="","",Y200)</f>
        <v>0.007569</v>
      </c>
      <c r="AF200" s="173"/>
      <c r="AG200" s="186"/>
      <c r="AH200" s="187"/>
      <c r="AI200" s="176"/>
      <c r="AJ200" s="116" t="str">
        <f aca="false">IF(AG200="","N","Y")</f>
        <v>N</v>
      </c>
      <c r="AK200" s="177"/>
      <c r="AL200" s="138"/>
    </row>
    <row r="201" s="140" customFormat="true" ht="23.25" hidden="false" customHeight="true" outlineLevel="0" collapsed="false">
      <c r="A201" s="116" t="n">
        <f aca="false">IF(B201="","",IF((YEAR(B201)-YEAR(B200))=0,A200+1,1))</f>
        <v>7</v>
      </c>
      <c r="B201" s="160" t="n">
        <v>43129</v>
      </c>
      <c r="C201" s="161" t="s">
        <v>96</v>
      </c>
      <c r="D201" s="161" t="s">
        <v>171</v>
      </c>
      <c r="E201" s="116"/>
      <c r="F201" s="116" t="s">
        <v>112</v>
      </c>
      <c r="G201" s="162" t="n">
        <v>43136</v>
      </c>
      <c r="H201" s="162" t="n">
        <v>43164</v>
      </c>
      <c r="I201" s="116" t="n">
        <f aca="false">H201-G201</f>
        <v>28</v>
      </c>
      <c r="J201" s="122" t="n">
        <f aca="false">TRUNC(I201/30,0)</f>
        <v>0</v>
      </c>
      <c r="K201" s="181" t="s">
        <v>99</v>
      </c>
      <c r="L201" s="166" t="n">
        <v>100</v>
      </c>
      <c r="M201" s="167"/>
      <c r="N201" s="168"/>
      <c r="O201" s="169"/>
      <c r="P201" s="169"/>
      <c r="Q201" s="170" t="n">
        <v>0.017669</v>
      </c>
      <c r="R201" s="171"/>
      <c r="S201" s="172" t="n">
        <v>0.0147</v>
      </c>
      <c r="T201" s="171"/>
      <c r="U201" s="172"/>
      <c r="V201" s="172"/>
      <c r="W201" s="172"/>
      <c r="X201" s="172"/>
      <c r="Y201" s="173" t="n">
        <v>0.007569</v>
      </c>
      <c r="Z201" s="172" t="n">
        <v>0.0033</v>
      </c>
      <c r="AA201" s="172" t="n">
        <v>0.002</v>
      </c>
      <c r="AB201" s="174" t="n">
        <f aca="false">S201-Z201</f>
        <v>0.0114</v>
      </c>
      <c r="AC201" s="174" t="n">
        <f aca="false">U201-Z201-AA201</f>
        <v>-0.0053</v>
      </c>
      <c r="AD201" s="175" t="n">
        <v>0.009</v>
      </c>
      <c r="AE201" s="130" t="n">
        <f aca="false">IF(Y201="","",Y201)</f>
        <v>0.007569</v>
      </c>
      <c r="AF201" s="173"/>
      <c r="AG201" s="186"/>
      <c r="AH201" s="187"/>
      <c r="AI201" s="176"/>
      <c r="AJ201" s="116" t="str">
        <f aca="false">IF(AG201="","N","Y")</f>
        <v>N</v>
      </c>
      <c r="AK201" s="177"/>
      <c r="AL201" s="193" t="s">
        <v>172</v>
      </c>
    </row>
    <row r="202" s="140" customFormat="true" ht="23.25" hidden="false" customHeight="true" outlineLevel="0" collapsed="false">
      <c r="A202" s="116" t="n">
        <f aca="false">IF(B202="","",IF((YEAR(B202)-YEAR(B201))=0,A201+1,1))</f>
        <v>8</v>
      </c>
      <c r="B202" s="160" t="n">
        <v>43129</v>
      </c>
      <c r="C202" s="161" t="s">
        <v>96</v>
      </c>
      <c r="D202" s="161" t="s">
        <v>97</v>
      </c>
      <c r="E202" s="116"/>
      <c r="F202" s="161" t="s">
        <v>98</v>
      </c>
      <c r="G202" s="162" t="n">
        <v>43129</v>
      </c>
      <c r="H202" s="162" t="n">
        <v>43159</v>
      </c>
      <c r="I202" s="116" t="n">
        <f aca="false">H202-G202</f>
        <v>30</v>
      </c>
      <c r="J202" s="122" t="n">
        <f aca="false">TRUNC(I202/30,0)</f>
        <v>1</v>
      </c>
      <c r="K202" s="181" t="s">
        <v>99</v>
      </c>
      <c r="L202" s="166" t="n">
        <v>50</v>
      </c>
      <c r="M202" s="167"/>
      <c r="N202" s="194"/>
      <c r="O202" s="171"/>
      <c r="P202" s="171"/>
      <c r="Q202" s="170" t="n">
        <v>0.017669</v>
      </c>
      <c r="R202" s="171"/>
      <c r="S202" s="172" t="n">
        <v>0.0147</v>
      </c>
      <c r="T202" s="171"/>
      <c r="U202" s="172"/>
      <c r="V202" s="172"/>
      <c r="W202" s="172"/>
      <c r="X202" s="172"/>
      <c r="Y202" s="173" t="n">
        <v>0.007569</v>
      </c>
      <c r="Z202" s="172" t="n">
        <v>0.0033</v>
      </c>
      <c r="AA202" s="172" t="n">
        <v>0.002</v>
      </c>
      <c r="AB202" s="174" t="n">
        <f aca="false">S202-Z202</f>
        <v>0.0114</v>
      </c>
      <c r="AC202" s="174" t="n">
        <f aca="false">U202-Z202-AA202</f>
        <v>-0.0053</v>
      </c>
      <c r="AD202" s="175" t="n">
        <v>0.0105</v>
      </c>
      <c r="AE202" s="130" t="n">
        <f aca="false">IF(Y202="","",Y202)</f>
        <v>0.007569</v>
      </c>
      <c r="AF202" s="173"/>
      <c r="AG202" s="186"/>
      <c r="AH202" s="187"/>
      <c r="AI202" s="176"/>
      <c r="AJ202" s="116" t="str">
        <f aca="false">IF(AG202="","N","Y")</f>
        <v>N</v>
      </c>
      <c r="AK202" s="177"/>
      <c r="AL202" s="138"/>
    </row>
    <row r="203" s="140" customFormat="true" ht="23.25" hidden="false" customHeight="true" outlineLevel="0" collapsed="false">
      <c r="A203" s="116" t="n">
        <f aca="false">IF(B203="","",IF((YEAR(B203)-YEAR(B202))=0,A202+1,1))</f>
        <v>9</v>
      </c>
      <c r="B203" s="160" t="n">
        <v>43132</v>
      </c>
      <c r="C203" s="161" t="s">
        <v>96</v>
      </c>
      <c r="D203" s="161" t="s">
        <v>97</v>
      </c>
      <c r="E203" s="116"/>
      <c r="F203" s="161" t="s">
        <v>98</v>
      </c>
      <c r="G203" s="162" t="n">
        <v>43132</v>
      </c>
      <c r="H203" s="162" t="n">
        <v>43152</v>
      </c>
      <c r="I203" s="116" t="n">
        <f aca="false">H203-G203</f>
        <v>20</v>
      </c>
      <c r="J203" s="122" t="n">
        <f aca="false">TRUNC(I203/30,0)</f>
        <v>0</v>
      </c>
      <c r="K203" s="180" t="s">
        <v>95</v>
      </c>
      <c r="L203" s="166" t="n">
        <v>30</v>
      </c>
      <c r="M203" s="167"/>
      <c r="N203" s="194" t="n">
        <v>0.013</v>
      </c>
      <c r="O203" s="171"/>
      <c r="P203" s="171"/>
      <c r="Q203" s="170" t="n">
        <v>0.015797</v>
      </c>
      <c r="R203" s="171"/>
      <c r="S203" s="172" t="n">
        <f aca="false">AVERAGE(0.016,0.0165)</f>
        <v>0.01625</v>
      </c>
      <c r="T203" s="171"/>
      <c r="U203" s="172"/>
      <c r="V203" s="172"/>
      <c r="W203" s="172"/>
      <c r="X203" s="172"/>
      <c r="Y203" s="173" t="n">
        <v>0.007609</v>
      </c>
      <c r="Z203" s="172" t="n">
        <v>0.002</v>
      </c>
      <c r="AA203" s="172" t="n">
        <v>0.002</v>
      </c>
      <c r="AB203" s="174" t="n">
        <f aca="false">S203-Z203</f>
        <v>0.01425</v>
      </c>
      <c r="AC203" s="174" t="n">
        <f aca="false">U203-Z203-AA203</f>
        <v>-0.004</v>
      </c>
      <c r="AD203" s="175" t="n">
        <v>0.0145</v>
      </c>
      <c r="AE203" s="130" t="n">
        <f aca="false">IF(Y203="","",Y203)</f>
        <v>0.007609</v>
      </c>
      <c r="AF203" s="173"/>
      <c r="AG203" s="186"/>
      <c r="AH203" s="187"/>
      <c r="AI203" s="176"/>
      <c r="AJ203" s="116" t="str">
        <f aca="false">IF(AG203="","N","Y")</f>
        <v>N</v>
      </c>
      <c r="AK203" s="177"/>
      <c r="AL203" s="193" t="s">
        <v>173</v>
      </c>
    </row>
    <row r="204" s="140" customFormat="true" ht="23.25" hidden="false" customHeight="true" outlineLevel="0" collapsed="false">
      <c r="A204" s="116" t="n">
        <f aca="false">IF(B204="","",IF((YEAR(B204)-YEAR(B203))=0,A203+1,1))</f>
        <v>10</v>
      </c>
      <c r="B204" s="160" t="n">
        <v>43137</v>
      </c>
      <c r="C204" s="161" t="s">
        <v>103</v>
      </c>
      <c r="D204" s="161" t="s">
        <v>111</v>
      </c>
      <c r="E204" s="116"/>
      <c r="F204" s="161" t="s">
        <v>174</v>
      </c>
      <c r="G204" s="162" t="n">
        <v>43137</v>
      </c>
      <c r="H204" s="162"/>
      <c r="I204" s="116"/>
      <c r="J204" s="122" t="n">
        <f aca="false">TRUNC(I204/30,0)</f>
        <v>0</v>
      </c>
      <c r="K204" s="181" t="s">
        <v>99</v>
      </c>
      <c r="L204" s="166" t="n">
        <v>8</v>
      </c>
      <c r="M204" s="167"/>
      <c r="N204" s="168"/>
      <c r="O204" s="169"/>
      <c r="P204" s="169"/>
      <c r="Q204" s="170" t="n">
        <v>0.0146871</v>
      </c>
      <c r="R204" s="171"/>
      <c r="S204" s="172" t="n">
        <v>0.0147</v>
      </c>
      <c r="T204" s="171"/>
      <c r="U204" s="172"/>
      <c r="V204" s="172"/>
      <c r="W204" s="172"/>
      <c r="X204" s="172"/>
      <c r="Y204" s="173" t="n">
        <v>0.005596</v>
      </c>
      <c r="Z204" s="172" t="n">
        <v>0.0033</v>
      </c>
      <c r="AA204" s="172" t="n">
        <v>0.002</v>
      </c>
      <c r="AB204" s="174" t="n">
        <f aca="false">S204-Z204</f>
        <v>0.0114</v>
      </c>
      <c r="AC204" s="174" t="n">
        <f aca="false">U204-Z204-AA204</f>
        <v>-0.0053</v>
      </c>
      <c r="AD204" s="175" t="n">
        <v>0.0085</v>
      </c>
      <c r="AE204" s="130" t="n">
        <f aca="false">IF(Y204="","",Y204)</f>
        <v>0.005596</v>
      </c>
      <c r="AF204" s="173"/>
      <c r="AG204" s="186"/>
      <c r="AH204" s="187"/>
      <c r="AI204" s="176" t="n">
        <v>2</v>
      </c>
      <c r="AJ204" s="116" t="str">
        <f aca="false">IF(AG204="","N","Y")</f>
        <v>N</v>
      </c>
      <c r="AK204" s="177"/>
      <c r="AL204" s="193" t="s">
        <v>175</v>
      </c>
      <c r="AN204" s="140" t="n">
        <v>1002</v>
      </c>
    </row>
    <row r="205" s="140" customFormat="true" ht="23.25" hidden="false" customHeight="true" outlineLevel="0" collapsed="false">
      <c r="A205" s="116" t="n">
        <f aca="false">IF(B205="","",IF((YEAR(B205)-YEAR(B204))=0,A204+1,1))</f>
        <v>11</v>
      </c>
      <c r="B205" s="160" t="n">
        <v>43137</v>
      </c>
      <c r="C205" s="161" t="s">
        <v>103</v>
      </c>
      <c r="D205" s="161" t="s">
        <v>111</v>
      </c>
      <c r="E205" s="116"/>
      <c r="F205" s="161" t="s">
        <v>176</v>
      </c>
      <c r="G205" s="162" t="n">
        <v>43137</v>
      </c>
      <c r="H205" s="162"/>
      <c r="I205" s="116"/>
      <c r="J205" s="122" t="n">
        <f aca="false">TRUNC(I205/30,0)</f>
        <v>0</v>
      </c>
      <c r="K205" s="181" t="s">
        <v>99</v>
      </c>
      <c r="L205" s="166" t="n">
        <v>3.5</v>
      </c>
      <c r="M205" s="167"/>
      <c r="N205" s="168"/>
      <c r="O205" s="169"/>
      <c r="P205" s="169"/>
      <c r="Q205" s="170" t="n">
        <v>0.0146871</v>
      </c>
      <c r="R205" s="171"/>
      <c r="S205" s="172" t="n">
        <v>0.0147</v>
      </c>
      <c r="T205" s="171"/>
      <c r="U205" s="172"/>
      <c r="V205" s="172"/>
      <c r="W205" s="172"/>
      <c r="X205" s="172"/>
      <c r="Y205" s="173" t="n">
        <v>0.005596</v>
      </c>
      <c r="Z205" s="172" t="n">
        <v>0.0033</v>
      </c>
      <c r="AA205" s="172" t="n">
        <v>0.002</v>
      </c>
      <c r="AB205" s="174" t="n">
        <f aca="false">S205-Z205</f>
        <v>0.0114</v>
      </c>
      <c r="AC205" s="174" t="n">
        <f aca="false">U205-Z205-AA205</f>
        <v>-0.0053</v>
      </c>
      <c r="AD205" s="175" t="n">
        <v>0.0085</v>
      </c>
      <c r="AE205" s="130" t="n">
        <f aca="false">IF(Y205="","",Y205)</f>
        <v>0.005596</v>
      </c>
      <c r="AF205" s="173"/>
      <c r="AG205" s="186"/>
      <c r="AH205" s="187"/>
      <c r="AI205" s="176" t="n">
        <v>3</v>
      </c>
      <c r="AJ205" s="116" t="str">
        <f aca="false">IF(AG205="","N","Y")</f>
        <v>N</v>
      </c>
      <c r="AK205" s="177"/>
      <c r="AL205" s="193" t="s">
        <v>175</v>
      </c>
      <c r="AN205" s="140" t="n">
        <v>1003</v>
      </c>
    </row>
    <row r="206" s="140" customFormat="true" ht="23.25" hidden="false" customHeight="true" outlineLevel="0" collapsed="false">
      <c r="A206" s="116" t="n">
        <f aca="false">IF(B206="","",IF((YEAR(B206)-YEAR(B205))=0,A205+1,1))</f>
        <v>12</v>
      </c>
      <c r="B206" s="160" t="n">
        <v>43144</v>
      </c>
      <c r="C206" s="161" t="s">
        <v>103</v>
      </c>
      <c r="D206" s="161" t="s">
        <v>177</v>
      </c>
      <c r="E206" s="116"/>
      <c r="F206" s="161" t="s">
        <v>178</v>
      </c>
      <c r="G206" s="162" t="n">
        <v>43144</v>
      </c>
      <c r="H206" s="162" t="n">
        <v>43172</v>
      </c>
      <c r="I206" s="116" t="n">
        <f aca="false">H206-G206</f>
        <v>28</v>
      </c>
      <c r="J206" s="122" t="n">
        <f aca="false">TRUNC(I206/30,0)</f>
        <v>0</v>
      </c>
      <c r="K206" s="180" t="s">
        <v>95</v>
      </c>
      <c r="L206" s="166" t="n">
        <v>10</v>
      </c>
      <c r="M206" s="167"/>
      <c r="N206" s="194" t="n">
        <v>0.017</v>
      </c>
      <c r="O206" s="171"/>
      <c r="P206" s="171"/>
      <c r="Q206" s="170" t="n">
        <v>0.0183338</v>
      </c>
      <c r="R206" s="171"/>
      <c r="S206" s="172" t="n">
        <v>0.0165</v>
      </c>
      <c r="T206" s="171"/>
      <c r="U206" s="172"/>
      <c r="V206" s="172"/>
      <c r="W206" s="172"/>
      <c r="X206" s="172"/>
      <c r="Y206" s="173" t="n">
        <v>0.010232</v>
      </c>
      <c r="Z206" s="172" t="n">
        <v>0.002</v>
      </c>
      <c r="AA206" s="172" t="n">
        <v>0.002</v>
      </c>
      <c r="AB206" s="174" t="n">
        <f aca="false">S206-Z206</f>
        <v>0.0145</v>
      </c>
      <c r="AC206" s="174" t="n">
        <f aca="false">U206-Z206-AA206</f>
        <v>-0.004</v>
      </c>
      <c r="AD206" s="175" t="n">
        <v>0.015</v>
      </c>
      <c r="AE206" s="130" t="n">
        <f aca="false">IF(Y206="","",Y206)</f>
        <v>0.010232</v>
      </c>
      <c r="AF206" s="173"/>
      <c r="AG206" s="186"/>
      <c r="AH206" s="187"/>
      <c r="AI206" s="176"/>
      <c r="AJ206" s="116" t="str">
        <f aca="false">IF(AG206="","N","Y")</f>
        <v>N</v>
      </c>
      <c r="AK206" s="177"/>
      <c r="AL206" s="193" t="s">
        <v>179</v>
      </c>
    </row>
    <row r="207" s="140" customFormat="true" ht="23.25" hidden="false" customHeight="true" outlineLevel="0" collapsed="false">
      <c r="A207" s="116" t="n">
        <f aca="false">IF(B207="","",IF((YEAR(B207)-YEAR(B206))=0,A206+1,1))</f>
        <v>13</v>
      </c>
      <c r="B207" s="160" t="n">
        <v>43151</v>
      </c>
      <c r="C207" s="161" t="s">
        <v>103</v>
      </c>
      <c r="D207" s="161" t="s">
        <v>154</v>
      </c>
      <c r="E207" s="116"/>
      <c r="F207" s="161" t="s">
        <v>178</v>
      </c>
      <c r="G207" s="162" t="n">
        <v>43151</v>
      </c>
      <c r="H207" s="162" t="n">
        <v>43179</v>
      </c>
      <c r="I207" s="116" t="n">
        <f aca="false">H207-G207</f>
        <v>28</v>
      </c>
      <c r="J207" s="122" t="n">
        <f aca="false">TRUNC(I207/30,0)</f>
        <v>0</v>
      </c>
      <c r="K207" s="180" t="s">
        <v>95</v>
      </c>
      <c r="L207" s="166" t="n">
        <v>10</v>
      </c>
      <c r="M207" s="167"/>
      <c r="N207" s="194" t="n">
        <v>0.0155</v>
      </c>
      <c r="O207" s="171"/>
      <c r="P207" s="171"/>
      <c r="Q207" s="170" t="n">
        <v>0.0189</v>
      </c>
      <c r="R207" s="171"/>
      <c r="S207" s="172" t="n">
        <v>0.0165</v>
      </c>
      <c r="T207" s="171"/>
      <c r="U207" s="172"/>
      <c r="V207" s="172"/>
      <c r="W207" s="172"/>
      <c r="X207" s="172"/>
      <c r="Y207" s="173" t="n">
        <v>0.010232</v>
      </c>
      <c r="Z207" s="172" t="n">
        <v>0.002</v>
      </c>
      <c r="AA207" s="172" t="n">
        <v>0.002</v>
      </c>
      <c r="AB207" s="174" t="n">
        <f aca="false">S207-Z207</f>
        <v>0.0145</v>
      </c>
      <c r="AC207" s="174" t="n">
        <f aca="false">U207-Z207-AA207</f>
        <v>-0.004</v>
      </c>
      <c r="AD207" s="175" t="n">
        <v>0.016</v>
      </c>
      <c r="AE207" s="130" t="n">
        <f aca="false">IF(Y207="","",Y207)</f>
        <v>0.010232</v>
      </c>
      <c r="AF207" s="173"/>
      <c r="AG207" s="186"/>
      <c r="AH207" s="187"/>
      <c r="AI207" s="176"/>
      <c r="AJ207" s="116" t="str">
        <f aca="false">IF(AG207="","N","Y")</f>
        <v>N</v>
      </c>
      <c r="AK207" s="177"/>
      <c r="AL207" s="193" t="s">
        <v>180</v>
      </c>
    </row>
    <row r="208" s="140" customFormat="true" ht="23.25" hidden="false" customHeight="true" outlineLevel="0" collapsed="false">
      <c r="A208" s="116" t="n">
        <f aca="false">IF(B208="","",IF((YEAR(B208)-YEAR(B207))=0,A207+1,1))</f>
        <v>14</v>
      </c>
      <c r="B208" s="160" t="n">
        <v>43152</v>
      </c>
      <c r="C208" s="161" t="s">
        <v>96</v>
      </c>
      <c r="D208" s="161" t="s">
        <v>97</v>
      </c>
      <c r="E208" s="116"/>
      <c r="F208" s="161" t="s">
        <v>98</v>
      </c>
      <c r="G208" s="162" t="n">
        <v>43152</v>
      </c>
      <c r="H208" s="162" t="n">
        <v>43217</v>
      </c>
      <c r="I208" s="116" t="n">
        <f aca="false">H208-G208</f>
        <v>65</v>
      </c>
      <c r="J208" s="122" t="n">
        <f aca="false">TRUNC(I208/30,0)</f>
        <v>2</v>
      </c>
      <c r="K208" s="180" t="s">
        <v>95</v>
      </c>
      <c r="L208" s="166" t="n">
        <v>20</v>
      </c>
      <c r="M208" s="167"/>
      <c r="N208" s="194" t="n">
        <v>0.013</v>
      </c>
      <c r="O208" s="171"/>
      <c r="P208" s="171"/>
      <c r="Q208" s="170" t="n">
        <v>0.015797</v>
      </c>
      <c r="R208" s="171"/>
      <c r="S208" s="172" t="n">
        <f aca="false">AVERAGE(0.016,0.0165)</f>
        <v>0.01625</v>
      </c>
      <c r="T208" s="171"/>
      <c r="U208" s="172"/>
      <c r="V208" s="172"/>
      <c r="W208" s="172"/>
      <c r="X208" s="172"/>
      <c r="Y208" s="173" t="n">
        <v>0.007609</v>
      </c>
      <c r="Z208" s="172" t="n">
        <v>0.002</v>
      </c>
      <c r="AA208" s="172" t="n">
        <v>0.002</v>
      </c>
      <c r="AB208" s="174" t="n">
        <f aca="false">S208-Z208</f>
        <v>0.01425</v>
      </c>
      <c r="AC208" s="174" t="n">
        <f aca="false">U208-Z208-AA208</f>
        <v>-0.004</v>
      </c>
      <c r="AD208" s="175" t="n">
        <v>0.015</v>
      </c>
      <c r="AE208" s="130" t="n">
        <f aca="false">IF(Y208="","",Y208)</f>
        <v>0.007609</v>
      </c>
      <c r="AF208" s="173"/>
      <c r="AG208" s="186"/>
      <c r="AH208" s="187"/>
      <c r="AI208" s="176"/>
      <c r="AJ208" s="116" t="str">
        <f aca="false">IF(AG208="","N","Y")</f>
        <v>N</v>
      </c>
      <c r="AK208" s="177"/>
      <c r="AL208" s="191" t="s">
        <v>181</v>
      </c>
    </row>
    <row r="209" s="140" customFormat="true" ht="23.25" hidden="false" customHeight="true" outlineLevel="0" collapsed="false">
      <c r="A209" s="116" t="n">
        <f aca="false">IF(B209="","",IF((YEAR(B209)-YEAR(B208))=0,A208+1,1))</f>
        <v>15</v>
      </c>
      <c r="B209" s="160" t="n">
        <v>43154</v>
      </c>
      <c r="C209" s="161" t="s">
        <v>96</v>
      </c>
      <c r="D209" s="161" t="s">
        <v>142</v>
      </c>
      <c r="E209" s="116"/>
      <c r="F209" s="116" t="s">
        <v>112</v>
      </c>
      <c r="G209" s="162" t="n">
        <v>43154</v>
      </c>
      <c r="H209" s="162" t="n">
        <v>43243</v>
      </c>
      <c r="I209" s="116" t="n">
        <f aca="false">H209-G209</f>
        <v>89</v>
      </c>
      <c r="J209" s="122" t="n">
        <f aca="false">TRUNC(I209/30,0)</f>
        <v>2</v>
      </c>
      <c r="K209" s="180" t="s">
        <v>95</v>
      </c>
      <c r="L209" s="166" t="n">
        <v>50</v>
      </c>
      <c r="M209" s="167"/>
      <c r="N209" s="194" t="n">
        <v>0.0161</v>
      </c>
      <c r="O209" s="171"/>
      <c r="P209" s="171"/>
      <c r="Q209" s="170" t="n">
        <v>0.0176399</v>
      </c>
      <c r="R209" s="171"/>
      <c r="S209" s="172" t="n">
        <v>0.021</v>
      </c>
      <c r="T209" s="171"/>
      <c r="U209" s="172"/>
      <c r="V209" s="172"/>
      <c r="W209" s="172"/>
      <c r="X209" s="172" t="n">
        <v>0.001791</v>
      </c>
      <c r="Y209" s="173" t="n">
        <v>0.010557</v>
      </c>
      <c r="Z209" s="172" t="n">
        <v>0.002</v>
      </c>
      <c r="AA209" s="172" t="n">
        <v>0.002</v>
      </c>
      <c r="AB209" s="174" t="n">
        <f aca="false">S209-Z209</f>
        <v>0.019</v>
      </c>
      <c r="AC209" s="174" t="n">
        <f aca="false">U209-Z209-AA209</f>
        <v>-0.004</v>
      </c>
      <c r="AD209" s="175" t="n">
        <v>0.0175</v>
      </c>
      <c r="AE209" s="130" t="n">
        <f aca="false">IF(Y209="","",Y209)</f>
        <v>0.010557</v>
      </c>
      <c r="AF209" s="173"/>
      <c r="AG209" s="186"/>
      <c r="AH209" s="187"/>
      <c r="AI209" s="176"/>
      <c r="AJ209" s="116" t="str">
        <f aca="false">IF(AG209="","N","Y")</f>
        <v>N</v>
      </c>
      <c r="AK209" s="177"/>
      <c r="AL209" s="191" t="s">
        <v>182</v>
      </c>
    </row>
    <row r="210" s="140" customFormat="true" ht="23.25" hidden="false" customHeight="true" outlineLevel="0" collapsed="false">
      <c r="A210" s="116" t="n">
        <f aca="false">IF(B210="","",IF((YEAR(B210)-YEAR(B209))=0,A209+1,1))</f>
        <v>16</v>
      </c>
      <c r="B210" s="160" t="n">
        <v>43154</v>
      </c>
      <c r="C210" s="161" t="s">
        <v>96</v>
      </c>
      <c r="D210" s="161" t="s">
        <v>142</v>
      </c>
      <c r="E210" s="116"/>
      <c r="F210" s="116" t="s">
        <v>112</v>
      </c>
      <c r="G210" s="162" t="n">
        <v>43154</v>
      </c>
      <c r="H210" s="162" t="n">
        <v>43213</v>
      </c>
      <c r="I210" s="116" t="n">
        <f aca="false">H210-G210</f>
        <v>59</v>
      </c>
      <c r="J210" s="122" t="n">
        <f aca="false">TRUNC(I210/30,0)</f>
        <v>1</v>
      </c>
      <c r="K210" s="180" t="s">
        <v>95</v>
      </c>
      <c r="L210" s="166" t="n">
        <v>50</v>
      </c>
      <c r="M210" s="167"/>
      <c r="N210" s="194" t="n">
        <v>0.0059</v>
      </c>
      <c r="O210" s="171"/>
      <c r="P210" s="171"/>
      <c r="Q210" s="170" t="n">
        <v>0.0176399</v>
      </c>
      <c r="R210" s="171"/>
      <c r="S210" s="172" t="n">
        <v>0.017</v>
      </c>
      <c r="T210" s="171"/>
      <c r="U210" s="172"/>
      <c r="V210" s="172"/>
      <c r="W210" s="172"/>
      <c r="X210" s="172" t="n">
        <v>0.013967</v>
      </c>
      <c r="Y210" s="173" t="n">
        <v>0.00562</v>
      </c>
      <c r="Z210" s="172" t="n">
        <v>0.0033</v>
      </c>
      <c r="AA210" s="172" t="n">
        <v>0.002</v>
      </c>
      <c r="AB210" s="174" t="n">
        <f aca="false">S210-Z210</f>
        <v>0.0137</v>
      </c>
      <c r="AC210" s="174" t="n">
        <f aca="false">U210-Z210-AA210</f>
        <v>-0.0053</v>
      </c>
      <c r="AD210" s="175" t="n">
        <v>0.011</v>
      </c>
      <c r="AE210" s="130" t="n">
        <f aca="false">IF(Y210="","",Y210)</f>
        <v>0.00562</v>
      </c>
      <c r="AF210" s="173"/>
      <c r="AG210" s="186"/>
      <c r="AH210" s="187"/>
      <c r="AI210" s="176"/>
      <c r="AJ210" s="116" t="str">
        <f aca="false">IF(AG210="","N","Y")</f>
        <v>N</v>
      </c>
      <c r="AK210" s="177"/>
      <c r="AL210" s="195"/>
    </row>
    <row r="211" s="140" customFormat="true" ht="23.25" hidden="false" customHeight="true" outlineLevel="0" collapsed="false">
      <c r="A211" s="116" t="n">
        <f aca="false">IF(B211="","",IF((YEAR(B211)-YEAR(B210))=0,A210+1,1))</f>
        <v>17</v>
      </c>
      <c r="B211" s="160" t="n">
        <v>43154</v>
      </c>
      <c r="C211" s="161" t="s">
        <v>92</v>
      </c>
      <c r="D211" s="161" t="s">
        <v>183</v>
      </c>
      <c r="E211" s="116"/>
      <c r="F211" s="116"/>
      <c r="G211" s="162" t="n">
        <v>43159</v>
      </c>
      <c r="H211" s="162" t="n">
        <v>43248</v>
      </c>
      <c r="I211" s="116" t="n">
        <f aca="false">H211-G211</f>
        <v>89</v>
      </c>
      <c r="J211" s="122" t="n">
        <f aca="false">TRUNC(I211/30,0)</f>
        <v>2</v>
      </c>
      <c r="K211" s="180" t="s">
        <v>95</v>
      </c>
      <c r="L211" s="166" t="n">
        <v>1.88</v>
      </c>
      <c r="M211" s="167"/>
      <c r="N211" s="194" t="n">
        <v>0.016</v>
      </c>
      <c r="O211" s="171"/>
      <c r="P211" s="171"/>
      <c r="Q211" s="170" t="n">
        <v>0.0183</v>
      </c>
      <c r="R211" s="171"/>
      <c r="S211" s="172" t="n">
        <v>0.021</v>
      </c>
      <c r="T211" s="171"/>
      <c r="U211" s="172"/>
      <c r="V211" s="172"/>
      <c r="W211" s="172"/>
      <c r="X211" s="172"/>
      <c r="Y211" s="173" t="n">
        <v>0.0149</v>
      </c>
      <c r="Z211" s="172" t="n">
        <v>0.002</v>
      </c>
      <c r="AA211" s="172" t="n">
        <v>0.002</v>
      </c>
      <c r="AB211" s="174" t="n">
        <f aca="false">S211-Z211</f>
        <v>0.019</v>
      </c>
      <c r="AC211" s="174" t="n">
        <f aca="false">U211-Z211-AA211</f>
        <v>-0.004</v>
      </c>
      <c r="AD211" s="175" t="n">
        <v>0.017</v>
      </c>
      <c r="AE211" s="130" t="n">
        <f aca="false">IF(Y211="","",Y211)</f>
        <v>0.0149</v>
      </c>
      <c r="AF211" s="173"/>
      <c r="AG211" s="186"/>
      <c r="AH211" s="187"/>
      <c r="AI211" s="176"/>
      <c r="AJ211" s="116" t="str">
        <f aca="false">IF(AG211="","N","Y")</f>
        <v>N</v>
      </c>
      <c r="AK211" s="177"/>
      <c r="AL211" s="193" t="s">
        <v>184</v>
      </c>
    </row>
    <row r="212" s="38" customFormat="true" ht="23.25" hidden="false" customHeight="true" outlineLevel="0" collapsed="false">
      <c r="A212" s="19" t="n">
        <f aca="false">IF(B212="","",IF((YEAR(B212)-YEAR(B211))=0,A211+1,1))</f>
        <v>18</v>
      </c>
      <c r="B212" s="141" t="n">
        <v>43157</v>
      </c>
      <c r="C212" s="63" t="s">
        <v>96</v>
      </c>
      <c r="D212" s="63" t="s">
        <v>97</v>
      </c>
      <c r="E212" s="19"/>
      <c r="F212" s="19" t="s">
        <v>112</v>
      </c>
      <c r="G212" s="142" t="n">
        <v>43157</v>
      </c>
      <c r="H212" s="142" t="n">
        <v>43185</v>
      </c>
      <c r="I212" s="19" t="n">
        <f aca="false">H212-G212</f>
        <v>28</v>
      </c>
      <c r="J212" s="100" t="n">
        <f aca="false">TRUNC(I212/30,0)</f>
        <v>0</v>
      </c>
      <c r="K212" s="189" t="s">
        <v>99</v>
      </c>
      <c r="L212" s="146" t="n">
        <v>50</v>
      </c>
      <c r="M212" s="147"/>
      <c r="N212" s="148"/>
      <c r="O212" s="149"/>
      <c r="P212" s="149"/>
      <c r="Q212" s="150" t="n">
        <v>0.014725</v>
      </c>
      <c r="R212" s="151"/>
      <c r="S212" s="152" t="n">
        <v>0.0155</v>
      </c>
      <c r="T212" s="151"/>
      <c r="U212" s="152"/>
      <c r="V212" s="152"/>
      <c r="W212" s="152"/>
      <c r="X212" s="152"/>
      <c r="Y212" s="153" t="n">
        <v>0.005631</v>
      </c>
      <c r="Z212" s="152" t="n">
        <v>0.0033</v>
      </c>
      <c r="AA212" s="152" t="n">
        <v>0.002</v>
      </c>
      <c r="AB212" s="154" t="n">
        <f aca="false">S212-Z212</f>
        <v>0.0122</v>
      </c>
      <c r="AC212" s="154" t="n">
        <f aca="false">U212-Z212-AA212</f>
        <v>-0.0053</v>
      </c>
      <c r="AD212" s="155" t="n">
        <v>0.0105</v>
      </c>
      <c r="AE212" s="156" t="n">
        <f aca="false">IF(Y212="","",Y212)</f>
        <v>0.005631</v>
      </c>
      <c r="AF212" s="153"/>
      <c r="AG212" s="184" t="n">
        <v>0.0105</v>
      </c>
      <c r="AH212" s="185"/>
      <c r="AI212" s="35" t="n">
        <v>1</v>
      </c>
      <c r="AJ212" s="19" t="str">
        <f aca="false">IF(AG212="","N","Y")</f>
        <v>Y</v>
      </c>
      <c r="AK212" s="159"/>
      <c r="AL212" s="196" t="s">
        <v>185</v>
      </c>
    </row>
    <row r="213" s="38" customFormat="true" ht="23.25" hidden="false" customHeight="true" outlineLevel="0" collapsed="false">
      <c r="A213" s="19" t="n">
        <f aca="false">IF(B213="","",IF((YEAR(B213)-YEAR(B212))=0,A212+1,1))</f>
        <v>19</v>
      </c>
      <c r="B213" s="141" t="n">
        <v>43159</v>
      </c>
      <c r="C213" s="63" t="s">
        <v>96</v>
      </c>
      <c r="D213" s="63" t="s">
        <v>97</v>
      </c>
      <c r="E213" s="19"/>
      <c r="F213" s="19" t="s">
        <v>112</v>
      </c>
      <c r="G213" s="142" t="n">
        <v>43159</v>
      </c>
      <c r="H213" s="142" t="n">
        <v>43187</v>
      </c>
      <c r="I213" s="19" t="n">
        <f aca="false">H213-G213</f>
        <v>28</v>
      </c>
      <c r="J213" s="100" t="n">
        <f aca="false">TRUNC(I213/30,0)</f>
        <v>0</v>
      </c>
      <c r="K213" s="189" t="s">
        <v>99</v>
      </c>
      <c r="L213" s="146" t="n">
        <v>100</v>
      </c>
      <c r="M213" s="147"/>
      <c r="N213" s="197" t="n">
        <v>0.01265</v>
      </c>
      <c r="O213" s="151"/>
      <c r="P213" s="151"/>
      <c r="Q213" s="150" t="n">
        <v>0.01475</v>
      </c>
      <c r="R213" s="151"/>
      <c r="S213" s="152" t="n">
        <v>0.02</v>
      </c>
      <c r="T213" s="151"/>
      <c r="U213" s="152"/>
      <c r="V213" s="152"/>
      <c r="W213" s="152"/>
      <c r="X213" s="152"/>
      <c r="Y213" s="153" t="n">
        <v>0.005655</v>
      </c>
      <c r="Z213" s="152" t="n">
        <v>0.0033</v>
      </c>
      <c r="AA213" s="152" t="n">
        <v>0.002</v>
      </c>
      <c r="AB213" s="154" t="n">
        <f aca="false">S213-Z213</f>
        <v>0.0167</v>
      </c>
      <c r="AC213" s="154" t="n">
        <f aca="false">U213-Z213-AA213</f>
        <v>-0.0053</v>
      </c>
      <c r="AD213" s="155" t="n">
        <v>0.0125</v>
      </c>
      <c r="AE213" s="156" t="n">
        <f aca="false">IF(Y213="","",Y213)</f>
        <v>0.005655</v>
      </c>
      <c r="AF213" s="153"/>
      <c r="AG213" s="184" t="n">
        <v>0.0125</v>
      </c>
      <c r="AH213" s="185"/>
      <c r="AI213" s="35" t="n">
        <v>1</v>
      </c>
      <c r="AJ213" s="19" t="str">
        <f aca="false">IF(AG213="","N","Y")</f>
        <v>Y</v>
      </c>
      <c r="AK213" s="159"/>
      <c r="AL213" s="196" t="s">
        <v>186</v>
      </c>
    </row>
    <row r="214" s="140" customFormat="true" ht="23.25" hidden="false" customHeight="true" outlineLevel="0" collapsed="false">
      <c r="A214" s="116" t="n">
        <f aca="false">IF(B214="","",IF((YEAR(B214)-YEAR(B213))=0,A213+1,1))</f>
        <v>20</v>
      </c>
      <c r="B214" s="160" t="n">
        <v>43159</v>
      </c>
      <c r="C214" s="161" t="s">
        <v>187</v>
      </c>
      <c r="D214" s="161" t="s">
        <v>188</v>
      </c>
      <c r="E214" s="116"/>
      <c r="F214" s="161" t="s">
        <v>164</v>
      </c>
      <c r="G214" s="162" t="n">
        <v>43159</v>
      </c>
      <c r="H214" s="162" t="n">
        <v>43187</v>
      </c>
      <c r="I214" s="116" t="n">
        <f aca="false">H214-G214</f>
        <v>28</v>
      </c>
      <c r="J214" s="122" t="n">
        <f aca="false">TRUNC(I214/30,0)</f>
        <v>0</v>
      </c>
      <c r="K214" s="180" t="s">
        <v>95</v>
      </c>
      <c r="L214" s="166" t="n">
        <v>2.3</v>
      </c>
      <c r="M214" s="167"/>
      <c r="N214" s="194" t="n">
        <v>0.012</v>
      </c>
      <c r="O214" s="171"/>
      <c r="P214" s="171"/>
      <c r="Q214" s="170" t="n">
        <v>0.0166418</v>
      </c>
      <c r="R214" s="171"/>
      <c r="S214" s="172" t="n">
        <v>0.017</v>
      </c>
      <c r="T214" s="171"/>
      <c r="U214" s="172"/>
      <c r="V214" s="172"/>
      <c r="W214" s="172"/>
      <c r="X214" s="172"/>
      <c r="Y214" s="173" t="n">
        <v>0.010983</v>
      </c>
      <c r="Z214" s="172" t="n">
        <v>0.002</v>
      </c>
      <c r="AA214" s="172" t="n">
        <v>0.002</v>
      </c>
      <c r="AB214" s="174" t="n">
        <f aca="false">S214-Z214</f>
        <v>0.015</v>
      </c>
      <c r="AC214" s="174" t="n">
        <f aca="false">U214-Z214-AA214</f>
        <v>-0.004</v>
      </c>
      <c r="AD214" s="175" t="n">
        <v>0.0135</v>
      </c>
      <c r="AE214" s="130" t="n">
        <f aca="false">IF(Y214="","",Y214)</f>
        <v>0.010983</v>
      </c>
      <c r="AF214" s="173"/>
      <c r="AG214" s="186"/>
      <c r="AH214" s="187"/>
      <c r="AI214" s="176"/>
      <c r="AJ214" s="116" t="str">
        <f aca="false">IF(AG214="","N","Y")</f>
        <v>N</v>
      </c>
      <c r="AK214" s="177"/>
      <c r="AL214" s="195"/>
    </row>
    <row r="215" s="140" customFormat="true" ht="23.25" hidden="false" customHeight="true" outlineLevel="0" collapsed="false">
      <c r="A215" s="116" t="n">
        <f aca="false">IF(B215="","",IF((YEAR(B215)-YEAR(B214))=0,A214+1,1))</f>
        <v>21</v>
      </c>
      <c r="B215" s="160" t="n">
        <v>43159</v>
      </c>
      <c r="C215" s="161" t="s">
        <v>187</v>
      </c>
      <c r="D215" s="161" t="s">
        <v>188</v>
      </c>
      <c r="E215" s="116"/>
      <c r="F215" s="161" t="s">
        <v>164</v>
      </c>
      <c r="G215" s="162" t="n">
        <v>43159</v>
      </c>
      <c r="H215" s="162" t="n">
        <v>43248</v>
      </c>
      <c r="I215" s="116" t="n">
        <f aca="false">H215-G215</f>
        <v>89</v>
      </c>
      <c r="J215" s="122" t="n">
        <f aca="false">TRUNC(I215/30,0)</f>
        <v>2</v>
      </c>
      <c r="K215" s="180" t="s">
        <v>95</v>
      </c>
      <c r="L215" s="166" t="n">
        <v>2.3</v>
      </c>
      <c r="M215" s="167"/>
      <c r="N215" s="194" t="n">
        <v>0.012</v>
      </c>
      <c r="O215" s="171"/>
      <c r="P215" s="171"/>
      <c r="Q215" s="170" t="n">
        <v>0.02</v>
      </c>
      <c r="R215" s="171"/>
      <c r="S215" s="172" t="n">
        <v>0.021</v>
      </c>
      <c r="T215" s="171"/>
      <c r="U215" s="172"/>
      <c r="V215" s="172"/>
      <c r="W215" s="172"/>
      <c r="X215" s="172"/>
      <c r="Y215" s="173" t="n">
        <v>0.015536</v>
      </c>
      <c r="Z215" s="172" t="n">
        <v>0.002</v>
      </c>
      <c r="AA215" s="172" t="n">
        <v>0.002</v>
      </c>
      <c r="AB215" s="174" t="n">
        <f aca="false">S215-Z215</f>
        <v>0.019</v>
      </c>
      <c r="AC215" s="174" t="n">
        <f aca="false">U215-Z215-AA215</f>
        <v>-0.004</v>
      </c>
      <c r="AD215" s="175" t="n">
        <v>0.018</v>
      </c>
      <c r="AE215" s="130" t="n">
        <f aca="false">IF(Y215="","",Y215)</f>
        <v>0.015536</v>
      </c>
      <c r="AF215" s="173"/>
      <c r="AG215" s="186"/>
      <c r="AH215" s="187"/>
      <c r="AI215" s="176"/>
      <c r="AJ215" s="116" t="str">
        <f aca="false">IF(AG215="","N","Y")</f>
        <v>N</v>
      </c>
      <c r="AK215" s="177"/>
      <c r="AL215" s="195"/>
    </row>
    <row r="216" s="140" customFormat="true" ht="23.25" hidden="false" customHeight="true" outlineLevel="0" collapsed="false">
      <c r="A216" s="116" t="n">
        <f aca="false">IF(B216="","",IF((YEAR(B216)-YEAR(B215))=0,A215+1,1))</f>
        <v>22</v>
      </c>
      <c r="B216" s="160" t="n">
        <v>43161</v>
      </c>
      <c r="C216" s="161" t="s">
        <v>189</v>
      </c>
      <c r="D216" s="161" t="s">
        <v>190</v>
      </c>
      <c r="E216" s="116"/>
      <c r="F216" s="116"/>
      <c r="G216" s="162" t="n">
        <v>43161</v>
      </c>
      <c r="H216" s="162" t="n">
        <v>43253</v>
      </c>
      <c r="I216" s="116" t="n">
        <f aca="false">H216-G216</f>
        <v>92</v>
      </c>
      <c r="J216" s="122" t="n">
        <f aca="false">TRUNC(I216/30,0)</f>
        <v>3</v>
      </c>
      <c r="K216" s="180" t="s">
        <v>95</v>
      </c>
      <c r="L216" s="166" t="n">
        <v>1</v>
      </c>
      <c r="M216" s="167"/>
      <c r="N216" s="194" t="n">
        <v>0.016</v>
      </c>
      <c r="O216" s="171"/>
      <c r="P216" s="171"/>
      <c r="Q216" s="170" t="n">
        <v>0.0202457</v>
      </c>
      <c r="R216" s="171"/>
      <c r="S216" s="172" t="n">
        <v>0.021</v>
      </c>
      <c r="T216" s="171"/>
      <c r="U216" s="172"/>
      <c r="V216" s="172"/>
      <c r="W216" s="172"/>
      <c r="X216" s="172"/>
      <c r="Y216" s="173" t="n">
        <v>0.015715</v>
      </c>
      <c r="Z216" s="172" t="n">
        <v>0.002</v>
      </c>
      <c r="AA216" s="172" t="n">
        <v>0.002</v>
      </c>
      <c r="AB216" s="174" t="n">
        <f aca="false">S216-Z216</f>
        <v>0.019</v>
      </c>
      <c r="AC216" s="174" t="n">
        <f aca="false">U216-Z216-AA216</f>
        <v>-0.004</v>
      </c>
      <c r="AD216" s="175" t="n">
        <v>0.017</v>
      </c>
      <c r="AE216" s="130" t="n">
        <f aca="false">IF(Y216="","",Y216)</f>
        <v>0.015715</v>
      </c>
      <c r="AF216" s="173"/>
      <c r="AG216" s="186"/>
      <c r="AH216" s="187"/>
      <c r="AI216" s="176"/>
      <c r="AJ216" s="116" t="str">
        <f aca="false">IF(AG216="","N","Y")</f>
        <v>N</v>
      </c>
      <c r="AK216" s="177"/>
      <c r="AL216" s="193" t="s">
        <v>191</v>
      </c>
    </row>
    <row r="217" s="38" customFormat="true" ht="23.25" hidden="false" customHeight="true" outlineLevel="0" collapsed="false">
      <c r="A217" s="19" t="n">
        <f aca="false">IF(B217="","",IF((YEAR(B217)-YEAR(B216))=0,A216+1,1))</f>
        <v>23</v>
      </c>
      <c r="B217" s="141" t="n">
        <v>43165</v>
      </c>
      <c r="C217" s="63" t="s">
        <v>103</v>
      </c>
      <c r="D217" s="63" t="s">
        <v>111</v>
      </c>
      <c r="E217" s="19"/>
      <c r="F217" s="63" t="s">
        <v>174</v>
      </c>
      <c r="G217" s="142" t="n">
        <v>43165</v>
      </c>
      <c r="H217" s="142" t="n">
        <v>43196</v>
      </c>
      <c r="I217" s="19" t="n">
        <f aca="false">H217-G217</f>
        <v>31</v>
      </c>
      <c r="J217" s="100" t="n">
        <f aca="false">TRUNC(I217/30,0)</f>
        <v>1</v>
      </c>
      <c r="K217" s="189" t="s">
        <v>99</v>
      </c>
      <c r="L217" s="146" t="n">
        <v>8</v>
      </c>
      <c r="M217" s="147"/>
      <c r="N217" s="148"/>
      <c r="O217" s="149"/>
      <c r="P217" s="149"/>
      <c r="Q217" s="150" t="n">
        <v>0.0146871</v>
      </c>
      <c r="R217" s="151"/>
      <c r="S217" s="152" t="n">
        <v>0.0147</v>
      </c>
      <c r="T217" s="151"/>
      <c r="U217" s="152"/>
      <c r="V217" s="152"/>
      <c r="W217" s="152"/>
      <c r="X217" s="152"/>
      <c r="Y217" s="153" t="n">
        <v>0.005596</v>
      </c>
      <c r="Z217" s="152" t="n">
        <v>0.0033</v>
      </c>
      <c r="AA217" s="152" t="n">
        <v>0.002</v>
      </c>
      <c r="AB217" s="154" t="n">
        <f aca="false">S217-Z217</f>
        <v>0.0114</v>
      </c>
      <c r="AC217" s="154" t="n">
        <f aca="false">U217-Z217-AA217</f>
        <v>-0.0053</v>
      </c>
      <c r="AD217" s="155" t="n">
        <v>0.0085</v>
      </c>
      <c r="AE217" s="156" t="n">
        <f aca="false">IF(Y217="","",Y217)</f>
        <v>0.005596</v>
      </c>
      <c r="AF217" s="153"/>
      <c r="AG217" s="184" t="n">
        <v>0.0085</v>
      </c>
      <c r="AH217" s="185"/>
      <c r="AI217" s="35" t="n">
        <v>1</v>
      </c>
      <c r="AJ217" s="19" t="str">
        <f aca="false">IF(AG217="","N","Y")</f>
        <v>Y</v>
      </c>
      <c r="AK217" s="159"/>
      <c r="AL217" s="196" t="s">
        <v>175</v>
      </c>
    </row>
    <row r="218" s="38" customFormat="true" ht="23.25" hidden="false" customHeight="true" outlineLevel="0" collapsed="false">
      <c r="A218" s="19" t="n">
        <f aca="false">IF(B218="","",IF((YEAR(B218)-YEAR(B217))=0,A217+1,1))</f>
        <v>24</v>
      </c>
      <c r="B218" s="141" t="n">
        <v>43165</v>
      </c>
      <c r="C218" s="63" t="s">
        <v>103</v>
      </c>
      <c r="D218" s="63" t="s">
        <v>111</v>
      </c>
      <c r="E218" s="19"/>
      <c r="F218" s="63" t="s">
        <v>176</v>
      </c>
      <c r="G218" s="142" t="n">
        <v>43165</v>
      </c>
      <c r="H218" s="142" t="n">
        <v>43196</v>
      </c>
      <c r="I218" s="19" t="n">
        <f aca="false">H218-G218</f>
        <v>31</v>
      </c>
      <c r="J218" s="100" t="n">
        <f aca="false">TRUNC(I218/30,0)</f>
        <v>1</v>
      </c>
      <c r="K218" s="189" t="s">
        <v>99</v>
      </c>
      <c r="L218" s="146" t="n">
        <v>3.3</v>
      </c>
      <c r="M218" s="147"/>
      <c r="N218" s="148"/>
      <c r="O218" s="149"/>
      <c r="P218" s="149"/>
      <c r="Q218" s="150" t="n">
        <v>0.0146871</v>
      </c>
      <c r="R218" s="151"/>
      <c r="S218" s="152" t="n">
        <v>0.0147</v>
      </c>
      <c r="T218" s="151"/>
      <c r="U218" s="152"/>
      <c r="V218" s="152"/>
      <c r="W218" s="152"/>
      <c r="X218" s="152"/>
      <c r="Y218" s="153" t="n">
        <v>0.005596</v>
      </c>
      <c r="Z218" s="152" t="n">
        <v>0.0033</v>
      </c>
      <c r="AA218" s="152" t="n">
        <v>0.002</v>
      </c>
      <c r="AB218" s="154" t="n">
        <f aca="false">S218-Z218</f>
        <v>0.0114</v>
      </c>
      <c r="AC218" s="154" t="n">
        <f aca="false">U218-Z218-AA218</f>
        <v>-0.0053</v>
      </c>
      <c r="AD218" s="155" t="n">
        <v>0.0085</v>
      </c>
      <c r="AE218" s="156" t="n">
        <f aca="false">IF(Y218="","",Y218)</f>
        <v>0.005596</v>
      </c>
      <c r="AF218" s="153"/>
      <c r="AG218" s="184" t="n">
        <v>0.0085</v>
      </c>
      <c r="AH218" s="185"/>
      <c r="AI218" s="35" t="n">
        <v>2</v>
      </c>
      <c r="AJ218" s="19" t="str">
        <f aca="false">IF(AG218="","N","Y")</f>
        <v>Y</v>
      </c>
      <c r="AK218" s="159"/>
      <c r="AL218" s="196" t="s">
        <v>175</v>
      </c>
    </row>
    <row r="219" s="140" customFormat="true" ht="23.25" hidden="false" customHeight="true" outlineLevel="0" collapsed="false">
      <c r="A219" s="116" t="n">
        <f aca="false">IF(B219="","",IF((YEAR(B219)-YEAR(B218))=0,A218+1,1))</f>
        <v>25</v>
      </c>
      <c r="B219" s="160" t="n">
        <v>43166</v>
      </c>
      <c r="C219" s="161" t="s">
        <v>100</v>
      </c>
      <c r="D219" s="161" t="s">
        <v>101</v>
      </c>
      <c r="E219" s="116"/>
      <c r="F219" s="161" t="s">
        <v>102</v>
      </c>
      <c r="G219" s="162" t="n">
        <v>43166</v>
      </c>
      <c r="H219" s="162" t="n">
        <v>43197</v>
      </c>
      <c r="I219" s="116" t="n">
        <f aca="false">H219-G219</f>
        <v>31</v>
      </c>
      <c r="J219" s="122" t="n">
        <f aca="false">TRUNC(I219/30,0)</f>
        <v>1</v>
      </c>
      <c r="K219" s="180" t="s">
        <v>95</v>
      </c>
      <c r="L219" s="166" t="n">
        <v>20</v>
      </c>
      <c r="M219" s="167"/>
      <c r="N219" s="168"/>
      <c r="O219" s="169"/>
      <c r="P219" s="169"/>
      <c r="Q219" s="170" t="n">
        <v>0.0171131</v>
      </c>
      <c r="R219" s="171"/>
      <c r="S219" s="172" t="n">
        <v>0.0185</v>
      </c>
      <c r="T219" s="171"/>
      <c r="U219" s="172"/>
      <c r="V219" s="172"/>
      <c r="W219" s="172"/>
      <c r="X219" s="172"/>
      <c r="Y219" s="173" t="n">
        <v>0.011445</v>
      </c>
      <c r="Z219" s="172" t="n">
        <v>0.002</v>
      </c>
      <c r="AA219" s="172" t="n">
        <v>0.002</v>
      </c>
      <c r="AB219" s="174" t="n">
        <f aca="false">S219-Z219</f>
        <v>0.0165</v>
      </c>
      <c r="AC219" s="174" t="n">
        <f aca="false">U219-Z219-AA219</f>
        <v>-0.004</v>
      </c>
      <c r="AD219" s="175" t="n">
        <v>0.016</v>
      </c>
      <c r="AE219" s="130" t="n">
        <f aca="false">IF(Y219="","",Y219)</f>
        <v>0.011445</v>
      </c>
      <c r="AF219" s="173"/>
      <c r="AG219" s="186"/>
      <c r="AH219" s="187"/>
      <c r="AI219" s="176"/>
      <c r="AJ219" s="116" t="str">
        <f aca="false">IF(AG219="","N","Y")</f>
        <v>N</v>
      </c>
      <c r="AK219" s="177"/>
      <c r="AL219" s="138"/>
    </row>
    <row r="220" s="140" customFormat="true" ht="23.25" hidden="false" customHeight="true" outlineLevel="0" collapsed="false">
      <c r="A220" s="116" t="n">
        <f aca="false">IF(B220="","",IF((YEAR(B220)-YEAR(B219))=0,A219+1,1))</f>
        <v>26</v>
      </c>
      <c r="B220" s="160" t="n">
        <v>43166</v>
      </c>
      <c r="C220" s="161" t="s">
        <v>89</v>
      </c>
      <c r="D220" s="161" t="s">
        <v>167</v>
      </c>
      <c r="E220" s="116"/>
      <c r="F220" s="161" t="s">
        <v>192</v>
      </c>
      <c r="G220" s="162" t="n">
        <v>43166</v>
      </c>
      <c r="H220" s="162" t="n">
        <v>43197</v>
      </c>
      <c r="I220" s="116" t="n">
        <f aca="false">H220-G220</f>
        <v>31</v>
      </c>
      <c r="J220" s="122" t="n">
        <f aca="false">TRUNC(I220/30,0)</f>
        <v>1</v>
      </c>
      <c r="K220" s="180" t="s">
        <v>95</v>
      </c>
      <c r="L220" s="166" t="n">
        <v>10</v>
      </c>
      <c r="M220" s="167"/>
      <c r="N220" s="194" t="n">
        <v>0.0125</v>
      </c>
      <c r="O220" s="171"/>
      <c r="P220" s="171"/>
      <c r="Q220" s="170" t="n">
        <v>0.0171131</v>
      </c>
      <c r="R220" s="171"/>
      <c r="S220" s="172" t="n">
        <v>0.0185</v>
      </c>
      <c r="T220" s="171"/>
      <c r="U220" s="172"/>
      <c r="V220" s="172"/>
      <c r="W220" s="172"/>
      <c r="X220" s="172"/>
      <c r="Y220" s="173" t="n">
        <v>0.011445</v>
      </c>
      <c r="Z220" s="172" t="n">
        <v>0.002</v>
      </c>
      <c r="AA220" s="172" t="n">
        <v>0.002</v>
      </c>
      <c r="AB220" s="174" t="n">
        <f aca="false">S220-Z220</f>
        <v>0.0165</v>
      </c>
      <c r="AC220" s="174" t="n">
        <f aca="false">U220-Z220-AA220</f>
        <v>-0.004</v>
      </c>
      <c r="AD220" s="175" t="n">
        <v>0.0145</v>
      </c>
      <c r="AE220" s="130" t="n">
        <f aca="false">IF(Y220="","",Y220)</f>
        <v>0.011445</v>
      </c>
      <c r="AF220" s="173"/>
      <c r="AG220" s="186"/>
      <c r="AH220" s="187"/>
      <c r="AI220" s="176"/>
      <c r="AJ220" s="116" t="str">
        <f aca="false">IF(AG220="","N","Y")</f>
        <v>N</v>
      </c>
      <c r="AK220" s="177"/>
      <c r="AL220" s="193" t="s">
        <v>193</v>
      </c>
    </row>
    <row r="221" s="140" customFormat="true" ht="23.25" hidden="false" customHeight="true" outlineLevel="0" collapsed="false">
      <c r="A221" s="116" t="n">
        <f aca="false">IF(B221="","",IF((YEAR(B221)-YEAR(B220))=0,A220+1,1))</f>
        <v>27</v>
      </c>
      <c r="B221" s="160" t="n">
        <v>43166</v>
      </c>
      <c r="C221" s="161" t="s">
        <v>89</v>
      </c>
      <c r="D221" s="161" t="s">
        <v>167</v>
      </c>
      <c r="E221" s="116"/>
      <c r="F221" s="161" t="s">
        <v>192</v>
      </c>
      <c r="G221" s="162" t="n">
        <v>43166</v>
      </c>
      <c r="H221" s="162" t="n">
        <v>43258</v>
      </c>
      <c r="I221" s="116" t="n">
        <f aca="false">H221-G221</f>
        <v>92</v>
      </c>
      <c r="J221" s="122" t="n">
        <f aca="false">TRUNC(I221/30,0)</f>
        <v>3</v>
      </c>
      <c r="K221" s="180" t="s">
        <v>95</v>
      </c>
      <c r="L221" s="166" t="n">
        <v>10</v>
      </c>
      <c r="M221" s="167"/>
      <c r="N221" s="194" t="n">
        <v>0.0163</v>
      </c>
      <c r="O221" s="171"/>
      <c r="P221" s="171"/>
      <c r="Q221" s="170" t="n">
        <v>0.0204728</v>
      </c>
      <c r="R221" s="171"/>
      <c r="S221" s="172" t="n">
        <v>0.02</v>
      </c>
      <c r="T221" s="171"/>
      <c r="U221" s="172"/>
      <c r="V221" s="172"/>
      <c r="W221" s="172"/>
      <c r="X221" s="172"/>
      <c r="Y221" s="173" t="n">
        <v>0.015938</v>
      </c>
      <c r="Z221" s="172" t="n">
        <v>0.002</v>
      </c>
      <c r="AA221" s="172" t="n">
        <v>0.002</v>
      </c>
      <c r="AB221" s="174" t="n">
        <f aca="false">S221-Z221</f>
        <v>0.018</v>
      </c>
      <c r="AC221" s="174" t="n">
        <f aca="false">U221-Z221-AA221</f>
        <v>-0.004</v>
      </c>
      <c r="AD221" s="175" t="n">
        <v>0.0165</v>
      </c>
      <c r="AE221" s="130" t="n">
        <f aca="false">IF(Y221="","",Y221)</f>
        <v>0.015938</v>
      </c>
      <c r="AF221" s="173"/>
      <c r="AG221" s="186"/>
      <c r="AH221" s="187"/>
      <c r="AI221" s="176"/>
      <c r="AJ221" s="116" t="str">
        <f aca="false">IF(AG221="","N","Y")</f>
        <v>N</v>
      </c>
      <c r="AK221" s="177"/>
      <c r="AL221" s="138"/>
    </row>
    <row r="222" s="140" customFormat="true" ht="23.25" hidden="false" customHeight="true" outlineLevel="0" collapsed="false">
      <c r="A222" s="116" t="n">
        <f aca="false">IF(B222="","",IF((YEAR(B222)-YEAR(B221))=0,A221+1,1))</f>
        <v>28</v>
      </c>
      <c r="B222" s="160" t="n">
        <v>43166</v>
      </c>
      <c r="C222" s="161" t="s">
        <v>89</v>
      </c>
      <c r="D222" s="161" t="s">
        <v>167</v>
      </c>
      <c r="E222" s="116"/>
      <c r="F222" s="161" t="s">
        <v>192</v>
      </c>
      <c r="G222" s="162" t="n">
        <v>43166</v>
      </c>
      <c r="H222" s="162" t="n">
        <v>43350</v>
      </c>
      <c r="I222" s="116" t="n">
        <f aca="false">H222-G222</f>
        <v>184</v>
      </c>
      <c r="J222" s="122" t="n">
        <f aca="false">TRUNC(I222/30,0)</f>
        <v>6</v>
      </c>
      <c r="K222" s="180" t="s">
        <v>95</v>
      </c>
      <c r="L222" s="166" t="n">
        <v>10</v>
      </c>
      <c r="M222" s="167"/>
      <c r="N222" s="194" t="n">
        <v>0.01825</v>
      </c>
      <c r="O222" s="171"/>
      <c r="P222" s="171"/>
      <c r="Q222" s="170" t="n">
        <v>0.0224</v>
      </c>
      <c r="R222" s="171"/>
      <c r="S222" s="172" t="n">
        <v>0.022</v>
      </c>
      <c r="T222" s="171"/>
      <c r="U222" s="172"/>
      <c r="V222" s="172"/>
      <c r="W222" s="172"/>
      <c r="X222" s="172"/>
      <c r="Y222" s="173" t="n">
        <v>0.018331</v>
      </c>
      <c r="Z222" s="172" t="n">
        <v>0.002</v>
      </c>
      <c r="AA222" s="172" t="n">
        <v>0.002</v>
      </c>
      <c r="AB222" s="174" t="n">
        <f aca="false">S222-Z222</f>
        <v>0.02</v>
      </c>
      <c r="AC222" s="174" t="n">
        <f aca="false">U222-Z222-AA222</f>
        <v>-0.004</v>
      </c>
      <c r="AD222" s="175" t="n">
        <v>0.0185</v>
      </c>
      <c r="AE222" s="130" t="n">
        <f aca="false">IF(Y222="","",Y222)</f>
        <v>0.018331</v>
      </c>
      <c r="AF222" s="173"/>
      <c r="AG222" s="186"/>
      <c r="AH222" s="187"/>
      <c r="AI222" s="176"/>
      <c r="AJ222" s="116" t="str">
        <f aca="false">IF(AG222="","N","Y")</f>
        <v>N</v>
      </c>
      <c r="AK222" s="177"/>
      <c r="AL222" s="138"/>
    </row>
    <row r="223" s="220" customFormat="true" ht="23.25" hidden="false" customHeight="true" outlineLevel="0" collapsed="false">
      <c r="A223" s="198" t="n">
        <f aca="false">IF(B223="","",IF((YEAR(B223)-YEAR(B222))=0,A222+1,1))</f>
        <v>29</v>
      </c>
      <c r="B223" s="199" t="n">
        <v>43166</v>
      </c>
      <c r="C223" s="200" t="s">
        <v>89</v>
      </c>
      <c r="D223" s="200" t="s">
        <v>194</v>
      </c>
      <c r="E223" s="200"/>
      <c r="F223" s="200" t="s">
        <v>195</v>
      </c>
      <c r="G223" s="201" t="n">
        <v>43166</v>
      </c>
      <c r="H223" s="201" t="n">
        <v>43197</v>
      </c>
      <c r="I223" s="200" t="n">
        <f aca="false">H223-G223</f>
        <v>31</v>
      </c>
      <c r="J223" s="202" t="n">
        <f aca="false">TRUNC(I223/30,0)</f>
        <v>1</v>
      </c>
      <c r="K223" s="203" t="s">
        <v>99</v>
      </c>
      <c r="L223" s="204" t="n">
        <v>10</v>
      </c>
      <c r="M223" s="205"/>
      <c r="N223" s="206" t="n">
        <v>0.0047648</v>
      </c>
      <c r="O223" s="207"/>
      <c r="P223" s="207"/>
      <c r="Q223" s="208" t="n">
        <v>0.0147875</v>
      </c>
      <c r="R223" s="207"/>
      <c r="S223" s="209" t="n">
        <v>0.019</v>
      </c>
      <c r="T223" s="207"/>
      <c r="U223" s="209"/>
      <c r="V223" s="209"/>
      <c r="W223" s="209"/>
      <c r="X223" s="209"/>
      <c r="Y223" s="210" t="n">
        <v>0.005596</v>
      </c>
      <c r="Z223" s="209" t="n">
        <v>0.0033</v>
      </c>
      <c r="AA223" s="209" t="n">
        <v>0.002</v>
      </c>
      <c r="AB223" s="211" t="n">
        <f aca="false">S223-Z223</f>
        <v>0.0157</v>
      </c>
      <c r="AC223" s="211" t="n">
        <f aca="false">U223-Z223-AA223</f>
        <v>-0.0053</v>
      </c>
      <c r="AD223" s="212" t="n">
        <v>0.011</v>
      </c>
      <c r="AE223" s="213" t="n">
        <f aca="false">IF(Y223="","",Y223)</f>
        <v>0.005596</v>
      </c>
      <c r="AF223" s="210" t="n">
        <v>0.005404</v>
      </c>
      <c r="AG223" s="214" t="n">
        <f aca="false">AE223+AF223</f>
        <v>0.011</v>
      </c>
      <c r="AH223" s="215"/>
      <c r="AI223" s="216" t="n">
        <v>1</v>
      </c>
      <c r="AJ223" s="217" t="str">
        <f aca="false">IF(AG223="","N","Y")</f>
        <v>Y</v>
      </c>
      <c r="AK223" s="218"/>
      <c r="AL223" s="219" t="s">
        <v>196</v>
      </c>
    </row>
    <row r="224" s="140" customFormat="true" ht="23.25" hidden="false" customHeight="true" outlineLevel="0" collapsed="false">
      <c r="A224" s="116" t="n">
        <f aca="false">IF(B224="","",IF((YEAR(B224)-YEAR(B223))=0,A223+1,1))</f>
        <v>30</v>
      </c>
      <c r="B224" s="160" t="n">
        <v>43168</v>
      </c>
      <c r="C224" s="161" t="s">
        <v>89</v>
      </c>
      <c r="D224" s="161" t="s">
        <v>197</v>
      </c>
      <c r="E224" s="116"/>
      <c r="F224" s="161" t="s">
        <v>198</v>
      </c>
      <c r="G224" s="162" t="n">
        <v>43168</v>
      </c>
      <c r="H224" s="162" t="n">
        <v>43197</v>
      </c>
      <c r="I224" s="116" t="n">
        <f aca="false">H224-G224</f>
        <v>29</v>
      </c>
      <c r="J224" s="122" t="n">
        <f aca="false">TRUNC(I224/30,0)</f>
        <v>0</v>
      </c>
      <c r="K224" s="181" t="s">
        <v>99</v>
      </c>
      <c r="L224" s="166" t="n">
        <v>10</v>
      </c>
      <c r="M224" s="167"/>
      <c r="N224" s="194" t="n">
        <v>0.0047648</v>
      </c>
      <c r="O224" s="171"/>
      <c r="P224" s="171"/>
      <c r="Q224" s="170" t="n">
        <v>0.0147875</v>
      </c>
      <c r="R224" s="171"/>
      <c r="S224" s="172" t="n">
        <v>0.019</v>
      </c>
      <c r="T224" s="171"/>
      <c r="U224" s="172"/>
      <c r="V224" s="172"/>
      <c r="W224" s="172"/>
      <c r="X224" s="172"/>
      <c r="Y224" s="173" t="n">
        <v>0.005596</v>
      </c>
      <c r="Z224" s="172" t="n">
        <v>0.0033</v>
      </c>
      <c r="AA224" s="172" t="n">
        <v>0.002</v>
      </c>
      <c r="AB224" s="174" t="n">
        <f aca="false">S224-Z224</f>
        <v>0.0157</v>
      </c>
      <c r="AC224" s="174" t="n">
        <f aca="false">U224-Z224-AA224</f>
        <v>-0.0053</v>
      </c>
      <c r="AD224" s="175" t="n">
        <v>0.008</v>
      </c>
      <c r="AE224" s="130" t="n">
        <f aca="false">IF(Y224="","",Y224)</f>
        <v>0.005596</v>
      </c>
      <c r="AF224" s="173"/>
      <c r="AG224" s="186" t="str">
        <f aca="false">IF(AF224="","",AE224+AF224)</f>
        <v/>
      </c>
      <c r="AH224" s="187"/>
      <c r="AI224" s="176"/>
      <c r="AJ224" s="116" t="str">
        <f aca="false">IF(AG224="","N","Y")</f>
        <v>N</v>
      </c>
      <c r="AK224" s="177"/>
      <c r="AL224" s="195"/>
    </row>
    <row r="225" s="140" customFormat="true" ht="23.25" hidden="false" customHeight="true" outlineLevel="0" collapsed="false">
      <c r="A225" s="116" t="n">
        <f aca="false">IF(B225="","",IF((YEAR(B225)-YEAR(B224))=0,A224+1,1))</f>
        <v>31</v>
      </c>
      <c r="B225" s="160" t="n">
        <v>43172</v>
      </c>
      <c r="C225" s="161" t="s">
        <v>96</v>
      </c>
      <c r="D225" s="161" t="s">
        <v>142</v>
      </c>
      <c r="E225" s="116"/>
      <c r="F225" s="161" t="s">
        <v>199</v>
      </c>
      <c r="G225" s="162"/>
      <c r="H225" s="162"/>
      <c r="I225" s="116" t="n">
        <f aca="false">H225-G225</f>
        <v>0</v>
      </c>
      <c r="J225" s="122" t="n">
        <f aca="false">TRUNC(I225/30,0)</f>
        <v>0</v>
      </c>
      <c r="K225" s="180" t="s">
        <v>95</v>
      </c>
      <c r="L225" s="166" t="n">
        <v>10</v>
      </c>
      <c r="M225" s="167"/>
      <c r="N225" s="194"/>
      <c r="O225" s="171"/>
      <c r="P225" s="171"/>
      <c r="Q225" s="170" t="n">
        <v>0.0171131</v>
      </c>
      <c r="R225" s="171"/>
      <c r="S225" s="172" t="n">
        <v>0.0185</v>
      </c>
      <c r="T225" s="171"/>
      <c r="U225" s="172"/>
      <c r="V225" s="172"/>
      <c r="W225" s="172"/>
      <c r="X225" s="172"/>
      <c r="Y225" s="173" t="n">
        <v>0.011445</v>
      </c>
      <c r="Z225" s="172" t="n">
        <v>0.002</v>
      </c>
      <c r="AA225" s="172" t="n">
        <v>0.002</v>
      </c>
      <c r="AB225" s="174" t="n">
        <f aca="false">S225-Z225</f>
        <v>0.0165</v>
      </c>
      <c r="AC225" s="174" t="n">
        <f aca="false">U225-Z225-AA225</f>
        <v>-0.004</v>
      </c>
      <c r="AD225" s="175" t="n">
        <v>0.0185</v>
      </c>
      <c r="AE225" s="130" t="n">
        <f aca="false">IF(Y225="","",Y225)</f>
        <v>0.011445</v>
      </c>
      <c r="AF225" s="173"/>
      <c r="AG225" s="186" t="str">
        <f aca="false">IF(AF225="","",AE225+AF225)</f>
        <v/>
      </c>
      <c r="AH225" s="187"/>
      <c r="AI225" s="176"/>
      <c r="AJ225" s="116" t="str">
        <f aca="false">IF(AG225="","N","Y")</f>
        <v>N</v>
      </c>
      <c r="AK225" s="177"/>
      <c r="AL225" s="193" t="s">
        <v>200</v>
      </c>
    </row>
    <row r="226" s="140" customFormat="true" ht="23.25" hidden="false" customHeight="true" outlineLevel="0" collapsed="false">
      <c r="A226" s="116" t="n">
        <f aca="false">IF(B226="","",IF((YEAR(B226)-YEAR(B225))=0,A225+1,1))</f>
        <v>32</v>
      </c>
      <c r="B226" s="160" t="n">
        <v>43172</v>
      </c>
      <c r="C226" s="161" t="s">
        <v>96</v>
      </c>
      <c r="D226" s="161" t="s">
        <v>142</v>
      </c>
      <c r="E226" s="116"/>
      <c r="F226" s="161" t="s">
        <v>199</v>
      </c>
      <c r="G226" s="162"/>
      <c r="H226" s="162"/>
      <c r="I226" s="116" t="n">
        <f aca="false">H226-G226</f>
        <v>0</v>
      </c>
      <c r="J226" s="122" t="n">
        <f aca="false">TRUNC(I226/30,0)</f>
        <v>0</v>
      </c>
      <c r="K226" s="180" t="s">
        <v>95</v>
      </c>
      <c r="L226" s="166" t="n">
        <v>10</v>
      </c>
      <c r="M226" s="167"/>
      <c r="N226" s="194"/>
      <c r="O226" s="171"/>
      <c r="P226" s="171"/>
      <c r="Q226" s="170" t="n">
        <v>0.0204728</v>
      </c>
      <c r="R226" s="171"/>
      <c r="S226" s="172" t="n">
        <v>0.02</v>
      </c>
      <c r="T226" s="171"/>
      <c r="U226" s="172"/>
      <c r="V226" s="172"/>
      <c r="W226" s="172"/>
      <c r="X226" s="172"/>
      <c r="Y226" s="173" t="n">
        <v>0.015938</v>
      </c>
      <c r="Z226" s="172" t="n">
        <v>0.002</v>
      </c>
      <c r="AA226" s="172" t="n">
        <v>0.002</v>
      </c>
      <c r="AB226" s="174" t="n">
        <f aca="false">S226-Z226</f>
        <v>0.018</v>
      </c>
      <c r="AC226" s="174" t="n">
        <f aca="false">U226-Z226-AA226</f>
        <v>-0.004</v>
      </c>
      <c r="AD226" s="175" t="n">
        <v>0.021</v>
      </c>
      <c r="AE226" s="130" t="n">
        <f aca="false">IF(Y226="","",Y226)</f>
        <v>0.015938</v>
      </c>
      <c r="AF226" s="173"/>
      <c r="AG226" s="186" t="str">
        <f aca="false">IF(AF226="","",AE226+AF226)</f>
        <v/>
      </c>
      <c r="AH226" s="187"/>
      <c r="AI226" s="176"/>
      <c r="AJ226" s="116" t="str">
        <f aca="false">IF(AG226="","N","Y")</f>
        <v>N</v>
      </c>
      <c r="AK226" s="177"/>
      <c r="AL226" s="193" t="s">
        <v>200</v>
      </c>
    </row>
    <row r="227" s="140" customFormat="true" ht="23.25" hidden="false" customHeight="true" outlineLevel="0" collapsed="false">
      <c r="A227" s="116" t="n">
        <f aca="false">IF(B227="","",IF((YEAR(B227)-YEAR(B226))=0,A226+1,1))</f>
        <v>33</v>
      </c>
      <c r="B227" s="160" t="n">
        <v>43172</v>
      </c>
      <c r="C227" s="161" t="s">
        <v>96</v>
      </c>
      <c r="D227" s="161" t="s">
        <v>142</v>
      </c>
      <c r="E227" s="116"/>
      <c r="F227" s="161" t="s">
        <v>199</v>
      </c>
      <c r="G227" s="162"/>
      <c r="H227" s="162"/>
      <c r="I227" s="116" t="n">
        <f aca="false">H227-G227</f>
        <v>0</v>
      </c>
      <c r="J227" s="122" t="n">
        <f aca="false">TRUNC(I227/30,0)</f>
        <v>0</v>
      </c>
      <c r="K227" s="180" t="s">
        <v>95</v>
      </c>
      <c r="L227" s="166" t="n">
        <v>10</v>
      </c>
      <c r="M227" s="167"/>
      <c r="N227" s="194"/>
      <c r="O227" s="171"/>
      <c r="P227" s="171"/>
      <c r="Q227" s="170" t="n">
        <v>0.0224</v>
      </c>
      <c r="R227" s="171"/>
      <c r="S227" s="172" t="n">
        <v>0.022</v>
      </c>
      <c r="T227" s="171"/>
      <c r="U227" s="172"/>
      <c r="V227" s="172"/>
      <c r="W227" s="172"/>
      <c r="X227" s="172"/>
      <c r="Y227" s="173" t="n">
        <v>0.018331</v>
      </c>
      <c r="Z227" s="172" t="n">
        <v>0.002</v>
      </c>
      <c r="AA227" s="172" t="n">
        <v>0.002</v>
      </c>
      <c r="AB227" s="174" t="n">
        <f aca="false">S227-Z227</f>
        <v>0.02</v>
      </c>
      <c r="AC227" s="174" t="n">
        <f aca="false">U227-Z227-AA227</f>
        <v>-0.004</v>
      </c>
      <c r="AD227" s="175" t="n">
        <v>0.023</v>
      </c>
      <c r="AE227" s="130" t="n">
        <f aca="false">IF(Y227="","",Y227)</f>
        <v>0.018331</v>
      </c>
      <c r="AF227" s="173"/>
      <c r="AG227" s="186" t="str">
        <f aca="false">IF(AF227="","",AE227+AF227)</f>
        <v/>
      </c>
      <c r="AH227" s="187"/>
      <c r="AI227" s="176"/>
      <c r="AJ227" s="116" t="str">
        <f aca="false">IF(AG227="","N","Y")</f>
        <v>N</v>
      </c>
      <c r="AK227" s="177"/>
      <c r="AL227" s="193" t="s">
        <v>200</v>
      </c>
    </row>
    <row r="228" s="140" customFormat="true" ht="23.25" hidden="false" customHeight="true" outlineLevel="0" collapsed="false">
      <c r="A228" s="116" t="n">
        <f aca="false">IF(B228="","",IF((YEAR(B228)-YEAR(B227))=0,A227+1,1))</f>
        <v>34</v>
      </c>
      <c r="B228" s="160" t="n">
        <v>43172</v>
      </c>
      <c r="C228" s="161" t="s">
        <v>96</v>
      </c>
      <c r="D228" s="161" t="s">
        <v>142</v>
      </c>
      <c r="E228" s="116"/>
      <c r="F228" s="161" t="s">
        <v>199</v>
      </c>
      <c r="G228" s="162"/>
      <c r="H228" s="162"/>
      <c r="I228" s="116" t="n">
        <f aca="false">H228-G228</f>
        <v>0</v>
      </c>
      <c r="J228" s="122" t="n">
        <f aca="false">TRUNC(I228/30,0)</f>
        <v>0</v>
      </c>
      <c r="K228" s="180" t="s">
        <v>95</v>
      </c>
      <c r="L228" s="166" t="n">
        <v>10</v>
      </c>
      <c r="M228" s="167"/>
      <c r="N228" s="194"/>
      <c r="O228" s="171"/>
      <c r="P228" s="171"/>
      <c r="Q228" s="170" t="n">
        <v>0.0224</v>
      </c>
      <c r="R228" s="171"/>
      <c r="S228" s="172" t="n">
        <v>0.022</v>
      </c>
      <c r="T228" s="171"/>
      <c r="U228" s="172"/>
      <c r="V228" s="172"/>
      <c r="W228" s="172"/>
      <c r="X228" s="172"/>
      <c r="Y228" s="173" t="n">
        <v>0.018331</v>
      </c>
      <c r="Z228" s="172" t="n">
        <v>0.002</v>
      </c>
      <c r="AA228" s="172" t="n">
        <v>0.002</v>
      </c>
      <c r="AB228" s="174" t="n">
        <f aca="false">S228-Z228</f>
        <v>0.02</v>
      </c>
      <c r="AC228" s="174" t="n">
        <f aca="false">U228-Z228-AA228</f>
        <v>-0.004</v>
      </c>
      <c r="AD228" s="175" t="n">
        <v>0.025</v>
      </c>
      <c r="AE228" s="130" t="n">
        <f aca="false">IF(Y228="","",Y228)</f>
        <v>0.018331</v>
      </c>
      <c r="AF228" s="173"/>
      <c r="AG228" s="186" t="str">
        <f aca="false">IF(AF228="","",AE228+AF228)</f>
        <v/>
      </c>
      <c r="AH228" s="187"/>
      <c r="AI228" s="176"/>
      <c r="AJ228" s="116" t="str">
        <f aca="false">IF(AG228="","N","Y")</f>
        <v>N</v>
      </c>
      <c r="AK228" s="177"/>
      <c r="AL228" s="193" t="s">
        <v>200</v>
      </c>
    </row>
    <row r="229" s="140" customFormat="true" ht="23.25" hidden="false" customHeight="true" outlineLevel="0" collapsed="false">
      <c r="A229" s="116" t="n">
        <f aca="false">IF(B229="","",IF((YEAR(B229)-YEAR(B228))=0,A228+1,1))</f>
        <v>35</v>
      </c>
      <c r="B229" s="160" t="n">
        <v>43175</v>
      </c>
      <c r="C229" s="161" t="s">
        <v>201</v>
      </c>
      <c r="D229" s="161" t="s">
        <v>202</v>
      </c>
      <c r="E229" s="116"/>
      <c r="F229" s="161" t="s">
        <v>203</v>
      </c>
      <c r="G229" s="162" t="n">
        <v>43175</v>
      </c>
      <c r="H229" s="162" t="n">
        <v>43267</v>
      </c>
      <c r="I229" s="116" t="n">
        <f aca="false">H229-G229</f>
        <v>92</v>
      </c>
      <c r="J229" s="122" t="n">
        <f aca="false">TRUNC(I229/30,0)</f>
        <v>3</v>
      </c>
      <c r="K229" s="180" t="s">
        <v>95</v>
      </c>
      <c r="L229" s="166" t="n">
        <v>10</v>
      </c>
      <c r="M229" s="167"/>
      <c r="N229" s="194" t="n">
        <v>0.016</v>
      </c>
      <c r="O229" s="171"/>
      <c r="P229" s="171"/>
      <c r="Q229" s="170" t="n">
        <v>0.0202457</v>
      </c>
      <c r="R229" s="171"/>
      <c r="S229" s="172" t="n">
        <v>0.021</v>
      </c>
      <c r="T229" s="171"/>
      <c r="U229" s="172"/>
      <c r="V229" s="172"/>
      <c r="W229" s="172"/>
      <c r="X229" s="172"/>
      <c r="Y229" s="173" t="n">
        <v>0.015715</v>
      </c>
      <c r="Z229" s="172" t="n">
        <v>0.002</v>
      </c>
      <c r="AA229" s="172" t="n">
        <v>0.002</v>
      </c>
      <c r="AB229" s="174" t="n">
        <f aca="false">S229-Z229</f>
        <v>0.019</v>
      </c>
      <c r="AC229" s="174" t="n">
        <f aca="false">U229-Z229-AA229</f>
        <v>-0.004</v>
      </c>
      <c r="AD229" s="175" t="n">
        <v>0.018</v>
      </c>
      <c r="AE229" s="130" t="n">
        <f aca="false">IF(Y229="","",Y229)</f>
        <v>0.015715</v>
      </c>
      <c r="AF229" s="173"/>
      <c r="AG229" s="186" t="str">
        <f aca="false">IF(AF229="","",AE229+AF229)</f>
        <v/>
      </c>
      <c r="AH229" s="187"/>
      <c r="AI229" s="176"/>
      <c r="AJ229" s="116" t="str">
        <f aca="false">IF(AG229="","N","Y")</f>
        <v>N</v>
      </c>
      <c r="AK229" s="177"/>
      <c r="AL229" s="193" t="s">
        <v>204</v>
      </c>
    </row>
    <row r="230" s="140" customFormat="true" ht="23.25" hidden="false" customHeight="true" outlineLevel="0" collapsed="false">
      <c r="A230" s="116" t="n">
        <f aca="false">IF(B230="","",IF((YEAR(B230)-YEAR(B229))=0,A229+1,1))</f>
        <v>36</v>
      </c>
      <c r="B230" s="160" t="n">
        <v>43186</v>
      </c>
      <c r="C230" s="161" t="s">
        <v>92</v>
      </c>
      <c r="D230" s="161" t="s">
        <v>183</v>
      </c>
      <c r="E230" s="116"/>
      <c r="F230" s="161" t="s">
        <v>205</v>
      </c>
      <c r="G230" s="162" t="n">
        <v>43186</v>
      </c>
      <c r="H230" s="162" t="n">
        <v>43370</v>
      </c>
      <c r="I230" s="116" t="n">
        <f aca="false">H230-G230</f>
        <v>184</v>
      </c>
      <c r="J230" s="122" t="n">
        <f aca="false">TRUNC(I230/30,0)</f>
        <v>6</v>
      </c>
      <c r="K230" s="180" t="s">
        <v>95</v>
      </c>
      <c r="L230" s="166" t="n">
        <v>1</v>
      </c>
      <c r="M230" s="167"/>
      <c r="N230" s="194" t="n">
        <v>0.016</v>
      </c>
      <c r="O230" s="171"/>
      <c r="P230" s="171"/>
      <c r="Q230" s="170" t="n">
        <v>0.024538</v>
      </c>
      <c r="R230" s="171"/>
      <c r="S230" s="172" t="n">
        <v>0.021</v>
      </c>
      <c r="T230" s="171"/>
      <c r="U230" s="172"/>
      <c r="V230" s="172"/>
      <c r="W230" s="172"/>
      <c r="X230" s="172" t="n">
        <v>0.022464</v>
      </c>
      <c r="Y230" s="173" t="n">
        <v>0.020422</v>
      </c>
      <c r="Z230" s="172" t="n">
        <v>0.002</v>
      </c>
      <c r="AA230" s="172" t="n">
        <v>0.002</v>
      </c>
      <c r="AB230" s="174" t="n">
        <f aca="false">S230-Z230</f>
        <v>0.019</v>
      </c>
      <c r="AC230" s="174" t="n">
        <f aca="false">U230-Z230-AA230</f>
        <v>-0.004</v>
      </c>
      <c r="AD230" s="175" t="n">
        <v>0.017</v>
      </c>
      <c r="AE230" s="130" t="n">
        <f aca="false">IF(Y230="","",Y230)</f>
        <v>0.020422</v>
      </c>
      <c r="AF230" s="173"/>
      <c r="AG230" s="186" t="str">
        <f aca="false">IF(AF230="","",AE230+AF230)</f>
        <v/>
      </c>
      <c r="AH230" s="187"/>
      <c r="AI230" s="176"/>
      <c r="AJ230" s="116" t="str">
        <f aca="false">IF(AG230="","N","Y")</f>
        <v>N</v>
      </c>
      <c r="AK230" s="177"/>
      <c r="AL230" s="193" t="s">
        <v>184</v>
      </c>
    </row>
    <row r="231" s="140" customFormat="true" ht="23.25" hidden="false" customHeight="true" outlineLevel="0" collapsed="false">
      <c r="A231" s="116" t="n">
        <f aca="false">IF(B231="","",IF((YEAR(B231)-YEAR(B230))=0,A230+1,1))</f>
        <v>37</v>
      </c>
      <c r="B231" s="160" t="n">
        <v>43189</v>
      </c>
      <c r="C231" s="161" t="s">
        <v>96</v>
      </c>
      <c r="D231" s="161" t="s">
        <v>142</v>
      </c>
      <c r="E231" s="116"/>
      <c r="F231" s="116" t="s">
        <v>112</v>
      </c>
      <c r="G231" s="162" t="n">
        <v>43194</v>
      </c>
      <c r="H231" s="162" t="n">
        <v>43224</v>
      </c>
      <c r="I231" s="116" t="n">
        <f aca="false">H231-G231</f>
        <v>30</v>
      </c>
      <c r="J231" s="122" t="n">
        <f aca="false">TRUNC(I231/30,0)</f>
        <v>1</v>
      </c>
      <c r="K231" s="181" t="s">
        <v>99</v>
      </c>
      <c r="L231" s="166" t="n">
        <v>50</v>
      </c>
      <c r="M231" s="167"/>
      <c r="N231" s="194" t="n">
        <v>0.01265</v>
      </c>
      <c r="O231" s="171"/>
      <c r="P231" s="171"/>
      <c r="Q231" s="170" t="n">
        <v>0.01475</v>
      </c>
      <c r="R231" s="171"/>
      <c r="S231" s="172" t="n">
        <v>0.02</v>
      </c>
      <c r="T231" s="171"/>
      <c r="U231" s="172"/>
      <c r="V231" s="172"/>
      <c r="W231" s="172"/>
      <c r="X231" s="172"/>
      <c r="Y231" s="173" t="n">
        <v>0.005655</v>
      </c>
      <c r="Z231" s="172" t="n">
        <v>0.0033</v>
      </c>
      <c r="AA231" s="172" t="n">
        <v>0.002</v>
      </c>
      <c r="AB231" s="174" t="n">
        <f aca="false">S231-Z231</f>
        <v>0.0167</v>
      </c>
      <c r="AC231" s="174" t="n">
        <f aca="false">U231-Z231-AA231</f>
        <v>-0.0053</v>
      </c>
      <c r="AD231" s="221" t="n">
        <v>0.0145</v>
      </c>
      <c r="AE231" s="130" t="n">
        <f aca="false">IF(Y231="","",Y231)</f>
        <v>0.005655</v>
      </c>
      <c r="AF231" s="173"/>
      <c r="AG231" s="186" t="str">
        <f aca="false">IF(AF231="","",AE231+AF231)</f>
        <v/>
      </c>
      <c r="AH231" s="187"/>
      <c r="AI231" s="176"/>
      <c r="AJ231" s="116" t="str">
        <f aca="false">IF(AG231="","N","Y")</f>
        <v>N</v>
      </c>
      <c r="AK231" s="177"/>
      <c r="AL231" s="193" t="s">
        <v>186</v>
      </c>
    </row>
    <row r="232" s="140" customFormat="true" ht="23.25" hidden="false" customHeight="true" outlineLevel="0" collapsed="false">
      <c r="A232" s="116" t="n">
        <f aca="false">IF(B232="","",IF((YEAR(B232)-YEAR(B231))=0,A231+1,1))</f>
        <v>38</v>
      </c>
      <c r="B232" s="160" t="n">
        <v>43189</v>
      </c>
      <c r="C232" s="161" t="s">
        <v>187</v>
      </c>
      <c r="D232" s="161" t="s">
        <v>188</v>
      </c>
      <c r="E232" s="116"/>
      <c r="F232" s="161" t="s">
        <v>164</v>
      </c>
      <c r="G232" s="162" t="n">
        <v>43194</v>
      </c>
      <c r="H232" s="162" t="n">
        <v>43285</v>
      </c>
      <c r="I232" s="116" t="n">
        <f aca="false">H232-G232</f>
        <v>91</v>
      </c>
      <c r="J232" s="122" t="n">
        <f aca="false">TRUNC(I232/30,0)</f>
        <v>3</v>
      </c>
      <c r="K232" s="180" t="s">
        <v>95</v>
      </c>
      <c r="L232" s="166" t="n">
        <v>50</v>
      </c>
      <c r="M232" s="167"/>
      <c r="N232" s="194" t="n">
        <v>0.012</v>
      </c>
      <c r="O232" s="171"/>
      <c r="P232" s="171"/>
      <c r="Q232" s="170" t="n">
        <v>0.0166418</v>
      </c>
      <c r="R232" s="171"/>
      <c r="S232" s="172" t="n">
        <v>0.017</v>
      </c>
      <c r="T232" s="171"/>
      <c r="U232" s="172"/>
      <c r="V232" s="172"/>
      <c r="W232" s="172"/>
      <c r="X232" s="172"/>
      <c r="Y232" s="173" t="n">
        <v>0.010983</v>
      </c>
      <c r="Z232" s="172" t="n">
        <v>0.002</v>
      </c>
      <c r="AA232" s="172" t="n">
        <v>0.002</v>
      </c>
      <c r="AB232" s="174" t="n">
        <f aca="false">S232-Z232</f>
        <v>0.015</v>
      </c>
      <c r="AC232" s="174" t="n">
        <f aca="false">U232-Z232-AA232</f>
        <v>-0.004</v>
      </c>
      <c r="AD232" s="175" t="n">
        <v>0.0135</v>
      </c>
      <c r="AE232" s="130" t="n">
        <f aca="false">IF(Y232="","",Y232)</f>
        <v>0.010983</v>
      </c>
      <c r="AF232" s="173"/>
      <c r="AG232" s="186" t="str">
        <f aca="false">IF(AF232="","",AE232+AF232)</f>
        <v/>
      </c>
      <c r="AH232" s="187"/>
      <c r="AI232" s="176"/>
      <c r="AJ232" s="116" t="str">
        <f aca="false">IF(AG232="","N","Y")</f>
        <v>N</v>
      </c>
      <c r="AK232" s="177"/>
      <c r="AL232" s="195"/>
    </row>
    <row r="233" s="38" customFormat="true" ht="23.25" hidden="false" customHeight="true" outlineLevel="0" collapsed="false">
      <c r="A233" s="19" t="n">
        <f aca="false">IF(B233="","",IF((YEAR(B233)-YEAR(B232))=0,A232+1,1))</f>
        <v>39</v>
      </c>
      <c r="B233" s="141" t="n">
        <v>43196</v>
      </c>
      <c r="C233" s="63" t="s">
        <v>103</v>
      </c>
      <c r="D233" s="63" t="s">
        <v>206</v>
      </c>
      <c r="E233" s="19"/>
      <c r="F233" s="63" t="s">
        <v>207</v>
      </c>
      <c r="G233" s="142" t="n">
        <v>43196</v>
      </c>
      <c r="H233" s="142" t="n">
        <v>43224</v>
      </c>
      <c r="I233" s="19" t="n">
        <f aca="false">H233-G233</f>
        <v>28</v>
      </c>
      <c r="J233" s="100" t="n">
        <f aca="false">TRUNC(I233/30,0)</f>
        <v>0</v>
      </c>
      <c r="K233" s="189" t="s">
        <v>99</v>
      </c>
      <c r="L233" s="146" t="n">
        <v>10</v>
      </c>
      <c r="M233" s="147"/>
      <c r="N233" s="197"/>
      <c r="O233" s="151"/>
      <c r="P233" s="151"/>
      <c r="Q233" s="150" t="n">
        <v>0.0170313</v>
      </c>
      <c r="R233" s="151"/>
      <c r="S233" s="152" t="n">
        <v>0.0188</v>
      </c>
      <c r="T233" s="151"/>
      <c r="U233" s="152"/>
      <c r="V233" s="152"/>
      <c r="W233" s="152"/>
      <c r="X233" s="152"/>
      <c r="Y233" s="153" t="n">
        <v>0.008154</v>
      </c>
      <c r="Z233" s="152" t="n">
        <v>0.0033</v>
      </c>
      <c r="AA233" s="152" t="n">
        <v>0.002</v>
      </c>
      <c r="AB233" s="154" t="n">
        <f aca="false">S233-Z233</f>
        <v>0.0155</v>
      </c>
      <c r="AC233" s="154" t="n">
        <f aca="false">U233-Z233-AA233</f>
        <v>-0.0053</v>
      </c>
      <c r="AD233" s="155" t="n">
        <v>0.014</v>
      </c>
      <c r="AE233" s="156" t="n">
        <f aca="false">IF(Y233="","",Y233)</f>
        <v>0.008154</v>
      </c>
      <c r="AF233" s="153" t="n">
        <v>0.004846</v>
      </c>
      <c r="AG233" s="184" t="n">
        <f aca="false">IF(AF233="","",AE233+AF233)</f>
        <v>0.013</v>
      </c>
      <c r="AH233" s="185"/>
      <c r="AI233" s="35" t="n">
        <v>1</v>
      </c>
      <c r="AJ233" s="19" t="str">
        <f aca="false">IF(AG233="","N","Y")</f>
        <v>Y</v>
      </c>
      <c r="AK233" s="159"/>
      <c r="AL233" s="196" t="s">
        <v>208</v>
      </c>
    </row>
    <row r="234" s="38" customFormat="true" ht="23.25" hidden="false" customHeight="true" outlineLevel="0" collapsed="false">
      <c r="A234" s="19" t="n">
        <f aca="false">IF(B234="","",IF((YEAR(B234)-YEAR(B233))=0,A233+1,1))</f>
        <v>40</v>
      </c>
      <c r="B234" s="141" t="n">
        <v>43196</v>
      </c>
      <c r="C234" s="63" t="s">
        <v>103</v>
      </c>
      <c r="D234" s="63" t="s">
        <v>111</v>
      </c>
      <c r="E234" s="19"/>
      <c r="F234" s="63" t="s">
        <v>176</v>
      </c>
      <c r="G234" s="142" t="n">
        <v>43196</v>
      </c>
      <c r="H234" s="142" t="n">
        <v>43224</v>
      </c>
      <c r="I234" s="19" t="n">
        <f aca="false">H234-G234</f>
        <v>28</v>
      </c>
      <c r="J234" s="100" t="n">
        <f aca="false">TRUNC(I234/30,0)</f>
        <v>0</v>
      </c>
      <c r="K234" s="189" t="s">
        <v>99</v>
      </c>
      <c r="L234" s="146" t="n">
        <v>2.31</v>
      </c>
      <c r="M234" s="147"/>
      <c r="N234" s="148"/>
      <c r="O234" s="149"/>
      <c r="P234" s="149"/>
      <c r="Q234" s="150" t="n">
        <v>0.0170313</v>
      </c>
      <c r="R234" s="151"/>
      <c r="S234" s="152" t="n">
        <v>0.0188</v>
      </c>
      <c r="T234" s="151"/>
      <c r="U234" s="152"/>
      <c r="V234" s="152"/>
      <c r="W234" s="152"/>
      <c r="X234" s="152"/>
      <c r="Y234" s="153" t="n">
        <v>0.008154</v>
      </c>
      <c r="Z234" s="152" t="n">
        <v>0.0033</v>
      </c>
      <c r="AA234" s="152" t="n">
        <v>0.002</v>
      </c>
      <c r="AB234" s="154" t="n">
        <f aca="false">S234-Z234</f>
        <v>0.0155</v>
      </c>
      <c r="AC234" s="154" t="n">
        <f aca="false">U234-Z234-AA234</f>
        <v>-0.0053</v>
      </c>
      <c r="AD234" s="155" t="n">
        <v>0.014</v>
      </c>
      <c r="AE234" s="156" t="n">
        <f aca="false">IF(Y234="","",Y234)</f>
        <v>0.008154</v>
      </c>
      <c r="AF234" s="153" t="n">
        <v>0.000346000000000001</v>
      </c>
      <c r="AG234" s="184" t="n">
        <f aca="false">IF(AF234="","",AE234+AF234)</f>
        <v>0.0085</v>
      </c>
      <c r="AH234" s="185"/>
      <c r="AI234" s="35" t="n">
        <v>3</v>
      </c>
      <c r="AJ234" s="19" t="str">
        <f aca="false">IF(AG234="","N","Y")</f>
        <v>Y</v>
      </c>
      <c r="AK234" s="159"/>
      <c r="AL234" s="196" t="s">
        <v>175</v>
      </c>
    </row>
    <row r="235" s="38" customFormat="true" ht="23.25" hidden="false" customHeight="true" outlineLevel="0" collapsed="false">
      <c r="A235" s="19" t="n">
        <f aca="false">IF(B235="","",IF((YEAR(B235)-YEAR(B234))=0,A234+1,1))</f>
        <v>41</v>
      </c>
      <c r="B235" s="141" t="n">
        <v>43196</v>
      </c>
      <c r="C235" s="63" t="s">
        <v>103</v>
      </c>
      <c r="D235" s="63" t="s">
        <v>111</v>
      </c>
      <c r="E235" s="19"/>
      <c r="F235" s="63" t="s">
        <v>174</v>
      </c>
      <c r="G235" s="142" t="n">
        <v>43196</v>
      </c>
      <c r="H235" s="142" t="n">
        <v>43224</v>
      </c>
      <c r="I235" s="19" t="n">
        <f aca="false">H235-G235</f>
        <v>28</v>
      </c>
      <c r="J235" s="100" t="n">
        <f aca="false">TRUNC(I235/30,0)</f>
        <v>0</v>
      </c>
      <c r="K235" s="189" t="s">
        <v>99</v>
      </c>
      <c r="L235" s="146" t="n">
        <v>9.38</v>
      </c>
      <c r="M235" s="147"/>
      <c r="N235" s="148"/>
      <c r="O235" s="149"/>
      <c r="P235" s="149"/>
      <c r="Q235" s="150" t="n">
        <v>0.0170313</v>
      </c>
      <c r="R235" s="151"/>
      <c r="S235" s="152" t="n">
        <v>0.0188</v>
      </c>
      <c r="T235" s="151"/>
      <c r="U235" s="152"/>
      <c r="V235" s="152"/>
      <c r="W235" s="152"/>
      <c r="X235" s="152"/>
      <c r="Y235" s="153" t="n">
        <v>0.008154</v>
      </c>
      <c r="Z235" s="152" t="n">
        <v>0.0033</v>
      </c>
      <c r="AA235" s="152" t="n">
        <v>0.002</v>
      </c>
      <c r="AB235" s="154" t="n">
        <f aca="false">S235-Z235</f>
        <v>0.0155</v>
      </c>
      <c r="AC235" s="154" t="n">
        <f aca="false">U235-Z235-AA235</f>
        <v>-0.0053</v>
      </c>
      <c r="AD235" s="155" t="n">
        <v>0.014</v>
      </c>
      <c r="AE235" s="156" t="n">
        <f aca="false">IF(Y235="","",Y235)</f>
        <v>0.008154</v>
      </c>
      <c r="AF235" s="153" t="n">
        <v>0.000346000000000001</v>
      </c>
      <c r="AG235" s="184" t="n">
        <f aca="false">IF(AF235="","",AE235+AF235)</f>
        <v>0.0085</v>
      </c>
      <c r="AH235" s="185"/>
      <c r="AI235" s="35" t="n">
        <v>4</v>
      </c>
      <c r="AJ235" s="19" t="str">
        <f aca="false">IF(AG235="","N","Y")</f>
        <v>Y</v>
      </c>
      <c r="AK235" s="159"/>
      <c r="AL235" s="196" t="s">
        <v>175</v>
      </c>
    </row>
    <row r="236" s="140" customFormat="true" ht="23.25" hidden="false" customHeight="true" outlineLevel="0" collapsed="false">
      <c r="A236" s="116" t="n">
        <f aca="false">IF(B236="","",IF((YEAR(B236)-YEAR(B235))=0,A235+1,1))</f>
        <v>42</v>
      </c>
      <c r="B236" s="160" t="n">
        <v>43199</v>
      </c>
      <c r="C236" s="161" t="s">
        <v>209</v>
      </c>
      <c r="D236" s="161" t="s">
        <v>210</v>
      </c>
      <c r="E236" s="116"/>
      <c r="F236" s="161" t="s">
        <v>211</v>
      </c>
      <c r="G236" s="162" t="n">
        <v>43199</v>
      </c>
      <c r="H236" s="162" t="n">
        <v>43382</v>
      </c>
      <c r="I236" s="116" t="n">
        <f aca="false">H236-G236</f>
        <v>183</v>
      </c>
      <c r="J236" s="122" t="n">
        <f aca="false">TRUNC(I236/30,0)</f>
        <v>6</v>
      </c>
      <c r="K236" s="180" t="s">
        <v>95</v>
      </c>
      <c r="L236" s="166" t="n">
        <v>6</v>
      </c>
      <c r="M236" s="167"/>
      <c r="N236" s="194"/>
      <c r="O236" s="171"/>
      <c r="P236" s="171"/>
      <c r="Q236" s="170" t="n">
        <v>0.024675</v>
      </c>
      <c r="R236" s="171"/>
      <c r="S236" s="172" t="n">
        <v>0.0235</v>
      </c>
      <c r="T236" s="171"/>
      <c r="U236" s="172"/>
      <c r="V236" s="172"/>
      <c r="W236" s="172"/>
      <c r="X236" s="172"/>
      <c r="Y236" s="173" t="n">
        <v>0.013239</v>
      </c>
      <c r="Z236" s="172" t="n">
        <v>0.002</v>
      </c>
      <c r="AA236" s="172" t="n">
        <v>0.002</v>
      </c>
      <c r="AB236" s="174" t="n">
        <f aca="false">S236-Z236</f>
        <v>0.0215</v>
      </c>
      <c r="AC236" s="174" t="n">
        <f aca="false">U236-Z236-AA236</f>
        <v>-0.004</v>
      </c>
      <c r="AD236" s="175" t="n">
        <v>0.0245</v>
      </c>
      <c r="AE236" s="130" t="n">
        <f aca="false">IF(Y236="","",Y236)</f>
        <v>0.013239</v>
      </c>
      <c r="AF236" s="173"/>
      <c r="AG236" s="186" t="str">
        <f aca="false">IF(AF236="","",AE236+AF236)</f>
        <v/>
      </c>
      <c r="AH236" s="187"/>
      <c r="AI236" s="176"/>
      <c r="AJ236" s="116" t="str">
        <f aca="false">IF(AG236="","N","Y")</f>
        <v>N</v>
      </c>
      <c r="AK236" s="177"/>
      <c r="AL236" s="193" t="s">
        <v>212</v>
      </c>
    </row>
    <row r="237" s="140" customFormat="true" ht="23.25" hidden="false" customHeight="true" outlineLevel="0" collapsed="false">
      <c r="A237" s="116" t="n">
        <f aca="false">IF(B237="","",IF((YEAR(B237)-YEAR(B236))=0,A236+1,1))</f>
        <v>43</v>
      </c>
      <c r="B237" s="160" t="n">
        <v>43201</v>
      </c>
      <c r="C237" s="161" t="s">
        <v>100</v>
      </c>
      <c r="D237" s="161" t="s">
        <v>101</v>
      </c>
      <c r="E237" s="116"/>
      <c r="F237" s="161" t="s">
        <v>102</v>
      </c>
      <c r="G237" s="162" t="n">
        <v>43201</v>
      </c>
      <c r="H237" s="162" t="n">
        <v>43229</v>
      </c>
      <c r="I237" s="116" t="n">
        <f aca="false">H237-G237</f>
        <v>28</v>
      </c>
      <c r="J237" s="122" t="n">
        <f aca="false">TRUNC(I237/30,0)</f>
        <v>0</v>
      </c>
      <c r="K237" s="180" t="s">
        <v>95</v>
      </c>
      <c r="L237" s="166" t="n">
        <v>25</v>
      </c>
      <c r="M237" s="167"/>
      <c r="N237" s="194" t="n">
        <v>0.016</v>
      </c>
      <c r="O237" s="171"/>
      <c r="P237" s="171"/>
      <c r="Q237" s="170" t="n">
        <v>0.0189438</v>
      </c>
      <c r="R237" s="171"/>
      <c r="S237" s="172" t="n">
        <v>0.0195</v>
      </c>
      <c r="T237" s="171"/>
      <c r="U237" s="172"/>
      <c r="V237" s="172"/>
      <c r="W237" s="172"/>
      <c r="X237" s="172"/>
      <c r="Y237" s="173" t="n">
        <v>0.013239</v>
      </c>
      <c r="Z237" s="172" t="n">
        <v>0.002</v>
      </c>
      <c r="AA237" s="172" t="n">
        <v>0.002</v>
      </c>
      <c r="AB237" s="174" t="n">
        <f aca="false">S237-Z237</f>
        <v>0.0175</v>
      </c>
      <c r="AC237" s="174" t="n">
        <f aca="false">U237-Z237-AA237</f>
        <v>-0.004</v>
      </c>
      <c r="AD237" s="175" t="n">
        <v>0.0175</v>
      </c>
      <c r="AE237" s="130" t="n">
        <f aca="false">IF(Y237="","",Y237)</f>
        <v>0.013239</v>
      </c>
      <c r="AF237" s="173"/>
      <c r="AG237" s="186" t="str">
        <f aca="false">IF(AF237="","",AE237+AF237)</f>
        <v/>
      </c>
      <c r="AH237" s="187"/>
      <c r="AI237" s="176"/>
      <c r="AJ237" s="116" t="str">
        <f aca="false">IF(AG237="","N","Y")</f>
        <v>N</v>
      </c>
      <c r="AK237" s="177"/>
      <c r="AL237" s="193" t="s">
        <v>213</v>
      </c>
    </row>
    <row r="238" s="38" customFormat="true" ht="23.25" hidden="false" customHeight="true" outlineLevel="0" collapsed="false">
      <c r="A238" s="19" t="n">
        <f aca="false">IF(B238="","",IF((YEAR(B238)-YEAR(B237))=0,A237+1,1))</f>
        <v>44</v>
      </c>
      <c r="B238" s="141" t="n">
        <v>43203</v>
      </c>
      <c r="C238" s="63" t="s">
        <v>209</v>
      </c>
      <c r="D238" s="63" t="s">
        <v>210</v>
      </c>
      <c r="E238" s="19"/>
      <c r="F238" s="63" t="s">
        <v>211</v>
      </c>
      <c r="G238" s="142" t="n">
        <v>43203</v>
      </c>
      <c r="H238" s="142" t="n">
        <v>43294</v>
      </c>
      <c r="I238" s="19" t="n">
        <f aca="false">H238-G238</f>
        <v>91</v>
      </c>
      <c r="J238" s="100" t="n">
        <f aca="false">TRUNC(I238/30,0)</f>
        <v>3</v>
      </c>
      <c r="K238" s="183" t="s">
        <v>95</v>
      </c>
      <c r="L238" s="146" t="n">
        <v>6</v>
      </c>
      <c r="M238" s="147"/>
      <c r="N238" s="197"/>
      <c r="O238" s="151"/>
      <c r="P238" s="151"/>
      <c r="Q238" s="150" t="n">
        <v>0.0234769</v>
      </c>
      <c r="R238" s="151"/>
      <c r="S238" s="152" t="n">
        <v>0.025</v>
      </c>
      <c r="T238" s="151"/>
      <c r="U238" s="152"/>
      <c r="V238" s="152"/>
      <c r="W238" s="152"/>
      <c r="X238" s="152"/>
      <c r="Y238" s="153" t="n">
        <v>0.018881</v>
      </c>
      <c r="Z238" s="152" t="n">
        <v>0.002</v>
      </c>
      <c r="AA238" s="152" t="n">
        <v>0.002</v>
      </c>
      <c r="AB238" s="154" t="n">
        <f aca="false">S238-Z238</f>
        <v>0.023</v>
      </c>
      <c r="AC238" s="154" t="n">
        <f aca="false">U238-Z238-AA238</f>
        <v>-0.004</v>
      </c>
      <c r="AD238" s="155" t="n">
        <v>0.0231</v>
      </c>
      <c r="AE238" s="156" t="n">
        <f aca="false">IF(Y238="","",Y238)</f>
        <v>0.018881</v>
      </c>
      <c r="AF238" s="153" t="n">
        <v>0.004219</v>
      </c>
      <c r="AG238" s="184" t="n">
        <f aca="false">IF(AF238="","",AE238+AF238)</f>
        <v>0.0231</v>
      </c>
      <c r="AH238" s="185"/>
      <c r="AI238" s="35" t="n">
        <v>1</v>
      </c>
      <c r="AJ238" s="19" t="str">
        <f aca="false">IF(AG238="","N","Y")</f>
        <v>Y</v>
      </c>
      <c r="AK238" s="159"/>
      <c r="AL238" s="196" t="s">
        <v>214</v>
      </c>
    </row>
    <row r="239" s="140" customFormat="true" ht="23.25" hidden="false" customHeight="true" outlineLevel="0" collapsed="false">
      <c r="A239" s="116" t="n">
        <f aca="false">IF(B239="","",IF((YEAR(B239)-YEAR(B238))=0,A238+1,1))</f>
        <v>45</v>
      </c>
      <c r="B239" s="160" t="n">
        <v>43206</v>
      </c>
      <c r="C239" s="161" t="s">
        <v>100</v>
      </c>
      <c r="D239" s="161" t="s">
        <v>101</v>
      </c>
      <c r="E239" s="116"/>
      <c r="F239" s="161" t="s">
        <v>102</v>
      </c>
      <c r="G239" s="162" t="n">
        <v>43206</v>
      </c>
      <c r="H239" s="162" t="n">
        <v>43244</v>
      </c>
      <c r="I239" s="116" t="n">
        <f aca="false">H239-G239</f>
        <v>38</v>
      </c>
      <c r="J239" s="122" t="n">
        <f aca="false">TRUNC(I239/30,0)</f>
        <v>1</v>
      </c>
      <c r="K239" s="180" t="s">
        <v>95</v>
      </c>
      <c r="L239" s="166" t="n">
        <v>20</v>
      </c>
      <c r="M239" s="167"/>
      <c r="N239" s="194"/>
      <c r="O239" s="171"/>
      <c r="P239" s="171"/>
      <c r="Q239" s="170" t="n">
        <v>0.0235281</v>
      </c>
      <c r="R239" s="171"/>
      <c r="S239" s="172" t="n">
        <v>0.02</v>
      </c>
      <c r="T239" s="171"/>
      <c r="U239" s="172" t="n">
        <v>0.025599</v>
      </c>
      <c r="V239" s="172"/>
      <c r="W239" s="172"/>
      <c r="X239" s="172"/>
      <c r="Y239" s="173" t="n">
        <v>0.01325</v>
      </c>
      <c r="Z239" s="172" t="n">
        <v>0.002</v>
      </c>
      <c r="AA239" s="172" t="n">
        <v>0.002</v>
      </c>
      <c r="AB239" s="174" t="n">
        <f aca="false">S239-Z239</f>
        <v>0.018</v>
      </c>
      <c r="AC239" s="174" t="n">
        <f aca="false">U239-Z239-AA239</f>
        <v>0.021599</v>
      </c>
      <c r="AD239" s="175" t="n">
        <v>0.019</v>
      </c>
      <c r="AE239" s="130" t="n">
        <f aca="false">IF(Y239="","",Y239)</f>
        <v>0.01325</v>
      </c>
      <c r="AF239" s="173"/>
      <c r="AG239" s="186" t="str">
        <f aca="false">IF(AF239="","",AE239+AF239)</f>
        <v/>
      </c>
      <c r="AH239" s="187"/>
      <c r="AI239" s="176"/>
      <c r="AJ239" s="116" t="str">
        <f aca="false">IF(AG239="","N","Y")</f>
        <v>N</v>
      </c>
      <c r="AK239" s="177"/>
      <c r="AL239" s="193" t="s">
        <v>215</v>
      </c>
    </row>
    <row r="240" s="140" customFormat="true" ht="23.25" hidden="false" customHeight="true" outlineLevel="0" collapsed="false">
      <c r="A240" s="116" t="n">
        <f aca="false">IF(B240="","",IF((YEAR(B240)-YEAR(B239))=0,A239+1,1))</f>
        <v>46</v>
      </c>
      <c r="B240" s="160" t="n">
        <v>43203</v>
      </c>
      <c r="C240" s="161" t="s">
        <v>103</v>
      </c>
      <c r="D240" s="161" t="s">
        <v>216</v>
      </c>
      <c r="E240" s="116"/>
      <c r="F240" s="161" t="s">
        <v>217</v>
      </c>
      <c r="G240" s="162" t="n">
        <v>43203</v>
      </c>
      <c r="H240" s="162" t="n">
        <v>43294</v>
      </c>
      <c r="I240" s="116" t="n">
        <f aca="false">H240-G240</f>
        <v>91</v>
      </c>
      <c r="J240" s="122" t="n">
        <f aca="false">TRUNC(I240/30,0)</f>
        <v>3</v>
      </c>
      <c r="K240" s="180" t="s">
        <v>95</v>
      </c>
      <c r="L240" s="166" t="n">
        <v>6</v>
      </c>
      <c r="M240" s="167"/>
      <c r="N240" s="194"/>
      <c r="O240" s="171"/>
      <c r="P240" s="171"/>
      <c r="Q240" s="170" t="n">
        <v>0.0234769</v>
      </c>
      <c r="R240" s="171"/>
      <c r="S240" s="172" t="n">
        <v>0.025</v>
      </c>
      <c r="T240" s="171"/>
      <c r="U240" s="172"/>
      <c r="V240" s="172"/>
      <c r="W240" s="172"/>
      <c r="X240" s="172"/>
      <c r="Y240" s="173" t="n">
        <v>0.018932</v>
      </c>
      <c r="Z240" s="172" t="n">
        <v>0.002</v>
      </c>
      <c r="AA240" s="172" t="n">
        <v>0.002</v>
      </c>
      <c r="AB240" s="174" t="n">
        <f aca="false">S240-Z240</f>
        <v>0.023</v>
      </c>
      <c r="AC240" s="174" t="n">
        <f aca="false">U240-Z240-AA240</f>
        <v>-0.004</v>
      </c>
      <c r="AD240" s="175" t="n">
        <v>0.021</v>
      </c>
      <c r="AE240" s="130" t="n">
        <f aca="false">IF(Y240="","",Y240)</f>
        <v>0.018932</v>
      </c>
      <c r="AF240" s="173"/>
      <c r="AG240" s="186" t="str">
        <f aca="false">IF(AF240="","",AE240+AF240)</f>
        <v/>
      </c>
      <c r="AH240" s="187"/>
      <c r="AI240" s="176"/>
      <c r="AJ240" s="116" t="str">
        <f aca="false">IF(AG240="","N","Y")</f>
        <v>N</v>
      </c>
      <c r="AK240" s="177"/>
      <c r="AL240" s="193"/>
    </row>
    <row r="241" s="140" customFormat="true" ht="23.25" hidden="false" customHeight="true" outlineLevel="0" collapsed="false">
      <c r="A241" s="116" t="n">
        <f aca="false">IF(B241="","",IF((YEAR(B241)-YEAR(B240))=0,A240+1,1))</f>
        <v>47</v>
      </c>
      <c r="B241" s="160" t="n">
        <v>43206</v>
      </c>
      <c r="C241" s="161" t="s">
        <v>165</v>
      </c>
      <c r="D241" s="161" t="s">
        <v>218</v>
      </c>
      <c r="E241" s="116"/>
      <c r="F241" s="161" t="s">
        <v>219</v>
      </c>
      <c r="G241" s="162" t="n">
        <v>43206</v>
      </c>
      <c r="H241" s="162" t="n">
        <v>43389</v>
      </c>
      <c r="I241" s="116" t="n">
        <f aca="false">H241-G241</f>
        <v>183</v>
      </c>
      <c r="J241" s="122" t="n">
        <f aca="false">TRUNC(I241/30,0)</f>
        <v>6</v>
      </c>
      <c r="K241" s="180" t="s">
        <v>95</v>
      </c>
      <c r="L241" s="166" t="n">
        <v>1.7</v>
      </c>
      <c r="M241" s="167"/>
      <c r="N241" s="194"/>
      <c r="O241" s="171"/>
      <c r="P241" s="171"/>
      <c r="Q241" s="170" t="n">
        <v>0.0249</v>
      </c>
      <c r="R241" s="171"/>
      <c r="S241" s="172" t="n">
        <v>0.0235</v>
      </c>
      <c r="T241" s="171"/>
      <c r="U241" s="172"/>
      <c r="V241" s="172"/>
      <c r="W241" s="172"/>
      <c r="X241" s="172"/>
      <c r="Y241" s="173" t="n">
        <v>0.020777</v>
      </c>
      <c r="Z241" s="172" t="n">
        <v>0.002</v>
      </c>
      <c r="AA241" s="172" t="n">
        <v>0.002</v>
      </c>
      <c r="AB241" s="174" t="n">
        <f aca="false">S241-Z241</f>
        <v>0.0215</v>
      </c>
      <c r="AC241" s="174" t="n">
        <f aca="false">U241-Z241-AA241</f>
        <v>-0.004</v>
      </c>
      <c r="AD241" s="175" t="n">
        <v>0.0215</v>
      </c>
      <c r="AE241" s="130" t="n">
        <f aca="false">IF(Y241="","",Y241)</f>
        <v>0.020777</v>
      </c>
      <c r="AF241" s="173"/>
      <c r="AG241" s="186" t="str">
        <f aca="false">IF(AF241="","",AE241+AF241)</f>
        <v/>
      </c>
      <c r="AH241" s="187"/>
      <c r="AI241" s="176"/>
      <c r="AJ241" s="116" t="str">
        <f aca="false">IF(AG241="","N","Y")</f>
        <v>N</v>
      </c>
      <c r="AK241" s="177"/>
      <c r="AL241" s="193" t="s">
        <v>220</v>
      </c>
    </row>
    <row r="242" s="140" customFormat="true" ht="23.25" hidden="false" customHeight="true" outlineLevel="0" collapsed="false">
      <c r="A242" s="116" t="n">
        <f aca="false">IF(B242="","",IF((YEAR(B242)-YEAR(B241))=0,A241+1,1))</f>
        <v>48</v>
      </c>
      <c r="B242" s="160" t="n">
        <v>43208</v>
      </c>
      <c r="C242" s="161" t="s">
        <v>100</v>
      </c>
      <c r="D242" s="161" t="s">
        <v>101</v>
      </c>
      <c r="E242" s="116"/>
      <c r="F242" s="161" t="s">
        <v>102</v>
      </c>
      <c r="G242" s="162" t="n">
        <v>43210</v>
      </c>
      <c r="H242" s="162" t="n">
        <v>43240</v>
      </c>
      <c r="I242" s="116" t="n">
        <f aca="false">H242-G242</f>
        <v>30</v>
      </c>
      <c r="J242" s="122" t="n">
        <f aca="false">TRUNC(I242/30,0)</f>
        <v>1</v>
      </c>
      <c r="K242" s="180" t="s">
        <v>95</v>
      </c>
      <c r="L242" s="222" t="s">
        <v>221</v>
      </c>
      <c r="M242" s="167"/>
      <c r="N242" s="194"/>
      <c r="O242" s="171"/>
      <c r="P242" s="171"/>
      <c r="Q242" s="170" t="n">
        <v>0.0189563</v>
      </c>
      <c r="R242" s="171"/>
      <c r="S242" s="172" t="n">
        <v>0.02</v>
      </c>
      <c r="T242" s="171"/>
      <c r="U242" s="172" t="n">
        <v>0.025599</v>
      </c>
      <c r="V242" s="172"/>
      <c r="W242" s="172"/>
      <c r="X242" s="172"/>
      <c r="Y242" s="173" t="n">
        <v>0.01325</v>
      </c>
      <c r="Z242" s="172" t="n">
        <v>0.002</v>
      </c>
      <c r="AA242" s="172" t="n">
        <v>0.002</v>
      </c>
      <c r="AB242" s="174" t="n">
        <f aca="false">S242-Z242</f>
        <v>0.018</v>
      </c>
      <c r="AC242" s="174" t="n">
        <f aca="false">U242-Z242-AA242</f>
        <v>0.021599</v>
      </c>
      <c r="AD242" s="175" t="n">
        <v>0.019</v>
      </c>
      <c r="AE242" s="130" t="n">
        <f aca="false">IF(Y242="","",Y242)</f>
        <v>0.01325</v>
      </c>
      <c r="AF242" s="173"/>
      <c r="AG242" s="186" t="str">
        <f aca="false">IF(AF242="","",AE242+AF242)</f>
        <v/>
      </c>
      <c r="AH242" s="187"/>
      <c r="AI242" s="176"/>
      <c r="AJ242" s="116" t="str">
        <f aca="false">IF(AG242="","N","Y")</f>
        <v>N</v>
      </c>
      <c r="AK242" s="177"/>
      <c r="AL242" s="193" t="s">
        <v>215</v>
      </c>
    </row>
    <row r="243" s="38" customFormat="true" ht="23.25" hidden="false" customHeight="true" outlineLevel="0" collapsed="false">
      <c r="A243" s="19" t="n">
        <f aca="false">IF(B243="","",IF((YEAR(B243)-YEAR(B242))=0,A242+1,1))</f>
        <v>49</v>
      </c>
      <c r="B243" s="141" t="n">
        <v>43208</v>
      </c>
      <c r="C243" s="63" t="s">
        <v>96</v>
      </c>
      <c r="D243" s="63" t="s">
        <v>142</v>
      </c>
      <c r="E243" s="19"/>
      <c r="F243" s="19" t="s">
        <v>112</v>
      </c>
      <c r="G243" s="142" t="n">
        <v>43208</v>
      </c>
      <c r="H243" s="142" t="n">
        <v>43238</v>
      </c>
      <c r="I243" s="19" t="n">
        <f aca="false">H243-G243</f>
        <v>30</v>
      </c>
      <c r="J243" s="100" t="n">
        <f aca="false">TRUNC(I243/30,0)</f>
        <v>1</v>
      </c>
      <c r="K243" s="189" t="s">
        <v>99</v>
      </c>
      <c r="L243" s="223" t="n">
        <v>150</v>
      </c>
      <c r="M243" s="147"/>
      <c r="N243" s="148"/>
      <c r="O243" s="149"/>
      <c r="P243" s="149"/>
      <c r="Q243" s="150" t="n">
        <v>0.0189563</v>
      </c>
      <c r="R243" s="151"/>
      <c r="S243" s="152" t="n">
        <v>0.0195</v>
      </c>
      <c r="T243" s="151"/>
      <c r="U243" s="152" t="n">
        <v>0.024424</v>
      </c>
      <c r="V243" s="152"/>
      <c r="W243" s="152"/>
      <c r="X243" s="152"/>
      <c r="Y243" s="153" t="n">
        <v>0.008136</v>
      </c>
      <c r="Z243" s="152" t="n">
        <v>0.0033</v>
      </c>
      <c r="AA243" s="152" t="n">
        <v>0.002</v>
      </c>
      <c r="AB243" s="154" t="n">
        <f aca="false">S243-Z243</f>
        <v>0.0162</v>
      </c>
      <c r="AC243" s="154" t="n">
        <f aca="false">U243-Z243-AA243</f>
        <v>0.019124</v>
      </c>
      <c r="AD243" s="224" t="n">
        <v>0.015</v>
      </c>
      <c r="AE243" s="156" t="n">
        <f aca="false">IF(Y243="","",Y243)</f>
        <v>0.008136</v>
      </c>
      <c r="AF243" s="153" t="n">
        <v>0.006864</v>
      </c>
      <c r="AG243" s="184" t="n">
        <f aca="false">IF(AF243="","",AE243+AF243)</f>
        <v>0.015</v>
      </c>
      <c r="AH243" s="185"/>
      <c r="AI243" s="35" t="n">
        <v>1</v>
      </c>
      <c r="AJ243" s="19" t="str">
        <f aca="false">IF(AG243="","N","Y")</f>
        <v>Y</v>
      </c>
      <c r="AK243" s="159"/>
      <c r="AL243" s="196" t="s">
        <v>222</v>
      </c>
    </row>
    <row r="244" s="38" customFormat="true" ht="23.25" hidden="false" customHeight="true" outlineLevel="0" collapsed="false">
      <c r="A244" s="19" t="n">
        <f aca="false">IF(B244="","",IF((YEAR(B244)-YEAR(B243))=0,A243+1,1))</f>
        <v>50</v>
      </c>
      <c r="B244" s="141" t="n">
        <v>43213</v>
      </c>
      <c r="C244" s="63" t="s">
        <v>103</v>
      </c>
      <c r="D244" s="63" t="s">
        <v>216</v>
      </c>
      <c r="E244" s="19"/>
      <c r="F244" s="63" t="s">
        <v>217</v>
      </c>
      <c r="G244" s="142" t="n">
        <v>43215</v>
      </c>
      <c r="H244" s="142" t="n">
        <v>43245</v>
      </c>
      <c r="I244" s="19" t="n">
        <f aca="false">H244-G244</f>
        <v>30</v>
      </c>
      <c r="J244" s="100" t="n">
        <f aca="false">TRUNC(I244/30,0)</f>
        <v>1</v>
      </c>
      <c r="K244" s="183" t="s">
        <v>95</v>
      </c>
      <c r="L244" s="223" t="n">
        <v>20</v>
      </c>
      <c r="M244" s="147"/>
      <c r="N244" s="197"/>
      <c r="O244" s="151"/>
      <c r="P244" s="151"/>
      <c r="Q244" s="150" t="n">
        <v>0.0189826</v>
      </c>
      <c r="R244" s="151"/>
      <c r="S244" s="152" t="n">
        <v>0.02</v>
      </c>
      <c r="T244" s="151"/>
      <c r="U244" s="152" t="n">
        <v>0.025599</v>
      </c>
      <c r="V244" s="152"/>
      <c r="W244" s="152"/>
      <c r="X244" s="152"/>
      <c r="Y244" s="153" t="n">
        <v>0.0132771</v>
      </c>
      <c r="Z244" s="152" t="n">
        <v>0.002</v>
      </c>
      <c r="AA244" s="152" t="n">
        <v>0.002</v>
      </c>
      <c r="AB244" s="154" t="n">
        <f aca="false">S244-Z244</f>
        <v>0.018</v>
      </c>
      <c r="AC244" s="154" t="n">
        <f aca="false">U244-Z244-AA244</f>
        <v>0.021599</v>
      </c>
      <c r="AD244" s="155" t="n">
        <v>0.019</v>
      </c>
      <c r="AE244" s="156" t="n">
        <f aca="false">IF(Y244="","",Y244)</f>
        <v>0.0132771</v>
      </c>
      <c r="AF244" s="153" t="n">
        <v>0.00575</v>
      </c>
      <c r="AG244" s="184" t="n">
        <f aca="false">IF(AF244="","",AE244+AF244)</f>
        <v>0.0190271</v>
      </c>
      <c r="AH244" s="185"/>
      <c r="AI244" s="35" t="n">
        <v>3</v>
      </c>
      <c r="AJ244" s="19" t="str">
        <f aca="false">IF(AG244="","N","Y")</f>
        <v>Y</v>
      </c>
      <c r="AK244" s="159"/>
      <c r="AL244" s="225" t="s">
        <v>223</v>
      </c>
    </row>
    <row r="245" s="140" customFormat="true" ht="23.25" hidden="false" customHeight="true" outlineLevel="0" collapsed="false">
      <c r="A245" s="116" t="n">
        <f aca="false">IF(B245="","",IF((YEAR(B245)-YEAR(B244))=0,A244+1,1))</f>
        <v>51</v>
      </c>
      <c r="B245" s="160" t="n">
        <v>43213</v>
      </c>
      <c r="C245" s="161" t="s">
        <v>96</v>
      </c>
      <c r="D245" s="161" t="s">
        <v>97</v>
      </c>
      <c r="E245" s="116"/>
      <c r="F245" s="161" t="s">
        <v>98</v>
      </c>
      <c r="G245" s="162" t="n">
        <v>43213</v>
      </c>
      <c r="H245" s="162" t="n">
        <v>43304</v>
      </c>
      <c r="I245" s="116" t="n">
        <f aca="false">H245-G245</f>
        <v>91</v>
      </c>
      <c r="J245" s="122" t="n">
        <f aca="false">TRUNC(I245/30,0)</f>
        <v>3</v>
      </c>
      <c r="K245" s="180" t="s">
        <v>95</v>
      </c>
      <c r="L245" s="166" t="n">
        <v>30</v>
      </c>
      <c r="M245" s="167"/>
      <c r="N245" s="168"/>
      <c r="O245" s="169"/>
      <c r="P245" s="169"/>
      <c r="Q245" s="170" t="n">
        <v>0.0234769</v>
      </c>
      <c r="R245" s="171"/>
      <c r="S245" s="172" t="n">
        <v>0.025</v>
      </c>
      <c r="T245" s="171"/>
      <c r="U245" s="172"/>
      <c r="V245" s="172"/>
      <c r="W245" s="172"/>
      <c r="X245" s="172"/>
      <c r="Y245" s="173" t="n">
        <v>0.007873</v>
      </c>
      <c r="Z245" s="172" t="n">
        <v>0.002</v>
      </c>
      <c r="AA245" s="172" t="n">
        <v>0.002</v>
      </c>
      <c r="AB245" s="174" t="n">
        <f aca="false">S245-Z245</f>
        <v>0.023</v>
      </c>
      <c r="AC245" s="174" t="n">
        <f aca="false">U245-Z245-AA245</f>
        <v>-0.004</v>
      </c>
      <c r="AD245" s="175" t="n">
        <v>0.022</v>
      </c>
      <c r="AE245" s="130" t="n">
        <f aca="false">IF(Y245="","",Y245)</f>
        <v>0.007873</v>
      </c>
      <c r="AF245" s="173"/>
      <c r="AG245" s="186" t="str">
        <f aca="false">IF(AF245="","",AE245+AF245)</f>
        <v/>
      </c>
      <c r="AH245" s="187"/>
      <c r="AI245" s="176"/>
      <c r="AJ245" s="116" t="str">
        <f aca="false">IF(AG245="","N","Y")</f>
        <v>N</v>
      </c>
      <c r="AK245" s="177"/>
      <c r="AL245" s="138"/>
    </row>
    <row r="246" s="220" customFormat="true" ht="23.25" hidden="false" customHeight="true" outlineLevel="0" collapsed="false">
      <c r="A246" s="200" t="n">
        <f aca="false">IF(B246="","",IF((YEAR(B246)-YEAR(B245))=0,A245+1,1))</f>
        <v>52</v>
      </c>
      <c r="B246" s="199" t="n">
        <v>43213</v>
      </c>
      <c r="C246" s="200" t="s">
        <v>89</v>
      </c>
      <c r="D246" s="200" t="s">
        <v>197</v>
      </c>
      <c r="E246" s="200"/>
      <c r="F246" s="200" t="s">
        <v>195</v>
      </c>
      <c r="G246" s="201" t="n">
        <v>43213</v>
      </c>
      <c r="H246" s="201" t="n">
        <v>43243</v>
      </c>
      <c r="I246" s="200" t="n">
        <f aca="false">H246-G246</f>
        <v>30</v>
      </c>
      <c r="J246" s="202" t="n">
        <f aca="false">TRUNC(I246/30,0)</f>
        <v>1</v>
      </c>
      <c r="K246" s="203" t="s">
        <v>99</v>
      </c>
      <c r="L246" s="204" t="n">
        <v>10</v>
      </c>
      <c r="M246" s="205"/>
      <c r="N246" s="206"/>
      <c r="O246" s="207"/>
      <c r="P246" s="207"/>
      <c r="Q246" s="208" t="n">
        <v>0.0147875</v>
      </c>
      <c r="R246" s="207"/>
      <c r="S246" s="209" t="n">
        <v>0.019</v>
      </c>
      <c r="T246" s="207"/>
      <c r="U246" s="209"/>
      <c r="V246" s="209"/>
      <c r="W246" s="209"/>
      <c r="X246" s="209"/>
      <c r="Y246" s="210" t="n">
        <v>0.008142</v>
      </c>
      <c r="Z246" s="209" t="n">
        <v>0.0033</v>
      </c>
      <c r="AA246" s="209" t="n">
        <v>0.002</v>
      </c>
      <c r="AB246" s="211" t="n">
        <f aca="false">S246-Z246</f>
        <v>0.0157</v>
      </c>
      <c r="AC246" s="211" t="n">
        <f aca="false">U246-Z246-AA246</f>
        <v>-0.0053</v>
      </c>
      <c r="AD246" s="212" t="n">
        <v>0.011</v>
      </c>
      <c r="AE246" s="213" t="n">
        <f aca="false">IF(Y246="","",Y246)</f>
        <v>0.008142</v>
      </c>
      <c r="AF246" s="210" t="n">
        <v>0.001858</v>
      </c>
      <c r="AG246" s="214" t="n">
        <f aca="false">IF(AF246="","",AE246+AF246)</f>
        <v>0.01</v>
      </c>
      <c r="AH246" s="215"/>
      <c r="AI246" s="216" t="n">
        <v>2</v>
      </c>
      <c r="AJ246" s="217" t="str">
        <f aca="false">IF(AG246="","N","Y")</f>
        <v>Y</v>
      </c>
      <c r="AK246" s="218"/>
      <c r="AL246" s="226"/>
    </row>
    <row r="247" s="38" customFormat="true" ht="23.25" hidden="false" customHeight="true" outlineLevel="0" collapsed="false">
      <c r="A247" s="19" t="n">
        <f aca="false">IF(B247="","",IF((YEAR(B247)-YEAR(B246))=0,A246+1,1))</f>
        <v>53</v>
      </c>
      <c r="B247" s="141" t="n">
        <v>43216</v>
      </c>
      <c r="C247" s="63" t="s">
        <v>103</v>
      </c>
      <c r="D247" s="63" t="s">
        <v>216</v>
      </c>
      <c r="E247" s="19"/>
      <c r="F247" s="63" t="s">
        <v>224</v>
      </c>
      <c r="G247" s="142" t="n">
        <v>43216</v>
      </c>
      <c r="H247" s="142" t="n">
        <v>43307</v>
      </c>
      <c r="I247" s="19" t="n">
        <f aca="false">H247-G247</f>
        <v>91</v>
      </c>
      <c r="J247" s="100" t="n">
        <f aca="false">TRUNC(I247/30,0)</f>
        <v>3</v>
      </c>
      <c r="K247" s="183" t="s">
        <v>95</v>
      </c>
      <c r="L247" s="223" t="n">
        <v>5</v>
      </c>
      <c r="M247" s="147"/>
      <c r="N247" s="197"/>
      <c r="O247" s="151"/>
      <c r="P247" s="151"/>
      <c r="Q247" s="150" t="n">
        <v>0.0236561</v>
      </c>
      <c r="R247" s="151"/>
      <c r="S247" s="152" t="n">
        <v>0.02</v>
      </c>
      <c r="T247" s="151"/>
      <c r="U247" s="152" t="n">
        <v>0.025599</v>
      </c>
      <c r="V247" s="152"/>
      <c r="W247" s="152"/>
      <c r="X247" s="152"/>
      <c r="Y247" s="153" t="n">
        <v>0.019057</v>
      </c>
      <c r="Z247" s="152" t="n">
        <v>0.002</v>
      </c>
      <c r="AA247" s="152" t="n">
        <v>0.002</v>
      </c>
      <c r="AB247" s="154" t="n">
        <f aca="false">S247-Z247</f>
        <v>0.018</v>
      </c>
      <c r="AC247" s="154" t="n">
        <f aca="false">U247-Z247-AA247</f>
        <v>0.021599</v>
      </c>
      <c r="AD247" s="155" t="n">
        <v>0.021</v>
      </c>
      <c r="AE247" s="156" t="n">
        <f aca="false">IF(Y247="","",Y247)</f>
        <v>0.019057</v>
      </c>
      <c r="AF247" s="153" t="n">
        <v>0.001943</v>
      </c>
      <c r="AG247" s="184" t="n">
        <f aca="false">IF(AF247="","",AE247+AF247)</f>
        <v>0.021</v>
      </c>
      <c r="AH247" s="185"/>
      <c r="AI247" s="35"/>
      <c r="AJ247" s="19" t="str">
        <f aca="false">IF(AG247="","N","Y")</f>
        <v>Y</v>
      </c>
      <c r="AK247" s="159"/>
      <c r="AL247" s="196" t="s">
        <v>225</v>
      </c>
    </row>
    <row r="248" s="140" customFormat="true" ht="23.25" hidden="false" customHeight="true" outlineLevel="0" collapsed="false">
      <c r="A248" s="116" t="n">
        <f aca="false">IF(B248="","",IF((YEAR(B248)-YEAR(B247))=0,A247+1,1))</f>
        <v>54</v>
      </c>
      <c r="B248" s="160" t="n">
        <v>43223</v>
      </c>
      <c r="C248" s="161" t="s">
        <v>201</v>
      </c>
      <c r="D248" s="161" t="s">
        <v>202</v>
      </c>
      <c r="E248" s="116"/>
      <c r="F248" s="161" t="s">
        <v>226</v>
      </c>
      <c r="G248" s="162" t="n">
        <v>43223</v>
      </c>
      <c r="H248" s="162" t="n">
        <v>43254</v>
      </c>
      <c r="I248" s="116" t="n">
        <f aca="false">H248-G248</f>
        <v>31</v>
      </c>
      <c r="J248" s="122" t="n">
        <f aca="false">TRUNC(I248/30,0)</f>
        <v>1</v>
      </c>
      <c r="K248" s="181" t="s">
        <v>99</v>
      </c>
      <c r="L248" s="222" t="n">
        <v>5</v>
      </c>
      <c r="M248" s="167"/>
      <c r="N248" s="194"/>
      <c r="O248" s="171"/>
      <c r="P248" s="171"/>
      <c r="Q248" s="170" t="n">
        <v>0.0191713</v>
      </c>
      <c r="R248" s="171"/>
      <c r="S248" s="172" t="n">
        <v>0.0192</v>
      </c>
      <c r="T248" s="171"/>
      <c r="U248" s="172"/>
      <c r="V248" s="172"/>
      <c r="W248" s="172"/>
      <c r="X248" s="172"/>
      <c r="Y248" s="173" t="n">
        <v>0.008224</v>
      </c>
      <c r="Z248" s="172" t="n">
        <v>0.0033</v>
      </c>
      <c r="AA248" s="172" t="n">
        <v>0.002</v>
      </c>
      <c r="AB248" s="174" t="n">
        <f aca="false">S248-Z248</f>
        <v>0.0159</v>
      </c>
      <c r="AC248" s="174" t="n">
        <f aca="false">U248-Z248-AA248</f>
        <v>-0.0053</v>
      </c>
      <c r="AD248" s="175" t="n">
        <v>0.0135</v>
      </c>
      <c r="AE248" s="130" t="n">
        <f aca="false">IF(Y248="","",Y248)</f>
        <v>0.008224</v>
      </c>
      <c r="AF248" s="173"/>
      <c r="AG248" s="186" t="str">
        <f aca="false">IF(AF248="","",AE248+AF248)</f>
        <v/>
      </c>
      <c r="AH248" s="187"/>
      <c r="AI248" s="176"/>
      <c r="AJ248" s="116" t="str">
        <f aca="false">IF(AG248="","N","Y")</f>
        <v>N</v>
      </c>
      <c r="AK248" s="177"/>
      <c r="AL248" s="193" t="s">
        <v>227</v>
      </c>
    </row>
    <row r="249" s="140" customFormat="true" ht="23.25" hidden="false" customHeight="true" outlineLevel="0" collapsed="false">
      <c r="A249" s="116" t="n">
        <f aca="false">IF(B249="","",IF((YEAR(B249)-YEAR(B248))=0,A248+1,1))</f>
        <v>55</v>
      </c>
      <c r="B249" s="160" t="n">
        <v>43223</v>
      </c>
      <c r="C249" s="161" t="s">
        <v>201</v>
      </c>
      <c r="D249" s="161" t="s">
        <v>202</v>
      </c>
      <c r="E249" s="116"/>
      <c r="F249" s="161" t="s">
        <v>226</v>
      </c>
      <c r="G249" s="162" t="n">
        <v>43223</v>
      </c>
      <c r="H249" s="162" t="n">
        <v>43315</v>
      </c>
      <c r="I249" s="116" t="n">
        <f aca="false">H249-G249</f>
        <v>92</v>
      </c>
      <c r="J249" s="122" t="n">
        <f aca="false">TRUNC(I249/30,0)</f>
        <v>3</v>
      </c>
      <c r="K249" s="180" t="s">
        <v>95</v>
      </c>
      <c r="L249" s="222" t="n">
        <v>5</v>
      </c>
      <c r="M249" s="167"/>
      <c r="N249" s="194"/>
      <c r="O249" s="171"/>
      <c r="P249" s="171"/>
      <c r="Q249" s="170" t="n">
        <v>0.0236294</v>
      </c>
      <c r="R249" s="171"/>
      <c r="S249" s="172" t="n">
        <v>0.026</v>
      </c>
      <c r="T249" s="171"/>
      <c r="U249" s="172"/>
      <c r="V249" s="172"/>
      <c r="W249" s="172"/>
      <c r="X249" s="172"/>
      <c r="Y249" s="173" t="n">
        <v>0.019031</v>
      </c>
      <c r="Z249" s="172" t="n">
        <v>0.002</v>
      </c>
      <c r="AA249" s="172" t="n">
        <v>0.002</v>
      </c>
      <c r="AB249" s="174" t="n">
        <f aca="false">S249-Z249</f>
        <v>0.024</v>
      </c>
      <c r="AC249" s="174" t="n">
        <f aca="false">U249-Z249-AA249</f>
        <v>-0.004</v>
      </c>
      <c r="AD249" s="175" t="n">
        <v>0.021</v>
      </c>
      <c r="AE249" s="130" t="n">
        <f aca="false">IF(Y249="","",Y249)</f>
        <v>0.019031</v>
      </c>
      <c r="AF249" s="173"/>
      <c r="AG249" s="186" t="str">
        <f aca="false">IF(AF249="","",AE249+AF249)</f>
        <v/>
      </c>
      <c r="AH249" s="187"/>
      <c r="AI249" s="176"/>
      <c r="AJ249" s="116" t="str">
        <f aca="false">IF(AG249="","N","Y")</f>
        <v>N</v>
      </c>
      <c r="AK249" s="177"/>
      <c r="AL249" s="193" t="s">
        <v>227</v>
      </c>
    </row>
    <row r="250" s="220" customFormat="true" ht="23.25" hidden="false" customHeight="true" outlineLevel="0" collapsed="false">
      <c r="A250" s="200" t="n">
        <f aca="false">IF(B250="","",IF((YEAR(B250)-YEAR(B249))=0,A249+1,1))</f>
        <v>56</v>
      </c>
      <c r="B250" s="199" t="n">
        <v>43224</v>
      </c>
      <c r="C250" s="200" t="s">
        <v>103</v>
      </c>
      <c r="D250" s="200" t="s">
        <v>228</v>
      </c>
      <c r="E250" s="200"/>
      <c r="F250" s="200" t="s">
        <v>207</v>
      </c>
      <c r="G250" s="201" t="n">
        <v>43224</v>
      </c>
      <c r="H250" s="201" t="n">
        <v>43255</v>
      </c>
      <c r="I250" s="200" t="n">
        <f aca="false">H250-G250</f>
        <v>31</v>
      </c>
      <c r="J250" s="202" t="n">
        <f aca="false">TRUNC(I250/30,0)</f>
        <v>1</v>
      </c>
      <c r="K250" s="203" t="s">
        <v>99</v>
      </c>
      <c r="L250" s="204" t="n">
        <v>10</v>
      </c>
      <c r="M250" s="205"/>
      <c r="N250" s="206"/>
      <c r="O250" s="207"/>
      <c r="P250" s="207"/>
      <c r="Q250" s="208"/>
      <c r="R250" s="207"/>
      <c r="S250" s="209"/>
      <c r="T250" s="207"/>
      <c r="U250" s="209"/>
      <c r="V250" s="209"/>
      <c r="W250" s="209"/>
      <c r="X250" s="209"/>
      <c r="Y250" s="210" t="n">
        <v>0.008247</v>
      </c>
      <c r="Z250" s="209" t="n">
        <v>0.0033</v>
      </c>
      <c r="AA250" s="209" t="n">
        <v>0.002</v>
      </c>
      <c r="AB250" s="211" t="n">
        <f aca="false">S250-Z250</f>
        <v>-0.0033</v>
      </c>
      <c r="AC250" s="211" t="n">
        <f aca="false">U250-Z250-AA250</f>
        <v>-0.0053</v>
      </c>
      <c r="AD250" s="212" t="n">
        <v>0.013</v>
      </c>
      <c r="AE250" s="213" t="n">
        <f aca="false">IF(Y250="","",Y250)</f>
        <v>0.008247</v>
      </c>
      <c r="AF250" s="210" t="n">
        <v>0.004753</v>
      </c>
      <c r="AG250" s="214" t="n">
        <f aca="false">IF(AF250="","",AE250+AF250)</f>
        <v>0.013</v>
      </c>
      <c r="AH250" s="215"/>
      <c r="AI250" s="216" t="n">
        <v>2</v>
      </c>
      <c r="AJ250" s="217" t="str">
        <f aca="false">IF(AG250="","N","Y")</f>
        <v>Y</v>
      </c>
      <c r="AK250" s="218"/>
      <c r="AL250" s="226"/>
    </row>
    <row r="251" s="220" customFormat="true" ht="23.25" hidden="false" customHeight="true" outlineLevel="0" collapsed="false">
      <c r="A251" s="200" t="n">
        <f aca="false">IF(B251="","",IF((YEAR(B251)-YEAR(B250))=0,A250+1,1))</f>
        <v>57</v>
      </c>
      <c r="B251" s="199" t="n">
        <v>43224</v>
      </c>
      <c r="C251" s="200" t="s">
        <v>103</v>
      </c>
      <c r="D251" s="200" t="s">
        <v>228</v>
      </c>
      <c r="E251" s="200"/>
      <c r="F251" s="200" t="s">
        <v>174</v>
      </c>
      <c r="G251" s="201" t="n">
        <v>43224</v>
      </c>
      <c r="H251" s="201" t="n">
        <v>43255</v>
      </c>
      <c r="I251" s="200" t="n">
        <f aca="false">H251-G251</f>
        <v>31</v>
      </c>
      <c r="J251" s="202" t="n">
        <f aca="false">TRUNC(I251/30,0)</f>
        <v>1</v>
      </c>
      <c r="K251" s="203" t="s">
        <v>99</v>
      </c>
      <c r="L251" s="204" t="n">
        <v>5.623</v>
      </c>
      <c r="M251" s="205"/>
      <c r="N251" s="227"/>
      <c r="O251" s="228"/>
      <c r="P251" s="228"/>
      <c r="Q251" s="208"/>
      <c r="R251" s="207"/>
      <c r="S251" s="209"/>
      <c r="T251" s="207"/>
      <c r="U251" s="209"/>
      <c r="V251" s="209"/>
      <c r="W251" s="209"/>
      <c r="X251" s="209"/>
      <c r="Y251" s="210" t="n">
        <v>0.008247</v>
      </c>
      <c r="Z251" s="209" t="n">
        <v>0.0033</v>
      </c>
      <c r="AA251" s="209" t="n">
        <v>0.002</v>
      </c>
      <c r="AB251" s="211" t="n">
        <f aca="false">S251-Z251</f>
        <v>-0.0033</v>
      </c>
      <c r="AC251" s="211" t="n">
        <f aca="false">U251-Z251-AA251</f>
        <v>-0.0053</v>
      </c>
      <c r="AD251" s="212" t="n">
        <v>0.014</v>
      </c>
      <c r="AE251" s="213" t="n">
        <f aca="false">IF(Y251="","",Y251)</f>
        <v>0.008247</v>
      </c>
      <c r="AF251" s="210" t="n">
        <v>0.000253</v>
      </c>
      <c r="AG251" s="214" t="n">
        <f aca="false">IF(AF251="","",AE251+AF251)</f>
        <v>0.0085</v>
      </c>
      <c r="AH251" s="215"/>
      <c r="AI251" s="216" t="n">
        <v>3</v>
      </c>
      <c r="AJ251" s="217" t="str">
        <f aca="false">IF(AG251="","N","Y")</f>
        <v>Y</v>
      </c>
      <c r="AK251" s="218"/>
      <c r="AL251" s="226"/>
    </row>
    <row r="252" s="220" customFormat="true" ht="23.25" hidden="false" customHeight="true" outlineLevel="0" collapsed="false">
      <c r="A252" s="200" t="n">
        <f aca="false">IF(B252="","",IF((YEAR(B252)-YEAR(B251))=0,A251+1,1))</f>
        <v>58</v>
      </c>
      <c r="B252" s="199" t="n">
        <v>43228</v>
      </c>
      <c r="C252" s="200" t="s">
        <v>103</v>
      </c>
      <c r="D252" s="200" t="s">
        <v>228</v>
      </c>
      <c r="E252" s="200"/>
      <c r="F252" s="200" t="s">
        <v>229</v>
      </c>
      <c r="G252" s="201" t="n">
        <v>43228</v>
      </c>
      <c r="H252" s="201" t="n">
        <v>43255</v>
      </c>
      <c r="I252" s="200" t="n">
        <f aca="false">H252-G252</f>
        <v>27</v>
      </c>
      <c r="J252" s="202" t="n">
        <f aca="false">TRUNC(I252/30,0)</f>
        <v>0</v>
      </c>
      <c r="K252" s="203" t="s">
        <v>99</v>
      </c>
      <c r="L252" s="204" t="n">
        <v>2.5</v>
      </c>
      <c r="M252" s="205"/>
      <c r="N252" s="227"/>
      <c r="O252" s="228"/>
      <c r="P252" s="228"/>
      <c r="Q252" s="208" t="n">
        <v>0.019277</v>
      </c>
      <c r="R252" s="207"/>
      <c r="S252" s="209" t="n">
        <v>0.017</v>
      </c>
      <c r="T252" s="207"/>
      <c r="U252" s="209"/>
      <c r="V252" s="209"/>
      <c r="W252" s="209"/>
      <c r="X252" s="209"/>
      <c r="Y252" s="210" t="n">
        <v>0.008259</v>
      </c>
      <c r="Z252" s="209" t="n">
        <v>0.0033</v>
      </c>
      <c r="AA252" s="209" t="n">
        <v>0.002</v>
      </c>
      <c r="AB252" s="211" t="n">
        <f aca="false">S252-Z252</f>
        <v>0.0137</v>
      </c>
      <c r="AC252" s="211" t="n">
        <f aca="false">U252-Z252-AA252</f>
        <v>-0.0053</v>
      </c>
      <c r="AD252" s="212" t="n">
        <v>0.0085</v>
      </c>
      <c r="AE252" s="213" t="n">
        <f aca="false">IF(Y252="","",Y252)</f>
        <v>0.008259</v>
      </c>
      <c r="AF252" s="210" t="n">
        <f aca="false">AD252-AE252</f>
        <v>0.000241</v>
      </c>
      <c r="AG252" s="214" t="n">
        <f aca="false">IF(AF252="","",AE252+AF252)</f>
        <v>0.0085</v>
      </c>
      <c r="AH252" s="215"/>
      <c r="AI252" s="216" t="n">
        <v>1</v>
      </c>
      <c r="AJ252" s="217" t="str">
        <f aca="false">IF(AG252="","N","Y")</f>
        <v>Y</v>
      </c>
      <c r="AK252" s="218"/>
      <c r="AL252" s="229"/>
    </row>
    <row r="253" s="140" customFormat="true" ht="23.25" hidden="false" customHeight="true" outlineLevel="0" collapsed="false">
      <c r="A253" s="116" t="n">
        <f aca="false">IF(B253="","",IF((YEAR(B253)-YEAR(B252))=0,A252+1,1))</f>
        <v>59</v>
      </c>
      <c r="B253" s="160" t="n">
        <v>43229</v>
      </c>
      <c r="C253" s="161" t="s">
        <v>100</v>
      </c>
      <c r="D253" s="161" t="s">
        <v>101</v>
      </c>
      <c r="E253" s="116"/>
      <c r="F253" s="161" t="s">
        <v>102</v>
      </c>
      <c r="G253" s="162" t="n">
        <v>43229</v>
      </c>
      <c r="H253" s="162" t="n">
        <v>43276</v>
      </c>
      <c r="I253" s="116" t="n">
        <f aca="false">H253-G253</f>
        <v>47</v>
      </c>
      <c r="J253" s="122" t="n">
        <f aca="false">TRUNC(I253/30,0)</f>
        <v>1</v>
      </c>
      <c r="K253" s="180" t="s">
        <v>95</v>
      </c>
      <c r="L253" s="166" t="n">
        <v>35</v>
      </c>
      <c r="M253" s="167"/>
      <c r="N253" s="168"/>
      <c r="O253" s="169"/>
      <c r="P253" s="169"/>
      <c r="Q253" s="170" t="n">
        <v>0.0150846</v>
      </c>
      <c r="R253" s="171"/>
      <c r="S253" s="172" t="n">
        <v>0.021</v>
      </c>
      <c r="T253" s="171"/>
      <c r="U253" s="172"/>
      <c r="V253" s="172"/>
      <c r="W253" s="172"/>
      <c r="X253" s="172"/>
      <c r="Y253" s="173" t="n">
        <v>0.013754</v>
      </c>
      <c r="Z253" s="172" t="n">
        <v>0.002</v>
      </c>
      <c r="AA253" s="172" t="n">
        <v>0.002</v>
      </c>
      <c r="AB253" s="174" t="n">
        <f aca="false">S253-Z253</f>
        <v>0.019</v>
      </c>
      <c r="AC253" s="174" t="n">
        <f aca="false">U253-Z253-AA253</f>
        <v>-0.004</v>
      </c>
      <c r="AD253" s="175" t="n">
        <v>0.0194</v>
      </c>
      <c r="AE253" s="130" t="n">
        <f aca="false">IF(Y253="","",Y253)</f>
        <v>0.013754</v>
      </c>
      <c r="AF253" s="173"/>
      <c r="AG253" s="186" t="str">
        <f aca="false">IF(AF253="","",AE253+AF253)</f>
        <v/>
      </c>
      <c r="AH253" s="187"/>
      <c r="AI253" s="176"/>
      <c r="AJ253" s="116" t="str">
        <f aca="false">IF(AG253="","N","Y")</f>
        <v>N</v>
      </c>
      <c r="AK253" s="177"/>
      <c r="AL253" s="138"/>
    </row>
    <row r="254" s="140" customFormat="true" ht="23.25" hidden="false" customHeight="true" outlineLevel="0" collapsed="false">
      <c r="A254" s="116" t="n">
        <f aca="false">IF(B254="","",IF((YEAR(B254)-YEAR(B253))=0,A253+1,1))</f>
        <v>60</v>
      </c>
      <c r="B254" s="160" t="n">
        <v>43229</v>
      </c>
      <c r="C254" s="161" t="s">
        <v>103</v>
      </c>
      <c r="D254" s="161" t="s">
        <v>206</v>
      </c>
      <c r="E254" s="116"/>
      <c r="F254" s="161" t="s">
        <v>217</v>
      </c>
      <c r="G254" s="162" t="n">
        <v>43229</v>
      </c>
      <c r="H254" s="162" t="n">
        <v>43260</v>
      </c>
      <c r="I254" s="116" t="n">
        <f aca="false">H254-G254</f>
        <v>31</v>
      </c>
      <c r="J254" s="122" t="n">
        <f aca="false">TRUNC(I254/30,0)</f>
        <v>1</v>
      </c>
      <c r="K254" s="180" t="s">
        <v>95</v>
      </c>
      <c r="L254" s="166" t="n">
        <v>10</v>
      </c>
      <c r="M254" s="167"/>
      <c r="N254" s="168"/>
      <c r="O254" s="169"/>
      <c r="P254" s="169"/>
      <c r="Q254" s="170" t="n">
        <v>0.0150846</v>
      </c>
      <c r="R254" s="171"/>
      <c r="S254" s="172" t="n">
        <v>0.02</v>
      </c>
      <c r="T254" s="171"/>
      <c r="U254" s="172"/>
      <c r="V254" s="172"/>
      <c r="W254" s="172"/>
      <c r="X254" s="172"/>
      <c r="Y254" s="173" t="n">
        <v>0.0138</v>
      </c>
      <c r="Z254" s="172" t="n">
        <v>0.002</v>
      </c>
      <c r="AA254" s="172" t="n">
        <v>0.002</v>
      </c>
      <c r="AB254" s="174" t="n">
        <f aca="false">S254-Z254</f>
        <v>0.018</v>
      </c>
      <c r="AC254" s="174" t="n">
        <f aca="false">U254-Z254-AA254</f>
        <v>-0.004</v>
      </c>
      <c r="AD254" s="175" t="n">
        <v>0.018</v>
      </c>
      <c r="AE254" s="130" t="n">
        <f aca="false">IF(Y254="","",Y254)</f>
        <v>0.0138</v>
      </c>
      <c r="AF254" s="173"/>
      <c r="AG254" s="186" t="str">
        <f aca="false">IF(AF254="","",AE254+AF254)</f>
        <v/>
      </c>
      <c r="AH254" s="187"/>
      <c r="AI254" s="176"/>
      <c r="AJ254" s="116" t="str">
        <f aca="false">IF(AG254="","N","Y")</f>
        <v>N</v>
      </c>
      <c r="AK254" s="177"/>
      <c r="AL254" s="191" t="s">
        <v>230</v>
      </c>
    </row>
    <row r="255" s="140" customFormat="true" ht="23.25" hidden="false" customHeight="true" outlineLevel="0" collapsed="false">
      <c r="A255" s="116" t="n">
        <f aca="false">IF(B255="","",IF((YEAR(B255)-YEAR(B254))=0,A254+1,1))</f>
        <v>61</v>
      </c>
      <c r="B255" s="160" t="n">
        <v>43230</v>
      </c>
      <c r="C255" s="161" t="s">
        <v>187</v>
      </c>
      <c r="D255" s="161" t="s">
        <v>231</v>
      </c>
      <c r="E255" s="116"/>
      <c r="F255" s="161" t="s">
        <v>232</v>
      </c>
      <c r="G255" s="162" t="n">
        <v>43230</v>
      </c>
      <c r="H255" s="162" t="n">
        <v>43261</v>
      </c>
      <c r="I255" s="116" t="n">
        <f aca="false">H255-G255</f>
        <v>31</v>
      </c>
      <c r="J255" s="122" t="n">
        <f aca="false">TRUNC(I255/30,0)</f>
        <v>1</v>
      </c>
      <c r="K255" s="180" t="s">
        <v>95</v>
      </c>
      <c r="L255" s="166" t="n">
        <v>1</v>
      </c>
      <c r="M255" s="167"/>
      <c r="N255" s="168"/>
      <c r="O255" s="169"/>
      <c r="P255" s="169"/>
      <c r="Q255" s="170" t="n">
        <v>0.0192851</v>
      </c>
      <c r="R255" s="171"/>
      <c r="S255" s="172" t="n">
        <v>0.019</v>
      </c>
      <c r="T255" s="171"/>
      <c r="U255" s="172"/>
      <c r="V255" s="172"/>
      <c r="W255" s="172"/>
      <c r="X255" s="172"/>
      <c r="Y255" s="173" t="n">
        <v>0.0138</v>
      </c>
      <c r="Z255" s="172" t="n">
        <v>0.002</v>
      </c>
      <c r="AA255" s="172" t="n">
        <v>0.002</v>
      </c>
      <c r="AB255" s="174" t="n">
        <f aca="false">S255-Z255</f>
        <v>0.017</v>
      </c>
      <c r="AC255" s="174" t="n">
        <f aca="false">U255-Z255-AA255</f>
        <v>-0.004</v>
      </c>
      <c r="AD255" s="175" t="n">
        <v>0.016</v>
      </c>
      <c r="AE255" s="130" t="n">
        <f aca="false">IF(Y255="","",Y255)</f>
        <v>0.0138</v>
      </c>
      <c r="AF255" s="173"/>
      <c r="AG255" s="186" t="str">
        <f aca="false">IF(AF255="","",AE255+AF255)</f>
        <v/>
      </c>
      <c r="AH255" s="187"/>
      <c r="AI255" s="176"/>
      <c r="AJ255" s="116" t="str">
        <f aca="false">IF(AG255="","N","Y")</f>
        <v>N</v>
      </c>
      <c r="AK255" s="177"/>
      <c r="AL255" s="138" t="s">
        <v>230</v>
      </c>
    </row>
    <row r="256" s="140" customFormat="true" ht="23.25" hidden="false" customHeight="true" outlineLevel="0" collapsed="false">
      <c r="A256" s="116" t="n">
        <f aca="false">IF(B256="","",IF((YEAR(B256)-YEAR(B255))=0,A255+1,1))</f>
        <v>62</v>
      </c>
      <c r="B256" s="160" t="n">
        <v>43231</v>
      </c>
      <c r="C256" s="161" t="s">
        <v>187</v>
      </c>
      <c r="D256" s="161" t="s">
        <v>231</v>
      </c>
      <c r="E256" s="116"/>
      <c r="F256" s="161" t="s">
        <v>232</v>
      </c>
      <c r="G256" s="162" t="n">
        <v>43231</v>
      </c>
      <c r="H256" s="162" t="n">
        <v>43627</v>
      </c>
      <c r="I256" s="116" t="n">
        <f aca="false">H256-G256</f>
        <v>396</v>
      </c>
      <c r="J256" s="122" t="n">
        <f aca="false">TRUNC(I256/30,0)</f>
        <v>13</v>
      </c>
      <c r="K256" s="180" t="s">
        <v>95</v>
      </c>
      <c r="L256" s="166" t="n">
        <v>1</v>
      </c>
      <c r="M256" s="167"/>
      <c r="N256" s="168"/>
      <c r="O256" s="169"/>
      <c r="P256" s="169"/>
      <c r="Q256" s="170" t="n">
        <v>0.0277666</v>
      </c>
      <c r="R256" s="171"/>
      <c r="S256" s="172" t="n">
        <v>0.027</v>
      </c>
      <c r="T256" s="171"/>
      <c r="U256" s="172"/>
      <c r="V256" s="172"/>
      <c r="W256" s="172"/>
      <c r="X256" s="172"/>
      <c r="Y256" s="173" t="n">
        <v>0.021</v>
      </c>
      <c r="Z256" s="172" t="n">
        <v>0.002</v>
      </c>
      <c r="AA256" s="172" t="n">
        <v>0.002</v>
      </c>
      <c r="AB256" s="174" t="n">
        <f aca="false">S256-Z256</f>
        <v>0.025</v>
      </c>
      <c r="AC256" s="174" t="n">
        <f aca="false">U256-Z256-AA256</f>
        <v>-0.004</v>
      </c>
      <c r="AD256" s="175" t="n">
        <v>0.0235</v>
      </c>
      <c r="AE256" s="130" t="n">
        <f aca="false">IF(Y256="","",Y256)</f>
        <v>0.021</v>
      </c>
      <c r="AF256" s="173"/>
      <c r="AG256" s="186" t="str">
        <f aca="false">IF(AF256="","",AE256+AF256)</f>
        <v/>
      </c>
      <c r="AH256" s="187"/>
      <c r="AI256" s="176"/>
      <c r="AJ256" s="116" t="str">
        <f aca="false">IF(AG256="","N","Y")</f>
        <v>N</v>
      </c>
      <c r="AK256" s="177"/>
      <c r="AL256" s="193" t="s">
        <v>233</v>
      </c>
    </row>
    <row r="257" s="220" customFormat="true" ht="23.25" hidden="false" customHeight="true" outlineLevel="0" collapsed="false">
      <c r="A257" s="200" t="n">
        <f aca="false">IF(B257="","",IF((YEAR(B257)-YEAR(B256))=0,A256+1,1))</f>
        <v>63</v>
      </c>
      <c r="B257" s="199" t="n">
        <v>43238</v>
      </c>
      <c r="C257" s="200" t="s">
        <v>96</v>
      </c>
      <c r="D257" s="200" t="s">
        <v>142</v>
      </c>
      <c r="E257" s="200"/>
      <c r="F257" s="198" t="s">
        <v>112</v>
      </c>
      <c r="G257" s="201" t="n">
        <v>43238</v>
      </c>
      <c r="H257" s="201" t="n">
        <v>43269</v>
      </c>
      <c r="I257" s="200" t="n">
        <f aca="false">H257-G257</f>
        <v>31</v>
      </c>
      <c r="J257" s="202" t="n">
        <f aca="false">TRUNC(I257/30,0)</f>
        <v>1</v>
      </c>
      <c r="K257" s="203" t="s">
        <v>99</v>
      </c>
      <c r="L257" s="230" t="n">
        <v>150</v>
      </c>
      <c r="M257" s="205"/>
      <c r="N257" s="227"/>
      <c r="O257" s="228"/>
      <c r="P257" s="228"/>
      <c r="Q257" s="208" t="n">
        <v>0.01706</v>
      </c>
      <c r="R257" s="207"/>
      <c r="S257" s="209" t="n">
        <v>0.02</v>
      </c>
      <c r="T257" s="207"/>
      <c r="U257" s="209" t="n">
        <v>0.0233</v>
      </c>
      <c r="V257" s="209"/>
      <c r="W257" s="209"/>
      <c r="X257" s="209"/>
      <c r="Y257" s="210" t="n">
        <v>0.008224</v>
      </c>
      <c r="Z257" s="209" t="n">
        <v>0.0033</v>
      </c>
      <c r="AA257" s="209" t="n">
        <v>0.002</v>
      </c>
      <c r="AB257" s="211" t="n">
        <f aca="false">S257-Z257</f>
        <v>0.0167</v>
      </c>
      <c r="AC257" s="211" t="n">
        <f aca="false">U257-Z257-AA257</f>
        <v>0.018</v>
      </c>
      <c r="AD257" s="231" t="n">
        <v>0.015</v>
      </c>
      <c r="AE257" s="213" t="n">
        <f aca="false">IF(Y257="","",Y257)</f>
        <v>0.008224</v>
      </c>
      <c r="AF257" s="210" t="n">
        <v>0.006776</v>
      </c>
      <c r="AG257" s="214" t="n">
        <f aca="false">IF(AF257="","",AE257+AF257)</f>
        <v>0.015</v>
      </c>
      <c r="AH257" s="215"/>
      <c r="AI257" s="216" t="n">
        <v>1</v>
      </c>
      <c r="AJ257" s="217" t="str">
        <f aca="false">IF(AG257="","N","Y")</f>
        <v>Y</v>
      </c>
      <c r="AK257" s="218"/>
      <c r="AL257" s="226"/>
    </row>
    <row r="258" s="220" customFormat="true" ht="23.25" hidden="false" customHeight="true" outlineLevel="0" collapsed="false">
      <c r="A258" s="200" t="n">
        <f aca="false">IF(B258="","",IF((YEAR(B258)-YEAR(B257))=0,A257+1,1))</f>
        <v>64</v>
      </c>
      <c r="B258" s="199" t="n">
        <v>43243</v>
      </c>
      <c r="C258" s="200" t="s">
        <v>89</v>
      </c>
      <c r="D258" s="200" t="s">
        <v>234</v>
      </c>
      <c r="E258" s="200" t="s">
        <v>167</v>
      </c>
      <c r="F258" s="200" t="s">
        <v>195</v>
      </c>
      <c r="G258" s="201" t="n">
        <v>43243</v>
      </c>
      <c r="H258" s="201" t="n">
        <v>43274</v>
      </c>
      <c r="I258" s="200" t="n">
        <f aca="false">H258-G258</f>
        <v>31</v>
      </c>
      <c r="J258" s="202" t="n">
        <f aca="false">TRUNC(I258/30,0)</f>
        <v>1</v>
      </c>
      <c r="K258" s="203" t="s">
        <v>99</v>
      </c>
      <c r="L258" s="204" t="n">
        <v>10</v>
      </c>
      <c r="M258" s="205"/>
      <c r="N258" s="206"/>
      <c r="O258" s="207"/>
      <c r="P258" s="207"/>
      <c r="Q258" s="208" t="n">
        <v>0.0147875</v>
      </c>
      <c r="R258" s="207"/>
      <c r="S258" s="209" t="n">
        <v>0.019</v>
      </c>
      <c r="T258" s="207"/>
      <c r="U258" s="209"/>
      <c r="V258" s="209"/>
      <c r="W258" s="209"/>
      <c r="X258" s="209"/>
      <c r="Y258" s="210" t="n">
        <v>0.008227</v>
      </c>
      <c r="Z258" s="209" t="n">
        <v>0.0033</v>
      </c>
      <c r="AA258" s="209" t="n">
        <v>0.002</v>
      </c>
      <c r="AB258" s="211" t="n">
        <f aca="false">S258-Z258</f>
        <v>0.0157</v>
      </c>
      <c r="AC258" s="211" t="n">
        <f aca="false">U258-Z258-AA258</f>
        <v>-0.0053</v>
      </c>
      <c r="AD258" s="212" t="n">
        <v>0.011</v>
      </c>
      <c r="AE258" s="213" t="n">
        <f aca="false">IF(Y258="","",Y258)</f>
        <v>0.008227</v>
      </c>
      <c r="AF258" s="210" t="n">
        <v>0.001773</v>
      </c>
      <c r="AG258" s="214" t="n">
        <f aca="false">IF(AF258="","",AE258+AF258)</f>
        <v>0.01</v>
      </c>
      <c r="AH258" s="215"/>
      <c r="AI258" s="216" t="n">
        <v>1</v>
      </c>
      <c r="AJ258" s="217" t="str">
        <f aca="false">IF(AG258="","N","Y")</f>
        <v>Y</v>
      </c>
      <c r="AK258" s="218"/>
      <c r="AL258" s="226"/>
    </row>
    <row r="259" s="38" customFormat="true" ht="23.25" hidden="false" customHeight="true" outlineLevel="0" collapsed="false">
      <c r="A259" s="19" t="n">
        <f aca="false">IF(B259="","",IF((YEAR(B259)-YEAR(B258))=0,A258+1,1))</f>
        <v>65</v>
      </c>
      <c r="B259" s="141" t="n">
        <v>43244</v>
      </c>
      <c r="C259" s="63" t="s">
        <v>100</v>
      </c>
      <c r="D259" s="63" t="s">
        <v>101</v>
      </c>
      <c r="E259" s="19"/>
      <c r="F259" s="63" t="s">
        <v>102</v>
      </c>
      <c r="G259" s="142" t="n">
        <v>43244</v>
      </c>
      <c r="H259" s="142" t="n">
        <v>43278</v>
      </c>
      <c r="I259" s="19" t="n">
        <f aca="false">H259-G259</f>
        <v>34</v>
      </c>
      <c r="J259" s="100" t="n">
        <f aca="false">TRUNC(I259/30,0)</f>
        <v>1</v>
      </c>
      <c r="K259" s="183" t="s">
        <v>95</v>
      </c>
      <c r="L259" s="146" t="n">
        <v>20</v>
      </c>
      <c r="M259" s="147"/>
      <c r="N259" s="148"/>
      <c r="O259" s="149"/>
      <c r="P259" s="149"/>
      <c r="Q259" s="150" t="n">
        <v>0.0195969</v>
      </c>
      <c r="R259" s="151"/>
      <c r="S259" s="152" t="n">
        <v>0.021</v>
      </c>
      <c r="T259" s="151"/>
      <c r="U259" s="152" t="n">
        <v>0.023509</v>
      </c>
      <c r="V259" s="152" t="n">
        <v>0.021686</v>
      </c>
      <c r="W259" s="152" t="n">
        <v>0.000434</v>
      </c>
      <c r="X259" s="152" t="n">
        <f aca="false">IF(V259="","",V259-AD259-W259)</f>
        <v>0.001252</v>
      </c>
      <c r="Y259" s="153" t="n">
        <v>0.013879</v>
      </c>
      <c r="Z259" s="152" t="n">
        <v>0.002</v>
      </c>
      <c r="AA259" s="152" t="n">
        <v>0.002</v>
      </c>
      <c r="AB259" s="154" t="n">
        <f aca="false">S259-Z259</f>
        <v>0.019</v>
      </c>
      <c r="AC259" s="154" t="n">
        <f aca="false">U259-Z259-AA259</f>
        <v>0.019509</v>
      </c>
      <c r="AD259" s="155" t="n">
        <v>0.02</v>
      </c>
      <c r="AE259" s="156" t="n">
        <f aca="false">IF(Y259="","",Y259)</f>
        <v>0.013879</v>
      </c>
      <c r="AF259" s="153" t="n">
        <v>0.005821</v>
      </c>
      <c r="AG259" s="184" t="n">
        <f aca="false">IF(AF259="","",AE259+AF259)</f>
        <v>0.0197</v>
      </c>
      <c r="AH259" s="185"/>
      <c r="AI259" s="35" t="n">
        <v>1</v>
      </c>
      <c r="AJ259" s="19" t="str">
        <f aca="false">IF(AG259="","N","Y")</f>
        <v>Y</v>
      </c>
      <c r="AK259" s="159"/>
      <c r="AL259" s="232" t="s">
        <v>235</v>
      </c>
    </row>
    <row r="260" s="38" customFormat="true" ht="23.25" hidden="false" customHeight="true" outlineLevel="0" collapsed="false">
      <c r="A260" s="19" t="n">
        <f aca="false">IF(B260="","",IF((YEAR(B260)-YEAR(B259))=0,A259+1,1))</f>
        <v>66</v>
      </c>
      <c r="B260" s="141" t="n">
        <v>43245</v>
      </c>
      <c r="C260" s="63" t="s">
        <v>103</v>
      </c>
      <c r="D260" s="63" t="s">
        <v>216</v>
      </c>
      <c r="E260" s="19"/>
      <c r="F260" s="63" t="s">
        <v>217</v>
      </c>
      <c r="G260" s="142" t="n">
        <v>43245</v>
      </c>
      <c r="H260" s="142" t="n">
        <v>43276</v>
      </c>
      <c r="I260" s="19" t="n">
        <f aca="false">H260-G260</f>
        <v>31</v>
      </c>
      <c r="J260" s="100" t="n">
        <f aca="false">TRUNC(I260/30,0)</f>
        <v>1</v>
      </c>
      <c r="K260" s="183" t="s">
        <v>95</v>
      </c>
      <c r="L260" s="223" t="n">
        <v>20</v>
      </c>
      <c r="M260" s="147"/>
      <c r="N260" s="197"/>
      <c r="O260" s="151"/>
      <c r="P260" s="151"/>
      <c r="Q260" s="150" t="n">
        <v>0.0196827</v>
      </c>
      <c r="R260" s="151"/>
      <c r="S260" s="152" t="n">
        <v>0.021</v>
      </c>
      <c r="T260" s="151"/>
      <c r="U260" s="152" t="n">
        <v>0.023509</v>
      </c>
      <c r="V260" s="152" t="n">
        <v>0.025822</v>
      </c>
      <c r="W260" s="152" t="n">
        <v>0.000516</v>
      </c>
      <c r="X260" s="152" t="n">
        <f aca="false">IF(V260="","",V260-AD260-W260)</f>
        <v>0.006306</v>
      </c>
      <c r="Y260" s="153" t="n">
        <v>0.013964</v>
      </c>
      <c r="Z260" s="152" t="n">
        <v>0.002</v>
      </c>
      <c r="AA260" s="152" t="n">
        <v>0.002</v>
      </c>
      <c r="AB260" s="154" t="n">
        <f aca="false">S260-Z260</f>
        <v>0.019</v>
      </c>
      <c r="AC260" s="154" t="n">
        <f aca="false">U260-Z260-AA260</f>
        <v>0.019509</v>
      </c>
      <c r="AD260" s="155" t="n">
        <v>0.019</v>
      </c>
      <c r="AE260" s="156" t="n">
        <f aca="false">IF(Y260="","",Y260)</f>
        <v>0.013964</v>
      </c>
      <c r="AF260" s="153" t="n">
        <v>0.005036</v>
      </c>
      <c r="AG260" s="184" t="n">
        <f aca="false">IF(AF260="","",AE260+AF260)</f>
        <v>0.019</v>
      </c>
      <c r="AH260" s="185"/>
      <c r="AI260" s="35" t="n">
        <v>1</v>
      </c>
      <c r="AJ260" s="19" t="str">
        <f aca="false">IF(AG260="","N","Y")</f>
        <v>Y</v>
      </c>
      <c r="AK260" s="159"/>
      <c r="AL260" s="225" t="s">
        <v>236</v>
      </c>
    </row>
    <row r="261" s="38" customFormat="true" ht="23.25" hidden="false" customHeight="true" outlineLevel="0" collapsed="false">
      <c r="A261" s="19" t="n">
        <f aca="false">IF(B261="","",IF((YEAR(B261)-YEAR(B260))=0,A260+1,1))</f>
        <v>67</v>
      </c>
      <c r="B261" s="141" t="n">
        <v>43245</v>
      </c>
      <c r="C261" s="63" t="s">
        <v>187</v>
      </c>
      <c r="D261" s="63" t="s">
        <v>231</v>
      </c>
      <c r="E261" s="19"/>
      <c r="F261" s="63" t="s">
        <v>232</v>
      </c>
      <c r="G261" s="142" t="n">
        <v>43245</v>
      </c>
      <c r="H261" s="142" t="n">
        <v>43612</v>
      </c>
      <c r="I261" s="19" t="n">
        <f aca="false">H261-G261</f>
        <v>367</v>
      </c>
      <c r="J261" s="100" t="n">
        <f aca="false">TRUNC(I261/30,0)</f>
        <v>12</v>
      </c>
      <c r="K261" s="183" t="s">
        <v>95</v>
      </c>
      <c r="L261" s="146" t="n">
        <v>1</v>
      </c>
      <c r="M261" s="147"/>
      <c r="N261" s="148"/>
      <c r="O261" s="149"/>
      <c r="P261" s="149"/>
      <c r="Q261" s="150" t="n">
        <v>0.0273742</v>
      </c>
      <c r="R261" s="151"/>
      <c r="S261" s="152" t="n">
        <v>0.028</v>
      </c>
      <c r="T261" s="151"/>
      <c r="U261" s="152" t="n">
        <v>0.028984</v>
      </c>
      <c r="V261" s="152" t="n">
        <v>0.034541</v>
      </c>
      <c r="W261" s="152" t="n">
        <v>0.000691</v>
      </c>
      <c r="X261" s="152" t="n">
        <f aca="false">IF(V261="","",V261-AD261-W261)</f>
        <v>0.00785</v>
      </c>
      <c r="Y261" s="153" t="n">
        <v>0.020728</v>
      </c>
      <c r="Z261" s="152" t="n">
        <v>0.002</v>
      </c>
      <c r="AA261" s="152" t="n">
        <v>0.002</v>
      </c>
      <c r="AB261" s="154" t="n">
        <f aca="false">S261-Z261</f>
        <v>0.026</v>
      </c>
      <c r="AC261" s="154" t="n">
        <f aca="false">U261-Z261-AA261</f>
        <v>0.024984</v>
      </c>
      <c r="AD261" s="155" t="n">
        <v>0.026</v>
      </c>
      <c r="AE261" s="156" t="n">
        <f aca="false">IF(Y261="","",Y261)</f>
        <v>0.020728</v>
      </c>
      <c r="AF261" s="153" t="n">
        <v>0.005272</v>
      </c>
      <c r="AG261" s="184" t="n">
        <f aca="false">IF(AF261="","",AE261+AF261)</f>
        <v>0.026</v>
      </c>
      <c r="AH261" s="185"/>
      <c r="AI261" s="35" t="n">
        <v>4</v>
      </c>
      <c r="AJ261" s="19" t="str">
        <f aca="false">IF(AG261="","N","Y")</f>
        <v>Y</v>
      </c>
      <c r="AK261" s="159"/>
      <c r="AL261" s="196" t="s">
        <v>237</v>
      </c>
    </row>
    <row r="262" s="140" customFormat="true" ht="23.25" hidden="false" customHeight="true" outlineLevel="0" collapsed="false">
      <c r="A262" s="116" t="n">
        <f aca="false">IF(B262="","",IF((YEAR(B262)-YEAR(B261))=0,A261+1,1))</f>
        <v>68</v>
      </c>
      <c r="B262" s="160" t="n">
        <v>43248</v>
      </c>
      <c r="C262" s="161" t="s">
        <v>187</v>
      </c>
      <c r="D262" s="161" t="s">
        <v>231</v>
      </c>
      <c r="E262" s="116"/>
      <c r="F262" s="116"/>
      <c r="G262" s="162" t="n">
        <v>43248</v>
      </c>
      <c r="H262" s="162" t="n">
        <v>43279</v>
      </c>
      <c r="I262" s="116" t="n">
        <f aca="false">H262-G262</f>
        <v>31</v>
      </c>
      <c r="J262" s="122" t="n">
        <f aca="false">TRUNC(I262/30,0)</f>
        <v>1</v>
      </c>
      <c r="K262" s="180" t="s">
        <v>95</v>
      </c>
      <c r="L262" s="166" t="n">
        <v>2.3</v>
      </c>
      <c r="M262" s="167"/>
      <c r="N262" s="168"/>
      <c r="O262" s="169"/>
      <c r="P262" s="169"/>
      <c r="Q262" s="170" t="n">
        <v>0.0196827</v>
      </c>
      <c r="R262" s="171"/>
      <c r="S262" s="172" t="n">
        <v>0.028</v>
      </c>
      <c r="T262" s="171"/>
      <c r="U262" s="172"/>
      <c r="V262" s="172" t="n">
        <v>0.034541</v>
      </c>
      <c r="W262" s="172" t="n">
        <v>0.000691</v>
      </c>
      <c r="X262" s="172" t="n">
        <f aca="false">IF(V262="","",V262-AD262-W262)</f>
        <v>0.01485</v>
      </c>
      <c r="Y262" s="173"/>
      <c r="Z262" s="172" t="n">
        <v>0.002</v>
      </c>
      <c r="AA262" s="172" t="n">
        <v>0.002</v>
      </c>
      <c r="AB262" s="174" t="n">
        <f aca="false">S262-Z262</f>
        <v>0.026</v>
      </c>
      <c r="AC262" s="174" t="n">
        <f aca="false">U262-Z262-AA262</f>
        <v>-0.004</v>
      </c>
      <c r="AD262" s="175" t="n">
        <v>0.019</v>
      </c>
      <c r="AE262" s="130" t="str">
        <f aca="false">IF(Y262="","",Y262)</f>
        <v/>
      </c>
      <c r="AF262" s="173"/>
      <c r="AG262" s="186" t="str">
        <f aca="false">IF(AF262="","",AE262+AF262)</f>
        <v/>
      </c>
      <c r="AH262" s="187"/>
      <c r="AI262" s="176"/>
      <c r="AJ262" s="116" t="str">
        <f aca="false">IF(AG262="","N","Y")</f>
        <v>N</v>
      </c>
      <c r="AK262" s="177"/>
      <c r="AL262" s="191"/>
    </row>
    <row r="263" s="140" customFormat="true" ht="23.25" hidden="false" customHeight="true" outlineLevel="0" collapsed="false">
      <c r="A263" s="116" t="n">
        <f aca="false">IF(B263="","",IF((YEAR(B263)-YEAR(B262))=0,A262+1,1))</f>
        <v>69</v>
      </c>
      <c r="B263" s="160" t="n">
        <v>43248</v>
      </c>
      <c r="C263" s="161" t="s">
        <v>187</v>
      </c>
      <c r="D263" s="161" t="s">
        <v>231</v>
      </c>
      <c r="E263" s="116"/>
      <c r="F263" s="116"/>
      <c r="G263" s="162" t="n">
        <v>43248</v>
      </c>
      <c r="H263" s="162" t="n">
        <v>43340</v>
      </c>
      <c r="I263" s="116" t="n">
        <f aca="false">H263-G263</f>
        <v>92</v>
      </c>
      <c r="J263" s="122" t="n">
        <f aca="false">TRUNC(I263/30,0)</f>
        <v>3</v>
      </c>
      <c r="K263" s="180" t="s">
        <v>95</v>
      </c>
      <c r="L263" s="166" t="n">
        <v>2.3</v>
      </c>
      <c r="M263" s="167"/>
      <c r="N263" s="168"/>
      <c r="O263" s="169"/>
      <c r="P263" s="169"/>
      <c r="Q263" s="170" t="n">
        <v>0.0231938</v>
      </c>
      <c r="R263" s="171"/>
      <c r="S263" s="172" t="n">
        <v>0.028</v>
      </c>
      <c r="T263" s="171"/>
      <c r="U263" s="172"/>
      <c r="V263" s="172" t="n">
        <v>0.034541</v>
      </c>
      <c r="W263" s="172" t="n">
        <v>0.000691</v>
      </c>
      <c r="X263" s="172" t="n">
        <f aca="false">IF(V263="","",V263-AD263-W263)</f>
        <v>0.01285</v>
      </c>
      <c r="Y263" s="173"/>
      <c r="Z263" s="172" t="n">
        <v>0.002</v>
      </c>
      <c r="AA263" s="172" t="n">
        <v>0.002</v>
      </c>
      <c r="AB263" s="174" t="n">
        <f aca="false">S263-Z263</f>
        <v>0.026</v>
      </c>
      <c r="AC263" s="174" t="n">
        <f aca="false">U263-Z263-AA263</f>
        <v>-0.004</v>
      </c>
      <c r="AD263" s="175" t="n">
        <v>0.021</v>
      </c>
      <c r="AE263" s="130" t="str">
        <f aca="false">IF(Y263="","",Y263)</f>
        <v/>
      </c>
      <c r="AF263" s="173"/>
      <c r="AG263" s="186" t="str">
        <f aca="false">IF(AF263="","",AE263+AF263)</f>
        <v/>
      </c>
      <c r="AH263" s="187"/>
      <c r="AI263" s="176"/>
      <c r="AJ263" s="116" t="str">
        <f aca="false">IF(AG263="","N","Y")</f>
        <v>N</v>
      </c>
      <c r="AK263" s="177"/>
      <c r="AL263" s="191"/>
    </row>
    <row r="264" s="140" customFormat="true" ht="23.25" hidden="false" customHeight="true" outlineLevel="0" collapsed="false">
      <c r="A264" s="116" t="n">
        <f aca="false">IF(B264="","",IF((YEAR(B264)-YEAR(B263))=0,A263+1,1))</f>
        <v>70</v>
      </c>
      <c r="B264" s="160" t="n">
        <v>43249</v>
      </c>
      <c r="C264" s="161" t="s">
        <v>96</v>
      </c>
      <c r="D264" s="116"/>
      <c r="E264" s="161" t="s">
        <v>97</v>
      </c>
      <c r="F264" s="161" t="s">
        <v>98</v>
      </c>
      <c r="G264" s="162" t="n">
        <v>43250</v>
      </c>
      <c r="H264" s="162" t="n">
        <v>43342</v>
      </c>
      <c r="I264" s="116" t="n">
        <f aca="false">H264-G264</f>
        <v>92</v>
      </c>
      <c r="J264" s="122" t="n">
        <f aca="false">TRUNC(I264/30,0)</f>
        <v>3</v>
      </c>
      <c r="K264" s="180" t="s">
        <v>95</v>
      </c>
      <c r="L264" s="166" t="n">
        <v>50</v>
      </c>
      <c r="M264" s="167"/>
      <c r="N264" s="168" t="s">
        <v>238</v>
      </c>
      <c r="O264" s="169"/>
      <c r="P264" s="169"/>
      <c r="Q264" s="170" t="n">
        <v>0.0231813</v>
      </c>
      <c r="R264" s="171"/>
      <c r="S264" s="172" t="n">
        <v>0.0233</v>
      </c>
      <c r="T264" s="171"/>
      <c r="U264" s="172" t="n">
        <v>0.026531</v>
      </c>
      <c r="V264" s="172" t="n">
        <v>0.025703</v>
      </c>
      <c r="W264" s="172" t="n">
        <v>0.000514</v>
      </c>
      <c r="X264" s="172" t="n">
        <f aca="false">IF(V264="","",V264-AD264-W264)</f>
        <v>0.002689</v>
      </c>
      <c r="Y264" s="173" t="n">
        <v>0.018592</v>
      </c>
      <c r="Z264" s="172" t="n">
        <v>0.002</v>
      </c>
      <c r="AA264" s="172" t="n">
        <v>0.002</v>
      </c>
      <c r="AB264" s="174" t="n">
        <f aca="false">S264-Z264</f>
        <v>0.0213</v>
      </c>
      <c r="AC264" s="174" t="n">
        <f aca="false">U264-Z264-AA264</f>
        <v>0.022531</v>
      </c>
      <c r="AD264" s="175" t="n">
        <v>0.0225</v>
      </c>
      <c r="AE264" s="130" t="n">
        <f aca="false">IF(Y264="","",Y264)</f>
        <v>0.018592</v>
      </c>
      <c r="AF264" s="173"/>
      <c r="AG264" s="186" t="str">
        <f aca="false">IF(AF264="","",AE264+AF264)</f>
        <v/>
      </c>
      <c r="AH264" s="187"/>
      <c r="AI264" s="176"/>
      <c r="AJ264" s="116" t="str">
        <f aca="false">IF(AG264="","N","Y")</f>
        <v>N</v>
      </c>
      <c r="AK264" s="177"/>
      <c r="AL264" s="233" t="s">
        <v>239</v>
      </c>
    </row>
    <row r="265" s="38" customFormat="true" ht="23.25" hidden="false" customHeight="true" outlineLevel="0" collapsed="false">
      <c r="A265" s="19" t="n">
        <f aca="false">IF(B265="","",IF((YEAR(B265)-YEAR(B264))=0,A264+1,1))</f>
        <v>71</v>
      </c>
      <c r="B265" s="141" t="n">
        <v>43250</v>
      </c>
      <c r="C265" s="63" t="s">
        <v>103</v>
      </c>
      <c r="D265" s="63" t="s">
        <v>216</v>
      </c>
      <c r="E265" s="63" t="s">
        <v>240</v>
      </c>
      <c r="F265" s="63" t="s">
        <v>224</v>
      </c>
      <c r="G265" s="142" t="n">
        <v>43250</v>
      </c>
      <c r="H265" s="142" t="n">
        <v>43339</v>
      </c>
      <c r="I265" s="19" t="n">
        <f aca="false">H265-G265</f>
        <v>89</v>
      </c>
      <c r="J265" s="100" t="n">
        <f aca="false">TRUNC(I265/30,0)</f>
        <v>2</v>
      </c>
      <c r="K265" s="183" t="s">
        <v>95</v>
      </c>
      <c r="L265" s="223" t="n">
        <v>6</v>
      </c>
      <c r="M265" s="147"/>
      <c r="N265" s="197" t="s">
        <v>241</v>
      </c>
      <c r="O265" s="151"/>
      <c r="P265" s="151"/>
      <c r="Q265" s="150" t="n">
        <v>0.0230719</v>
      </c>
      <c r="R265" s="151"/>
      <c r="S265" s="152" t="n">
        <v>0.024</v>
      </c>
      <c r="T265" s="151"/>
      <c r="U265" s="152"/>
      <c r="V265" s="152" t="n">
        <v>0.025703</v>
      </c>
      <c r="W265" s="152" t="n">
        <v>0.000514</v>
      </c>
      <c r="X265" s="152" t="n">
        <f aca="false">IF(V265="","",V265-AD265-W265)</f>
        <v>0.004189</v>
      </c>
      <c r="Y265" s="153" t="n">
        <v>0.014082</v>
      </c>
      <c r="Z265" s="152" t="n">
        <v>0.002</v>
      </c>
      <c r="AA265" s="152" t="n">
        <v>0.002</v>
      </c>
      <c r="AB265" s="154" t="n">
        <f aca="false">S265-Z265</f>
        <v>0.022</v>
      </c>
      <c r="AC265" s="154" t="n">
        <f aca="false">U265-Z265-AA265</f>
        <v>-0.004</v>
      </c>
      <c r="AD265" s="155" t="n">
        <v>0.021</v>
      </c>
      <c r="AE265" s="156" t="n">
        <f aca="false">IF(Y265="","",Y265)</f>
        <v>0.014082</v>
      </c>
      <c r="AF265" s="153" t="n">
        <v>0.006918</v>
      </c>
      <c r="AG265" s="184" t="n">
        <f aca="false">IF(AF265="","",AE265+AF265)</f>
        <v>0.021</v>
      </c>
      <c r="AH265" s="185"/>
      <c r="AI265" s="35" t="n">
        <v>1</v>
      </c>
      <c r="AJ265" s="19" t="str">
        <f aca="false">IF(AG265="","N","Y")</f>
        <v>Y</v>
      </c>
      <c r="AK265" s="159"/>
      <c r="AL265" s="234" t="s">
        <v>242</v>
      </c>
    </row>
    <row r="266" s="38" customFormat="true" ht="23.25" hidden="false" customHeight="true" outlineLevel="0" collapsed="false">
      <c r="A266" s="19" t="n">
        <f aca="false">IF(B266="","",IF((YEAR(B266)-YEAR(B265))=0,A265+1,1))</f>
        <v>72</v>
      </c>
      <c r="B266" s="141" t="n">
        <v>43255</v>
      </c>
      <c r="C266" s="63" t="s">
        <v>189</v>
      </c>
      <c r="D266" s="63" t="s">
        <v>243</v>
      </c>
      <c r="E266" s="63" t="s">
        <v>190</v>
      </c>
      <c r="F266" s="19" t="s">
        <v>244</v>
      </c>
      <c r="G266" s="142" t="n">
        <v>43255</v>
      </c>
      <c r="H266" s="142" t="n">
        <v>43347</v>
      </c>
      <c r="I266" s="19" t="n">
        <f aca="false">H266-G266</f>
        <v>92</v>
      </c>
      <c r="J266" s="100" t="n">
        <f aca="false">TRUNC(I266/30,0)</f>
        <v>3</v>
      </c>
      <c r="K266" s="183" t="s">
        <v>95</v>
      </c>
      <c r="L266" s="146" t="n">
        <v>1</v>
      </c>
      <c r="M266" s="147"/>
      <c r="N266" s="197"/>
      <c r="O266" s="151"/>
      <c r="P266" s="151"/>
      <c r="Q266" s="150" t="n">
        <v>0.0202457</v>
      </c>
      <c r="R266" s="151"/>
      <c r="S266" s="152" t="n">
        <v>0.021</v>
      </c>
      <c r="T266" s="151"/>
      <c r="U266" s="152" t="n">
        <v>0.025962</v>
      </c>
      <c r="V266" s="152"/>
      <c r="W266" s="152"/>
      <c r="X266" s="152" t="str">
        <f aca="false">IF(V266="","",V266-AD266-W266)</f>
        <v/>
      </c>
      <c r="Y266" s="153" t="n">
        <v>0.018589</v>
      </c>
      <c r="Z266" s="152" t="n">
        <v>0.002</v>
      </c>
      <c r="AA266" s="152" t="n">
        <v>0.002</v>
      </c>
      <c r="AB266" s="154" t="n">
        <f aca="false">S266-Z266</f>
        <v>0.019</v>
      </c>
      <c r="AC266" s="154" t="n">
        <f aca="false">U266-Z266-AA266</f>
        <v>0.021962</v>
      </c>
      <c r="AD266" s="155" t="n">
        <v>0.022</v>
      </c>
      <c r="AE266" s="156" t="n">
        <f aca="false">IF(Y266="","",Y266)</f>
        <v>0.018589</v>
      </c>
      <c r="AF266" s="153" t="n">
        <v>0.003411</v>
      </c>
      <c r="AG266" s="184" t="n">
        <f aca="false">IF(AF266="","",AE266+AF266)</f>
        <v>0.022</v>
      </c>
      <c r="AH266" s="185"/>
      <c r="AI266" s="35" t="n">
        <v>1</v>
      </c>
      <c r="AJ266" s="19" t="str">
        <f aca="false">IF(AG266="","N","Y")</f>
        <v>Y</v>
      </c>
      <c r="AK266" s="159"/>
      <c r="AL266" s="235" t="s">
        <v>245</v>
      </c>
    </row>
    <row r="267" s="220" customFormat="true" ht="23.25" hidden="false" customHeight="true" outlineLevel="0" collapsed="false">
      <c r="A267" s="200" t="n">
        <f aca="false">IF(B267="","",IF((YEAR(B267)-YEAR(B266))=0,A266+1,1))</f>
        <v>73</v>
      </c>
      <c r="B267" s="199" t="n">
        <v>43255</v>
      </c>
      <c r="C267" s="200" t="s">
        <v>103</v>
      </c>
      <c r="D267" s="200" t="s">
        <v>216</v>
      </c>
      <c r="E267" s="200" t="s">
        <v>228</v>
      </c>
      <c r="F267" s="200" t="s">
        <v>207</v>
      </c>
      <c r="G267" s="201" t="n">
        <v>43256</v>
      </c>
      <c r="H267" s="201" t="n">
        <v>43286</v>
      </c>
      <c r="I267" s="200" t="n">
        <f aca="false">H267-G267</f>
        <v>30</v>
      </c>
      <c r="J267" s="202" t="n">
        <f aca="false">TRUNC(I267/30,0)</f>
        <v>1</v>
      </c>
      <c r="K267" s="203" t="s">
        <v>99</v>
      </c>
      <c r="L267" s="204" t="n">
        <v>10</v>
      </c>
      <c r="M267" s="205"/>
      <c r="N267" s="206"/>
      <c r="O267" s="207"/>
      <c r="P267" s="207"/>
      <c r="Q267" s="208"/>
      <c r="R267" s="207"/>
      <c r="S267" s="209"/>
      <c r="T267" s="207"/>
      <c r="U267" s="209"/>
      <c r="V267" s="209"/>
      <c r="W267" s="209"/>
      <c r="X267" s="209" t="str">
        <f aca="false">IF(V267="","",V267-AD267-W267)</f>
        <v/>
      </c>
      <c r="Y267" s="210" t="n">
        <v>0.00825</v>
      </c>
      <c r="Z267" s="209" t="n">
        <v>0.0033</v>
      </c>
      <c r="AA267" s="209" t="n">
        <v>0.002</v>
      </c>
      <c r="AB267" s="211" t="n">
        <f aca="false">S267-Z267</f>
        <v>-0.0033</v>
      </c>
      <c r="AC267" s="211" t="n">
        <f aca="false">U267-Z267-AA267</f>
        <v>-0.0053</v>
      </c>
      <c r="AD267" s="212" t="n">
        <v>0.013</v>
      </c>
      <c r="AE267" s="213" t="n">
        <f aca="false">IF(Y267="","",Y267)</f>
        <v>0.00825</v>
      </c>
      <c r="AF267" s="210" t="n">
        <v>0.00475</v>
      </c>
      <c r="AG267" s="214" t="n">
        <f aca="false">IF(AF267="","",AE267+AF267)</f>
        <v>0.013</v>
      </c>
      <c r="AH267" s="215"/>
      <c r="AI267" s="216" t="n">
        <v>2</v>
      </c>
      <c r="AJ267" s="217" t="str">
        <f aca="false">IF(AG267="","N","Y")</f>
        <v>Y</v>
      </c>
      <c r="AK267" s="218"/>
      <c r="AL267" s="219" t="s">
        <v>246</v>
      </c>
    </row>
    <row r="268" s="220" customFormat="true" ht="23.25" hidden="false" customHeight="true" outlineLevel="0" collapsed="false">
      <c r="A268" s="200" t="n">
        <f aca="false">IF(B268="","",IF((YEAR(B268)-YEAR(B267))=0,A267+1,1))</f>
        <v>74</v>
      </c>
      <c r="B268" s="199" t="n">
        <v>43255</v>
      </c>
      <c r="C268" s="200" t="s">
        <v>103</v>
      </c>
      <c r="D268" s="200" t="s">
        <v>216</v>
      </c>
      <c r="E268" s="200" t="s">
        <v>228</v>
      </c>
      <c r="F268" s="200" t="s">
        <v>174</v>
      </c>
      <c r="G268" s="201" t="n">
        <v>43256</v>
      </c>
      <c r="H268" s="201" t="n">
        <v>43286</v>
      </c>
      <c r="I268" s="200" t="n">
        <f aca="false">H268-G268</f>
        <v>30</v>
      </c>
      <c r="J268" s="202" t="n">
        <f aca="false">TRUNC(I268/30,0)</f>
        <v>1</v>
      </c>
      <c r="K268" s="203" t="s">
        <v>99</v>
      </c>
      <c r="L268" s="204" t="n">
        <v>7.7</v>
      </c>
      <c r="M268" s="205"/>
      <c r="N268" s="227"/>
      <c r="O268" s="228"/>
      <c r="P268" s="228"/>
      <c r="Q268" s="208"/>
      <c r="R268" s="207"/>
      <c r="S268" s="209"/>
      <c r="T268" s="207"/>
      <c r="U268" s="209"/>
      <c r="V268" s="209"/>
      <c r="W268" s="209"/>
      <c r="X268" s="209" t="str">
        <f aca="false">IF(V268="","",V268-AD268-W268)</f>
        <v/>
      </c>
      <c r="Y268" s="210" t="n">
        <v>0.00825</v>
      </c>
      <c r="Z268" s="209" t="n">
        <v>0.0033</v>
      </c>
      <c r="AA268" s="209" t="n">
        <v>0.002</v>
      </c>
      <c r="AB268" s="211" t="n">
        <f aca="false">S268-Z268</f>
        <v>-0.0033</v>
      </c>
      <c r="AC268" s="211" t="n">
        <f aca="false">U268-Z268-AA268</f>
        <v>-0.0053</v>
      </c>
      <c r="AD268" s="212" t="n">
        <v>0.0085</v>
      </c>
      <c r="AE268" s="213" t="n">
        <f aca="false">IF(Y268="","",Y268)</f>
        <v>0.00825</v>
      </c>
      <c r="AF268" s="210" t="n">
        <v>0.00025</v>
      </c>
      <c r="AG268" s="214" t="n">
        <f aca="false">IF(AF268="","",AE268+AF268)</f>
        <v>0.0085</v>
      </c>
      <c r="AH268" s="215"/>
      <c r="AI268" s="216" t="n">
        <v>3</v>
      </c>
      <c r="AJ268" s="217" t="str">
        <f aca="false">IF(AG268="","N","Y")</f>
        <v>Y</v>
      </c>
      <c r="AK268" s="218"/>
      <c r="AL268" s="236" t="s">
        <v>247</v>
      </c>
    </row>
    <row r="269" s="220" customFormat="true" ht="23.25" hidden="false" customHeight="true" outlineLevel="0" collapsed="false">
      <c r="A269" s="200" t="n">
        <f aca="false">IF(B269="","",IF((YEAR(B269)-YEAR(B268))=0,A268+1,1))</f>
        <v>75</v>
      </c>
      <c r="B269" s="199" t="n">
        <v>43255</v>
      </c>
      <c r="C269" s="200" t="s">
        <v>103</v>
      </c>
      <c r="D269" s="200" t="s">
        <v>216</v>
      </c>
      <c r="E269" s="200" t="s">
        <v>228</v>
      </c>
      <c r="F269" s="200" t="s">
        <v>229</v>
      </c>
      <c r="G269" s="201" t="n">
        <v>43256</v>
      </c>
      <c r="H269" s="201" t="n">
        <v>43286</v>
      </c>
      <c r="I269" s="200" t="n">
        <f aca="false">H269-G269</f>
        <v>30</v>
      </c>
      <c r="J269" s="202" t="n">
        <f aca="false">TRUNC(I269/30,0)</f>
        <v>1</v>
      </c>
      <c r="K269" s="203" t="s">
        <v>99</v>
      </c>
      <c r="L269" s="204" t="n">
        <v>3.4</v>
      </c>
      <c r="M269" s="205"/>
      <c r="N269" s="227"/>
      <c r="O269" s="228"/>
      <c r="P269" s="228"/>
      <c r="Q269" s="208"/>
      <c r="R269" s="207"/>
      <c r="S269" s="209"/>
      <c r="T269" s="207"/>
      <c r="U269" s="209"/>
      <c r="V269" s="209"/>
      <c r="W269" s="209"/>
      <c r="X269" s="209" t="str">
        <f aca="false">IF(V269="","",V269-AD269-W269)</f>
        <v/>
      </c>
      <c r="Y269" s="210" t="n">
        <v>0.00825</v>
      </c>
      <c r="Z269" s="209" t="n">
        <v>0.0033</v>
      </c>
      <c r="AA269" s="209" t="n">
        <v>0.002</v>
      </c>
      <c r="AB269" s="211" t="n">
        <f aca="false">S269-Z269</f>
        <v>-0.0033</v>
      </c>
      <c r="AC269" s="211" t="n">
        <f aca="false">U269-Z269-AA269</f>
        <v>-0.0053</v>
      </c>
      <c r="AD269" s="212" t="n">
        <v>0.0085</v>
      </c>
      <c r="AE269" s="213" t="n">
        <f aca="false">IF(Y269="","",Y269)</f>
        <v>0.00825</v>
      </c>
      <c r="AF269" s="210" t="n">
        <v>0.00025</v>
      </c>
      <c r="AG269" s="214" t="n">
        <f aca="false">IF(AF269="","",AE269+AF269)</f>
        <v>0.0085</v>
      </c>
      <c r="AH269" s="215"/>
      <c r="AI269" s="216" t="n">
        <v>4</v>
      </c>
      <c r="AJ269" s="217" t="str">
        <f aca="false">IF(AG269="","N","Y")</f>
        <v>Y</v>
      </c>
      <c r="AK269" s="218"/>
      <c r="AL269" s="236" t="s">
        <v>247</v>
      </c>
    </row>
    <row r="270" s="220" customFormat="true" ht="23.25" hidden="false" customHeight="true" outlineLevel="0" collapsed="false">
      <c r="A270" s="200" t="n">
        <f aca="false">IF(B270="","",IF((YEAR(B270)-YEAR(B269))=0,A269+1,1))</f>
        <v>76</v>
      </c>
      <c r="B270" s="199" t="n">
        <v>43256</v>
      </c>
      <c r="C270" s="200" t="s">
        <v>103</v>
      </c>
      <c r="D270" s="200" t="s">
        <v>216</v>
      </c>
      <c r="E270" s="200" t="s">
        <v>228</v>
      </c>
      <c r="F270" s="200" t="s">
        <v>174</v>
      </c>
      <c r="G270" s="201" t="n">
        <v>43256</v>
      </c>
      <c r="H270" s="201" t="n">
        <v>43286</v>
      </c>
      <c r="I270" s="200" t="n">
        <f aca="false">H270-G270</f>
        <v>30</v>
      </c>
      <c r="J270" s="202" t="n">
        <f aca="false">TRUNC(I270/30,0)</f>
        <v>1</v>
      </c>
      <c r="K270" s="203" t="s">
        <v>99</v>
      </c>
      <c r="L270" s="204" t="n">
        <v>7.7</v>
      </c>
      <c r="M270" s="205" t="n">
        <v>1.04</v>
      </c>
      <c r="N270" s="227" t="s">
        <v>248</v>
      </c>
      <c r="O270" s="228"/>
      <c r="P270" s="228"/>
      <c r="Q270" s="208"/>
      <c r="R270" s="207" t="n">
        <v>1</v>
      </c>
      <c r="S270" s="209" t="n">
        <v>0.0188</v>
      </c>
      <c r="T270" s="207"/>
      <c r="U270" s="209"/>
      <c r="V270" s="209"/>
      <c r="W270" s="209"/>
      <c r="X270" s="209" t="str">
        <f aca="false">IF(V270="","",V270-AD270-W270)</f>
        <v/>
      </c>
      <c r="Y270" s="210" t="n">
        <v>0.008229</v>
      </c>
      <c r="Z270" s="209" t="n">
        <v>0.0033</v>
      </c>
      <c r="AA270" s="209" t="n">
        <v>0.002</v>
      </c>
      <c r="AB270" s="211" t="n">
        <f aca="false">S270-Z270</f>
        <v>0.0155</v>
      </c>
      <c r="AC270" s="211" t="n">
        <f aca="false">U270-Z270-AA270</f>
        <v>-0.0053</v>
      </c>
      <c r="AD270" s="212" t="n">
        <v>0.0125</v>
      </c>
      <c r="AE270" s="213" t="n">
        <f aca="false">IF(Y270="","",Y270)</f>
        <v>0.008229</v>
      </c>
      <c r="AF270" s="210" t="n">
        <v>0.004271</v>
      </c>
      <c r="AG270" s="214" t="n">
        <f aca="false">IF(AF270="","",AE270+AF270)</f>
        <v>0.0125</v>
      </c>
      <c r="AH270" s="215"/>
      <c r="AI270" s="216" t="n">
        <v>1</v>
      </c>
      <c r="AJ270" s="217" t="str">
        <f aca="false">IF(AG270="","N","Y")</f>
        <v>Y</v>
      </c>
      <c r="AK270" s="218"/>
      <c r="AL270" s="237" t="s">
        <v>249</v>
      </c>
    </row>
    <row r="271" s="220" customFormat="true" ht="23.25" hidden="false" customHeight="true" outlineLevel="0" collapsed="false">
      <c r="A271" s="200" t="n">
        <f aca="false">IF(B271="","",IF((YEAR(B271)-YEAR(B270))=0,A270+1,1))</f>
        <v>77</v>
      </c>
      <c r="B271" s="199" t="n">
        <v>43256</v>
      </c>
      <c r="C271" s="200" t="s">
        <v>103</v>
      </c>
      <c r="D271" s="200" t="s">
        <v>216</v>
      </c>
      <c r="E271" s="200" t="s">
        <v>228</v>
      </c>
      <c r="F271" s="200" t="s">
        <v>229</v>
      </c>
      <c r="G271" s="201" t="n">
        <v>43256</v>
      </c>
      <c r="H271" s="201" t="n">
        <v>43286</v>
      </c>
      <c r="I271" s="200" t="n">
        <f aca="false">H271-G271</f>
        <v>30</v>
      </c>
      <c r="J271" s="202" t="n">
        <f aca="false">TRUNC(I271/30,0)</f>
        <v>1</v>
      </c>
      <c r="K271" s="203" t="s">
        <v>99</v>
      </c>
      <c r="L271" s="204" t="n">
        <v>3.4</v>
      </c>
      <c r="M271" s="205" t="n">
        <v>1.04</v>
      </c>
      <c r="N271" s="227" t="s">
        <v>248</v>
      </c>
      <c r="O271" s="228"/>
      <c r="P271" s="228"/>
      <c r="Q271" s="208"/>
      <c r="R271" s="207" t="n">
        <v>1</v>
      </c>
      <c r="S271" s="209" t="n">
        <v>0.0188</v>
      </c>
      <c r="T271" s="207"/>
      <c r="U271" s="209"/>
      <c r="V271" s="209"/>
      <c r="W271" s="209"/>
      <c r="X271" s="209" t="str">
        <f aca="false">IF(V271="","",V271-AD271-W271)</f>
        <v/>
      </c>
      <c r="Y271" s="210" t="n">
        <v>0.008229</v>
      </c>
      <c r="Z271" s="209" t="n">
        <v>0.0033</v>
      </c>
      <c r="AA271" s="209" t="n">
        <v>0.002</v>
      </c>
      <c r="AB271" s="211" t="n">
        <f aca="false">S271-Z271</f>
        <v>0.0155</v>
      </c>
      <c r="AC271" s="211" t="n">
        <f aca="false">U271-Z271-AA271</f>
        <v>-0.0053</v>
      </c>
      <c r="AD271" s="212" t="n">
        <v>0.0125</v>
      </c>
      <c r="AE271" s="213" t="n">
        <f aca="false">IF(Y271="","",Y271)</f>
        <v>0.008229</v>
      </c>
      <c r="AF271" s="210" t="n">
        <v>0.003771</v>
      </c>
      <c r="AG271" s="214" t="n">
        <f aca="false">IF(AF271="","",AE271+AF271)</f>
        <v>0.012</v>
      </c>
      <c r="AH271" s="215"/>
      <c r="AI271" s="216" t="n">
        <v>2</v>
      </c>
      <c r="AJ271" s="217" t="str">
        <f aca="false">IF(AG271="","N","Y")</f>
        <v>Y</v>
      </c>
      <c r="AK271" s="218"/>
      <c r="AL271" s="237" t="s">
        <v>250</v>
      </c>
    </row>
    <row r="272" s="140" customFormat="true" ht="23.25" hidden="false" customHeight="true" outlineLevel="0" collapsed="false">
      <c r="A272" s="116" t="n">
        <f aca="false">IF(B272="","",IF((YEAR(B272)-YEAR(B271))=0,A271+1,1))</f>
        <v>78</v>
      </c>
      <c r="B272" s="160" t="n">
        <v>43256</v>
      </c>
      <c r="C272" s="161" t="s">
        <v>251</v>
      </c>
      <c r="D272" s="116"/>
      <c r="E272" s="161" t="s">
        <v>252</v>
      </c>
      <c r="F272" s="116"/>
      <c r="G272" s="162" t="n">
        <v>43256</v>
      </c>
      <c r="H272" s="162" t="n">
        <v>43286</v>
      </c>
      <c r="I272" s="116" t="n">
        <f aca="false">H272-G272</f>
        <v>30</v>
      </c>
      <c r="J272" s="122" t="n">
        <f aca="false">TRUNC(I272/30,0)</f>
        <v>1</v>
      </c>
      <c r="K272" s="180" t="s">
        <v>95</v>
      </c>
      <c r="L272" s="166" t="n">
        <v>1</v>
      </c>
      <c r="M272" s="167" t="n">
        <v>1.59</v>
      </c>
      <c r="N272" s="168" t="s">
        <v>253</v>
      </c>
      <c r="O272" s="169" t="n">
        <f aca="false">J272</f>
        <v>1</v>
      </c>
      <c r="P272" s="169"/>
      <c r="Q272" s="170" t="n">
        <v>0.0201297</v>
      </c>
      <c r="R272" s="171" t="n">
        <v>1</v>
      </c>
      <c r="S272" s="172" t="n">
        <v>0.0206</v>
      </c>
      <c r="T272" s="171" t="n">
        <v>1</v>
      </c>
      <c r="U272" s="172" t="n">
        <v>0.026338</v>
      </c>
      <c r="V272" s="172" t="n">
        <v>0.022</v>
      </c>
      <c r="W272" s="172" t="n">
        <v>0.00044</v>
      </c>
      <c r="X272" s="172" t="n">
        <f aca="false">IF(V272="","",V272-AD272-W272)</f>
        <v>0.00156</v>
      </c>
      <c r="Y272" s="173" t="n">
        <v>0.014402</v>
      </c>
      <c r="Z272" s="172" t="n">
        <v>0.002</v>
      </c>
      <c r="AA272" s="172" t="n">
        <v>0.002</v>
      </c>
      <c r="AB272" s="174" t="n">
        <f aca="false">S272-Z272</f>
        <v>0.0186</v>
      </c>
      <c r="AC272" s="174" t="n">
        <f aca="false">U272-Z272-AA272</f>
        <v>0.022338</v>
      </c>
      <c r="AD272" s="175" t="n">
        <v>0.02</v>
      </c>
      <c r="AE272" s="130" t="n">
        <f aca="false">IF(Y272="","",Y272)</f>
        <v>0.014402</v>
      </c>
      <c r="AF272" s="173"/>
      <c r="AG272" s="186" t="str">
        <f aca="false">IF(AF272="","",AE272+AF272)</f>
        <v/>
      </c>
      <c r="AH272" s="187"/>
      <c r="AI272" s="176"/>
      <c r="AJ272" s="116" t="str">
        <f aca="false">IF(AG272="","N","Y")</f>
        <v>N</v>
      </c>
      <c r="AK272" s="177"/>
      <c r="AL272" s="138"/>
    </row>
    <row r="273" s="38" customFormat="true" ht="23.25" hidden="false" customHeight="true" outlineLevel="0" collapsed="false">
      <c r="A273" s="19" t="n">
        <f aca="false">IF(B273="","",IF((YEAR(B273)-YEAR(B272))=0,A272+1,1))</f>
        <v>79</v>
      </c>
      <c r="B273" s="141" t="n">
        <v>43273</v>
      </c>
      <c r="C273" s="63" t="s">
        <v>103</v>
      </c>
      <c r="D273" s="63" t="s">
        <v>216</v>
      </c>
      <c r="E273" s="63" t="s">
        <v>206</v>
      </c>
      <c r="F273" s="63" t="s">
        <v>217</v>
      </c>
      <c r="G273" s="142" t="n">
        <v>43276</v>
      </c>
      <c r="H273" s="142" t="n">
        <v>43306</v>
      </c>
      <c r="I273" s="19" t="n">
        <f aca="false">H273-G273</f>
        <v>30</v>
      </c>
      <c r="J273" s="100" t="n">
        <f aca="false">TRUNC(I273/30,0)</f>
        <v>1</v>
      </c>
      <c r="K273" s="183" t="s">
        <v>95</v>
      </c>
      <c r="L273" s="223" t="n">
        <v>20</v>
      </c>
      <c r="M273" s="147" t="n">
        <v>1.68402</v>
      </c>
      <c r="N273" s="197" t="s">
        <v>254</v>
      </c>
      <c r="O273" s="149" t="n">
        <f aca="false">J273</f>
        <v>1</v>
      </c>
      <c r="P273" s="149"/>
      <c r="Q273" s="150" t="n">
        <v>0.0209775</v>
      </c>
      <c r="R273" s="151" t="s">
        <v>255</v>
      </c>
      <c r="S273" s="152" t="n">
        <v>0.025</v>
      </c>
      <c r="T273" s="151" t="s">
        <v>255</v>
      </c>
      <c r="U273" s="152" t="n">
        <v>0.025484</v>
      </c>
      <c r="V273" s="152" t="n">
        <v>0.022891</v>
      </c>
      <c r="W273" s="152" t="n">
        <v>0.000458</v>
      </c>
      <c r="X273" s="152" t="n">
        <f aca="false">IF(V273="","",V273-AD273-W273)</f>
        <v>0.002433</v>
      </c>
      <c r="Y273" s="153" t="n">
        <v>0.015232</v>
      </c>
      <c r="Z273" s="152" t="n">
        <v>0.002</v>
      </c>
      <c r="AA273" s="152" t="n">
        <v>0.002</v>
      </c>
      <c r="AB273" s="154" t="n">
        <f aca="false">S273-Z273</f>
        <v>0.023</v>
      </c>
      <c r="AC273" s="154" t="n">
        <f aca="false">U273-Z273-AA273</f>
        <v>0.021484</v>
      </c>
      <c r="AD273" s="155" t="n">
        <v>0.02</v>
      </c>
      <c r="AE273" s="156" t="n">
        <f aca="false">IF(Y273="","",Y273)</f>
        <v>0.015232</v>
      </c>
      <c r="AF273" s="153" t="n">
        <v>0.004768</v>
      </c>
      <c r="AG273" s="184" t="n">
        <f aca="false">IF(AF273="","",AE273+AF273)</f>
        <v>0.02</v>
      </c>
      <c r="AH273" s="185"/>
      <c r="AI273" s="35" t="n">
        <v>3</v>
      </c>
      <c r="AJ273" s="19" t="str">
        <f aca="false">IF(AG273="","N","Y")</f>
        <v>Y</v>
      </c>
      <c r="AK273" s="159"/>
      <c r="AL273" s="225" t="s">
        <v>256</v>
      </c>
    </row>
    <row r="274" s="38" customFormat="true" ht="23.25" hidden="false" customHeight="true" outlineLevel="0" collapsed="false">
      <c r="A274" s="19" t="n">
        <f aca="false">IF(B274="","",IF((YEAR(B274)-YEAR(B273))=0,A273+1,1))</f>
        <v>80</v>
      </c>
      <c r="B274" s="141" t="n">
        <v>43276</v>
      </c>
      <c r="C274" s="63" t="s">
        <v>100</v>
      </c>
      <c r="D274" s="63" t="s">
        <v>257</v>
      </c>
      <c r="E274" s="63" t="s">
        <v>101</v>
      </c>
      <c r="F274" s="63" t="s">
        <v>102</v>
      </c>
      <c r="G274" s="142" t="n">
        <v>43276</v>
      </c>
      <c r="H274" s="142" t="n">
        <v>43335</v>
      </c>
      <c r="I274" s="19" t="n">
        <f aca="false">H274-G274</f>
        <v>59</v>
      </c>
      <c r="J274" s="100" t="n">
        <f aca="false">TRUNC(I274/30,0)</f>
        <v>1</v>
      </c>
      <c r="K274" s="183" t="s">
        <v>95</v>
      </c>
      <c r="L274" s="146" t="n">
        <v>30</v>
      </c>
      <c r="M274" s="147" t="n">
        <v>1.74</v>
      </c>
      <c r="N274" s="148" t="s">
        <v>258</v>
      </c>
      <c r="O274" s="149" t="n">
        <f aca="false">J274</f>
        <v>1</v>
      </c>
      <c r="P274" s="149"/>
      <c r="Q274" s="150" t="n">
        <v>0.0217881</v>
      </c>
      <c r="R274" s="151" t="s">
        <v>259</v>
      </c>
      <c r="S274" s="152" t="n">
        <v>0.0265</v>
      </c>
      <c r="T274" s="151" t="s">
        <v>259</v>
      </c>
      <c r="U274" s="152" t="n">
        <v>0.0251</v>
      </c>
      <c r="V274" s="152" t="n">
        <v>0.023909</v>
      </c>
      <c r="W274" s="152" t="n">
        <v>0.000478</v>
      </c>
      <c r="X274" s="152" t="n">
        <f aca="false">IF(V274="","",V274-AD274-W274)</f>
        <v>0.000831000000000001</v>
      </c>
      <c r="Y274" s="153" t="n">
        <v>0.015232</v>
      </c>
      <c r="Z274" s="152" t="n">
        <v>0.002</v>
      </c>
      <c r="AA274" s="152" t="n">
        <v>0.002</v>
      </c>
      <c r="AB274" s="154" t="n">
        <f aca="false">S274-Z274</f>
        <v>0.0245</v>
      </c>
      <c r="AC274" s="154" t="n">
        <f aca="false">U274-Z274-AA274</f>
        <v>0.0211</v>
      </c>
      <c r="AD274" s="155" t="n">
        <v>0.0226</v>
      </c>
      <c r="AE274" s="156" t="n">
        <f aca="false">IF(Y274="","",Y274)</f>
        <v>0.015232</v>
      </c>
      <c r="AF274" s="153" t="n">
        <v>0.007368</v>
      </c>
      <c r="AG274" s="184" t="n">
        <f aca="false">IF(AF274="","",AE274+AF274)</f>
        <v>0.0226</v>
      </c>
      <c r="AH274" s="185"/>
      <c r="AI274" s="35" t="n">
        <v>1</v>
      </c>
      <c r="AJ274" s="19" t="str">
        <f aca="false">IF(AG274="","N","Y")</f>
        <v>Y</v>
      </c>
      <c r="AK274" s="159"/>
      <c r="AL274" s="36" t="s">
        <v>260</v>
      </c>
    </row>
    <row r="275" s="38" customFormat="true" ht="23.25" hidden="false" customHeight="true" outlineLevel="0" collapsed="false">
      <c r="A275" s="19" t="n">
        <f aca="false">IF(B275="","",IF((YEAR(B275)-YEAR(B274))=0,A274+1,1))</f>
        <v>81</v>
      </c>
      <c r="B275" s="141" t="n">
        <v>43280</v>
      </c>
      <c r="C275" s="63" t="s">
        <v>103</v>
      </c>
      <c r="D275" s="63" t="s">
        <v>216</v>
      </c>
      <c r="E275" s="63" t="s">
        <v>206</v>
      </c>
      <c r="F275" s="63" t="s">
        <v>261</v>
      </c>
      <c r="G275" s="142" t="n">
        <v>43280</v>
      </c>
      <c r="H275" s="142" t="n">
        <v>43310</v>
      </c>
      <c r="I275" s="19" t="n">
        <f aca="false">H275-G275</f>
        <v>30</v>
      </c>
      <c r="J275" s="100" t="n">
        <f aca="false">TRUNC(I275/30,0)</f>
        <v>1</v>
      </c>
      <c r="K275" s="183" t="s">
        <v>95</v>
      </c>
      <c r="L275" s="223" t="n">
        <v>10</v>
      </c>
      <c r="M275" s="147"/>
      <c r="N275" s="197" t="s">
        <v>254</v>
      </c>
      <c r="O275" s="149" t="n">
        <f aca="false">J275</f>
        <v>1</v>
      </c>
      <c r="P275" s="149"/>
      <c r="Q275" s="150" t="n">
        <v>0.0209213</v>
      </c>
      <c r="R275" s="151" t="s">
        <v>255</v>
      </c>
      <c r="S275" s="152"/>
      <c r="T275" s="151" t="s">
        <v>255</v>
      </c>
      <c r="U275" s="152" t="n">
        <v>0.025484</v>
      </c>
      <c r="V275" s="152" t="n">
        <v>0.022891</v>
      </c>
      <c r="W275" s="152" t="n">
        <v>0.000458</v>
      </c>
      <c r="X275" s="152" t="n">
        <f aca="false">IF(V275="","",V275-AD275-W275)</f>
        <v>0.002433</v>
      </c>
      <c r="Y275" s="153" t="n">
        <v>0.015232</v>
      </c>
      <c r="Z275" s="152" t="n">
        <v>0.002</v>
      </c>
      <c r="AA275" s="152" t="n">
        <v>0.002</v>
      </c>
      <c r="AB275" s="154" t="n">
        <f aca="false">S275-Z275</f>
        <v>-0.002</v>
      </c>
      <c r="AC275" s="154" t="n">
        <f aca="false">U275-Z275-AA275</f>
        <v>0.021484</v>
      </c>
      <c r="AD275" s="155" t="n">
        <v>0.02</v>
      </c>
      <c r="AE275" s="156" t="n">
        <f aca="false">IF(Y275="","",Y275)</f>
        <v>0.015232</v>
      </c>
      <c r="AF275" s="153" t="n">
        <v>0.004768</v>
      </c>
      <c r="AG275" s="184" t="n">
        <f aca="false">IF(AF275="","",AE275+AF275)</f>
        <v>0.02</v>
      </c>
      <c r="AH275" s="185"/>
      <c r="AI275" s="35" t="n">
        <v>3</v>
      </c>
      <c r="AJ275" s="19" t="str">
        <f aca="false">IF(AG275="","N","Y")</f>
        <v>Y</v>
      </c>
      <c r="AK275" s="159"/>
      <c r="AL275" s="225" t="s">
        <v>262</v>
      </c>
    </row>
    <row r="276" s="38" customFormat="true" ht="23.25" hidden="false" customHeight="true" outlineLevel="0" collapsed="false">
      <c r="A276" s="19" t="n">
        <f aca="false">IF(B276="","",IF((YEAR(B276)-YEAR(B275))=0,A275+1,1))</f>
        <v>82</v>
      </c>
      <c r="B276" s="141" t="n">
        <v>43283</v>
      </c>
      <c r="C276" s="63" t="s">
        <v>209</v>
      </c>
      <c r="D276" s="63" t="s">
        <v>210</v>
      </c>
      <c r="E276" s="63" t="s">
        <v>263</v>
      </c>
      <c r="F276" s="63" t="s">
        <v>211</v>
      </c>
      <c r="G276" s="142" t="n">
        <v>43294</v>
      </c>
      <c r="H276" s="142" t="n">
        <v>43388</v>
      </c>
      <c r="I276" s="19" t="n">
        <f aca="false">H276-G276</f>
        <v>94</v>
      </c>
      <c r="J276" s="100" t="n">
        <f aca="false">TRUNC(I276/30,0)</f>
        <v>3</v>
      </c>
      <c r="K276" s="183" t="s">
        <v>95</v>
      </c>
      <c r="L276" s="146" t="n">
        <v>3</v>
      </c>
      <c r="M276" s="147" t="n">
        <v>1.96759</v>
      </c>
      <c r="N276" s="197" t="s">
        <v>264</v>
      </c>
      <c r="O276" s="151" t="n">
        <f aca="false">J276</f>
        <v>3</v>
      </c>
      <c r="P276" s="151"/>
      <c r="Q276" s="150" t="n">
        <v>0.0233575</v>
      </c>
      <c r="R276" s="151" t="s">
        <v>265</v>
      </c>
      <c r="S276" s="152" t="n">
        <v>0.025</v>
      </c>
      <c r="T276" s="151" t="s">
        <v>265</v>
      </c>
      <c r="U276" s="152" t="n">
        <v>0.025623</v>
      </c>
      <c r="V276" s="152" t="n">
        <v>0.026891</v>
      </c>
      <c r="W276" s="152" t="n">
        <v>0.000538</v>
      </c>
      <c r="X276" s="152" t="n">
        <f aca="false">IF(V276="","",V276-AD276-W276)</f>
        <v>0.003253</v>
      </c>
      <c r="Y276" s="153" t="n">
        <v>0.018765</v>
      </c>
      <c r="Z276" s="152" t="n">
        <v>0.002</v>
      </c>
      <c r="AA276" s="152" t="n">
        <v>0.002</v>
      </c>
      <c r="AB276" s="154" t="n">
        <f aca="false">S276-Z276</f>
        <v>0.023</v>
      </c>
      <c r="AC276" s="154" t="n">
        <f aca="false">U276-Z276-AA276</f>
        <v>0.021623</v>
      </c>
      <c r="AD276" s="155" t="n">
        <v>0.0231</v>
      </c>
      <c r="AE276" s="156" t="n">
        <v>0.018798</v>
      </c>
      <c r="AF276" s="153" t="n">
        <v>0.004202</v>
      </c>
      <c r="AG276" s="184" t="n">
        <f aca="false">IF(AF276="","",AE276+AF276)</f>
        <v>0.023</v>
      </c>
      <c r="AH276" s="185" t="n">
        <v>43294</v>
      </c>
      <c r="AI276" s="35" t="n">
        <v>1</v>
      </c>
      <c r="AJ276" s="19" t="str">
        <f aca="false">IF(AG276="","N","Y")</f>
        <v>Y</v>
      </c>
      <c r="AK276" s="238" t="s">
        <v>266</v>
      </c>
      <c r="AL276" s="235" t="s">
        <v>267</v>
      </c>
    </row>
    <row r="277" s="38" customFormat="true" ht="23.25" hidden="false" customHeight="true" outlineLevel="0" collapsed="false">
      <c r="A277" s="19" t="n">
        <f aca="false">IF(B277="","",IF((YEAR(B277)-YEAR(B276))=0,A276+1,1))</f>
        <v>83</v>
      </c>
      <c r="B277" s="141" t="n">
        <v>43284</v>
      </c>
      <c r="C277" s="63" t="s">
        <v>103</v>
      </c>
      <c r="D277" s="63" t="s">
        <v>154</v>
      </c>
      <c r="E277" s="63" t="s">
        <v>177</v>
      </c>
      <c r="F277" s="63" t="s">
        <v>261</v>
      </c>
      <c r="G277" s="142" t="n">
        <v>43286</v>
      </c>
      <c r="H277" s="142" t="n">
        <v>43318</v>
      </c>
      <c r="I277" s="19" t="n">
        <f aca="false">H277-G277</f>
        <v>32</v>
      </c>
      <c r="J277" s="100" t="n">
        <f aca="false">TRUNC(I277/30,0)</f>
        <v>1</v>
      </c>
      <c r="K277" s="183" t="s">
        <v>95</v>
      </c>
      <c r="L277" s="223" t="n">
        <v>10</v>
      </c>
      <c r="M277" s="147" t="n">
        <v>1.68809</v>
      </c>
      <c r="N277" s="197" t="s">
        <v>254</v>
      </c>
      <c r="O277" s="149" t="n">
        <f aca="false">J277</f>
        <v>1</v>
      </c>
      <c r="P277" s="149"/>
      <c r="Q277" s="150" t="n">
        <v>0.0209994</v>
      </c>
      <c r="R277" s="151" t="s">
        <v>255</v>
      </c>
      <c r="S277" s="152" t="n">
        <v>0.0235</v>
      </c>
      <c r="T277" s="151" t="s">
        <v>255</v>
      </c>
      <c r="U277" s="152" t="n">
        <v>0.025</v>
      </c>
      <c r="V277" s="152" t="n">
        <v>0.0239</v>
      </c>
      <c r="W277" s="152" t="n">
        <v>0.000478</v>
      </c>
      <c r="X277" s="152" t="n">
        <v>0.002944</v>
      </c>
      <c r="Y277" s="153" t="n">
        <v>0.015129</v>
      </c>
      <c r="Z277" s="152" t="n">
        <v>0.002</v>
      </c>
      <c r="AA277" s="152" t="n">
        <v>0.002</v>
      </c>
      <c r="AB277" s="154" t="n">
        <f aca="false">S277-Z277</f>
        <v>0.0215</v>
      </c>
      <c r="AC277" s="154" t="n">
        <f aca="false">U277-Z277-AA277</f>
        <v>0.021</v>
      </c>
      <c r="AD277" s="155" t="n">
        <v>0.0205</v>
      </c>
      <c r="AE277" s="156" t="n">
        <f aca="false">IF(Y277="","",Y277)</f>
        <v>0.015129</v>
      </c>
      <c r="AF277" s="153" t="n">
        <v>0.004871</v>
      </c>
      <c r="AG277" s="184" t="n">
        <f aca="false">IF(AF277="","",AE277+AF277)</f>
        <v>0.02</v>
      </c>
      <c r="AH277" s="185"/>
      <c r="AI277" s="35" t="n">
        <v>1</v>
      </c>
      <c r="AJ277" s="19" t="str">
        <f aca="false">IF(AG277="","N","Y")</f>
        <v>Y</v>
      </c>
      <c r="AK277" s="238" t="s">
        <v>268</v>
      </c>
      <c r="AL277" s="225" t="s">
        <v>269</v>
      </c>
    </row>
    <row r="278" s="220" customFormat="true" ht="23.25" hidden="false" customHeight="true" outlineLevel="0" collapsed="false">
      <c r="A278" s="200" t="n">
        <f aca="false">IF(B278="","",IF((YEAR(B278)-YEAR(B277))=0,A277+1,1))</f>
        <v>84</v>
      </c>
      <c r="B278" s="199" t="n">
        <v>43286</v>
      </c>
      <c r="C278" s="200" t="s">
        <v>103</v>
      </c>
      <c r="D278" s="200" t="s">
        <v>216</v>
      </c>
      <c r="E278" s="200" t="s">
        <v>240</v>
      </c>
      <c r="F278" s="200" t="s">
        <v>174</v>
      </c>
      <c r="G278" s="201" t="n">
        <v>43286</v>
      </c>
      <c r="H278" s="201" t="n">
        <v>43318</v>
      </c>
      <c r="I278" s="200" t="n">
        <f aca="false">H278-G278</f>
        <v>32</v>
      </c>
      <c r="J278" s="202" t="n">
        <f aca="false">TRUNC(I278/30,0)</f>
        <v>1</v>
      </c>
      <c r="K278" s="203" t="s">
        <v>99</v>
      </c>
      <c r="L278" s="204" t="n">
        <v>12.975</v>
      </c>
      <c r="M278" s="205" t="n">
        <v>0.98875</v>
      </c>
      <c r="N278" s="227" t="s">
        <v>270</v>
      </c>
      <c r="O278" s="228" t="n">
        <f aca="false">J278</f>
        <v>1</v>
      </c>
      <c r="P278" s="228"/>
      <c r="Q278" s="208" t="n">
        <v>0.0197263</v>
      </c>
      <c r="R278" s="207" t="s">
        <v>271</v>
      </c>
      <c r="S278" s="209" t="n">
        <v>0.0198</v>
      </c>
      <c r="T278" s="207" t="s">
        <v>271</v>
      </c>
      <c r="U278" s="209" t="n">
        <v>0.0235</v>
      </c>
      <c r="V278" s="209" t="n">
        <v>0.021731</v>
      </c>
      <c r="W278" s="209" t="n">
        <v>0.001521</v>
      </c>
      <c r="X278" s="209" t="n">
        <f aca="false">IF(V278="","",V278-AD278-W278)</f>
        <v>0.00771</v>
      </c>
      <c r="Y278" s="210" t="n">
        <v>0.010282</v>
      </c>
      <c r="Z278" s="209" t="n">
        <v>0.0033</v>
      </c>
      <c r="AA278" s="209" t="n">
        <v>0.002</v>
      </c>
      <c r="AB278" s="211" t="n">
        <f aca="false">S278-Z278</f>
        <v>0.0165</v>
      </c>
      <c r="AC278" s="211" t="n">
        <f aca="false">U278-Z278-AA278</f>
        <v>0.0182</v>
      </c>
      <c r="AD278" s="212" t="n">
        <v>0.0125</v>
      </c>
      <c r="AE278" s="213" t="n">
        <f aca="false">IF(Y278="","",Y278)</f>
        <v>0.010282</v>
      </c>
      <c r="AF278" s="210" t="n">
        <v>0.002218</v>
      </c>
      <c r="AG278" s="214" t="n">
        <f aca="false">IF(AF278="","",AE278+AF278)</f>
        <v>0.0125</v>
      </c>
      <c r="AH278" s="215"/>
      <c r="AI278" s="216" t="n">
        <v>6</v>
      </c>
      <c r="AJ278" s="217" t="str">
        <f aca="false">IF(AG278="","N","Y")</f>
        <v>Y</v>
      </c>
      <c r="AK278" s="239" t="s">
        <v>272</v>
      </c>
      <c r="AL278" s="240"/>
    </row>
    <row r="279" s="220" customFormat="true" ht="23.25" hidden="false" customHeight="true" outlineLevel="0" collapsed="false">
      <c r="A279" s="200" t="n">
        <f aca="false">IF(B279="","",IF((YEAR(B279)-YEAR(B278))=0,A278+1,1))</f>
        <v>85</v>
      </c>
      <c r="B279" s="199" t="n">
        <v>43286</v>
      </c>
      <c r="C279" s="200" t="s">
        <v>103</v>
      </c>
      <c r="D279" s="200" t="s">
        <v>216</v>
      </c>
      <c r="E279" s="200" t="s">
        <v>240</v>
      </c>
      <c r="F279" s="200" t="s">
        <v>229</v>
      </c>
      <c r="G279" s="201" t="n">
        <v>43286</v>
      </c>
      <c r="H279" s="201" t="n">
        <v>43318</v>
      </c>
      <c r="I279" s="200" t="n">
        <f aca="false">H279-G279</f>
        <v>32</v>
      </c>
      <c r="J279" s="202" t="n">
        <f aca="false">TRUNC(I279/30,0)</f>
        <v>1</v>
      </c>
      <c r="K279" s="203" t="s">
        <v>99</v>
      </c>
      <c r="L279" s="204" t="n">
        <v>2.38</v>
      </c>
      <c r="M279" s="205" t="n">
        <v>0.98875</v>
      </c>
      <c r="N279" s="227" t="s">
        <v>270</v>
      </c>
      <c r="O279" s="228" t="n">
        <f aca="false">J279</f>
        <v>1</v>
      </c>
      <c r="P279" s="228"/>
      <c r="Q279" s="208" t="n">
        <v>0.0197263</v>
      </c>
      <c r="R279" s="207" t="s">
        <v>271</v>
      </c>
      <c r="S279" s="209" t="n">
        <v>0.0198</v>
      </c>
      <c r="T279" s="207" t="s">
        <v>271</v>
      </c>
      <c r="U279" s="209" t="n">
        <v>0.0235</v>
      </c>
      <c r="V279" s="209" t="n">
        <v>0.021731</v>
      </c>
      <c r="W279" s="209" t="n">
        <v>0.001521</v>
      </c>
      <c r="X279" s="209" t="n">
        <f aca="false">IF(V279="","",V279-AD279-W279)</f>
        <v>0.00821</v>
      </c>
      <c r="Y279" s="210" t="n">
        <v>0.010282</v>
      </c>
      <c r="Z279" s="209" t="n">
        <v>0.0033</v>
      </c>
      <c r="AA279" s="209" t="n">
        <v>0.002</v>
      </c>
      <c r="AB279" s="211" t="n">
        <f aca="false">S279-Z279</f>
        <v>0.0165</v>
      </c>
      <c r="AC279" s="211" t="n">
        <f aca="false">U279-Z279-AA279</f>
        <v>0.0182</v>
      </c>
      <c r="AD279" s="212" t="n">
        <v>0.012</v>
      </c>
      <c r="AE279" s="213" t="n">
        <f aca="false">IF(Y279="","",Y279)</f>
        <v>0.010282</v>
      </c>
      <c r="AF279" s="210" t="n">
        <v>0.001718</v>
      </c>
      <c r="AG279" s="214" t="n">
        <f aca="false">IF(AF279="","",AE279+AF279)</f>
        <v>0.012</v>
      </c>
      <c r="AH279" s="215"/>
      <c r="AI279" s="216" t="n">
        <v>5</v>
      </c>
      <c r="AJ279" s="217" t="str">
        <f aca="false">IF(AG279="","N","Y")</f>
        <v>Y</v>
      </c>
      <c r="AK279" s="239" t="s">
        <v>272</v>
      </c>
      <c r="AL279" s="240"/>
    </row>
    <row r="280" s="38" customFormat="true" ht="23.25" hidden="false" customHeight="true" outlineLevel="0" collapsed="false">
      <c r="A280" s="19" t="n">
        <f aca="false">IF(B280="","",IF((YEAR(B280)-YEAR(B279))=0,A279+1,1))</f>
        <v>86</v>
      </c>
      <c r="B280" s="141" t="n">
        <v>43293</v>
      </c>
      <c r="C280" s="63" t="s">
        <v>273</v>
      </c>
      <c r="D280" s="63" t="s">
        <v>274</v>
      </c>
      <c r="E280" s="63" t="s">
        <v>275</v>
      </c>
      <c r="F280" s="19" t="s">
        <v>276</v>
      </c>
      <c r="G280" s="142" t="n">
        <v>43293</v>
      </c>
      <c r="H280" s="142" t="n">
        <v>43658</v>
      </c>
      <c r="I280" s="19" t="n">
        <f aca="false">H280-G280</f>
        <v>365</v>
      </c>
      <c r="J280" s="100" t="n">
        <f aca="false">TRUNC(I280/30,0)</f>
        <v>12</v>
      </c>
      <c r="K280" s="183" t="s">
        <v>95</v>
      </c>
      <c r="L280" s="241" t="n">
        <v>11</v>
      </c>
      <c r="M280" s="147"/>
      <c r="N280" s="148"/>
      <c r="O280" s="149" t="n">
        <f aca="false">J280</f>
        <v>12</v>
      </c>
      <c r="P280" s="149"/>
      <c r="Q280" s="150" t="n">
        <v>0.03969</v>
      </c>
      <c r="R280" s="151"/>
      <c r="S280" s="152"/>
      <c r="T280" s="151"/>
      <c r="U280" s="152"/>
      <c r="V280" s="152"/>
      <c r="W280" s="152"/>
      <c r="X280" s="152" t="str">
        <f aca="false">IF(V280="","",V280-AD280-W280)</f>
        <v/>
      </c>
      <c r="Y280" s="153" t="n">
        <v>0.015</v>
      </c>
      <c r="Z280" s="152" t="n">
        <v>0.0033</v>
      </c>
      <c r="AA280" s="152" t="n">
        <v>0.002</v>
      </c>
      <c r="AB280" s="154" t="n">
        <f aca="false">S280-Z280</f>
        <v>-0.0033</v>
      </c>
      <c r="AC280" s="154" t="n">
        <f aca="false">U280-Z280-AA280</f>
        <v>-0.0053</v>
      </c>
      <c r="AD280" s="155" t="n">
        <v>0.017</v>
      </c>
      <c r="AE280" s="156" t="n">
        <f aca="false">IF(Y280="","",Y280)</f>
        <v>0.015</v>
      </c>
      <c r="AF280" s="153" t="n">
        <v>0.002</v>
      </c>
      <c r="AG280" s="184" t="n">
        <f aca="false">IF(AF280="","",AE280+AF280)</f>
        <v>0.017</v>
      </c>
      <c r="AH280" s="185" t="n">
        <v>43300</v>
      </c>
      <c r="AI280" s="35" t="s">
        <v>277</v>
      </c>
      <c r="AJ280" s="19" t="str">
        <f aca="false">IF(AG280="","N","Y")</f>
        <v>Y</v>
      </c>
      <c r="AK280" s="159"/>
      <c r="AL280" s="242"/>
    </row>
    <row r="281" s="38" customFormat="true" ht="23.25" hidden="false" customHeight="true" outlineLevel="0" collapsed="false">
      <c r="A281" s="19" t="n">
        <f aca="false">IF(B281="","",IF((YEAR(B281)-YEAR(B280))=0,A280+1,1))</f>
        <v>87</v>
      </c>
      <c r="B281" s="141" t="n">
        <v>43304</v>
      </c>
      <c r="C281" s="63" t="s">
        <v>96</v>
      </c>
      <c r="D281" s="63" t="s">
        <v>278</v>
      </c>
      <c r="E281" s="63" t="s">
        <v>97</v>
      </c>
      <c r="F281" s="63" t="s">
        <v>279</v>
      </c>
      <c r="G281" s="142" t="n">
        <v>43308</v>
      </c>
      <c r="H281" s="142" t="n">
        <v>43402</v>
      </c>
      <c r="I281" s="19" t="n">
        <f aca="false">H281-G281</f>
        <v>94</v>
      </c>
      <c r="J281" s="100" t="n">
        <f aca="false">TRUNC(I281/30,0)</f>
        <v>3</v>
      </c>
      <c r="K281" s="183" t="s">
        <v>95</v>
      </c>
      <c r="L281" s="146" t="n">
        <v>30</v>
      </c>
      <c r="M281" s="147" t="n">
        <v>1.96</v>
      </c>
      <c r="N281" s="148" t="s">
        <v>280</v>
      </c>
      <c r="O281" s="149" t="n">
        <f aca="false">J281</f>
        <v>3</v>
      </c>
      <c r="P281" s="149"/>
      <c r="Q281" s="150" t="n">
        <v>0.0234156</v>
      </c>
      <c r="R281" s="151" t="n">
        <v>3</v>
      </c>
      <c r="S281" s="152" t="n">
        <v>0.0265</v>
      </c>
      <c r="T281" s="151" t="n">
        <v>3</v>
      </c>
      <c r="U281" s="152" t="n">
        <v>0.024346</v>
      </c>
      <c r="V281" s="152" t="n">
        <v>0.027069</v>
      </c>
      <c r="W281" s="152" t="n">
        <v>0.000541</v>
      </c>
      <c r="X281" s="152" t="n">
        <v>0.002528</v>
      </c>
      <c r="Y281" s="153" t="n">
        <v>0.018796</v>
      </c>
      <c r="Z281" s="152" t="n">
        <v>0.002</v>
      </c>
      <c r="AA281" s="152" t="n">
        <v>0.002</v>
      </c>
      <c r="AB281" s="154" t="n">
        <f aca="false">S281-Z281</f>
        <v>0.0245</v>
      </c>
      <c r="AC281" s="154" t="n">
        <f aca="false">U281-Z281-AA281</f>
        <v>0.020346</v>
      </c>
      <c r="AD281" s="155" t="n">
        <v>0.0245</v>
      </c>
      <c r="AE281" s="156" t="n">
        <f aca="false">IF(Y281="","",Y281)</f>
        <v>0.018796</v>
      </c>
      <c r="AF281" s="153" t="n">
        <v>0.005704</v>
      </c>
      <c r="AG281" s="184" t="n">
        <f aca="false">IF(AF281="","",AE281+AF281)</f>
        <v>0.0245</v>
      </c>
      <c r="AH281" s="185" t="n">
        <v>43308</v>
      </c>
      <c r="AI281" s="35" t="n">
        <v>1</v>
      </c>
      <c r="AJ281" s="19" t="str">
        <f aca="false">IF(AG281="","N","Y")</f>
        <v>Y</v>
      </c>
      <c r="AK281" s="238" t="s">
        <v>281</v>
      </c>
      <c r="AL281" s="232" t="s">
        <v>282</v>
      </c>
    </row>
    <row r="282" s="38" customFormat="true" ht="23.25" hidden="false" customHeight="true" outlineLevel="0" collapsed="false">
      <c r="A282" s="19" t="n">
        <f aca="false">IF(B282="","",IF((YEAR(B282)-YEAR(B281))=0,A281+1,1))</f>
        <v>88</v>
      </c>
      <c r="B282" s="141" t="n">
        <v>43305</v>
      </c>
      <c r="C282" s="63" t="s">
        <v>103</v>
      </c>
      <c r="D282" s="63" t="s">
        <v>216</v>
      </c>
      <c r="E282" s="63" t="s">
        <v>206</v>
      </c>
      <c r="F282" s="63" t="s">
        <v>217</v>
      </c>
      <c r="G282" s="142" t="n">
        <v>43306</v>
      </c>
      <c r="H282" s="142" t="n">
        <v>43339</v>
      </c>
      <c r="I282" s="19" t="n">
        <f aca="false">H282-G282</f>
        <v>33</v>
      </c>
      <c r="J282" s="100" t="n">
        <f aca="false">TRUNC(I282/30,0)</f>
        <v>1</v>
      </c>
      <c r="K282" s="183" t="s">
        <v>95</v>
      </c>
      <c r="L282" s="223" t="n">
        <v>20</v>
      </c>
      <c r="M282" s="147" t="n">
        <v>1.66</v>
      </c>
      <c r="N282" s="197" t="s">
        <v>283</v>
      </c>
      <c r="O282" s="149" t="n">
        <f aca="false">J282</f>
        <v>1</v>
      </c>
      <c r="P282" s="149"/>
      <c r="Q282" s="150" t="n">
        <v>0.0206363</v>
      </c>
      <c r="R282" s="151" t="s">
        <v>255</v>
      </c>
      <c r="S282" s="152" t="n">
        <v>0.0215</v>
      </c>
      <c r="T282" s="151" t="s">
        <v>255</v>
      </c>
      <c r="U282" s="152" t="n">
        <v>0.0243</v>
      </c>
      <c r="V282" s="152" t="n">
        <v>0.023716</v>
      </c>
      <c r="W282" s="152" t="n">
        <v>0.000474</v>
      </c>
      <c r="X282" s="152" t="n">
        <v>0.003242</v>
      </c>
      <c r="Y282" s="153" t="n">
        <v>0.014962</v>
      </c>
      <c r="Z282" s="152" t="n">
        <v>0.002</v>
      </c>
      <c r="AA282" s="152" t="n">
        <v>0.002</v>
      </c>
      <c r="AB282" s="154" t="n">
        <f aca="false">S282-Z282</f>
        <v>0.0195</v>
      </c>
      <c r="AC282" s="154" t="n">
        <f aca="false">U282-Z282-AA282</f>
        <v>0.0203</v>
      </c>
      <c r="AD282" s="155" t="n">
        <v>0.0195</v>
      </c>
      <c r="AE282" s="156" t="n">
        <f aca="false">IF(Y282="","",Y282)</f>
        <v>0.014962</v>
      </c>
      <c r="AF282" s="153" t="n">
        <v>0.004538</v>
      </c>
      <c r="AG282" s="184" t="n">
        <f aca="false">IF(AF282="","",AE282+AF282)</f>
        <v>0.0195</v>
      </c>
      <c r="AH282" s="185" t="n">
        <v>43306</v>
      </c>
      <c r="AI282" s="35" t="n">
        <v>1</v>
      </c>
      <c r="AJ282" s="19" t="str">
        <f aca="false">IF(AG282="","N","Y")</f>
        <v>Y</v>
      </c>
      <c r="AK282" s="238" t="s">
        <v>284</v>
      </c>
      <c r="AL282" s="225" t="s">
        <v>285</v>
      </c>
    </row>
    <row r="283" s="38" customFormat="true" ht="23.25" hidden="false" customHeight="true" outlineLevel="0" collapsed="false">
      <c r="A283" s="19" t="n">
        <f aca="false">IF(B283="","",IF((YEAR(B283)-YEAR(B282))=0,A282+1,1))</f>
        <v>89</v>
      </c>
      <c r="B283" s="141" t="n">
        <v>43307</v>
      </c>
      <c r="C283" s="63" t="s">
        <v>103</v>
      </c>
      <c r="D283" s="63" t="s">
        <v>216</v>
      </c>
      <c r="E283" s="63" t="s">
        <v>240</v>
      </c>
      <c r="F283" s="63" t="s">
        <v>224</v>
      </c>
      <c r="G283" s="142" t="n">
        <v>43307</v>
      </c>
      <c r="H283" s="142" t="n">
        <v>43395</v>
      </c>
      <c r="I283" s="19" t="n">
        <f aca="false">H283-G283</f>
        <v>88</v>
      </c>
      <c r="J283" s="100" t="n">
        <f aca="false">TRUNC(I283/30,0)</f>
        <v>2</v>
      </c>
      <c r="K283" s="183" t="s">
        <v>95</v>
      </c>
      <c r="L283" s="223" t="n">
        <v>5</v>
      </c>
      <c r="M283" s="147" t="n">
        <v>1.97146</v>
      </c>
      <c r="N283" s="197" t="s">
        <v>264</v>
      </c>
      <c r="O283" s="151" t="n">
        <f aca="false">J283</f>
        <v>2</v>
      </c>
      <c r="P283" s="151"/>
      <c r="Q283" s="150" t="n">
        <v>0.0233688</v>
      </c>
      <c r="R283" s="151" t="n">
        <v>3</v>
      </c>
      <c r="S283" s="152" t="n">
        <v>0.0245</v>
      </c>
      <c r="T283" s="151" t="n">
        <v>3</v>
      </c>
      <c r="U283" s="152" t="n">
        <v>0.025556</v>
      </c>
      <c r="V283" s="152" t="n">
        <v>0.026868</v>
      </c>
      <c r="W283" s="152" t="n">
        <v>0.000537</v>
      </c>
      <c r="X283" s="152" t="n">
        <v>0.003331</v>
      </c>
      <c r="Y283" s="153" t="n">
        <v>0.015028</v>
      </c>
      <c r="Z283" s="152" t="n">
        <v>0.002</v>
      </c>
      <c r="AA283" s="152" t="n">
        <v>0.002</v>
      </c>
      <c r="AB283" s="154" t="n">
        <f aca="false">S283-Z283</f>
        <v>0.0225</v>
      </c>
      <c r="AC283" s="154" t="n">
        <f aca="false">U283-Z283-AA283</f>
        <v>0.021556</v>
      </c>
      <c r="AD283" s="155" t="n">
        <v>0.023</v>
      </c>
      <c r="AE283" s="156" t="n">
        <f aca="false">IF(Y283="","",Y283)</f>
        <v>0.015028</v>
      </c>
      <c r="AF283" s="153" t="n">
        <v>0.007972</v>
      </c>
      <c r="AG283" s="184" t="n">
        <f aca="false">IF(AF283="","",AE283+AF283)</f>
        <v>0.023</v>
      </c>
      <c r="AH283" s="185" t="n">
        <v>43307</v>
      </c>
      <c r="AI283" s="35" t="n">
        <v>1</v>
      </c>
      <c r="AJ283" s="19" t="str">
        <f aca="false">IF(AG283="","N","Y")</f>
        <v>Y</v>
      </c>
      <c r="AK283" s="238" t="s">
        <v>286</v>
      </c>
      <c r="AL283" s="225"/>
    </row>
    <row r="284" s="38" customFormat="true" ht="23.25" hidden="false" customHeight="true" outlineLevel="0" collapsed="false">
      <c r="A284" s="19" t="n">
        <f aca="false">IF(B284="","",IF((YEAR(B284)-YEAR(B283))=0,A283+1,1))</f>
        <v>90</v>
      </c>
      <c r="B284" s="141" t="n">
        <v>43318</v>
      </c>
      <c r="C284" s="63" t="s">
        <v>103</v>
      </c>
      <c r="D284" s="63" t="s">
        <v>154</v>
      </c>
      <c r="E284" s="63" t="s">
        <v>177</v>
      </c>
      <c r="F284" s="63" t="s">
        <v>261</v>
      </c>
      <c r="G284" s="142" t="n">
        <v>43318</v>
      </c>
      <c r="H284" s="142" t="n">
        <v>43349</v>
      </c>
      <c r="I284" s="19" t="n">
        <f aca="false">H284-G284</f>
        <v>31</v>
      </c>
      <c r="J284" s="100" t="n">
        <f aca="false">TRUNC(I284/30,0)</f>
        <v>1</v>
      </c>
      <c r="K284" s="183" t="s">
        <v>95</v>
      </c>
      <c r="L284" s="223" t="n">
        <v>10</v>
      </c>
      <c r="M284" s="147" t="n">
        <v>1.67442</v>
      </c>
      <c r="N284" s="197" t="s">
        <v>287</v>
      </c>
      <c r="O284" s="149" t="n">
        <f aca="false">J284</f>
        <v>1</v>
      </c>
      <c r="P284" s="149"/>
      <c r="Q284" s="150" t="n">
        <v>0.0207931</v>
      </c>
      <c r="R284" s="151" t="s">
        <v>255</v>
      </c>
      <c r="S284" s="152" t="n">
        <v>0.0221</v>
      </c>
      <c r="T284" s="151" t="s">
        <v>255</v>
      </c>
      <c r="U284" s="152" t="n">
        <v>0.025411</v>
      </c>
      <c r="V284" s="152" t="n">
        <v>0.023826</v>
      </c>
      <c r="W284" s="152" t="n">
        <v>0.000477</v>
      </c>
      <c r="X284" s="152" t="n">
        <v>0.00335</v>
      </c>
      <c r="Y284" s="153" t="n">
        <v>0.015052</v>
      </c>
      <c r="Z284" s="152" t="n">
        <v>0.002</v>
      </c>
      <c r="AA284" s="152" t="n">
        <v>0.002</v>
      </c>
      <c r="AB284" s="154" t="n">
        <f aca="false">S284-Z284</f>
        <v>0.0201</v>
      </c>
      <c r="AC284" s="154" t="n">
        <f aca="false">U284-Z284-AA284</f>
        <v>0.021411</v>
      </c>
      <c r="AD284" s="155" t="n">
        <v>0.02</v>
      </c>
      <c r="AE284" s="156" t="n">
        <f aca="false">IF(Y284="","",Y284)</f>
        <v>0.015052</v>
      </c>
      <c r="AF284" s="153" t="n">
        <v>0.004948</v>
      </c>
      <c r="AG284" s="184" t="n">
        <f aca="false">IF(AF284="","",AE284+AF284)</f>
        <v>0.02</v>
      </c>
      <c r="AH284" s="185" t="n">
        <v>43318</v>
      </c>
      <c r="AI284" s="35" t="n">
        <v>1</v>
      </c>
      <c r="AJ284" s="19" t="str">
        <f aca="false">IF(AG284="","N","Y")</f>
        <v>Y</v>
      </c>
      <c r="AK284" s="238" t="s">
        <v>288</v>
      </c>
      <c r="AL284" s="225" t="s">
        <v>289</v>
      </c>
    </row>
    <row r="285" s="220" customFormat="true" ht="23.25" hidden="false" customHeight="true" outlineLevel="0" collapsed="false">
      <c r="A285" s="200" t="n">
        <f aca="false">IF(B285="","",IF((YEAR(B285)-YEAR(B284))=0,A284+1,1))</f>
        <v>91</v>
      </c>
      <c r="B285" s="199" t="n">
        <v>43318</v>
      </c>
      <c r="C285" s="200" t="s">
        <v>103</v>
      </c>
      <c r="D285" s="200" t="s">
        <v>216</v>
      </c>
      <c r="E285" s="200" t="s">
        <v>240</v>
      </c>
      <c r="F285" s="200" t="s">
        <v>229</v>
      </c>
      <c r="G285" s="201" t="n">
        <v>43318</v>
      </c>
      <c r="H285" s="201" t="n">
        <v>43349</v>
      </c>
      <c r="I285" s="200" t="n">
        <f aca="false">H285-G285</f>
        <v>31</v>
      </c>
      <c r="J285" s="202" t="n">
        <f aca="false">TRUNC(I285/30,0)</f>
        <v>1</v>
      </c>
      <c r="K285" s="203" t="s">
        <v>99</v>
      </c>
      <c r="L285" s="204" t="n">
        <v>2.05</v>
      </c>
      <c r="M285" s="205" t="n">
        <v>1.01767</v>
      </c>
      <c r="N285" s="227" t="s">
        <v>290</v>
      </c>
      <c r="O285" s="228" t="n">
        <f aca="false">J285</f>
        <v>1</v>
      </c>
      <c r="P285" s="228"/>
      <c r="Q285" s="208" t="n">
        <v>0.0195025</v>
      </c>
      <c r="R285" s="207" t="s">
        <v>271</v>
      </c>
      <c r="S285" s="209" t="n">
        <v>0.0197</v>
      </c>
      <c r="T285" s="207" t="s">
        <v>271</v>
      </c>
      <c r="U285" s="209" t="n">
        <v>0.0243</v>
      </c>
      <c r="V285" s="209" t="n">
        <v>0.031546</v>
      </c>
      <c r="W285" s="209" t="n">
        <v>0.002208</v>
      </c>
      <c r="X285" s="209" t="n">
        <v>0.017338</v>
      </c>
      <c r="Y285" s="210" t="n">
        <v>0.010074</v>
      </c>
      <c r="Z285" s="209" t="n">
        <v>0.0033</v>
      </c>
      <c r="AA285" s="209" t="n">
        <v>0.002</v>
      </c>
      <c r="AB285" s="211" t="n">
        <f aca="false">S285-Z285</f>
        <v>0.0164</v>
      </c>
      <c r="AC285" s="211" t="n">
        <f aca="false">U285-Z285-AA285</f>
        <v>0.019</v>
      </c>
      <c r="AD285" s="212" t="n">
        <v>0.012</v>
      </c>
      <c r="AE285" s="213" t="n">
        <f aca="false">IF(Y285="","",Y285)</f>
        <v>0.010074</v>
      </c>
      <c r="AF285" s="210" t="n">
        <v>0.001926</v>
      </c>
      <c r="AG285" s="214" t="n">
        <f aca="false">IF(AF285="","",AE285+AF285)</f>
        <v>0.012</v>
      </c>
      <c r="AH285" s="215" t="n">
        <v>43318</v>
      </c>
      <c r="AI285" s="216"/>
      <c r="AJ285" s="217" t="str">
        <f aca="false">IF(AG285="","N","Y")</f>
        <v>Y</v>
      </c>
      <c r="AK285" s="239" t="s">
        <v>272</v>
      </c>
      <c r="AL285" s="240"/>
    </row>
    <row r="286" s="38" customFormat="true" ht="23.25" hidden="false" customHeight="true" outlineLevel="0" collapsed="false">
      <c r="A286" s="19" t="n">
        <f aca="false">IF(B286="","",IF((YEAR(B286)-YEAR(B285))=0,A285+1,1))</f>
        <v>92</v>
      </c>
      <c r="B286" s="141" t="n">
        <v>43334</v>
      </c>
      <c r="C286" s="63" t="s">
        <v>103</v>
      </c>
      <c r="D286" s="63" t="s">
        <v>216</v>
      </c>
      <c r="E286" s="63" t="s">
        <v>206</v>
      </c>
      <c r="F286" s="63" t="s">
        <v>217</v>
      </c>
      <c r="G286" s="142" t="n">
        <v>43339</v>
      </c>
      <c r="H286" s="142" t="n">
        <v>43370</v>
      </c>
      <c r="I286" s="19" t="n">
        <f aca="false">H286-G286</f>
        <v>31</v>
      </c>
      <c r="J286" s="149" t="n">
        <f aca="false">TRUNC(I286/30,0)</f>
        <v>1</v>
      </c>
      <c r="K286" s="183" t="s">
        <v>95</v>
      </c>
      <c r="L286" s="146" t="n">
        <v>20</v>
      </c>
      <c r="M286" s="147" t="n">
        <v>1.65783</v>
      </c>
      <c r="N286" s="148" t="s">
        <v>291</v>
      </c>
      <c r="O286" s="149" t="n">
        <f aca="false">J286</f>
        <v>1</v>
      </c>
      <c r="P286" s="149"/>
      <c r="Q286" s="150" t="n">
        <v>0.0207275</v>
      </c>
      <c r="R286" s="149" t="n">
        <v>1</v>
      </c>
      <c r="S286" s="152" t="n">
        <v>0.0225</v>
      </c>
      <c r="T286" s="151" t="s">
        <v>255</v>
      </c>
      <c r="U286" s="152" t="n">
        <v>0.025091</v>
      </c>
      <c r="V286" s="152" t="n">
        <v>0.023678</v>
      </c>
      <c r="W286" s="152" t="n">
        <v>0.000474</v>
      </c>
      <c r="X286" s="152" t="n">
        <v>0.004204</v>
      </c>
      <c r="Y286" s="152" t="n">
        <v>0.014987</v>
      </c>
      <c r="Z286" s="152" t="n">
        <v>0.002</v>
      </c>
      <c r="AA286" s="152" t="n">
        <v>0.002</v>
      </c>
      <c r="AB286" s="154" t="n">
        <f aca="false">S286-Z286</f>
        <v>0.0205</v>
      </c>
      <c r="AC286" s="154" t="n">
        <f aca="false">U286-Z286-AA286</f>
        <v>0.021091</v>
      </c>
      <c r="AD286" s="155" t="n">
        <v>0.019</v>
      </c>
      <c r="AE286" s="156" t="n">
        <f aca="false">IF(Y286="","",Y286)</f>
        <v>0.014987</v>
      </c>
      <c r="AF286" s="153" t="n">
        <v>0.004013</v>
      </c>
      <c r="AG286" s="184" t="n">
        <f aca="false">IF(AF286="","",AE286+AF286)</f>
        <v>0.019</v>
      </c>
      <c r="AH286" s="185" t="n">
        <v>43339</v>
      </c>
      <c r="AI286" s="35"/>
      <c r="AJ286" s="19" t="str">
        <f aca="false">IF(AG286="","N","Y")</f>
        <v>Y</v>
      </c>
      <c r="AK286" s="159" t="s">
        <v>292</v>
      </c>
      <c r="AL286" s="242"/>
    </row>
    <row r="287" s="38" customFormat="true" ht="23.25" hidden="false" customHeight="true" outlineLevel="0" collapsed="false">
      <c r="A287" s="19" t="n">
        <f aca="false">IF(B287="","",IF((YEAR(B287)-YEAR(B286))=0,A286+1,1))</f>
        <v>93</v>
      </c>
      <c r="B287" s="141" t="n">
        <v>43334</v>
      </c>
      <c r="C287" s="63" t="s">
        <v>103</v>
      </c>
      <c r="D287" s="63" t="s">
        <v>216</v>
      </c>
      <c r="E287" s="63" t="s">
        <v>206</v>
      </c>
      <c r="F287" s="63" t="s">
        <v>224</v>
      </c>
      <c r="G287" s="142" t="n">
        <v>43339</v>
      </c>
      <c r="H287" s="142" t="n">
        <v>43370</v>
      </c>
      <c r="I287" s="19" t="n">
        <f aca="false">H287-G287</f>
        <v>31</v>
      </c>
      <c r="J287" s="149" t="n">
        <f aca="false">TRUNC(I287/30,0)</f>
        <v>1</v>
      </c>
      <c r="K287" s="183" t="s">
        <v>95</v>
      </c>
      <c r="L287" s="146" t="n">
        <v>5</v>
      </c>
      <c r="M287" s="147" t="n">
        <v>1.66</v>
      </c>
      <c r="N287" s="148" t="s">
        <v>291</v>
      </c>
      <c r="O287" s="149" t="n">
        <f aca="false">J287</f>
        <v>1</v>
      </c>
      <c r="P287" s="149"/>
      <c r="Q287" s="150" t="n">
        <v>0.0207275</v>
      </c>
      <c r="R287" s="149" t="n">
        <v>1</v>
      </c>
      <c r="S287" s="152" t="n">
        <v>0.0225</v>
      </c>
      <c r="T287" s="151" t="s">
        <v>255</v>
      </c>
      <c r="U287" s="152" t="n">
        <v>0.025091</v>
      </c>
      <c r="V287" s="152" t="n">
        <v>0.023678</v>
      </c>
      <c r="W287" s="152" t="n">
        <v>0.000474</v>
      </c>
      <c r="X287" s="152" t="n">
        <v>0.004204</v>
      </c>
      <c r="Y287" s="152" t="n">
        <v>0.014987</v>
      </c>
      <c r="Z287" s="152" t="n">
        <v>0.002</v>
      </c>
      <c r="AA287" s="152" t="n">
        <v>0.002</v>
      </c>
      <c r="AB287" s="154" t="n">
        <f aca="false">S287-Z287</f>
        <v>0.0205</v>
      </c>
      <c r="AC287" s="154" t="n">
        <f aca="false">U287-Z287-AA287</f>
        <v>0.021091</v>
      </c>
      <c r="AD287" s="155" t="n">
        <v>0.0195</v>
      </c>
      <c r="AE287" s="156" t="n">
        <f aca="false">IF(Y287="","",Y287)</f>
        <v>0.014987</v>
      </c>
      <c r="AF287" s="153" t="n">
        <v>0.004513</v>
      </c>
      <c r="AG287" s="184" t="n">
        <f aca="false">IF(AF287="","",AE287+AF287)</f>
        <v>0.0195</v>
      </c>
      <c r="AH287" s="185" t="n">
        <v>43339</v>
      </c>
      <c r="AI287" s="35"/>
      <c r="AJ287" s="19" t="str">
        <f aca="false">IF(AG287="","N","Y")</f>
        <v>Y</v>
      </c>
      <c r="AK287" s="159" t="s">
        <v>292</v>
      </c>
      <c r="AL287" s="36" t="s">
        <v>293</v>
      </c>
    </row>
    <row r="288" s="140" customFormat="true" ht="23.25" hidden="false" customHeight="true" outlineLevel="0" collapsed="false">
      <c r="A288" s="116" t="n">
        <f aca="false">IF(B288="","",IF((YEAR(B288)-YEAR(B287))=0,A287+1,1))</f>
        <v>94</v>
      </c>
      <c r="B288" s="160" t="n">
        <v>43335</v>
      </c>
      <c r="C288" s="161" t="s">
        <v>100</v>
      </c>
      <c r="D288" s="161" t="s">
        <v>257</v>
      </c>
      <c r="E288" s="161" t="s">
        <v>101</v>
      </c>
      <c r="F288" s="161" t="s">
        <v>102</v>
      </c>
      <c r="G288" s="162" t="n">
        <v>43335</v>
      </c>
      <c r="H288" s="162" t="n">
        <v>43370</v>
      </c>
      <c r="I288" s="116" t="n">
        <f aca="false">H288-G288</f>
        <v>35</v>
      </c>
      <c r="J288" s="122" t="n">
        <f aca="false">TRUNC(I288/30,0)</f>
        <v>1</v>
      </c>
      <c r="K288" s="180" t="s">
        <v>95</v>
      </c>
      <c r="L288" s="166" t="n">
        <v>30</v>
      </c>
      <c r="M288" s="167" t="n">
        <v>1.65783</v>
      </c>
      <c r="N288" s="168" t="s">
        <v>287</v>
      </c>
      <c r="O288" s="169" t="n">
        <f aca="false">J288</f>
        <v>1</v>
      </c>
      <c r="P288" s="169"/>
      <c r="Q288" s="170" t="n">
        <v>0.02066</v>
      </c>
      <c r="R288" s="171" t="s">
        <v>255</v>
      </c>
      <c r="S288" s="172" t="n">
        <v>0.0215</v>
      </c>
      <c r="T288" s="171" t="s">
        <v>255</v>
      </c>
      <c r="U288" s="172" t="n">
        <v>0.025</v>
      </c>
      <c r="V288" s="172" t="n">
        <v>0</v>
      </c>
      <c r="W288" s="172" t="n">
        <v>0</v>
      </c>
      <c r="X288" s="172" t="n">
        <v>0</v>
      </c>
      <c r="Y288" s="173" t="n">
        <v>0</v>
      </c>
      <c r="Z288" s="172" t="n">
        <v>0.002</v>
      </c>
      <c r="AA288" s="172" t="n">
        <v>0.002</v>
      </c>
      <c r="AB288" s="174" t="n">
        <f aca="false">S288-Z288</f>
        <v>0.0195</v>
      </c>
      <c r="AC288" s="174" t="n">
        <f aca="false">U288-Z288-AA288</f>
        <v>0.021</v>
      </c>
      <c r="AD288" s="175" t="n">
        <v>0.0215</v>
      </c>
      <c r="AE288" s="130"/>
      <c r="AF288" s="173"/>
      <c r="AG288" s="186"/>
      <c r="AH288" s="187"/>
      <c r="AI288" s="176"/>
      <c r="AJ288" s="116" t="str">
        <f aca="false">IF(AG288="","N","Y")</f>
        <v>N</v>
      </c>
      <c r="AK288" s="177"/>
      <c r="AL288" s="243" t="s">
        <v>294</v>
      </c>
    </row>
    <row r="289" s="140" customFormat="true" ht="23.25" hidden="false" customHeight="true" outlineLevel="0" collapsed="false">
      <c r="A289" s="116" t="n">
        <v>95</v>
      </c>
      <c r="B289" s="160" t="n">
        <v>43341</v>
      </c>
      <c r="C289" s="161" t="s">
        <v>96</v>
      </c>
      <c r="D289" s="161" t="s">
        <v>278</v>
      </c>
      <c r="E289" s="161" t="s">
        <v>97</v>
      </c>
      <c r="F289" s="161" t="s">
        <v>279</v>
      </c>
      <c r="G289" s="162" t="n">
        <v>43342</v>
      </c>
      <c r="H289" s="162" t="n">
        <v>43434</v>
      </c>
      <c r="I289" s="116" t="n">
        <f aca="false">H289-G289</f>
        <v>92</v>
      </c>
      <c r="J289" s="169" t="n">
        <f aca="false">TRUNC(I289/30,0)</f>
        <v>3</v>
      </c>
      <c r="K289" s="180" t="s">
        <v>95</v>
      </c>
      <c r="L289" s="166" t="n">
        <v>30</v>
      </c>
      <c r="M289" s="167" t="n">
        <v>1.96</v>
      </c>
      <c r="N289" s="168" t="s">
        <v>295</v>
      </c>
      <c r="O289" s="169" t="n">
        <f aca="false">J289</f>
        <v>3</v>
      </c>
      <c r="P289" s="169"/>
      <c r="Q289" s="170" t="n">
        <v>0.0231475</v>
      </c>
      <c r="R289" s="171" t="s">
        <v>265</v>
      </c>
      <c r="S289" s="172" t="n">
        <v>0.023</v>
      </c>
      <c r="T289" s="171" t="s">
        <v>265</v>
      </c>
      <c r="U289" s="172" t="n">
        <v>0.0272</v>
      </c>
      <c r="V289" s="172" t="n">
        <v>0.026694</v>
      </c>
      <c r="W289" s="172" t="n">
        <v>0.000534</v>
      </c>
      <c r="X289" s="172" t="n">
        <v>0.00266</v>
      </c>
      <c r="Y289" s="172" t="n">
        <v>0.018559</v>
      </c>
      <c r="Z289" s="172" t="n">
        <v>0.002</v>
      </c>
      <c r="AA289" s="172" t="n">
        <v>0.002</v>
      </c>
      <c r="AB289" s="174" t="n">
        <f aca="false">S289-Z289</f>
        <v>0.021</v>
      </c>
      <c r="AC289" s="174" t="n">
        <f aca="false">U289-Z289-AA289</f>
        <v>0.0232</v>
      </c>
      <c r="AD289" s="175" t="n">
        <v>0.0235</v>
      </c>
      <c r="AE289" s="130" t="n">
        <f aca="false">IF(Y289="","",Y289)</f>
        <v>0.018559</v>
      </c>
      <c r="AF289" s="173" t="n">
        <v>0.004941</v>
      </c>
      <c r="AG289" s="186"/>
      <c r="AH289" s="187"/>
      <c r="AI289" s="176"/>
      <c r="AJ289" s="116" t="str">
        <f aca="false">IF(AG289="","N","Y")</f>
        <v>N</v>
      </c>
      <c r="AK289" s="177"/>
      <c r="AL289" s="233" t="s">
        <v>296</v>
      </c>
    </row>
    <row r="290" s="220" customFormat="true" ht="23.25" hidden="false" customHeight="true" outlineLevel="0" collapsed="false">
      <c r="A290" s="200" t="n">
        <v>96</v>
      </c>
      <c r="B290" s="199" t="n">
        <v>43341</v>
      </c>
      <c r="C290" s="200" t="s">
        <v>96</v>
      </c>
      <c r="D290" s="200" t="s">
        <v>278</v>
      </c>
      <c r="E290" s="200" t="s">
        <v>97</v>
      </c>
      <c r="F290" s="200" t="s">
        <v>279</v>
      </c>
      <c r="G290" s="201" t="n">
        <v>43342</v>
      </c>
      <c r="H290" s="201" t="n">
        <v>43374</v>
      </c>
      <c r="I290" s="200" t="n">
        <f aca="false">H290-G290</f>
        <v>32</v>
      </c>
      <c r="J290" s="228" t="n">
        <f aca="false">TRUNC(I290/30,0)</f>
        <v>1</v>
      </c>
      <c r="K290" s="203" t="s">
        <v>99</v>
      </c>
      <c r="L290" s="204" t="n">
        <v>30</v>
      </c>
      <c r="M290" s="205" t="n">
        <v>1.03</v>
      </c>
      <c r="N290" s="227" t="s">
        <v>290</v>
      </c>
      <c r="O290" s="228" t="n">
        <f aca="false">J290</f>
        <v>1</v>
      </c>
      <c r="P290" s="228"/>
      <c r="Q290" s="208" t="n">
        <v>0.0195675</v>
      </c>
      <c r="R290" s="207" t="s">
        <v>271</v>
      </c>
      <c r="S290" s="209" t="n">
        <v>0.0205</v>
      </c>
      <c r="T290" s="207" t="s">
        <v>271</v>
      </c>
      <c r="U290" s="209" t="n">
        <v>0.0255</v>
      </c>
      <c r="V290" s="209" t="n">
        <v>0.031573</v>
      </c>
      <c r="W290" s="209" t="n">
        <v>0.00221</v>
      </c>
      <c r="X290" s="209" t="n">
        <v>0.010363</v>
      </c>
      <c r="Y290" s="209" t="n">
        <v>0.010139</v>
      </c>
      <c r="Z290" s="209" t="n">
        <v>0.0033</v>
      </c>
      <c r="AA290" s="209" t="n">
        <v>0.002</v>
      </c>
      <c r="AB290" s="211" t="n">
        <f aca="false">S290-Z290</f>
        <v>0.0172</v>
      </c>
      <c r="AC290" s="211" t="n">
        <f aca="false">U290-Z290-AA290</f>
        <v>0.0202</v>
      </c>
      <c r="AD290" s="212" t="n">
        <v>0.019</v>
      </c>
      <c r="AE290" s="210" t="n">
        <f aca="false">IF(Y290="","",Y290)</f>
        <v>0.010139</v>
      </c>
      <c r="AF290" s="210" t="n">
        <v>0.008861</v>
      </c>
      <c r="AG290" s="214" t="n">
        <f aca="false">IF(AF290="","",AE290+AF290)</f>
        <v>0.019</v>
      </c>
      <c r="AH290" s="215" t="n">
        <v>43342</v>
      </c>
      <c r="AI290" s="216" t="n">
        <v>3</v>
      </c>
      <c r="AJ290" s="217" t="str">
        <f aca="false">IF(AG290="","N","Y")</f>
        <v>Y</v>
      </c>
      <c r="AK290" s="239" t="s">
        <v>297</v>
      </c>
      <c r="AL290" s="229" t="s">
        <v>298</v>
      </c>
    </row>
    <row r="291" s="38" customFormat="true" ht="23.25" hidden="false" customHeight="true" outlineLevel="0" collapsed="false">
      <c r="A291" s="19" t="n">
        <v>97</v>
      </c>
      <c r="B291" s="141" t="n">
        <v>43347</v>
      </c>
      <c r="C291" s="63" t="s">
        <v>189</v>
      </c>
      <c r="D291" s="63" t="s">
        <v>243</v>
      </c>
      <c r="E291" s="63" t="s">
        <v>190</v>
      </c>
      <c r="F291" s="19" t="s">
        <v>244</v>
      </c>
      <c r="G291" s="142" t="n">
        <v>43348</v>
      </c>
      <c r="H291" s="142" t="n">
        <v>43439</v>
      </c>
      <c r="I291" s="19" t="n">
        <f aca="false">H291-G291</f>
        <v>91</v>
      </c>
      <c r="J291" s="149" t="n">
        <f aca="false">TRUNC(I291/30,0)</f>
        <v>3</v>
      </c>
      <c r="K291" s="183" t="s">
        <v>95</v>
      </c>
      <c r="L291" s="146" t="n">
        <v>1</v>
      </c>
      <c r="M291" s="147" t="n">
        <v>1.96</v>
      </c>
      <c r="N291" s="148" t="s">
        <v>299</v>
      </c>
      <c r="O291" s="149" t="n">
        <f aca="false">J291</f>
        <v>3</v>
      </c>
      <c r="P291" s="149"/>
      <c r="Q291" s="150" t="n">
        <v>0.0232275</v>
      </c>
      <c r="R291" s="151" t="s">
        <v>300</v>
      </c>
      <c r="S291" s="152" t="n">
        <v>0.023</v>
      </c>
      <c r="T291" s="151" t="s">
        <v>300</v>
      </c>
      <c r="U291" s="152" t="n">
        <v>0.027965</v>
      </c>
      <c r="V291" s="152" t="n">
        <v>0.026647</v>
      </c>
      <c r="W291" s="152" t="n">
        <v>0.000533</v>
      </c>
      <c r="X291" s="152" t="n">
        <v>0.003914</v>
      </c>
      <c r="Y291" s="152" t="n">
        <v>0.018634</v>
      </c>
      <c r="Z291" s="152" t="n">
        <v>0.002</v>
      </c>
      <c r="AA291" s="152" t="n">
        <v>0.002</v>
      </c>
      <c r="AB291" s="154" t="n">
        <f aca="false">S291-Z291</f>
        <v>0.021</v>
      </c>
      <c r="AC291" s="154" t="n">
        <f aca="false">U291-Z291-AA291</f>
        <v>0.023965</v>
      </c>
      <c r="AD291" s="155" t="n">
        <v>0.0222</v>
      </c>
      <c r="AE291" s="153" t="n">
        <f aca="false">IF(Y291="","",Y291)</f>
        <v>0.018634</v>
      </c>
      <c r="AF291" s="153" t="n">
        <v>0.003566</v>
      </c>
      <c r="AG291" s="184" t="n">
        <f aca="false">IF(AF291="","",AE291+AF291)</f>
        <v>0.0222</v>
      </c>
      <c r="AH291" s="185" t="n">
        <v>43348</v>
      </c>
      <c r="AI291" s="35" t="n">
        <v>1</v>
      </c>
      <c r="AJ291" s="116" t="str">
        <f aca="false">IF(AG291="","N","Y")</f>
        <v>Y</v>
      </c>
      <c r="AK291" s="238" t="s">
        <v>301</v>
      </c>
      <c r="AL291" s="36"/>
    </row>
    <row r="292" s="38" customFormat="true" ht="23.25" hidden="false" customHeight="true" outlineLevel="0" collapsed="false">
      <c r="A292" s="19" t="n">
        <v>98</v>
      </c>
      <c r="B292" s="141" t="n">
        <v>43349</v>
      </c>
      <c r="C292" s="63" t="s">
        <v>103</v>
      </c>
      <c r="D292" s="63" t="s">
        <v>154</v>
      </c>
      <c r="E292" s="63" t="s">
        <v>206</v>
      </c>
      <c r="F292" s="63" t="s">
        <v>261</v>
      </c>
      <c r="G292" s="142" t="n">
        <v>43349</v>
      </c>
      <c r="H292" s="142" t="n">
        <v>43383</v>
      </c>
      <c r="I292" s="19" t="n">
        <f aca="false">H292-G292</f>
        <v>34</v>
      </c>
      <c r="J292" s="149" t="n">
        <f aca="false">TRUNC(I292/30,0)</f>
        <v>1</v>
      </c>
      <c r="K292" s="183" t="s">
        <v>95</v>
      </c>
      <c r="L292" s="146" t="n">
        <v>10</v>
      </c>
      <c r="M292" s="147" t="n">
        <v>1.71</v>
      </c>
      <c r="N292" s="148" t="s">
        <v>302</v>
      </c>
      <c r="O292" s="149" t="n">
        <f aca="false">J292</f>
        <v>1</v>
      </c>
      <c r="P292" s="149"/>
      <c r="Q292" s="150" t="n">
        <v>0.021205</v>
      </c>
      <c r="R292" s="151" t="s">
        <v>303</v>
      </c>
      <c r="S292" s="152" t="n">
        <v>0.0228</v>
      </c>
      <c r="T292" s="151" t="s">
        <v>303</v>
      </c>
      <c r="U292" s="152" t="n">
        <v>0.0278</v>
      </c>
      <c r="V292" s="152" t="n">
        <v>0.024174</v>
      </c>
      <c r="W292" s="152" t="n">
        <v>0.000483</v>
      </c>
      <c r="X292" s="152" t="n">
        <v>0.00419</v>
      </c>
      <c r="Y292" s="152" t="n">
        <v>0.015455</v>
      </c>
      <c r="Z292" s="152" t="n">
        <v>0.002</v>
      </c>
      <c r="AA292" s="152" t="n">
        <v>0.002</v>
      </c>
      <c r="AB292" s="154" t="n">
        <f aca="false">S292-Z292</f>
        <v>0.0208</v>
      </c>
      <c r="AC292" s="154" t="n">
        <f aca="false">U292-Z292-AA292</f>
        <v>0.0238</v>
      </c>
      <c r="AD292" s="155" t="n">
        <v>0.0195</v>
      </c>
      <c r="AE292" s="153" t="n">
        <f aca="false">IF(Y292="","",Y292)</f>
        <v>0.015455</v>
      </c>
      <c r="AF292" s="153" t="n">
        <v>0.004045</v>
      </c>
      <c r="AG292" s="184" t="n">
        <f aca="false">IF(AF292="","",AE292+AF292)</f>
        <v>0.0195</v>
      </c>
      <c r="AH292" s="185" t="n">
        <v>43349</v>
      </c>
      <c r="AI292" s="35" t="n">
        <v>1</v>
      </c>
      <c r="AJ292" s="116" t="str">
        <f aca="false">IF(AG292="","N","Y")</f>
        <v>Y</v>
      </c>
      <c r="AK292" s="238" t="s">
        <v>304</v>
      </c>
      <c r="AL292" s="36"/>
    </row>
    <row r="293" s="220" customFormat="true" ht="23.25" hidden="false" customHeight="true" outlineLevel="0" collapsed="false">
      <c r="A293" s="200" t="n">
        <v>99</v>
      </c>
      <c r="B293" s="199" t="n">
        <v>43349</v>
      </c>
      <c r="C293" s="200" t="s">
        <v>103</v>
      </c>
      <c r="D293" s="200" t="s">
        <v>216</v>
      </c>
      <c r="E293" s="200" t="s">
        <v>206</v>
      </c>
      <c r="F293" s="200" t="s">
        <v>229</v>
      </c>
      <c r="G293" s="201" t="n">
        <v>43349</v>
      </c>
      <c r="H293" s="201" t="n">
        <v>43379</v>
      </c>
      <c r="I293" s="200" t="n">
        <f aca="false">H293-G293</f>
        <v>30</v>
      </c>
      <c r="J293" s="228" t="n">
        <f aca="false">TRUNC(I293/30,0)</f>
        <v>1</v>
      </c>
      <c r="K293" s="203" t="s">
        <v>99</v>
      </c>
      <c r="L293" s="204" t="n">
        <v>4.7</v>
      </c>
      <c r="M293" s="205" t="n">
        <v>1.06</v>
      </c>
      <c r="N293" s="227" t="s">
        <v>290</v>
      </c>
      <c r="O293" s="228" t="n">
        <f aca="false">J293</f>
        <v>1</v>
      </c>
      <c r="P293" s="228"/>
      <c r="Q293" s="208" t="n">
        <v>0.0195319</v>
      </c>
      <c r="R293" s="207" t="s">
        <v>305</v>
      </c>
      <c r="S293" s="209" t="n">
        <v>0.0205</v>
      </c>
      <c r="T293" s="207" t="s">
        <v>305</v>
      </c>
      <c r="U293" s="209" t="n">
        <v>0.0243</v>
      </c>
      <c r="V293" s="209" t="n">
        <v>0.031691</v>
      </c>
      <c r="W293" s="209" t="n">
        <v>0.002218</v>
      </c>
      <c r="X293" s="209" t="n">
        <v>0.017473</v>
      </c>
      <c r="Y293" s="209" t="n">
        <v>0.010102</v>
      </c>
      <c r="Z293" s="209" t="n">
        <v>0.0033</v>
      </c>
      <c r="AA293" s="209" t="n">
        <v>0.002</v>
      </c>
      <c r="AB293" s="211" t="n">
        <f aca="false">S293-Z293</f>
        <v>0.0172</v>
      </c>
      <c r="AC293" s="211" t="n">
        <f aca="false">U293-Z293-AA293</f>
        <v>0.019</v>
      </c>
      <c r="AD293" s="212" t="n">
        <v>0.012</v>
      </c>
      <c r="AE293" s="210" t="n">
        <f aca="false">IF(Y293="","",Y293)</f>
        <v>0.010102</v>
      </c>
      <c r="AF293" s="210" t="n">
        <v>0.001898</v>
      </c>
      <c r="AG293" s="214" t="n">
        <f aca="false">IF(AF293="","",AE293+AF293)</f>
        <v>0.012</v>
      </c>
      <c r="AH293" s="215" t="n">
        <v>43349</v>
      </c>
      <c r="AI293" s="216" t="n">
        <v>2</v>
      </c>
      <c r="AJ293" s="217" t="str">
        <f aca="false">IF(AG293="","N","Y")</f>
        <v>Y</v>
      </c>
      <c r="AK293" s="239" t="s">
        <v>306</v>
      </c>
      <c r="AL293" s="229"/>
    </row>
    <row r="294" s="38" customFormat="true" ht="23.25" hidden="false" customHeight="true" outlineLevel="0" collapsed="false">
      <c r="A294" s="19" t="n">
        <v>100</v>
      </c>
      <c r="B294" s="141" t="n">
        <v>43350</v>
      </c>
      <c r="C294" s="63" t="s">
        <v>307</v>
      </c>
      <c r="D294" s="63" t="s">
        <v>308</v>
      </c>
      <c r="E294" s="63" t="s">
        <v>309</v>
      </c>
      <c r="F294" s="63" t="s">
        <v>310</v>
      </c>
      <c r="G294" s="142" t="n">
        <v>43350</v>
      </c>
      <c r="H294" s="142" t="n">
        <v>43381</v>
      </c>
      <c r="I294" s="19" t="n">
        <f aca="false">H294-G294</f>
        <v>31</v>
      </c>
      <c r="J294" s="149" t="n">
        <f aca="false">TRUNC(I294/30,0)</f>
        <v>1</v>
      </c>
      <c r="K294" s="183" t="s">
        <v>95</v>
      </c>
      <c r="L294" s="146" t="n">
        <v>4.8</v>
      </c>
      <c r="M294" s="147" t="n">
        <v>1.71</v>
      </c>
      <c r="N294" s="148" t="s">
        <v>302</v>
      </c>
      <c r="O294" s="149" t="n">
        <f aca="false">J294</f>
        <v>1</v>
      </c>
      <c r="P294" s="149"/>
      <c r="Q294" s="150" t="n">
        <v>0.0213256</v>
      </c>
      <c r="R294" s="151" t="s">
        <v>303</v>
      </c>
      <c r="S294" s="152" t="n">
        <v>0.0228</v>
      </c>
      <c r="T294" s="151" t="s">
        <v>303</v>
      </c>
      <c r="U294" s="152" t="n">
        <v>0.0278</v>
      </c>
      <c r="V294" s="152" t="n">
        <v>0.024174</v>
      </c>
      <c r="W294" s="152" t="n">
        <v>0.000483</v>
      </c>
      <c r="X294" s="152" t="n">
        <v>0.00469</v>
      </c>
      <c r="Y294" s="152" t="n">
        <v>0.015574</v>
      </c>
      <c r="Z294" s="152" t="n">
        <v>0.002</v>
      </c>
      <c r="AA294" s="152" t="n">
        <v>0.002</v>
      </c>
      <c r="AB294" s="154" t="n">
        <f aca="false">S294-Z294</f>
        <v>0.0208</v>
      </c>
      <c r="AC294" s="154" t="n">
        <f aca="false">U294-Z294-AA294</f>
        <v>0.0238</v>
      </c>
      <c r="AD294" s="155" t="n">
        <v>0.019</v>
      </c>
      <c r="AE294" s="153" t="n">
        <f aca="false">IF(Y294="","",Y294)</f>
        <v>0.015574</v>
      </c>
      <c r="AF294" s="153" t="n">
        <v>0.003426</v>
      </c>
      <c r="AG294" s="184" t="n">
        <f aca="false">IF(AF294="","",AE294+AF294)</f>
        <v>0.019</v>
      </c>
      <c r="AH294" s="185" t="n">
        <v>43350</v>
      </c>
      <c r="AI294" s="35" t="n">
        <v>1</v>
      </c>
      <c r="AJ294" s="19" t="str">
        <f aca="false">IF(AG294="","N","Y")</f>
        <v>Y</v>
      </c>
      <c r="AK294" s="238" t="s">
        <v>311</v>
      </c>
      <c r="AL294" s="36"/>
    </row>
    <row r="295" s="38" customFormat="true" ht="23.25" hidden="false" customHeight="true" outlineLevel="0" collapsed="false">
      <c r="A295" s="19" t="n">
        <v>101</v>
      </c>
      <c r="B295" s="141" t="n">
        <v>43360</v>
      </c>
      <c r="C295" s="63" t="s">
        <v>100</v>
      </c>
      <c r="D295" s="63" t="s">
        <v>257</v>
      </c>
      <c r="E295" s="63" t="s">
        <v>101</v>
      </c>
      <c r="F295" s="63" t="s">
        <v>102</v>
      </c>
      <c r="G295" s="142" t="n">
        <v>43360</v>
      </c>
      <c r="H295" s="142" t="n">
        <v>43391</v>
      </c>
      <c r="I295" s="19" t="n">
        <f aca="false">H295-G295</f>
        <v>31</v>
      </c>
      <c r="J295" s="149" t="n">
        <f aca="false">TRUNC(I295/30,0)</f>
        <v>1</v>
      </c>
      <c r="K295" s="183" t="s">
        <v>95</v>
      </c>
      <c r="L295" s="146" t="n">
        <v>30</v>
      </c>
      <c r="M295" s="147" t="n">
        <v>1.757</v>
      </c>
      <c r="N295" s="148" t="s">
        <v>312</v>
      </c>
      <c r="O295" s="149" t="n">
        <f aca="false">J295</f>
        <v>1</v>
      </c>
      <c r="P295" s="149"/>
      <c r="Q295" s="150" t="n">
        <v>0.0216469</v>
      </c>
      <c r="R295" s="151" t="s">
        <v>303</v>
      </c>
      <c r="S295" s="152" t="n">
        <v>0.0228</v>
      </c>
      <c r="T295" s="151" t="s">
        <v>303</v>
      </c>
      <c r="U295" s="152" t="n">
        <v>0.0266</v>
      </c>
      <c r="V295" s="152" t="n">
        <v>0.024549</v>
      </c>
      <c r="W295" s="152" t="n">
        <v>0.000491</v>
      </c>
      <c r="X295" s="152" t="n">
        <v>0.002558</v>
      </c>
      <c r="Y295" s="152" t="n">
        <v>0.015888</v>
      </c>
      <c r="Z295" s="152" t="n">
        <v>0.002</v>
      </c>
      <c r="AA295" s="152" t="n">
        <v>0.002</v>
      </c>
      <c r="AB295" s="154" t="n">
        <f aca="false">S295-Z295</f>
        <v>0.0208</v>
      </c>
      <c r="AC295" s="154" t="n">
        <f aca="false">U295-Z295-AA295</f>
        <v>0.0226</v>
      </c>
      <c r="AD295" s="155" t="n">
        <v>0.0215</v>
      </c>
      <c r="AE295" s="153" t="n">
        <f aca="false">IF(Y295="","",Y295)</f>
        <v>0.015888</v>
      </c>
      <c r="AF295" s="153" t="n">
        <v>0.005612</v>
      </c>
      <c r="AG295" s="184" t="n">
        <f aca="false">IF(AF295="","",AE295+AF295)</f>
        <v>0.0215</v>
      </c>
      <c r="AH295" s="185" t="n">
        <v>43360</v>
      </c>
      <c r="AI295" s="35" t="n">
        <v>1</v>
      </c>
      <c r="AJ295" s="19" t="str">
        <f aca="false">IF(AG295="","N","Y")</f>
        <v>Y</v>
      </c>
      <c r="AK295" s="238" t="s">
        <v>313</v>
      </c>
      <c r="AL295" s="36" t="s">
        <v>314</v>
      </c>
    </row>
    <row r="296" s="38" customFormat="true" ht="23.25" hidden="false" customHeight="true" outlineLevel="0" collapsed="false">
      <c r="A296" s="19" t="n">
        <v>102</v>
      </c>
      <c r="B296" s="141" t="n">
        <v>43370</v>
      </c>
      <c r="C296" s="63" t="s">
        <v>103</v>
      </c>
      <c r="D296" s="63" t="s">
        <v>216</v>
      </c>
      <c r="E296" s="63" t="s">
        <v>206</v>
      </c>
      <c r="F296" s="63" t="s">
        <v>217</v>
      </c>
      <c r="G296" s="142" t="n">
        <v>43370</v>
      </c>
      <c r="H296" s="142" t="n">
        <v>43402</v>
      </c>
      <c r="I296" s="19" t="n">
        <f aca="false">H296-G296</f>
        <v>32</v>
      </c>
      <c r="J296" s="149" t="n">
        <f aca="false">TRUNC(I296/30,0)</f>
        <v>1</v>
      </c>
      <c r="K296" s="183" t="s">
        <v>95</v>
      </c>
      <c r="L296" s="146" t="n">
        <v>20</v>
      </c>
      <c r="M296" s="147" t="n">
        <v>1.78516</v>
      </c>
      <c r="N296" s="148" t="s">
        <v>315</v>
      </c>
      <c r="O296" s="149" t="n">
        <f aca="false">J296</f>
        <v>1</v>
      </c>
      <c r="P296" s="149"/>
      <c r="Q296" s="150" t="n">
        <v>0.0224219</v>
      </c>
      <c r="R296" s="151" t="s">
        <v>303</v>
      </c>
      <c r="S296" s="152" t="n">
        <v>0.0233</v>
      </c>
      <c r="T296" s="151" t="s">
        <v>303</v>
      </c>
      <c r="U296" s="152"/>
      <c r="V296" s="152" t="n">
        <v>0.02509</v>
      </c>
      <c r="W296" s="152" t="n">
        <v>0.000502</v>
      </c>
      <c r="X296" s="152" t="n">
        <v>0.004088</v>
      </c>
      <c r="Y296" s="152" t="n">
        <v>0.016648</v>
      </c>
      <c r="Z296" s="152" t="n">
        <v>0.002</v>
      </c>
      <c r="AA296" s="152" t="n">
        <v>0.002</v>
      </c>
      <c r="AB296" s="154" t="n">
        <f aca="false">S296-Z296</f>
        <v>0.0213</v>
      </c>
      <c r="AC296" s="154" t="n">
        <f aca="false">U296-Z296-AA296</f>
        <v>-0.004</v>
      </c>
      <c r="AD296" s="155" t="n">
        <v>0.0205</v>
      </c>
      <c r="AE296" s="153" t="n">
        <f aca="false">IF(Y296="","",Y296)</f>
        <v>0.016648</v>
      </c>
      <c r="AF296" s="153" t="n">
        <v>0.003852</v>
      </c>
      <c r="AG296" s="184" t="n">
        <f aca="false">IF(AF296="","",AE296+AF296)</f>
        <v>0.0205</v>
      </c>
      <c r="AH296" s="185" t="n">
        <v>43370</v>
      </c>
      <c r="AI296" s="35" t="n">
        <v>1</v>
      </c>
      <c r="AJ296" s="19" t="str">
        <f aca="false">IF(AG296="","N","Y")</f>
        <v>Y</v>
      </c>
      <c r="AK296" s="238" t="s">
        <v>316</v>
      </c>
      <c r="AL296" s="36"/>
    </row>
    <row r="297" s="38" customFormat="true" ht="23.25" hidden="false" customHeight="true" outlineLevel="0" collapsed="false">
      <c r="A297" s="19" t="n">
        <v>103</v>
      </c>
      <c r="B297" s="141" t="n">
        <v>43370</v>
      </c>
      <c r="C297" s="63" t="s">
        <v>103</v>
      </c>
      <c r="D297" s="63" t="s">
        <v>216</v>
      </c>
      <c r="E297" s="63" t="s">
        <v>206</v>
      </c>
      <c r="F297" s="63" t="s">
        <v>224</v>
      </c>
      <c r="G297" s="142" t="n">
        <v>43370</v>
      </c>
      <c r="H297" s="142" t="n">
        <v>43458</v>
      </c>
      <c r="I297" s="19" t="n">
        <f aca="false">H297-G297</f>
        <v>88</v>
      </c>
      <c r="J297" s="149" t="n">
        <f aca="false">TRUNC(I297/30,0)</f>
        <v>2</v>
      </c>
      <c r="K297" s="183" t="s">
        <v>95</v>
      </c>
      <c r="L297" s="146" t="n">
        <v>7</v>
      </c>
      <c r="M297" s="147" t="n">
        <v>1.96358</v>
      </c>
      <c r="N297" s="148" t="s">
        <v>317</v>
      </c>
      <c r="O297" s="149" t="n">
        <f aca="false">J297</f>
        <v>2</v>
      </c>
      <c r="P297" s="149"/>
      <c r="Q297" s="150" t="n">
        <v>0.0238613</v>
      </c>
      <c r="R297" s="151" t="s">
        <v>300</v>
      </c>
      <c r="S297" s="152" t="n">
        <v>0.0243</v>
      </c>
      <c r="T297" s="151" t="s">
        <v>300</v>
      </c>
      <c r="U297" s="152" t="n">
        <v>0.027801</v>
      </c>
      <c r="V297" s="152" t="n">
        <v>0.027155</v>
      </c>
      <c r="W297" s="152" t="n">
        <v>0.000543</v>
      </c>
      <c r="X297" s="152" t="n">
        <v>0.004112</v>
      </c>
      <c r="Y297" s="152" t="n">
        <v>0.016648</v>
      </c>
      <c r="Z297" s="152" t="n">
        <v>0.002</v>
      </c>
      <c r="AA297" s="152" t="n">
        <v>0.002</v>
      </c>
      <c r="AB297" s="154" t="n">
        <f aca="false">S297-Z297</f>
        <v>0.0223</v>
      </c>
      <c r="AC297" s="154" t="n">
        <f aca="false">U297-Z297-AA297</f>
        <v>0.023801</v>
      </c>
      <c r="AD297" s="155" t="n">
        <v>0.0225</v>
      </c>
      <c r="AE297" s="153" t="n">
        <f aca="false">IF(Y297="","",Y297)</f>
        <v>0.016648</v>
      </c>
      <c r="AF297" s="153" t="n">
        <v>0.005852</v>
      </c>
      <c r="AG297" s="184" t="n">
        <f aca="false">IF(AF297="","",AE297+AF297)</f>
        <v>0.0225</v>
      </c>
      <c r="AH297" s="185" t="n">
        <v>43370</v>
      </c>
      <c r="AI297" s="35" t="n">
        <v>2</v>
      </c>
      <c r="AJ297" s="19" t="str">
        <f aca="false">IF(AG297="","N","Y")</f>
        <v>Y</v>
      </c>
      <c r="AK297" s="159" t="s">
        <v>318</v>
      </c>
      <c r="AL297" s="36"/>
    </row>
    <row r="298" s="140" customFormat="true" ht="23.25" hidden="false" customHeight="true" outlineLevel="0" collapsed="false">
      <c r="A298" s="116" t="n">
        <v>104</v>
      </c>
      <c r="B298" s="160" t="n">
        <v>43371</v>
      </c>
      <c r="C298" s="161" t="s">
        <v>96</v>
      </c>
      <c r="D298" s="161" t="s">
        <v>278</v>
      </c>
      <c r="E298" s="161" t="s">
        <v>97</v>
      </c>
      <c r="F298" s="161" t="s">
        <v>279</v>
      </c>
      <c r="G298" s="162" t="n">
        <v>43371</v>
      </c>
      <c r="H298" s="162" t="n">
        <v>43462</v>
      </c>
      <c r="I298" s="116" t="n">
        <f aca="false">H298-G298</f>
        <v>91</v>
      </c>
      <c r="J298" s="169" t="n">
        <f aca="false">TRUNC(I298/30,0)</f>
        <v>3</v>
      </c>
      <c r="K298" s="180" t="s">
        <v>95</v>
      </c>
      <c r="L298" s="166" t="n">
        <v>30</v>
      </c>
      <c r="M298" s="167" t="n">
        <v>2.02911</v>
      </c>
      <c r="N298" s="168" t="s">
        <v>319</v>
      </c>
      <c r="O298" s="169" t="n">
        <f aca="false">J298</f>
        <v>3</v>
      </c>
      <c r="P298" s="169"/>
      <c r="Q298" s="170" t="n">
        <v>0.02396</v>
      </c>
      <c r="R298" s="171" t="s">
        <v>300</v>
      </c>
      <c r="S298" s="172" t="n">
        <v>0.024</v>
      </c>
      <c r="T298" s="171" t="s">
        <v>300</v>
      </c>
      <c r="U298" s="172" t="n">
        <v>0.027801</v>
      </c>
      <c r="V298" s="172" t="n">
        <v>0.027354</v>
      </c>
      <c r="W298" s="172" t="n">
        <v>0.000547</v>
      </c>
      <c r="X298" s="172" t="n">
        <v>0.004807</v>
      </c>
      <c r="Y298" s="172" t="n">
        <v>0.019355</v>
      </c>
      <c r="Z298" s="172" t="n">
        <v>0.002</v>
      </c>
      <c r="AA298" s="172" t="n">
        <v>0.002</v>
      </c>
      <c r="AB298" s="174" t="n">
        <f aca="false">S298-Z298</f>
        <v>0.022</v>
      </c>
      <c r="AC298" s="174" t="n">
        <f aca="false">U298-Z298-AA298</f>
        <v>0.023801</v>
      </c>
      <c r="AD298" s="175" t="n">
        <v>0.022</v>
      </c>
      <c r="AE298" s="173" t="n">
        <f aca="false">IF(Y298="","",Y298)</f>
        <v>0.019355</v>
      </c>
      <c r="AF298" s="173"/>
      <c r="AG298" s="186" t="str">
        <f aca="false">IF(AF298="","",AE298+AF298)</f>
        <v/>
      </c>
      <c r="AH298" s="187"/>
      <c r="AI298" s="176"/>
      <c r="AJ298" s="19" t="str">
        <f aca="false">IF(AG298="","N","Y")</f>
        <v>N</v>
      </c>
      <c r="AK298" s="177"/>
      <c r="AL298" s="138"/>
    </row>
    <row r="299" s="140" customFormat="true" ht="23.25" hidden="false" customHeight="true" outlineLevel="0" collapsed="false">
      <c r="A299" s="116" t="n">
        <v>105</v>
      </c>
      <c r="B299" s="160" t="n">
        <v>43371</v>
      </c>
      <c r="C299" s="161" t="s">
        <v>96</v>
      </c>
      <c r="D299" s="161" t="s">
        <v>278</v>
      </c>
      <c r="E299" s="161" t="s">
        <v>97</v>
      </c>
      <c r="F299" s="161" t="s">
        <v>279</v>
      </c>
      <c r="G299" s="162" t="n">
        <v>43374</v>
      </c>
      <c r="H299" s="162" t="n">
        <v>43405</v>
      </c>
      <c r="I299" s="116" t="n">
        <f aca="false">H299-G299</f>
        <v>31</v>
      </c>
      <c r="J299" s="169" t="n">
        <f aca="false">TRUNC(I299/30,0)</f>
        <v>1</v>
      </c>
      <c r="K299" s="181" t="s">
        <v>99</v>
      </c>
      <c r="L299" s="166" t="n">
        <v>0</v>
      </c>
      <c r="M299" s="167" t="n">
        <v>1.21735</v>
      </c>
      <c r="N299" s="168" t="s">
        <v>320</v>
      </c>
      <c r="O299" s="169" t="n">
        <f aca="false">J299</f>
        <v>1</v>
      </c>
      <c r="P299" s="169"/>
      <c r="Q299" s="170" t="n">
        <v>0.0219588</v>
      </c>
      <c r="R299" s="171" t="s">
        <v>305</v>
      </c>
      <c r="S299" s="172" t="n">
        <v>0.022</v>
      </c>
      <c r="T299" s="171" t="s">
        <v>305</v>
      </c>
      <c r="U299" s="172" t="n">
        <v>0.027835</v>
      </c>
      <c r="V299" s="172" t="n">
        <v>0.032819</v>
      </c>
      <c r="W299" s="172" t="n">
        <v>0.002297</v>
      </c>
      <c r="X299" s="172" t="n">
        <v>0.018022</v>
      </c>
      <c r="Y299" s="172" t="n">
        <v>0.012359</v>
      </c>
      <c r="Z299" s="172" t="n">
        <v>0.0033</v>
      </c>
      <c r="AA299" s="172" t="n">
        <v>0.002</v>
      </c>
      <c r="AB299" s="174" t="n">
        <f aca="false">S299-Z299</f>
        <v>0.0187</v>
      </c>
      <c r="AC299" s="174" t="n">
        <f aca="false">U299-Z299-AA299</f>
        <v>0.022535</v>
      </c>
      <c r="AD299" s="175" t="n">
        <v>0.0125</v>
      </c>
      <c r="AE299" s="173" t="n">
        <f aca="false">IF(Y299="","",Y299)</f>
        <v>0.012359</v>
      </c>
      <c r="AF299" s="173"/>
      <c r="AG299" s="186" t="str">
        <f aca="false">IF(AF299="","",AE299+AF299)</f>
        <v/>
      </c>
      <c r="AH299" s="187"/>
      <c r="AI299" s="176"/>
      <c r="AJ299" s="19" t="str">
        <f aca="false">IF(AG299="","N","Y")</f>
        <v>N</v>
      </c>
      <c r="AK299" s="177"/>
      <c r="AL299" s="138"/>
    </row>
    <row r="300" s="140" customFormat="true" ht="23.25" hidden="false" customHeight="true" outlineLevel="0" collapsed="false">
      <c r="A300" s="116" t="n">
        <v>106</v>
      </c>
      <c r="B300" s="160" t="n">
        <v>43371</v>
      </c>
      <c r="C300" s="161" t="s">
        <v>96</v>
      </c>
      <c r="D300" s="116"/>
      <c r="E300" s="161" t="s">
        <v>171</v>
      </c>
      <c r="F300" s="116" t="s">
        <v>112</v>
      </c>
      <c r="G300" s="162"/>
      <c r="H300" s="162"/>
      <c r="I300" s="116" t="n">
        <f aca="false">H300-G300</f>
        <v>0</v>
      </c>
      <c r="J300" s="169" t="n">
        <f aca="false">TRUNC(I300/30,0)</f>
        <v>0</v>
      </c>
      <c r="K300" s="181" t="s">
        <v>99</v>
      </c>
      <c r="L300" s="166"/>
      <c r="M300" s="167"/>
      <c r="N300" s="168"/>
      <c r="O300" s="169" t="n">
        <f aca="false">J300</f>
        <v>0</v>
      </c>
      <c r="P300" s="169"/>
      <c r="Q300" s="170"/>
      <c r="R300" s="171"/>
      <c r="S300" s="172"/>
      <c r="T300" s="171"/>
      <c r="U300" s="172"/>
      <c r="V300" s="172"/>
      <c r="W300" s="172"/>
      <c r="X300" s="172"/>
      <c r="Y300" s="172"/>
      <c r="Z300" s="172"/>
      <c r="AA300" s="172"/>
      <c r="AB300" s="174" t="n">
        <f aca="false">S300-Z300</f>
        <v>0</v>
      </c>
      <c r="AC300" s="174" t="n">
        <f aca="false">U300-Z300-AA300</f>
        <v>0</v>
      </c>
      <c r="AD300" s="175"/>
      <c r="AE300" s="173" t="str">
        <f aca="false">IF(Y300="","",Y300)</f>
        <v/>
      </c>
      <c r="AF300" s="173"/>
      <c r="AG300" s="186" t="str">
        <f aca="false">IF(AF300="","",AE300+AF300)</f>
        <v/>
      </c>
      <c r="AH300" s="187"/>
      <c r="AI300" s="176"/>
      <c r="AJ300" s="19" t="str">
        <f aca="false">IF(AG300="","N","Y")</f>
        <v>N</v>
      </c>
      <c r="AK300" s="177"/>
      <c r="AL300" s="138"/>
    </row>
    <row r="301" s="220" customFormat="true" ht="23.25" hidden="false" customHeight="true" outlineLevel="0" collapsed="false">
      <c r="A301" s="200" t="n">
        <v>107</v>
      </c>
      <c r="B301" s="199" t="n">
        <v>43378</v>
      </c>
      <c r="C301" s="200" t="s">
        <v>103</v>
      </c>
      <c r="D301" s="200" t="s">
        <v>216</v>
      </c>
      <c r="E301" s="200" t="s">
        <v>206</v>
      </c>
      <c r="F301" s="200" t="s">
        <v>229</v>
      </c>
      <c r="G301" s="201" t="n">
        <v>43378</v>
      </c>
      <c r="H301" s="201" t="n">
        <v>43409</v>
      </c>
      <c r="I301" s="200" t="n">
        <f aca="false">H301-G301</f>
        <v>31</v>
      </c>
      <c r="J301" s="228" t="n">
        <f aca="false">TRUNC(I301/30,0)</f>
        <v>1</v>
      </c>
      <c r="K301" s="203" t="s">
        <v>99</v>
      </c>
      <c r="L301" s="204" t="n">
        <v>2.9</v>
      </c>
      <c r="M301" s="205" t="n">
        <v>1.21842</v>
      </c>
      <c r="N301" s="227" t="s">
        <v>321</v>
      </c>
      <c r="O301" s="228" t="s">
        <v>271</v>
      </c>
      <c r="P301" s="228"/>
      <c r="Q301" s="208" t="n">
        <v>0.0196144</v>
      </c>
      <c r="R301" s="207" t="s">
        <v>305</v>
      </c>
      <c r="S301" s="209" t="n">
        <v>0.0224</v>
      </c>
      <c r="T301" s="207" t="s">
        <v>305</v>
      </c>
      <c r="U301" s="209" t="n">
        <v>0.02735</v>
      </c>
      <c r="V301" s="209" t="n">
        <v>0.03324</v>
      </c>
      <c r="W301" s="209" t="n">
        <v>0.002327</v>
      </c>
      <c r="X301" s="209" t="n">
        <v>0.018413</v>
      </c>
      <c r="Y301" s="209" t="n">
        <v>0.012434</v>
      </c>
      <c r="Z301" s="209" t="n">
        <v>0.0033</v>
      </c>
      <c r="AA301" s="209" t="n">
        <v>0.002</v>
      </c>
      <c r="AB301" s="211" t="n">
        <f aca="false">S301-Z301</f>
        <v>0.0191</v>
      </c>
      <c r="AC301" s="211" t="n">
        <f aca="false">U301-Z301-AA301</f>
        <v>0.02205</v>
      </c>
      <c r="AD301" s="212" t="n">
        <v>0.0125</v>
      </c>
      <c r="AE301" s="210" t="n">
        <f aca="false">IF(Y301="","",Y301)</f>
        <v>0.012434</v>
      </c>
      <c r="AF301" s="210" t="n">
        <f aca="false">AD301-AE301</f>
        <v>6.60000000000001E-005</v>
      </c>
      <c r="AG301" s="214" t="n">
        <f aca="false">IF(AF301="","",AE301+AF301)</f>
        <v>0.0125</v>
      </c>
      <c r="AH301" s="215" t="n">
        <v>43378</v>
      </c>
      <c r="AI301" s="216" t="n">
        <v>2</v>
      </c>
      <c r="AJ301" s="217" t="str">
        <f aca="false">IF(AG301="","N","Y")</f>
        <v>Y</v>
      </c>
      <c r="AK301" s="239" t="s">
        <v>322</v>
      </c>
      <c r="AL301" s="229"/>
    </row>
    <row r="302" s="38" customFormat="true" ht="23.25" hidden="false" customHeight="true" outlineLevel="0" collapsed="false">
      <c r="A302" s="19" t="n">
        <f aca="false">IF(B302="","",IF((YEAR(B302)-YEAR(B301))=0,A301+1,1))</f>
        <v>108</v>
      </c>
      <c r="B302" s="141" t="n">
        <v>43381</v>
      </c>
      <c r="C302" s="63" t="s">
        <v>307</v>
      </c>
      <c r="D302" s="63" t="s">
        <v>308</v>
      </c>
      <c r="E302" s="63" t="s">
        <v>323</v>
      </c>
      <c r="F302" s="63" t="s">
        <v>310</v>
      </c>
      <c r="G302" s="142" t="n">
        <v>43381</v>
      </c>
      <c r="H302" s="142" t="n">
        <v>43412</v>
      </c>
      <c r="I302" s="19" t="n">
        <f aca="false">H302-G302</f>
        <v>31</v>
      </c>
      <c r="J302" s="149" t="n">
        <f aca="false">TRUNC(I302/30,0)</f>
        <v>1</v>
      </c>
      <c r="K302" s="183" t="s">
        <v>324</v>
      </c>
      <c r="L302" s="146" t="n">
        <v>4</v>
      </c>
      <c r="M302" s="147" t="n">
        <v>1.85799</v>
      </c>
      <c r="N302" s="148" t="s">
        <v>325</v>
      </c>
      <c r="O302" s="149" t="n">
        <f aca="false">J302</f>
        <v>1</v>
      </c>
      <c r="P302" s="149"/>
      <c r="Q302" s="150" t="n">
        <v>0.0227669</v>
      </c>
      <c r="R302" s="151" t="s">
        <v>255</v>
      </c>
      <c r="S302" s="152" t="n">
        <v>0.023</v>
      </c>
      <c r="T302" s="151" t="s">
        <v>255</v>
      </c>
      <c r="U302" s="152" t="n">
        <v>0.027693</v>
      </c>
      <c r="V302" s="152" t="n">
        <v>0.037569</v>
      </c>
      <c r="W302" s="152" t="n">
        <v>0.000751</v>
      </c>
      <c r="X302" s="152" t="n">
        <v>0.017817</v>
      </c>
      <c r="Y302" s="152" t="n">
        <v>0.016985</v>
      </c>
      <c r="Z302" s="152" t="n">
        <v>0.002</v>
      </c>
      <c r="AA302" s="152" t="n">
        <v>0.002</v>
      </c>
      <c r="AB302" s="154" t="n">
        <f aca="false">S302-Z302</f>
        <v>0.021</v>
      </c>
      <c r="AC302" s="154" t="n">
        <f aca="false">U302-Z302-AA302</f>
        <v>0.023693</v>
      </c>
      <c r="AD302" s="155" t="n">
        <v>0.019</v>
      </c>
      <c r="AE302" s="153" t="n">
        <f aca="false">IF(Y302="","",Y302)</f>
        <v>0.016985</v>
      </c>
      <c r="AF302" s="153" t="n">
        <f aca="false">AD302-AE302</f>
        <v>0.002015</v>
      </c>
      <c r="AG302" s="184" t="n">
        <f aca="false">IF(AF302="","",AE302+AF302)</f>
        <v>0.019</v>
      </c>
      <c r="AH302" s="185" t="n">
        <v>43381</v>
      </c>
      <c r="AI302" s="35" t="n">
        <v>3</v>
      </c>
      <c r="AJ302" s="19" t="str">
        <f aca="false">IF(AG302="","N","Y")</f>
        <v>Y</v>
      </c>
      <c r="AK302" s="238" t="s">
        <v>326</v>
      </c>
      <c r="AL302" s="232" t="s">
        <v>327</v>
      </c>
    </row>
    <row r="303" s="38" customFormat="true" ht="23.25" hidden="false" customHeight="true" outlineLevel="0" collapsed="false">
      <c r="A303" s="19" t="n">
        <f aca="false">IF(B303="","",IF((YEAR(B303)-YEAR(B302))=0,A302+1,1))</f>
        <v>109</v>
      </c>
      <c r="B303" s="141" t="n">
        <v>43381</v>
      </c>
      <c r="C303" s="63" t="s">
        <v>307</v>
      </c>
      <c r="D303" s="63" t="s">
        <v>308</v>
      </c>
      <c r="E303" s="63" t="s">
        <v>323</v>
      </c>
      <c r="F303" s="63" t="s">
        <v>310</v>
      </c>
      <c r="G303" s="142" t="n">
        <v>43381</v>
      </c>
      <c r="H303" s="142" t="n">
        <v>43412</v>
      </c>
      <c r="I303" s="19" t="n">
        <f aca="false">H303-G303</f>
        <v>31</v>
      </c>
      <c r="J303" s="149" t="n">
        <f aca="false">TRUNC(I303/30,0)</f>
        <v>1</v>
      </c>
      <c r="K303" s="183" t="s">
        <v>324</v>
      </c>
      <c r="L303" s="146" t="n">
        <v>2.9</v>
      </c>
      <c r="M303" s="147" t="n">
        <v>1.85799</v>
      </c>
      <c r="N303" s="148" t="s">
        <v>325</v>
      </c>
      <c r="O303" s="149" t="n">
        <f aca="false">J303</f>
        <v>1</v>
      </c>
      <c r="P303" s="149"/>
      <c r="Q303" s="150" t="n">
        <v>0.0227669</v>
      </c>
      <c r="R303" s="151" t="s">
        <v>255</v>
      </c>
      <c r="S303" s="152" t="n">
        <v>0.023</v>
      </c>
      <c r="T303" s="151" t="s">
        <v>255</v>
      </c>
      <c r="U303" s="152" t="n">
        <v>0.027693</v>
      </c>
      <c r="V303" s="152" t="n">
        <v>0.037569</v>
      </c>
      <c r="W303" s="152" t="n">
        <v>0.000751</v>
      </c>
      <c r="X303" s="152" t="n">
        <v>0.017817</v>
      </c>
      <c r="Y303" s="152" t="n">
        <v>0.016985</v>
      </c>
      <c r="Z303" s="152" t="n">
        <v>0.002</v>
      </c>
      <c r="AA303" s="152" t="n">
        <v>0.002</v>
      </c>
      <c r="AB303" s="154" t="n">
        <f aca="false">S303-Z303</f>
        <v>0.021</v>
      </c>
      <c r="AC303" s="154" t="n">
        <f aca="false">U303-Z303-AA303</f>
        <v>0.023693</v>
      </c>
      <c r="AD303" s="155" t="n">
        <v>0.019</v>
      </c>
      <c r="AE303" s="153" t="n">
        <f aca="false">IF(Y303="","",Y303)</f>
        <v>0.016985</v>
      </c>
      <c r="AF303" s="153" t="n">
        <f aca="false">AD303-AE303</f>
        <v>0.002015</v>
      </c>
      <c r="AG303" s="184" t="n">
        <f aca="false">IF(AF303="","",AE303+AF303)</f>
        <v>0.019</v>
      </c>
      <c r="AH303" s="185" t="n">
        <v>43381</v>
      </c>
      <c r="AI303" s="35" t="n">
        <v>4</v>
      </c>
      <c r="AJ303" s="19" t="str">
        <f aca="false">IF(AG303="","N","Y")</f>
        <v>Y</v>
      </c>
      <c r="AK303" s="238" t="s">
        <v>326</v>
      </c>
      <c r="AL303" s="232" t="s">
        <v>327</v>
      </c>
    </row>
    <row r="304" s="140" customFormat="true" ht="23.25" hidden="false" customHeight="true" outlineLevel="0" collapsed="false">
      <c r="A304" s="116" t="n">
        <v>110</v>
      </c>
      <c r="B304" s="160" t="n">
        <v>43391</v>
      </c>
      <c r="C304" s="161" t="s">
        <v>100</v>
      </c>
      <c r="D304" s="161" t="s">
        <v>257</v>
      </c>
      <c r="E304" s="161" t="s">
        <v>101</v>
      </c>
      <c r="F304" s="161" t="s">
        <v>102</v>
      </c>
      <c r="G304" s="162" t="n">
        <v>43391</v>
      </c>
      <c r="H304" s="162" t="n">
        <v>43426</v>
      </c>
      <c r="I304" s="116" t="n">
        <f aca="false">H304-G304</f>
        <v>35</v>
      </c>
      <c r="J304" s="169" t="n">
        <f aca="false">TRUNC(I304/30,0)</f>
        <v>1</v>
      </c>
      <c r="K304" s="180" t="s">
        <v>95</v>
      </c>
      <c r="L304" s="166" t="n">
        <v>20</v>
      </c>
      <c r="M304" s="167" t="n">
        <v>1.86857</v>
      </c>
      <c r="N304" s="168" t="s">
        <v>328</v>
      </c>
      <c r="O304" s="169" t="n">
        <f aca="false">J304</f>
        <v>1</v>
      </c>
      <c r="P304" s="169"/>
      <c r="Q304" s="170" t="n">
        <v>0.02282</v>
      </c>
      <c r="R304" s="171" t="s">
        <v>255</v>
      </c>
      <c r="S304" s="172" t="n">
        <v>0.0234</v>
      </c>
      <c r="T304" s="171" t="s">
        <v>255</v>
      </c>
      <c r="U304" s="172" t="n">
        <v>0.026832</v>
      </c>
      <c r="V304" s="172" t="n">
        <v>0.025982</v>
      </c>
      <c r="W304" s="172" t="n">
        <v>0.00052</v>
      </c>
      <c r="X304" s="172" t="n">
        <v>0.003963</v>
      </c>
      <c r="Y304" s="172" t="n">
        <v>0.017038</v>
      </c>
      <c r="Z304" s="172" t="n">
        <v>0.002</v>
      </c>
      <c r="AA304" s="172" t="n">
        <v>0.002</v>
      </c>
      <c r="AB304" s="174" t="n">
        <f aca="false">S304-Z304</f>
        <v>0.0214</v>
      </c>
      <c r="AC304" s="174" t="n">
        <f aca="false">U304-Z304-AA304</f>
        <v>0.022832</v>
      </c>
      <c r="AD304" s="175" t="n">
        <v>0.0215</v>
      </c>
      <c r="AE304" s="173" t="n">
        <f aca="false">IF(Y304="","",Y304)</f>
        <v>0.017038</v>
      </c>
      <c r="AF304" s="173"/>
      <c r="AG304" s="186" t="str">
        <f aca="false">IF(AF304="","",AE304+AF304)</f>
        <v/>
      </c>
      <c r="AH304" s="187"/>
      <c r="AI304" s="176"/>
      <c r="AJ304" s="116" t="str">
        <f aca="false">IF(AG304="","N","Y")</f>
        <v>N</v>
      </c>
      <c r="AK304" s="177"/>
      <c r="AL304" s="138"/>
    </row>
    <row r="305" s="140" customFormat="true" ht="23.25" hidden="false" customHeight="true" outlineLevel="0" collapsed="false">
      <c r="A305" s="116" t="n">
        <v>111</v>
      </c>
      <c r="B305" s="160" t="n">
        <v>43391</v>
      </c>
      <c r="C305" s="161" t="s">
        <v>100</v>
      </c>
      <c r="D305" s="161" t="s">
        <v>257</v>
      </c>
      <c r="E305" s="161" t="s">
        <v>101</v>
      </c>
      <c r="F305" s="161" t="s">
        <v>102</v>
      </c>
      <c r="G305" s="162" t="n">
        <v>43391</v>
      </c>
      <c r="H305" s="162" t="n">
        <v>43440</v>
      </c>
      <c r="I305" s="116" t="n">
        <f aca="false">H305-G305</f>
        <v>49</v>
      </c>
      <c r="J305" s="169" t="n">
        <f aca="false">TRUNC(I305/30,0)</f>
        <v>1</v>
      </c>
      <c r="K305" s="180" t="s">
        <v>95</v>
      </c>
      <c r="L305" s="166" t="n">
        <v>20</v>
      </c>
      <c r="M305" s="167" t="n">
        <v>1.86857</v>
      </c>
      <c r="N305" s="168" t="s">
        <v>328</v>
      </c>
      <c r="O305" s="169" t="n">
        <f aca="false">J305</f>
        <v>1</v>
      </c>
      <c r="P305" s="169"/>
      <c r="Q305" s="170" t="n">
        <v>0.02282</v>
      </c>
      <c r="R305" s="171" t="s">
        <v>255</v>
      </c>
      <c r="S305" s="172" t="n">
        <v>0.024</v>
      </c>
      <c r="T305" s="171" t="s">
        <v>255</v>
      </c>
      <c r="U305" s="172" t="n">
        <v>0.027854</v>
      </c>
      <c r="V305" s="172" t="n">
        <v>0.026321</v>
      </c>
      <c r="W305" s="172" t="n">
        <v>0.000526</v>
      </c>
      <c r="X305" s="172" t="n">
        <v>0.003795</v>
      </c>
      <c r="Y305" s="172" t="n">
        <v>0.017038</v>
      </c>
      <c r="Z305" s="172" t="n">
        <v>0.002</v>
      </c>
      <c r="AA305" s="172" t="n">
        <v>0.002</v>
      </c>
      <c r="AB305" s="174" t="n">
        <f aca="false">S305-Z305</f>
        <v>0.022</v>
      </c>
      <c r="AC305" s="174" t="n">
        <f aca="false">U305-Z305-AA305</f>
        <v>0.023854</v>
      </c>
      <c r="AD305" s="175" t="n">
        <v>0.022</v>
      </c>
      <c r="AE305" s="173" t="n">
        <f aca="false">IF(Y305="","",Y305)</f>
        <v>0.017038</v>
      </c>
      <c r="AF305" s="173"/>
      <c r="AG305" s="186" t="str">
        <f aca="false">IF(AF305="","",AE305+AF305)</f>
        <v/>
      </c>
      <c r="AH305" s="187"/>
      <c r="AI305" s="176"/>
      <c r="AJ305" s="116" t="str">
        <f aca="false">IF(AG305="","N","Y")</f>
        <v>N</v>
      </c>
      <c r="AK305" s="177"/>
      <c r="AL305" s="138"/>
    </row>
    <row r="306" s="220" customFormat="true" ht="23.25" hidden="false" customHeight="true" outlineLevel="0" collapsed="false">
      <c r="A306" s="200" t="n">
        <v>112</v>
      </c>
      <c r="B306" s="199" t="n">
        <v>43392</v>
      </c>
      <c r="C306" s="200" t="s">
        <v>96</v>
      </c>
      <c r="D306" s="217"/>
      <c r="E306" s="200" t="s">
        <v>143</v>
      </c>
      <c r="F306" s="200" t="s">
        <v>137</v>
      </c>
      <c r="G306" s="244" t="n">
        <v>43395</v>
      </c>
      <c r="H306" s="201" t="n">
        <v>43426</v>
      </c>
      <c r="I306" s="200" t="n">
        <f aca="false">H306-G306</f>
        <v>31</v>
      </c>
      <c r="J306" s="228" t="n">
        <f aca="false">TRUNC(I306/30,0)</f>
        <v>1</v>
      </c>
      <c r="K306" s="203" t="s">
        <v>99</v>
      </c>
      <c r="L306" s="204" t="n">
        <v>1.5</v>
      </c>
      <c r="M306" s="205"/>
      <c r="N306" s="227"/>
      <c r="O306" s="228" t="n">
        <f aca="false">J306</f>
        <v>1</v>
      </c>
      <c r="P306" s="228"/>
      <c r="Q306" s="208"/>
      <c r="R306" s="207" t="s">
        <v>305</v>
      </c>
      <c r="S306" s="209"/>
      <c r="T306" s="207"/>
      <c r="U306" s="209"/>
      <c r="V306" s="209"/>
      <c r="W306" s="209"/>
      <c r="X306" s="209"/>
      <c r="Y306" s="209"/>
      <c r="Z306" s="209" t="n">
        <v>0.0033</v>
      </c>
      <c r="AA306" s="209" t="n">
        <v>0.002</v>
      </c>
      <c r="AB306" s="211" t="n">
        <f aca="false">S306-Z306</f>
        <v>-0.0033</v>
      </c>
      <c r="AC306" s="211" t="n">
        <f aca="false">U306-Z306-AA306</f>
        <v>-0.0053</v>
      </c>
      <c r="AD306" s="212" t="n">
        <v>0.014</v>
      </c>
      <c r="AE306" s="210" t="str">
        <f aca="false">IF(Y306="","",Y306)</f>
        <v/>
      </c>
      <c r="AF306" s="210"/>
      <c r="AG306" s="214" t="n">
        <v>0.014</v>
      </c>
      <c r="AH306" s="215" t="n">
        <v>43395</v>
      </c>
      <c r="AI306" s="216" t="n">
        <v>1</v>
      </c>
      <c r="AJ306" s="217" t="str">
        <f aca="false">IF(AG306="","N","Y")</f>
        <v>Y</v>
      </c>
      <c r="AK306" s="218" t="s">
        <v>329</v>
      </c>
      <c r="AL306" s="229"/>
    </row>
    <row r="307" s="140" customFormat="true" ht="23.25" hidden="false" customHeight="true" outlineLevel="0" collapsed="false">
      <c r="A307" s="116" t="n">
        <v>113</v>
      </c>
      <c r="B307" s="160" t="n">
        <v>43389</v>
      </c>
      <c r="C307" s="161" t="s">
        <v>103</v>
      </c>
      <c r="D307" s="161" t="s">
        <v>216</v>
      </c>
      <c r="E307" s="161" t="s">
        <v>330</v>
      </c>
      <c r="F307" s="161" t="s">
        <v>224</v>
      </c>
      <c r="G307" s="162" t="n">
        <v>43395</v>
      </c>
      <c r="H307" s="162" t="n">
        <v>43487</v>
      </c>
      <c r="I307" s="116" t="n">
        <f aca="false">H307-G307</f>
        <v>92</v>
      </c>
      <c r="J307" s="169" t="n">
        <f aca="false">TRUNC(I307/30,0)</f>
        <v>3</v>
      </c>
      <c r="K307" s="180" t="s">
        <v>95</v>
      </c>
      <c r="L307" s="166" t="n">
        <v>5</v>
      </c>
      <c r="M307" s="167"/>
      <c r="N307" s="168"/>
      <c r="O307" s="169" t="n">
        <f aca="false">J307</f>
        <v>3</v>
      </c>
      <c r="P307" s="169"/>
      <c r="Q307" s="170"/>
      <c r="R307" s="171" t="s">
        <v>300</v>
      </c>
      <c r="S307" s="172" t="n">
        <v>0.026</v>
      </c>
      <c r="T307" s="171"/>
      <c r="U307" s="172"/>
      <c r="V307" s="172"/>
      <c r="W307" s="172"/>
      <c r="X307" s="172"/>
      <c r="Y307" s="172"/>
      <c r="Z307" s="172" t="n">
        <v>0.002</v>
      </c>
      <c r="AA307" s="172" t="n">
        <v>0.002</v>
      </c>
      <c r="AB307" s="174" t="n">
        <f aca="false">S307-Z307</f>
        <v>0.024</v>
      </c>
      <c r="AC307" s="174" t="n">
        <f aca="false">U307-Z307-AA307</f>
        <v>-0.004</v>
      </c>
      <c r="AD307" s="175" t="s">
        <v>331</v>
      </c>
      <c r="AE307" s="173" t="str">
        <f aca="false">IF(Y307="","",Y307)</f>
        <v/>
      </c>
      <c r="AF307" s="173"/>
      <c r="AG307" s="186" t="str">
        <f aca="false">IF(AF307="","",AE307+AF307)</f>
        <v/>
      </c>
      <c r="AH307" s="187"/>
      <c r="AI307" s="176"/>
      <c r="AJ307" s="116" t="str">
        <f aca="false">IF(AG307="","N","Y")</f>
        <v>N</v>
      </c>
      <c r="AK307" s="177"/>
      <c r="AL307" s="138"/>
    </row>
    <row r="308" s="140" customFormat="true" ht="23.25" hidden="false" customHeight="true" outlineLevel="0" collapsed="false">
      <c r="A308" s="116" t="n">
        <v>114</v>
      </c>
      <c r="B308" s="160" t="n">
        <v>43392</v>
      </c>
      <c r="C308" s="161" t="s">
        <v>103</v>
      </c>
      <c r="D308" s="161" t="s">
        <v>216</v>
      </c>
      <c r="E308" s="161" t="s">
        <v>330</v>
      </c>
      <c r="F308" s="161" t="s">
        <v>224</v>
      </c>
      <c r="G308" s="162" t="n">
        <v>43395</v>
      </c>
      <c r="H308" s="162" t="n">
        <v>43426</v>
      </c>
      <c r="I308" s="116" t="n">
        <f aca="false">H308-G308</f>
        <v>31</v>
      </c>
      <c r="J308" s="169" t="n">
        <f aca="false">TRUNC(I308/30,0)</f>
        <v>1</v>
      </c>
      <c r="K308" s="180" t="s">
        <v>95</v>
      </c>
      <c r="L308" s="166" t="n">
        <v>15</v>
      </c>
      <c r="M308" s="167"/>
      <c r="N308" s="168"/>
      <c r="O308" s="169" t="n">
        <f aca="false">J308</f>
        <v>1</v>
      </c>
      <c r="P308" s="169"/>
      <c r="Q308" s="170"/>
      <c r="R308" s="171" t="s">
        <v>303</v>
      </c>
      <c r="S308" s="172" t="n">
        <v>0.0235</v>
      </c>
      <c r="T308" s="171"/>
      <c r="U308" s="172"/>
      <c r="V308" s="172"/>
      <c r="W308" s="172"/>
      <c r="X308" s="172"/>
      <c r="Y308" s="172"/>
      <c r="Z308" s="172" t="n">
        <v>0.002</v>
      </c>
      <c r="AA308" s="172" t="n">
        <v>0.002</v>
      </c>
      <c r="AB308" s="174" t="n">
        <f aca="false">S308-Z308</f>
        <v>0.0215</v>
      </c>
      <c r="AC308" s="174" t="n">
        <f aca="false">U308-Z308-AA308</f>
        <v>-0.004</v>
      </c>
      <c r="AD308" s="175" t="n">
        <v>0.0215</v>
      </c>
      <c r="AE308" s="173" t="str">
        <f aca="false">IF(Y308="","",Y308)</f>
        <v/>
      </c>
      <c r="AF308" s="173"/>
      <c r="AG308" s="186" t="str">
        <f aca="false">IF(AF308="","",AE308+AF308)</f>
        <v/>
      </c>
      <c r="AH308" s="187"/>
      <c r="AI308" s="176"/>
      <c r="AJ308" s="116" t="str">
        <f aca="false">IF(AG308="","N","Y")</f>
        <v>N</v>
      </c>
      <c r="AK308" s="177"/>
      <c r="AL308" s="138"/>
    </row>
    <row r="309" s="140" customFormat="true" ht="23.25" hidden="false" customHeight="true" outlineLevel="0" collapsed="false">
      <c r="A309" s="116" t="n">
        <f aca="false">IF(B309="","",IF((YEAR(B309)-YEAR(B308))=0,A308+1,1))</f>
        <v>115</v>
      </c>
      <c r="B309" s="160" t="n">
        <v>43392</v>
      </c>
      <c r="C309" s="161" t="s">
        <v>103</v>
      </c>
      <c r="D309" s="161" t="s">
        <v>216</v>
      </c>
      <c r="E309" s="161" t="s">
        <v>330</v>
      </c>
      <c r="F309" s="161" t="s">
        <v>224</v>
      </c>
      <c r="G309" s="162" t="n">
        <v>43395</v>
      </c>
      <c r="H309" s="162" t="n">
        <v>43426</v>
      </c>
      <c r="I309" s="116" t="n">
        <f aca="false">H309-G309</f>
        <v>31</v>
      </c>
      <c r="J309" s="169" t="n">
        <f aca="false">TRUNC(I309/30,0)</f>
        <v>1</v>
      </c>
      <c r="K309" s="181" t="s">
        <v>99</v>
      </c>
      <c r="L309" s="166" t="n">
        <v>15</v>
      </c>
      <c r="M309" s="167"/>
      <c r="N309" s="168"/>
      <c r="O309" s="169" t="n">
        <f aca="false">J309</f>
        <v>1</v>
      </c>
      <c r="P309" s="169"/>
      <c r="Q309" s="170"/>
      <c r="R309" s="171" t="s">
        <v>305</v>
      </c>
      <c r="S309" s="172"/>
      <c r="T309" s="171"/>
      <c r="U309" s="172"/>
      <c r="V309" s="172"/>
      <c r="W309" s="172"/>
      <c r="X309" s="172"/>
      <c r="Y309" s="172"/>
      <c r="Z309" s="172" t="n">
        <v>0.0033</v>
      </c>
      <c r="AA309" s="172" t="n">
        <v>0.002</v>
      </c>
      <c r="AB309" s="174" t="n">
        <f aca="false">S309-Z309</f>
        <v>-0.0033</v>
      </c>
      <c r="AC309" s="174" t="n">
        <f aca="false">U309-Z309-AA309</f>
        <v>-0.0053</v>
      </c>
      <c r="AD309" s="175" t="n">
        <v>0.014</v>
      </c>
      <c r="AE309" s="173" t="str">
        <f aca="false">IF(Y309="","",Y309)</f>
        <v/>
      </c>
      <c r="AF309" s="173"/>
      <c r="AG309" s="186" t="str">
        <f aca="false">IF(AF309="","",AE309+AF309)</f>
        <v/>
      </c>
      <c r="AH309" s="187"/>
      <c r="AI309" s="176"/>
      <c r="AJ309" s="116" t="str">
        <f aca="false">IF(AG309="","N","Y")</f>
        <v>N</v>
      </c>
      <c r="AK309" s="177" t="s">
        <v>329</v>
      </c>
      <c r="AL309" s="138"/>
    </row>
    <row r="310" s="140" customFormat="true" ht="23.25" hidden="false" customHeight="true" outlineLevel="0" collapsed="false">
      <c r="A310" s="116" t="n">
        <v>116</v>
      </c>
      <c r="B310" s="160" t="n">
        <v>43395</v>
      </c>
      <c r="C310" s="161" t="s">
        <v>96</v>
      </c>
      <c r="D310" s="161" t="s">
        <v>278</v>
      </c>
      <c r="E310" s="161" t="s">
        <v>97</v>
      </c>
      <c r="F310" s="161" t="s">
        <v>279</v>
      </c>
      <c r="G310" s="162" t="n">
        <v>43395</v>
      </c>
      <c r="H310" s="162" t="n">
        <v>43487</v>
      </c>
      <c r="I310" s="116" t="n">
        <f aca="false">H310-G310</f>
        <v>92</v>
      </c>
      <c r="J310" s="169" t="n">
        <f aca="false">TRUNC(I310/30,0)</f>
        <v>3</v>
      </c>
      <c r="K310" s="180" t="s">
        <v>95</v>
      </c>
      <c r="L310" s="166" t="n">
        <v>30</v>
      </c>
      <c r="M310" s="167" t="n">
        <v>2.09</v>
      </c>
      <c r="N310" s="168" t="s">
        <v>332</v>
      </c>
      <c r="O310" s="169" t="n">
        <f aca="false">J310</f>
        <v>3</v>
      </c>
      <c r="P310" s="169"/>
      <c r="Q310" s="170" t="n">
        <v>0.0247719</v>
      </c>
      <c r="R310" s="171" t="s">
        <v>300</v>
      </c>
      <c r="S310" s="172" t="n">
        <v>0.0275</v>
      </c>
      <c r="T310" s="171" t="s">
        <v>300</v>
      </c>
      <c r="U310" s="172" t="n">
        <v>0.032477</v>
      </c>
      <c r="V310" s="172" t="n">
        <v>0.028213</v>
      </c>
      <c r="W310" s="172" t="n">
        <v>0.000564</v>
      </c>
      <c r="X310" s="172" t="n">
        <v>0.002148</v>
      </c>
      <c r="Y310" s="172" t="n">
        <v>0.02015</v>
      </c>
      <c r="Z310" s="172" t="n">
        <v>0.002</v>
      </c>
      <c r="AA310" s="172" t="n">
        <v>0.002</v>
      </c>
      <c r="AB310" s="174" t="n">
        <f aca="false">S310-Z310</f>
        <v>0.0255</v>
      </c>
      <c r="AC310" s="174" t="n">
        <f aca="false">U310-Z310-AA310</f>
        <v>0.028477</v>
      </c>
      <c r="AD310" s="175" t="n">
        <v>0.0255</v>
      </c>
      <c r="AE310" s="173" t="n">
        <f aca="false">IF(Y310="","",Y310)</f>
        <v>0.02015</v>
      </c>
      <c r="AF310" s="173"/>
      <c r="AG310" s="186" t="str">
        <f aca="false">IF(AF310="","",AE310+AF310)</f>
        <v/>
      </c>
      <c r="AH310" s="187"/>
      <c r="AI310" s="176"/>
      <c r="AJ310" s="116" t="str">
        <f aca="false">IF(AG310="","N","Y")</f>
        <v>N</v>
      </c>
      <c r="AK310" s="245" t="s">
        <v>333</v>
      </c>
      <c r="AL310" s="138"/>
    </row>
    <row r="311" s="38" customFormat="true" ht="23.25" hidden="false" customHeight="true" outlineLevel="0" collapsed="false">
      <c r="A311" s="19" t="n">
        <v>117</v>
      </c>
      <c r="B311" s="141" t="n">
        <v>43397</v>
      </c>
      <c r="C311" s="63" t="s">
        <v>307</v>
      </c>
      <c r="D311" s="63" t="s">
        <v>308</v>
      </c>
      <c r="E311" s="63" t="s">
        <v>323</v>
      </c>
      <c r="F311" s="63" t="s">
        <v>334</v>
      </c>
      <c r="G311" s="142" t="n">
        <v>43397</v>
      </c>
      <c r="H311" s="142" t="n">
        <v>43430</v>
      </c>
      <c r="I311" s="19" t="n">
        <f aca="false">H311-G311</f>
        <v>33</v>
      </c>
      <c r="J311" s="149" t="n">
        <f aca="false">TRUNC(I311/30,0)</f>
        <v>1</v>
      </c>
      <c r="K311" s="183" t="s">
        <v>324</v>
      </c>
      <c r="L311" s="146" t="n">
        <v>1</v>
      </c>
      <c r="M311" s="147" t="n">
        <v>1.85</v>
      </c>
      <c r="N311" s="148" t="s">
        <v>328</v>
      </c>
      <c r="O311" s="149" t="n">
        <f aca="false">J311</f>
        <v>1</v>
      </c>
      <c r="P311" s="149"/>
      <c r="Q311" s="150" t="n">
        <v>0.0228138</v>
      </c>
      <c r="R311" s="151" t="s">
        <v>303</v>
      </c>
      <c r="S311" s="152" t="n">
        <v>0.0235</v>
      </c>
      <c r="T311" s="151"/>
      <c r="U311" s="152"/>
      <c r="V311" s="152" t="n">
        <v>0.025884</v>
      </c>
      <c r="W311" s="152" t="n">
        <v>0.000518</v>
      </c>
      <c r="X311" s="152" t="n">
        <v>0.006366</v>
      </c>
      <c r="Y311" s="152" t="n">
        <v>0.017031</v>
      </c>
      <c r="Z311" s="152" t="n">
        <v>0.002</v>
      </c>
      <c r="AA311" s="152" t="n">
        <v>0.002</v>
      </c>
      <c r="AB311" s="154" t="n">
        <f aca="false">S311-Z311</f>
        <v>0.0215</v>
      </c>
      <c r="AC311" s="154" t="n">
        <f aca="false">U311-Z311-AA311</f>
        <v>-0.004</v>
      </c>
      <c r="AD311" s="155" t="n">
        <v>0.019</v>
      </c>
      <c r="AE311" s="153" t="n">
        <f aca="false">IF(Y311="","",Y311)</f>
        <v>0.017031</v>
      </c>
      <c r="AF311" s="153" t="n">
        <v>0.001969</v>
      </c>
      <c r="AG311" s="184" t="n">
        <f aca="false">IF(AF311="","",AE311+AF311)</f>
        <v>0.019</v>
      </c>
      <c r="AH311" s="185" t="n">
        <v>43397</v>
      </c>
      <c r="AI311" s="35" t="n">
        <v>1</v>
      </c>
      <c r="AJ311" s="116" t="str">
        <f aca="false">IF(AG311="","N","Y")</f>
        <v>Y</v>
      </c>
      <c r="AK311" s="238" t="s">
        <v>326</v>
      </c>
      <c r="AL311" s="36"/>
    </row>
    <row r="312" s="38" customFormat="true" ht="24" hidden="false" customHeight="true" outlineLevel="0" collapsed="false">
      <c r="A312" s="19" t="n">
        <v>118</v>
      </c>
      <c r="B312" s="141" t="n">
        <v>43402</v>
      </c>
      <c r="C312" s="63" t="s">
        <v>89</v>
      </c>
      <c r="D312" s="63" t="s">
        <v>234</v>
      </c>
      <c r="E312" s="63" t="s">
        <v>335</v>
      </c>
      <c r="F312" s="63" t="s">
        <v>195</v>
      </c>
      <c r="G312" s="142" t="n">
        <v>43402</v>
      </c>
      <c r="H312" s="142" t="n">
        <v>43584</v>
      </c>
      <c r="I312" s="19" t="n">
        <f aca="false">H312-G312</f>
        <v>182</v>
      </c>
      <c r="J312" s="149" t="n">
        <f aca="false">TRUNC(I312/30,0)</f>
        <v>6</v>
      </c>
      <c r="K312" s="183" t="s">
        <v>95</v>
      </c>
      <c r="L312" s="146" t="n">
        <v>3</v>
      </c>
      <c r="M312" s="147" t="n">
        <v>2.34468</v>
      </c>
      <c r="N312" s="148" t="s">
        <v>336</v>
      </c>
      <c r="O312" s="149" t="n">
        <f aca="false">J312</f>
        <v>6</v>
      </c>
      <c r="P312" s="149"/>
      <c r="Q312" s="150" t="n">
        <v>0.0277675</v>
      </c>
      <c r="R312" s="151" t="s">
        <v>337</v>
      </c>
      <c r="S312" s="152" t="n">
        <v>0.028</v>
      </c>
      <c r="T312" s="151"/>
      <c r="U312" s="152"/>
      <c r="V312" s="152" t="n">
        <v>0.031727</v>
      </c>
      <c r="W312" s="152" t="n">
        <v>0.000635</v>
      </c>
      <c r="X312" s="152" t="n">
        <v>0.005792</v>
      </c>
      <c r="Y312" s="152" t="n">
        <v>0.023587</v>
      </c>
      <c r="Z312" s="152" t="n">
        <v>0.002</v>
      </c>
      <c r="AA312" s="152" t="n">
        <v>0.002</v>
      </c>
      <c r="AB312" s="154" t="n">
        <f aca="false">S312-Z312</f>
        <v>0.026</v>
      </c>
      <c r="AC312" s="154" t="n">
        <f aca="false">U312-Z312-AA312</f>
        <v>-0.004</v>
      </c>
      <c r="AD312" s="155" t="n">
        <v>0.0253</v>
      </c>
      <c r="AE312" s="153" t="n">
        <f aca="false">IF(Y312="","",Y312)</f>
        <v>0.023587</v>
      </c>
      <c r="AF312" s="153" t="n">
        <v>0.001713</v>
      </c>
      <c r="AG312" s="184" t="n">
        <f aca="false">IF(AF312="","",AE312+AF312)</f>
        <v>0.0253</v>
      </c>
      <c r="AH312" s="185" t="n">
        <v>43402</v>
      </c>
      <c r="AI312" s="35" t="n">
        <v>2</v>
      </c>
      <c r="AJ312" s="116" t="str">
        <f aca="false">IF(AG312="","N","Y")</f>
        <v>Y</v>
      </c>
      <c r="AK312" s="159"/>
      <c r="AL312" s="36"/>
    </row>
    <row r="313" s="38" customFormat="true" ht="23.25" hidden="false" customHeight="true" outlineLevel="0" collapsed="false">
      <c r="A313" s="19" t="n">
        <f aca="false">IF(B313="","",IF((YEAR(B313)-YEAR(B312))=0,A312+1,1))</f>
        <v>119</v>
      </c>
      <c r="B313" s="141" t="n">
        <v>43410</v>
      </c>
      <c r="C313" s="63" t="s">
        <v>96</v>
      </c>
      <c r="D313" s="63" t="s">
        <v>278</v>
      </c>
      <c r="E313" s="63" t="s">
        <v>338</v>
      </c>
      <c r="F313" s="63" t="s">
        <v>161</v>
      </c>
      <c r="G313" s="142" t="n">
        <v>43410</v>
      </c>
      <c r="H313" s="142" t="n">
        <v>43775</v>
      </c>
      <c r="I313" s="19" t="n">
        <f aca="false">H313-G313</f>
        <v>365</v>
      </c>
      <c r="J313" s="149" t="n">
        <f aca="false">TRUNC(I313/30,0)</f>
        <v>12</v>
      </c>
      <c r="K313" s="183" t="s">
        <v>95</v>
      </c>
      <c r="L313" s="146" t="n">
        <v>1</v>
      </c>
      <c r="M313" s="147" t="n">
        <v>2.51187</v>
      </c>
      <c r="N313" s="148" t="s">
        <v>339</v>
      </c>
      <c r="O313" s="149" t="n">
        <f aca="false">J313</f>
        <v>12</v>
      </c>
      <c r="P313" s="149"/>
      <c r="Q313" s="150" t="n">
        <v>0.0311688</v>
      </c>
      <c r="R313" s="151" t="s">
        <v>340</v>
      </c>
      <c r="S313" s="152" t="n">
        <v>0.0291</v>
      </c>
      <c r="T313" s="151"/>
      <c r="U313" s="152"/>
      <c r="V313" s="152" t="n">
        <v>0.039049</v>
      </c>
      <c r="W313" s="152" t="n">
        <v>0.000781</v>
      </c>
      <c r="X313" s="152" t="n">
        <v>0.011268</v>
      </c>
      <c r="Y313" s="152" t="n">
        <v>0.024165</v>
      </c>
      <c r="Z313" s="152" t="n">
        <v>0.002</v>
      </c>
      <c r="AA313" s="152" t="n">
        <v>0.002</v>
      </c>
      <c r="AB313" s="154" t="n">
        <f aca="false">S313-Z313</f>
        <v>0.0271</v>
      </c>
      <c r="AC313" s="154" t="n">
        <f aca="false">U313-Z313-AA313</f>
        <v>-0.004</v>
      </c>
      <c r="AD313" s="155" t="n">
        <v>0.027</v>
      </c>
      <c r="AE313" s="153" t="n">
        <f aca="false">IF(Y313="","",Y313)</f>
        <v>0.024165</v>
      </c>
      <c r="AF313" s="153" t="n">
        <v>0.002835</v>
      </c>
      <c r="AG313" s="184" t="n">
        <f aca="false">IF(AF313="","",AE313+AF313)</f>
        <v>0.027</v>
      </c>
      <c r="AH313" s="185" t="n">
        <v>43410</v>
      </c>
      <c r="AI313" s="35" t="n">
        <v>1</v>
      </c>
      <c r="AJ313" s="116" t="str">
        <f aca="false">IF(AG313="","N","Y")</f>
        <v>Y</v>
      </c>
      <c r="AK313" s="159"/>
      <c r="AL313" s="36"/>
    </row>
    <row r="314" s="38" customFormat="true" ht="23.25" hidden="false" customHeight="true" outlineLevel="0" collapsed="false">
      <c r="A314" s="19" t="n">
        <f aca="false">IF(B314="","",IF((YEAR(B314)-YEAR(B313))=0,A313+1,1))</f>
        <v>120</v>
      </c>
      <c r="B314" s="246" t="n">
        <v>43412</v>
      </c>
      <c r="C314" s="63" t="s">
        <v>307</v>
      </c>
      <c r="D314" s="63" t="s">
        <v>308</v>
      </c>
      <c r="E314" s="63" t="s">
        <v>323</v>
      </c>
      <c r="F314" s="63" t="s">
        <v>310</v>
      </c>
      <c r="G314" s="142" t="n">
        <v>43412</v>
      </c>
      <c r="H314" s="142" t="n">
        <v>43444</v>
      </c>
      <c r="I314" s="19" t="n">
        <f aca="false">H314-G314</f>
        <v>32</v>
      </c>
      <c r="J314" s="149" t="n">
        <f aca="false">TRUNC(I314/30,0)</f>
        <v>1</v>
      </c>
      <c r="K314" s="183" t="s">
        <v>324</v>
      </c>
      <c r="L314" s="146" t="n">
        <v>2.3</v>
      </c>
      <c r="M314" s="147" t="n">
        <v>1.8848</v>
      </c>
      <c r="N314" s="148" t="s">
        <v>341</v>
      </c>
      <c r="O314" s="149" t="n">
        <f aca="false">J314</f>
        <v>1</v>
      </c>
      <c r="P314" s="149"/>
      <c r="Q314" s="150" t="n">
        <v>0.0231531</v>
      </c>
      <c r="R314" s="151" t="s">
        <v>255</v>
      </c>
      <c r="S314" s="152" t="n">
        <v>0.023</v>
      </c>
      <c r="T314" s="151"/>
      <c r="U314" s="152"/>
      <c r="V314" s="152" t="n">
        <v>0.026149</v>
      </c>
      <c r="W314" s="152" t="n">
        <v>0.000523</v>
      </c>
      <c r="X314" s="152" t="n">
        <v>0.006626</v>
      </c>
      <c r="Y314" s="152" t="n">
        <v>0.017364</v>
      </c>
      <c r="Z314" s="152" t="n">
        <v>0.002</v>
      </c>
      <c r="AA314" s="152" t="n">
        <v>0.002</v>
      </c>
      <c r="AB314" s="154" t="n">
        <f aca="false">S314-Z314</f>
        <v>0.021</v>
      </c>
      <c r="AC314" s="154" t="n">
        <f aca="false">U314-Z314-AA314</f>
        <v>-0.004</v>
      </c>
      <c r="AD314" s="155" t="n">
        <v>0.019</v>
      </c>
      <c r="AE314" s="153" t="n">
        <f aca="false">IF(Y314="","",Y314)</f>
        <v>0.017364</v>
      </c>
      <c r="AF314" s="153" t="n">
        <v>0.001636</v>
      </c>
      <c r="AG314" s="184" t="n">
        <f aca="false">IF(AF314="","",AE314+AF314)</f>
        <v>0.019</v>
      </c>
      <c r="AH314" s="185" t="n">
        <v>43412</v>
      </c>
      <c r="AI314" s="35" t="n">
        <v>1</v>
      </c>
      <c r="AJ314" s="116" t="str">
        <f aca="false">IF(AG314="","N","Y")</f>
        <v>Y</v>
      </c>
      <c r="AK314" s="238" t="s">
        <v>326</v>
      </c>
      <c r="AL314" s="36"/>
    </row>
    <row r="315" s="38" customFormat="true" ht="23.25" hidden="false" customHeight="true" outlineLevel="0" collapsed="false">
      <c r="A315" s="19" t="n">
        <f aca="false">IF(B315="","",IF((YEAR(B315)-YEAR(B314))=0,A314+1,1))</f>
        <v>121</v>
      </c>
      <c r="B315" s="246" t="n">
        <v>43412</v>
      </c>
      <c r="C315" s="63" t="s">
        <v>307</v>
      </c>
      <c r="D315" s="63" t="s">
        <v>308</v>
      </c>
      <c r="E315" s="63" t="s">
        <v>323</v>
      </c>
      <c r="F315" s="63" t="s">
        <v>310</v>
      </c>
      <c r="G315" s="142" t="n">
        <v>43412</v>
      </c>
      <c r="H315" s="142" t="n">
        <v>43444</v>
      </c>
      <c r="I315" s="19" t="n">
        <f aca="false">H315-G315</f>
        <v>32</v>
      </c>
      <c r="J315" s="149" t="n">
        <f aca="false">TRUNC(I315/30,0)</f>
        <v>1</v>
      </c>
      <c r="K315" s="183" t="s">
        <v>324</v>
      </c>
      <c r="L315" s="146" t="n">
        <v>4</v>
      </c>
      <c r="M315" s="147" t="n">
        <v>1.8848</v>
      </c>
      <c r="N315" s="148" t="s">
        <v>341</v>
      </c>
      <c r="O315" s="149" t="n">
        <f aca="false">J315</f>
        <v>1</v>
      </c>
      <c r="P315" s="149"/>
      <c r="Q315" s="150" t="n">
        <v>0.0231531</v>
      </c>
      <c r="R315" s="151" t="s">
        <v>255</v>
      </c>
      <c r="S315" s="152" t="n">
        <v>0.023</v>
      </c>
      <c r="T315" s="151"/>
      <c r="U315" s="152"/>
      <c r="V315" s="152" t="n">
        <v>0.026149</v>
      </c>
      <c r="W315" s="152" t="n">
        <v>0.000523</v>
      </c>
      <c r="X315" s="152" t="n">
        <v>0.006626</v>
      </c>
      <c r="Y315" s="152" t="n">
        <v>0.017364</v>
      </c>
      <c r="Z315" s="152" t="n">
        <v>0.002</v>
      </c>
      <c r="AA315" s="152" t="n">
        <v>0.002</v>
      </c>
      <c r="AB315" s="154" t="n">
        <f aca="false">S315-Z315</f>
        <v>0.021</v>
      </c>
      <c r="AC315" s="154" t="n">
        <f aca="false">U315-Z315-AA315</f>
        <v>-0.004</v>
      </c>
      <c r="AD315" s="155" t="n">
        <v>0.019</v>
      </c>
      <c r="AE315" s="153" t="n">
        <f aca="false">IF(Y315="","",Y315)</f>
        <v>0.017364</v>
      </c>
      <c r="AF315" s="153" t="n">
        <v>0.001636</v>
      </c>
      <c r="AG315" s="184" t="n">
        <f aca="false">IF(AF315="","",AE315+AF315)</f>
        <v>0.019</v>
      </c>
      <c r="AH315" s="185" t="n">
        <v>43412</v>
      </c>
      <c r="AI315" s="35" t="n">
        <v>2</v>
      </c>
      <c r="AJ315" s="116" t="str">
        <f aca="false">IF(AG315="","N","Y")</f>
        <v>Y</v>
      </c>
      <c r="AK315" s="238" t="s">
        <v>326</v>
      </c>
      <c r="AL315" s="36"/>
    </row>
    <row r="316" s="220" customFormat="true" ht="23.25" hidden="false" customHeight="true" outlineLevel="0" collapsed="false">
      <c r="A316" s="200" t="n">
        <f aca="false">IF(B316="","",IF((YEAR(B316)-YEAR(B315))=0,A315+1,1))</f>
        <v>122</v>
      </c>
      <c r="B316" s="199" t="n">
        <v>43412</v>
      </c>
      <c r="C316" s="200" t="s">
        <v>103</v>
      </c>
      <c r="D316" s="200" t="s">
        <v>216</v>
      </c>
      <c r="E316" s="200" t="s">
        <v>206</v>
      </c>
      <c r="F316" s="200" t="s">
        <v>229</v>
      </c>
      <c r="G316" s="201" t="n">
        <v>43412</v>
      </c>
      <c r="H316" s="201" t="n">
        <v>43439</v>
      </c>
      <c r="I316" s="200" t="n">
        <f aca="false">H316-G316</f>
        <v>27</v>
      </c>
      <c r="J316" s="228" t="s">
        <v>255</v>
      </c>
      <c r="K316" s="203" t="s">
        <v>99</v>
      </c>
      <c r="L316" s="204" t="n">
        <v>2.09</v>
      </c>
      <c r="M316" s="205" t="n">
        <v>1.26</v>
      </c>
      <c r="N316" s="227" t="s">
        <v>342</v>
      </c>
      <c r="O316" s="228" t="s">
        <v>271</v>
      </c>
      <c r="P316" s="228"/>
      <c r="Q316" s="208" t="n">
        <v>0.0221588</v>
      </c>
      <c r="R316" s="207" t="s">
        <v>271</v>
      </c>
      <c r="S316" s="209" t="n">
        <v>0.0225</v>
      </c>
      <c r="T316" s="207"/>
      <c r="U316" s="209"/>
      <c r="V316" s="209" t="n">
        <v>0.034348</v>
      </c>
      <c r="W316" s="209" t="n">
        <v>0.002404</v>
      </c>
      <c r="X316" s="209" t="n">
        <v>0.018444</v>
      </c>
      <c r="Y316" s="209" t="n">
        <v>0.012545</v>
      </c>
      <c r="Z316" s="209" t="n">
        <v>0.0033</v>
      </c>
      <c r="AA316" s="209" t="n">
        <v>0.002</v>
      </c>
      <c r="AB316" s="211" t="n">
        <f aca="false">S316-Z316</f>
        <v>0.0192</v>
      </c>
      <c r="AC316" s="211" t="n">
        <f aca="false">U316-Z316-AA316</f>
        <v>-0.0053</v>
      </c>
      <c r="AD316" s="212" t="n">
        <v>0.0135</v>
      </c>
      <c r="AE316" s="210" t="n">
        <f aca="false">IF(Y316="","",Y316)</f>
        <v>0.012545</v>
      </c>
      <c r="AF316" s="210" t="n">
        <v>0.000955</v>
      </c>
      <c r="AG316" s="214" t="n">
        <f aca="false">IF(AF316="","",AE316+AF316)</f>
        <v>0.0135</v>
      </c>
      <c r="AH316" s="215" t="n">
        <v>43412</v>
      </c>
      <c r="AI316" s="216" t="n">
        <v>3</v>
      </c>
      <c r="AJ316" s="217" t="str">
        <f aca="false">IF(AG316="","N","Y")</f>
        <v>Y</v>
      </c>
      <c r="AK316" s="239" t="s">
        <v>343</v>
      </c>
      <c r="AL316" s="229"/>
    </row>
    <row r="317" s="220" customFormat="true" ht="23.25" hidden="false" customHeight="true" outlineLevel="0" collapsed="false">
      <c r="A317" s="200" t="n">
        <f aca="false">IF(B317="","",IF((YEAR(B317)-YEAR(B316))=0,A316+1,1))</f>
        <v>123</v>
      </c>
      <c r="B317" s="199" t="n">
        <v>43425</v>
      </c>
      <c r="C317" s="200" t="s">
        <v>96</v>
      </c>
      <c r="D317" s="217"/>
      <c r="E317" s="200" t="s">
        <v>143</v>
      </c>
      <c r="F317" s="200" t="s">
        <v>137</v>
      </c>
      <c r="G317" s="201" t="n">
        <v>43426</v>
      </c>
      <c r="H317" s="201" t="n">
        <v>43455</v>
      </c>
      <c r="I317" s="200" t="n">
        <f aca="false">H317-G317</f>
        <v>29</v>
      </c>
      <c r="J317" s="228" t="s">
        <v>255</v>
      </c>
      <c r="K317" s="203" t="s">
        <v>99</v>
      </c>
      <c r="L317" s="204" t="n">
        <v>1.5</v>
      </c>
      <c r="M317" s="205" t="n">
        <v>1.3206</v>
      </c>
      <c r="N317" s="227" t="s">
        <v>342</v>
      </c>
      <c r="O317" s="228" t="s">
        <v>271</v>
      </c>
      <c r="P317" s="228"/>
      <c r="Q317" s="208" t="n">
        <v>0.0221638</v>
      </c>
      <c r="R317" s="207" t="s">
        <v>271</v>
      </c>
      <c r="S317" s="209" t="n">
        <v>0.022</v>
      </c>
      <c r="T317" s="207"/>
      <c r="U317" s="209"/>
      <c r="V317" s="209" t="n">
        <v>0.034233</v>
      </c>
      <c r="W317" s="209" t="n">
        <v>0.002396</v>
      </c>
      <c r="X317" s="209" t="n">
        <v>0.017837</v>
      </c>
      <c r="Y317" s="209" t="n">
        <v>0.012592</v>
      </c>
      <c r="Z317" s="209" t="n">
        <v>0.0033</v>
      </c>
      <c r="AA317" s="209" t="n">
        <v>0.002</v>
      </c>
      <c r="AB317" s="211" t="n">
        <f aca="false">S317-Z317</f>
        <v>0.0187</v>
      </c>
      <c r="AC317" s="211" t="n">
        <f aca="false">U317-Z317-AA317</f>
        <v>-0.0053</v>
      </c>
      <c r="AD317" s="212" t="n">
        <v>0.014</v>
      </c>
      <c r="AE317" s="210" t="n">
        <f aca="false">IF(Y317="","",Y317)</f>
        <v>0.012592</v>
      </c>
      <c r="AF317" s="210" t="n">
        <v>0.001408</v>
      </c>
      <c r="AG317" s="214" t="n">
        <f aca="false">IF(AF317="","",AE317+AF317)</f>
        <v>0.014</v>
      </c>
      <c r="AH317" s="215" t="n">
        <v>43426</v>
      </c>
      <c r="AI317" s="216" t="n">
        <v>1</v>
      </c>
      <c r="AJ317" s="217" t="str">
        <f aca="false">IF(AG317="","N","Y")</f>
        <v>Y</v>
      </c>
      <c r="AK317" s="218"/>
      <c r="AL317" s="229"/>
    </row>
    <row r="318" s="38" customFormat="true" ht="23.25" hidden="false" customHeight="true" outlineLevel="0" collapsed="false">
      <c r="A318" s="19" t="n">
        <f aca="false">IF(B318="","",IF((YEAR(B318)-YEAR(B317))=0,A317+1,1))</f>
        <v>124</v>
      </c>
      <c r="B318" s="141" t="n">
        <v>43397</v>
      </c>
      <c r="C318" s="63" t="s">
        <v>307</v>
      </c>
      <c r="D318" s="63" t="s">
        <v>308</v>
      </c>
      <c r="E318" s="63" t="s">
        <v>344</v>
      </c>
      <c r="F318" s="63" t="s">
        <v>334</v>
      </c>
      <c r="G318" s="142" t="n">
        <v>43432</v>
      </c>
      <c r="H318" s="142" t="n">
        <v>43462</v>
      </c>
      <c r="I318" s="19" t="n">
        <f aca="false">H318-G318</f>
        <v>30</v>
      </c>
      <c r="J318" s="149" t="s">
        <v>255</v>
      </c>
      <c r="K318" s="183" t="s">
        <v>324</v>
      </c>
      <c r="L318" s="146" t="n">
        <v>1</v>
      </c>
      <c r="M318" s="147" t="n">
        <v>1.89106</v>
      </c>
      <c r="N318" s="148" t="s">
        <v>345</v>
      </c>
      <c r="O318" s="149" t="s">
        <v>255</v>
      </c>
      <c r="P318" s="149"/>
      <c r="Q318" s="150" t="n">
        <v>0.0234931</v>
      </c>
      <c r="R318" s="151" t="s">
        <v>255</v>
      </c>
      <c r="S318" s="152" t="n">
        <v>0.023</v>
      </c>
      <c r="T318" s="151"/>
      <c r="U318" s="152"/>
      <c r="V318" s="152" t="n">
        <v>0.026346</v>
      </c>
      <c r="W318" s="152" t="n">
        <v>0.000527</v>
      </c>
      <c r="X318" s="152" t="n">
        <v>0.006819</v>
      </c>
      <c r="Y318" s="152" t="n">
        <v>0.017698</v>
      </c>
      <c r="Z318" s="152" t="n">
        <v>0.002</v>
      </c>
      <c r="AA318" s="152" t="n">
        <v>0.002</v>
      </c>
      <c r="AB318" s="154" t="n">
        <f aca="false">S318-Z318</f>
        <v>0.021</v>
      </c>
      <c r="AC318" s="154" t="n">
        <f aca="false">U318-Z318-AA318</f>
        <v>-0.004</v>
      </c>
      <c r="AD318" s="155" t="n">
        <v>0.019</v>
      </c>
      <c r="AE318" s="153" t="n">
        <f aca="false">IF(Y318="","",Y318)</f>
        <v>0.017698</v>
      </c>
      <c r="AF318" s="153" t="n">
        <v>0.001302</v>
      </c>
      <c r="AG318" s="184" t="n">
        <f aca="false">IF(AF318="","",AE318+AF318)</f>
        <v>0.019</v>
      </c>
      <c r="AH318" s="185" t="n">
        <v>43432</v>
      </c>
      <c r="AI318" s="35" t="n">
        <v>2</v>
      </c>
      <c r="AJ318" s="19" t="str">
        <f aca="false">IF(AG318="","N","Y")</f>
        <v>Y</v>
      </c>
      <c r="AK318" s="238" t="s">
        <v>326</v>
      </c>
      <c r="AL318" s="36"/>
    </row>
    <row r="319" s="38" customFormat="true" ht="23.25" hidden="false" customHeight="true" outlineLevel="0" collapsed="false">
      <c r="A319" s="19" t="n">
        <f aca="false">IF(B319="","",IF((YEAR(B319)-YEAR(B318))=0,A318+1,1))</f>
        <v>125</v>
      </c>
      <c r="B319" s="141" t="n">
        <v>43445</v>
      </c>
      <c r="C319" s="63" t="s">
        <v>346</v>
      </c>
      <c r="D319" s="63" t="s">
        <v>243</v>
      </c>
      <c r="E319" s="63" t="s">
        <v>190</v>
      </c>
      <c r="F319" s="19" t="s">
        <v>244</v>
      </c>
      <c r="G319" s="142" t="n">
        <v>43445</v>
      </c>
      <c r="H319" s="142" t="n">
        <v>43535</v>
      </c>
      <c r="I319" s="19" t="n">
        <f aca="false">H319-G319</f>
        <v>90</v>
      </c>
      <c r="J319" s="149" t="n">
        <f aca="false">TRUNC(I319/30,0)</f>
        <v>3</v>
      </c>
      <c r="K319" s="183" t="s">
        <v>95</v>
      </c>
      <c r="L319" s="146" t="n">
        <v>1</v>
      </c>
      <c r="M319" s="147" t="n">
        <v>2.36101</v>
      </c>
      <c r="N319" s="148" t="s">
        <v>347</v>
      </c>
      <c r="O319" s="149" t="s">
        <v>265</v>
      </c>
      <c r="P319" s="149"/>
      <c r="Q319" s="150" t="n">
        <v>0.0277594</v>
      </c>
      <c r="R319" s="151" t="s">
        <v>265</v>
      </c>
      <c r="S319" s="152" t="n">
        <v>0.03</v>
      </c>
      <c r="T319" s="151"/>
      <c r="U319" s="152"/>
      <c r="V319" s="152" t="n">
        <v>0.031618</v>
      </c>
      <c r="W319" s="152" t="n">
        <v>0.000632</v>
      </c>
      <c r="X319" s="152" t="n">
        <v>0.005285</v>
      </c>
      <c r="Y319" s="152" t="n">
        <v>0.023079</v>
      </c>
      <c r="Z319" s="152" t="n">
        <v>0.002</v>
      </c>
      <c r="AA319" s="152" t="n">
        <v>0.002</v>
      </c>
      <c r="AB319" s="154" t="n">
        <f aca="false">S319-Z319</f>
        <v>0.028</v>
      </c>
      <c r="AC319" s="154" t="n">
        <f aca="false">U319-Z319-AA319</f>
        <v>-0.004</v>
      </c>
      <c r="AD319" s="155" t="n">
        <v>0.0257</v>
      </c>
      <c r="AE319" s="153" t="n">
        <f aca="false">IF(Y319="","",Y319)</f>
        <v>0.023079</v>
      </c>
      <c r="AF319" s="153" t="n">
        <v>0.002621</v>
      </c>
      <c r="AG319" s="184" t="n">
        <f aca="false">IF(AF319="","",AE319+AF319)</f>
        <v>0.0257</v>
      </c>
      <c r="AH319" s="185" t="n">
        <v>43445</v>
      </c>
      <c r="AI319" s="35" t="n">
        <v>1</v>
      </c>
      <c r="AJ319" s="19" t="str">
        <f aca="false">IF(AG319="","N","Y")</f>
        <v>Y</v>
      </c>
      <c r="AK319" s="159"/>
      <c r="AL319" s="36"/>
    </row>
    <row r="320" s="220" customFormat="true" ht="23.25" hidden="false" customHeight="true" outlineLevel="0" collapsed="false">
      <c r="A320" s="200" t="n">
        <f aca="false">IF(B320="","",IF((YEAR(B320)-YEAR(B319))=0,A319+1,1))</f>
        <v>126</v>
      </c>
      <c r="B320" s="199" t="n">
        <v>43439</v>
      </c>
      <c r="C320" s="200" t="s">
        <v>103</v>
      </c>
      <c r="D320" s="200" t="s">
        <v>216</v>
      </c>
      <c r="E320" s="200" t="s">
        <v>206</v>
      </c>
      <c r="F320" s="200" t="s">
        <v>229</v>
      </c>
      <c r="G320" s="201" t="n">
        <v>43439</v>
      </c>
      <c r="H320" s="201" t="n">
        <v>43469</v>
      </c>
      <c r="I320" s="200" t="n">
        <f aca="false">H320-G320</f>
        <v>30</v>
      </c>
      <c r="J320" s="228" t="s">
        <v>255</v>
      </c>
      <c r="K320" s="203" t="s">
        <v>99</v>
      </c>
      <c r="L320" s="204" t="n">
        <v>2.09</v>
      </c>
      <c r="M320" s="205" t="n">
        <v>1.26915</v>
      </c>
      <c r="N320" s="227" t="s">
        <v>342</v>
      </c>
      <c r="O320" s="228" t="s">
        <v>271</v>
      </c>
      <c r="P320" s="228"/>
      <c r="Q320" s="208" t="n">
        <v>0.02226</v>
      </c>
      <c r="R320" s="207" t="s">
        <v>271</v>
      </c>
      <c r="S320" s="209" t="n">
        <v>0.0225</v>
      </c>
      <c r="T320" s="207"/>
      <c r="U320" s="209"/>
      <c r="V320" s="209" t="n">
        <v>0.035032</v>
      </c>
      <c r="W320" s="209" t="n">
        <v>0.002452</v>
      </c>
      <c r="X320" s="209" t="n">
        <v>0.01858</v>
      </c>
      <c r="Y320" s="209" t="n">
        <v>0.012639</v>
      </c>
      <c r="Z320" s="209" t="n">
        <v>0.0033</v>
      </c>
      <c r="AA320" s="209" t="n">
        <v>0.002</v>
      </c>
      <c r="AB320" s="211" t="n">
        <f aca="false">S320-Z320</f>
        <v>0.0192</v>
      </c>
      <c r="AC320" s="211" t="n">
        <f aca="false">U320-Z320-AA320</f>
        <v>-0.0053</v>
      </c>
      <c r="AD320" s="212" t="n">
        <v>0.014</v>
      </c>
      <c r="AE320" s="210" t="n">
        <f aca="false">IF(Y320="","",Y320)</f>
        <v>0.012639</v>
      </c>
      <c r="AF320" s="210" t="n">
        <v>0.001361</v>
      </c>
      <c r="AG320" s="214" t="n">
        <f aca="false">IF(AF320="","",AE320+AF320)</f>
        <v>0.014</v>
      </c>
      <c r="AH320" s="215" t="n">
        <v>43439</v>
      </c>
      <c r="AI320" s="216" t="n">
        <v>1</v>
      </c>
      <c r="AJ320" s="217" t="str">
        <f aca="false">IF(AG320="","N","Y")</f>
        <v>Y</v>
      </c>
      <c r="AK320" s="218"/>
      <c r="AL320" s="229"/>
    </row>
    <row r="321" s="38" customFormat="true" ht="23.25" hidden="false" customHeight="true" outlineLevel="0" collapsed="false">
      <c r="A321" s="19" t="n">
        <f aca="false">IF(B321="","",IF((YEAR(B321)-YEAR(B320))=0,A320+1,1))</f>
        <v>127</v>
      </c>
      <c r="B321" s="141" t="n">
        <v>43444</v>
      </c>
      <c r="C321" s="63" t="s">
        <v>307</v>
      </c>
      <c r="D321" s="63" t="s">
        <v>308</v>
      </c>
      <c r="E321" s="63" t="s">
        <v>323</v>
      </c>
      <c r="F321" s="63" t="s">
        <v>310</v>
      </c>
      <c r="G321" s="142" t="n">
        <v>43444</v>
      </c>
      <c r="H321" s="142" t="n">
        <v>43475</v>
      </c>
      <c r="I321" s="19" t="n">
        <f aca="false">H321-G321</f>
        <v>31</v>
      </c>
      <c r="J321" s="149" t="s">
        <v>255</v>
      </c>
      <c r="K321" s="183" t="s">
        <v>324</v>
      </c>
      <c r="L321" s="146" t="n">
        <v>3.5</v>
      </c>
      <c r="M321" s="147" t="n">
        <v>1.9629</v>
      </c>
      <c r="N321" s="148" t="s">
        <v>348</v>
      </c>
      <c r="O321" s="149" t="s">
        <v>255</v>
      </c>
      <c r="P321" s="149"/>
      <c r="Q321" s="150" t="n">
        <v>0.0240019</v>
      </c>
      <c r="R321" s="151" t="s">
        <v>255</v>
      </c>
      <c r="S321" s="152" t="n">
        <v>0.023</v>
      </c>
      <c r="T321" s="151"/>
      <c r="U321" s="152"/>
      <c r="V321" s="152" t="n">
        <v>0.026413</v>
      </c>
      <c r="W321" s="152" t="n">
        <v>0.000528</v>
      </c>
      <c r="X321" s="152" t="n">
        <v>0.006885</v>
      </c>
      <c r="Y321" s="152" t="n">
        <v>0.018195</v>
      </c>
      <c r="Z321" s="152" t="n">
        <v>0.002</v>
      </c>
      <c r="AA321" s="152" t="n">
        <v>0.002</v>
      </c>
      <c r="AB321" s="154" t="n">
        <f aca="false">S321-Z321</f>
        <v>0.021</v>
      </c>
      <c r="AC321" s="154" t="n">
        <f aca="false">U321-Z321-AA321</f>
        <v>-0.004</v>
      </c>
      <c r="AD321" s="155" t="n">
        <v>0.019</v>
      </c>
      <c r="AE321" s="153" t="n">
        <f aca="false">IF(Y321="","",Y321)</f>
        <v>0.018195</v>
      </c>
      <c r="AF321" s="153" t="n">
        <v>0.000805</v>
      </c>
      <c r="AG321" s="184" t="n">
        <f aca="false">IF(AF321="","",AE321+AF321)</f>
        <v>0.019</v>
      </c>
      <c r="AH321" s="185" t="n">
        <v>43444</v>
      </c>
      <c r="AI321" s="35" t="n">
        <v>1</v>
      </c>
      <c r="AJ321" s="19" t="str">
        <f aca="false">IF(AG321="","N","Y")</f>
        <v>Y</v>
      </c>
      <c r="AK321" s="159"/>
      <c r="AL321" s="36"/>
    </row>
    <row r="322" s="38" customFormat="true" ht="23.25" hidden="false" customHeight="true" outlineLevel="0" collapsed="false">
      <c r="A322" s="19" t="n">
        <f aca="false">IF(B322="","",IF((YEAR(B322)-YEAR(B321))=0,A321+1,1))</f>
        <v>128</v>
      </c>
      <c r="B322" s="141" t="n">
        <v>43454</v>
      </c>
      <c r="C322" s="63" t="s">
        <v>103</v>
      </c>
      <c r="D322" s="63" t="s">
        <v>216</v>
      </c>
      <c r="E322" s="63" t="s">
        <v>206</v>
      </c>
      <c r="F322" s="63" t="s">
        <v>217</v>
      </c>
      <c r="G322" s="142" t="n">
        <v>43454</v>
      </c>
      <c r="H322" s="142" t="n">
        <v>43486</v>
      </c>
      <c r="I322" s="19" t="n">
        <f aca="false">H322-G322</f>
        <v>32</v>
      </c>
      <c r="J322" s="149" t="n">
        <f aca="false">TRUNC(I322/30,0)</f>
        <v>1</v>
      </c>
      <c r="K322" s="183" t="s">
        <v>95</v>
      </c>
      <c r="L322" s="146" t="n">
        <v>10</v>
      </c>
      <c r="M322" s="147" t="n">
        <v>2.0521</v>
      </c>
      <c r="N322" s="148" t="s">
        <v>349</v>
      </c>
      <c r="O322" s="149" t="s">
        <v>255</v>
      </c>
      <c r="P322" s="149"/>
      <c r="Q322" s="150" t="n">
        <v>0.0247938</v>
      </c>
      <c r="R322" s="151" t="s">
        <v>255</v>
      </c>
      <c r="S322" s="152" t="n">
        <v>0.029</v>
      </c>
      <c r="T322" s="151" t="s">
        <v>255</v>
      </c>
      <c r="U322" s="152" t="n">
        <v>0.035325</v>
      </c>
      <c r="V322" s="152" t="n">
        <v>0.027238</v>
      </c>
      <c r="W322" s="152" t="n">
        <v>0.000545</v>
      </c>
      <c r="X322" s="152" t="n">
        <v>0.002193</v>
      </c>
      <c r="Y322" s="152" t="n">
        <v>0.018972</v>
      </c>
      <c r="Z322" s="152" t="n">
        <v>0.002</v>
      </c>
      <c r="AA322" s="152" t="n">
        <v>0.002</v>
      </c>
      <c r="AB322" s="154" t="n">
        <f aca="false">S322-Z322</f>
        <v>0.027</v>
      </c>
      <c r="AC322" s="154" t="n">
        <f aca="false">U322-Z322-AA322</f>
        <v>0.031325</v>
      </c>
      <c r="AD322" s="155" t="n">
        <v>0.0245</v>
      </c>
      <c r="AE322" s="153" t="n">
        <f aca="false">IF(Y322="","",Y322)</f>
        <v>0.018972</v>
      </c>
      <c r="AF322" s="153" t="n">
        <v>0.005528</v>
      </c>
      <c r="AG322" s="184" t="n">
        <f aca="false">IF(AF322="","",AE322+AF322)</f>
        <v>0.0245</v>
      </c>
      <c r="AH322" s="185" t="n">
        <v>43454</v>
      </c>
      <c r="AI322" s="35" t="n">
        <v>1</v>
      </c>
      <c r="AJ322" s="19" t="str">
        <f aca="false">IF(AG322="","N","Y")</f>
        <v>Y</v>
      </c>
      <c r="AK322" s="238" t="s">
        <v>350</v>
      </c>
      <c r="AL322" s="36"/>
    </row>
    <row r="323" s="38" customFormat="true" ht="23.25" hidden="false" customHeight="true" outlineLevel="0" collapsed="false">
      <c r="A323" s="19" t="n">
        <f aca="false">IF(B323="","",IF((YEAR(B323)-YEAR(B322))=0,A322+1,1))</f>
        <v>129</v>
      </c>
      <c r="B323" s="141" t="n">
        <v>43455</v>
      </c>
      <c r="C323" s="63" t="s">
        <v>103</v>
      </c>
      <c r="D323" s="63" t="s">
        <v>216</v>
      </c>
      <c r="E323" s="63" t="s">
        <v>206</v>
      </c>
      <c r="F323" s="63" t="s">
        <v>224</v>
      </c>
      <c r="G323" s="142" t="n">
        <v>43458</v>
      </c>
      <c r="H323" s="142" t="n">
        <v>43546</v>
      </c>
      <c r="I323" s="19" t="n">
        <f aca="false">H323-G323</f>
        <v>88</v>
      </c>
      <c r="J323" s="149" t="n">
        <f aca="false">TRUNC(I323/30,0)</f>
        <v>2</v>
      </c>
      <c r="K323" s="183" t="s">
        <v>95</v>
      </c>
      <c r="L323" s="146" t="n">
        <v>5</v>
      </c>
      <c r="M323" s="147" t="n">
        <v>2.42</v>
      </c>
      <c r="N323" s="148" t="s">
        <v>351</v>
      </c>
      <c r="O323" s="149" t="s">
        <v>265</v>
      </c>
      <c r="P323" s="149"/>
      <c r="Q323" s="150" t="n">
        <v>0.0282163</v>
      </c>
      <c r="R323" s="151" t="s">
        <v>265</v>
      </c>
      <c r="S323" s="152" t="n">
        <v>0.029</v>
      </c>
      <c r="T323" s="151"/>
      <c r="U323" s="152"/>
      <c r="V323" s="152" t="n">
        <v>0.031937</v>
      </c>
      <c r="W323" s="152" t="n">
        <v>0.000639</v>
      </c>
      <c r="X323" s="152" t="n">
        <v>0.006798</v>
      </c>
      <c r="Y323" s="152" t="n">
        <v>0.019236</v>
      </c>
      <c r="Z323" s="152" t="n">
        <v>0.002</v>
      </c>
      <c r="AA323" s="152" t="n">
        <v>0.002</v>
      </c>
      <c r="AB323" s="154" t="n">
        <f aca="false">S323-Z323</f>
        <v>0.027</v>
      </c>
      <c r="AC323" s="154" t="n">
        <f aca="false">U323-Z323-AA323</f>
        <v>-0.004</v>
      </c>
      <c r="AD323" s="155" t="n">
        <v>0.0245</v>
      </c>
      <c r="AE323" s="153" t="n">
        <f aca="false">IF(Y323="","",Y323)</f>
        <v>0.019236</v>
      </c>
      <c r="AF323" s="153" t="n">
        <v>0.005264</v>
      </c>
      <c r="AG323" s="184" t="n">
        <f aca="false">IF(AF323="","",AE323+AF323)</f>
        <v>0.0245</v>
      </c>
      <c r="AH323" s="185" t="n">
        <v>43458</v>
      </c>
      <c r="AI323" s="35" t="n">
        <v>2</v>
      </c>
      <c r="AJ323" s="19" t="str">
        <f aca="false">IF(AG323="","N","Y")</f>
        <v>Y</v>
      </c>
      <c r="AK323" s="159"/>
      <c r="AL323" s="36"/>
    </row>
    <row r="324" s="140" customFormat="true" ht="23.25" hidden="false" customHeight="true" outlineLevel="0" collapsed="false">
      <c r="A324" s="116" t="n">
        <v>130</v>
      </c>
      <c r="B324" s="160" t="n">
        <v>43460</v>
      </c>
      <c r="C324" s="161" t="s">
        <v>100</v>
      </c>
      <c r="D324" s="161" t="s">
        <v>257</v>
      </c>
      <c r="E324" s="161" t="s">
        <v>101</v>
      </c>
      <c r="F324" s="161" t="s">
        <v>102</v>
      </c>
      <c r="G324" s="162" t="n">
        <v>43460</v>
      </c>
      <c r="H324" s="162" t="n">
        <v>43531</v>
      </c>
      <c r="I324" s="116" t="n">
        <f aca="false">H324-G324</f>
        <v>71</v>
      </c>
      <c r="J324" s="169" t="n">
        <f aca="false">TRUNC(I324/30,0)</f>
        <v>2</v>
      </c>
      <c r="K324" s="180" t="s">
        <v>95</v>
      </c>
      <c r="L324" s="166" t="n">
        <v>50</v>
      </c>
      <c r="M324" s="167" t="n">
        <v>2.4193</v>
      </c>
      <c r="N324" s="168" t="s">
        <v>352</v>
      </c>
      <c r="O324" s="169" t="s">
        <v>259</v>
      </c>
      <c r="P324" s="169"/>
      <c r="Q324" s="170" t="n">
        <v>0.02283</v>
      </c>
      <c r="R324" s="171" t="s">
        <v>259</v>
      </c>
      <c r="S324" s="172" t="n">
        <v>0.028</v>
      </c>
      <c r="T324" s="171"/>
      <c r="U324" s="172"/>
      <c r="V324" s="172" t="n">
        <v>0.030321</v>
      </c>
      <c r="W324" s="172" t="n">
        <v>0.000606</v>
      </c>
      <c r="X324" s="172" t="n">
        <v>0.004714</v>
      </c>
      <c r="Y324" s="172" t="n">
        <v>0.020269</v>
      </c>
      <c r="Z324" s="172" t="n">
        <v>0.002</v>
      </c>
      <c r="AA324" s="172" t="n">
        <v>0.002</v>
      </c>
      <c r="AB324" s="174" t="n">
        <f aca="false">S324-Z324</f>
        <v>0.026</v>
      </c>
      <c r="AC324" s="174" t="n">
        <f aca="false">U324-Z324-AA324</f>
        <v>-0.004</v>
      </c>
      <c r="AD324" s="175" t="n">
        <v>0.025</v>
      </c>
      <c r="AE324" s="173" t="n">
        <f aca="false">IF(Y324="","",Y324)</f>
        <v>0.020269</v>
      </c>
      <c r="AF324" s="173" t="n">
        <f aca="false">AD324-AE324</f>
        <v>0.004731</v>
      </c>
      <c r="AG324" s="186"/>
      <c r="AH324" s="187"/>
      <c r="AI324" s="176"/>
      <c r="AJ324" s="19" t="str">
        <f aca="false">IF(AG324="","N","Y")</f>
        <v>N</v>
      </c>
      <c r="AK324" s="245" t="s">
        <v>353</v>
      </c>
      <c r="AL324" s="138"/>
    </row>
    <row r="325" s="38" customFormat="true" ht="23.25" hidden="false" customHeight="true" outlineLevel="0" collapsed="false">
      <c r="A325" s="19" t="n">
        <v>131</v>
      </c>
      <c r="B325" s="141" t="n">
        <v>43462</v>
      </c>
      <c r="C325" s="63" t="s">
        <v>354</v>
      </c>
      <c r="D325" s="63" t="s">
        <v>355</v>
      </c>
      <c r="E325" s="63" t="s">
        <v>356</v>
      </c>
      <c r="F325" s="63" t="s">
        <v>357</v>
      </c>
      <c r="G325" s="142" t="n">
        <v>43462</v>
      </c>
      <c r="H325" s="142" t="n">
        <v>43552</v>
      </c>
      <c r="I325" s="19" t="n">
        <f aca="false">H325-G325</f>
        <v>90</v>
      </c>
      <c r="J325" s="149" t="n">
        <f aca="false">TRUNC(I325/30,0)</f>
        <v>3</v>
      </c>
      <c r="K325" s="183" t="s">
        <v>95</v>
      </c>
      <c r="L325" s="146" t="n">
        <v>11.62</v>
      </c>
      <c r="M325" s="147" t="n">
        <v>2.41</v>
      </c>
      <c r="N325" s="148" t="s">
        <v>336</v>
      </c>
      <c r="O325" s="149" t="s">
        <v>265</v>
      </c>
      <c r="P325" s="149"/>
      <c r="Q325" s="150" t="n">
        <v>0.02803</v>
      </c>
      <c r="R325" s="151" t="s">
        <v>265</v>
      </c>
      <c r="S325" s="152" t="n">
        <v>0.0306</v>
      </c>
      <c r="T325" s="151"/>
      <c r="U325" s="152"/>
      <c r="V325" s="152" t="n">
        <v>0.032052</v>
      </c>
      <c r="W325" s="152" t="n">
        <v>0.000641</v>
      </c>
      <c r="X325" s="152" t="n">
        <v>0.00391</v>
      </c>
      <c r="Y325" s="152" t="n">
        <v>0.023344</v>
      </c>
      <c r="Z325" s="152" t="n">
        <v>0.002</v>
      </c>
      <c r="AA325" s="152" t="n">
        <v>0.002</v>
      </c>
      <c r="AB325" s="154" t="n">
        <f aca="false">S325-Z325</f>
        <v>0.0286</v>
      </c>
      <c r="AC325" s="154" t="n">
        <f aca="false">U325-Z325-AA325</f>
        <v>-0.004</v>
      </c>
      <c r="AD325" s="155" t="n">
        <v>0.0275</v>
      </c>
      <c r="AE325" s="153" t="n">
        <f aca="false">IF(Y325="","",Y325)</f>
        <v>0.023344</v>
      </c>
      <c r="AF325" s="153" t="n">
        <v>0.004156</v>
      </c>
      <c r="AG325" s="184" t="n">
        <f aca="false">IF(AF325="","",AE325+AF325)</f>
        <v>0.0275</v>
      </c>
      <c r="AH325" s="185" t="n">
        <v>43462</v>
      </c>
      <c r="AI325" s="35" t="n">
        <v>1</v>
      </c>
      <c r="AJ325" s="19" t="str">
        <f aca="false">IF(AG325="","N","Y")</f>
        <v>Y</v>
      </c>
      <c r="AK325" s="238" t="s">
        <v>358</v>
      </c>
      <c r="AL325" s="36"/>
    </row>
    <row r="326" s="38" customFormat="true" ht="23.25" hidden="false" customHeight="true" outlineLevel="0" collapsed="false">
      <c r="A326" s="19" t="n">
        <f aca="false">IF(B326="","",IF((YEAR(B326)-YEAR(B325))=0,A325+1,1))</f>
        <v>1</v>
      </c>
      <c r="B326" s="141" t="n">
        <v>43468</v>
      </c>
      <c r="C326" s="63" t="s">
        <v>103</v>
      </c>
      <c r="D326" s="63" t="s">
        <v>216</v>
      </c>
      <c r="E326" s="63" t="s">
        <v>206</v>
      </c>
      <c r="F326" s="63" t="s">
        <v>224</v>
      </c>
      <c r="G326" s="142" t="n">
        <v>43468</v>
      </c>
      <c r="H326" s="142" t="n">
        <v>43556</v>
      </c>
      <c r="I326" s="19" t="n">
        <f aca="false">H326-G326</f>
        <v>88</v>
      </c>
      <c r="J326" s="149" t="n">
        <f aca="false">TRUNC(I326/30,0)</f>
        <v>2</v>
      </c>
      <c r="K326" s="183" t="s">
        <v>95</v>
      </c>
      <c r="L326" s="146" t="n">
        <v>5</v>
      </c>
      <c r="M326" s="147" t="n">
        <v>2.4</v>
      </c>
      <c r="N326" s="148" t="s">
        <v>359</v>
      </c>
      <c r="O326" s="149" t="s">
        <v>265</v>
      </c>
      <c r="P326" s="149"/>
      <c r="Q326" s="150" t="n">
        <v>0.0279388</v>
      </c>
      <c r="R326" s="151" t="s">
        <v>265</v>
      </c>
      <c r="S326" s="152" t="n">
        <v>0.0295</v>
      </c>
      <c r="T326" s="151"/>
      <c r="U326" s="152"/>
      <c r="V326" s="152" t="n">
        <v>0.031789</v>
      </c>
      <c r="W326" s="152" t="n">
        <v>0.000636</v>
      </c>
      <c r="X326" s="152" t="n">
        <v>0.007653</v>
      </c>
      <c r="Y326" s="152" t="n">
        <v>0.019244</v>
      </c>
      <c r="Z326" s="152" t="n">
        <v>0.002</v>
      </c>
      <c r="AA326" s="152" t="n">
        <v>0.002</v>
      </c>
      <c r="AB326" s="154" t="n">
        <f aca="false">S326-Z326</f>
        <v>0.0275</v>
      </c>
      <c r="AC326" s="154" t="n">
        <f aca="false">U326-Z326-AA326</f>
        <v>-0.004</v>
      </c>
      <c r="AD326" s="155" t="n">
        <v>0.0235</v>
      </c>
      <c r="AE326" s="153" t="n">
        <f aca="false">IF(Y326="","",Y326)</f>
        <v>0.019244</v>
      </c>
      <c r="AF326" s="153" t="n">
        <v>0.004256</v>
      </c>
      <c r="AG326" s="184" t="n">
        <f aca="false">IF(AF326="","",AE326+AF326)</f>
        <v>0.0235</v>
      </c>
      <c r="AH326" s="185" t="n">
        <v>43468</v>
      </c>
      <c r="AI326" s="35" t="n">
        <v>1</v>
      </c>
      <c r="AJ326" s="19" t="str">
        <f aca="false">IF(AG326="","N","Y")</f>
        <v>Y</v>
      </c>
      <c r="AK326" s="159"/>
      <c r="AL326" s="36"/>
    </row>
    <row r="327" s="38" customFormat="true" ht="23.25" hidden="false" customHeight="true" outlineLevel="0" collapsed="false">
      <c r="A327" s="19" t="n">
        <f aca="false">IF(B327="","",IF((YEAR(B327)-YEAR(B326))=0,A326+1,1))</f>
        <v>2</v>
      </c>
      <c r="B327" s="141" t="n">
        <v>43468</v>
      </c>
      <c r="C327" s="63" t="s">
        <v>96</v>
      </c>
      <c r="D327" s="19"/>
      <c r="E327" s="63" t="s">
        <v>143</v>
      </c>
      <c r="F327" s="63" t="s">
        <v>360</v>
      </c>
      <c r="G327" s="142" t="n">
        <v>43468</v>
      </c>
      <c r="H327" s="142" t="n">
        <v>43503</v>
      </c>
      <c r="I327" s="19" t="n">
        <f aca="false">H327-G327</f>
        <v>35</v>
      </c>
      <c r="J327" s="149" t="n">
        <f aca="false">TRUNC(I327/30,0)</f>
        <v>1</v>
      </c>
      <c r="K327" s="183" t="s">
        <v>95</v>
      </c>
      <c r="L327" s="146" t="n">
        <v>20</v>
      </c>
      <c r="M327" s="147" t="n">
        <v>2.08471</v>
      </c>
      <c r="N327" s="148" t="s">
        <v>361</v>
      </c>
      <c r="O327" s="149" t="s">
        <v>255</v>
      </c>
      <c r="P327" s="149"/>
      <c r="Q327" s="150" t="n">
        <v>0.0150713</v>
      </c>
      <c r="R327" s="151" t="s">
        <v>255</v>
      </c>
      <c r="S327" s="152" t="n">
        <v>0.0255</v>
      </c>
      <c r="T327" s="151" t="s">
        <v>255</v>
      </c>
      <c r="U327" s="152" t="n">
        <v>0.027293</v>
      </c>
      <c r="V327" s="152" t="n">
        <v>0.027807</v>
      </c>
      <c r="W327" s="152" t="n">
        <v>0.000556</v>
      </c>
      <c r="X327" s="152" t="n">
        <v>0.003751</v>
      </c>
      <c r="Y327" s="152" t="n">
        <v>0.019244</v>
      </c>
      <c r="Z327" s="152" t="n">
        <v>0.002</v>
      </c>
      <c r="AA327" s="152" t="n">
        <v>0.002</v>
      </c>
      <c r="AB327" s="154" t="n">
        <f aca="false">S327-Z327</f>
        <v>0.0235</v>
      </c>
      <c r="AC327" s="154" t="n">
        <f aca="false">U327-Z327-AA327</f>
        <v>0.023293</v>
      </c>
      <c r="AD327" s="155" t="n">
        <v>0.0235</v>
      </c>
      <c r="AE327" s="153" t="n">
        <f aca="false">IF(Y327="","",Y327)</f>
        <v>0.019244</v>
      </c>
      <c r="AF327" s="153" t="n">
        <v>0.004256</v>
      </c>
      <c r="AG327" s="184" t="n">
        <f aca="false">IF(AF327="","",AE327+AF327)</f>
        <v>0.0235</v>
      </c>
      <c r="AH327" s="185" t="n">
        <v>43468</v>
      </c>
      <c r="AI327" s="35" t="n">
        <v>2</v>
      </c>
      <c r="AJ327" s="19" t="str">
        <f aca="false">IF(AG327="","N","Y")</f>
        <v>Y</v>
      </c>
      <c r="AK327" s="238" t="s">
        <v>362</v>
      </c>
      <c r="AL327" s="36"/>
    </row>
    <row r="328" s="220" customFormat="true" ht="23.25" hidden="false" customHeight="true" outlineLevel="0" collapsed="false">
      <c r="A328" s="200" t="n">
        <f aca="false">IF(B328="","",IF((YEAR(B328)-YEAR(B327))=0,A327+1,1))</f>
        <v>3</v>
      </c>
      <c r="B328" s="199" t="n">
        <v>43473</v>
      </c>
      <c r="C328" s="200" t="s">
        <v>103</v>
      </c>
      <c r="D328" s="200" t="s">
        <v>216</v>
      </c>
      <c r="E328" s="200" t="s">
        <v>206</v>
      </c>
      <c r="F328" s="200" t="s">
        <v>229</v>
      </c>
      <c r="G328" s="201" t="n">
        <v>43473</v>
      </c>
      <c r="H328" s="201" t="n">
        <v>43503</v>
      </c>
      <c r="I328" s="200" t="n">
        <f aca="false">H328-G328</f>
        <v>30</v>
      </c>
      <c r="J328" s="228" t="n">
        <f aca="false">TRUNC(I328/30,0)</f>
        <v>1</v>
      </c>
      <c r="K328" s="203" t="s">
        <v>99</v>
      </c>
      <c r="L328" s="204" t="n">
        <v>3.1</v>
      </c>
      <c r="M328" s="205" t="n">
        <v>1.40472</v>
      </c>
      <c r="N328" s="227" t="s">
        <v>363</v>
      </c>
      <c r="O328" s="228" t="s">
        <v>271</v>
      </c>
      <c r="P328" s="228"/>
      <c r="Q328" s="208" t="n">
        <v>0.0240513</v>
      </c>
      <c r="R328" s="207" t="s">
        <v>271</v>
      </c>
      <c r="S328" s="209" t="n">
        <v>0.024</v>
      </c>
      <c r="T328" s="207"/>
      <c r="U328" s="209"/>
      <c r="V328" s="209" t="n">
        <v>0.033559</v>
      </c>
      <c r="W328" s="209" t="n">
        <v>0.002349</v>
      </c>
      <c r="X328" s="209" t="n">
        <v>0.01621</v>
      </c>
      <c r="Y328" s="209" t="n">
        <v>0.014348</v>
      </c>
      <c r="Z328" s="209" t="n">
        <v>0.0033</v>
      </c>
      <c r="AA328" s="209" t="n">
        <v>0.002</v>
      </c>
      <c r="AB328" s="211" t="n">
        <f aca="false">S328-Z328</f>
        <v>0.0207</v>
      </c>
      <c r="AC328" s="211" t="n">
        <f aca="false">U328-Z328-AA328</f>
        <v>-0.0053</v>
      </c>
      <c r="AD328" s="212" t="n">
        <v>0.015</v>
      </c>
      <c r="AE328" s="210" t="n">
        <f aca="false">IF(Y328="","",Y328)</f>
        <v>0.014348</v>
      </c>
      <c r="AF328" s="210" t="n">
        <v>0.000652</v>
      </c>
      <c r="AG328" s="214" t="n">
        <f aca="false">IF(AF328="","",AE328+AF328)</f>
        <v>0.015</v>
      </c>
      <c r="AH328" s="215" t="n">
        <v>43473</v>
      </c>
      <c r="AI328" s="216" t="n">
        <v>2</v>
      </c>
      <c r="AJ328" s="217" t="str">
        <f aca="false">IF(AG328="","N","Y")</f>
        <v>Y</v>
      </c>
      <c r="AK328" s="218" t="s">
        <v>364</v>
      </c>
      <c r="AL328" s="229"/>
    </row>
    <row r="329" s="38" customFormat="true" ht="23.25" hidden="false" customHeight="true" outlineLevel="0" collapsed="false">
      <c r="A329" s="19" t="n">
        <f aca="false">IF(B329="","",IF((YEAR(B329)-YEAR(B328))=0,A328+1,1))</f>
        <v>4</v>
      </c>
      <c r="B329" s="141" t="n">
        <v>43481</v>
      </c>
      <c r="C329" s="63" t="s">
        <v>100</v>
      </c>
      <c r="D329" s="63" t="s">
        <v>257</v>
      </c>
      <c r="E329" s="63" t="s">
        <v>101</v>
      </c>
      <c r="F329" s="63" t="s">
        <v>102</v>
      </c>
      <c r="G329" s="142" t="n">
        <v>43481</v>
      </c>
      <c r="H329" s="142" t="n">
        <v>43496</v>
      </c>
      <c r="I329" s="19" t="n">
        <f aca="false">H329-G329</f>
        <v>15</v>
      </c>
      <c r="J329" s="149" t="n">
        <f aca="false">TRUNC(I329/30,0)</f>
        <v>0</v>
      </c>
      <c r="K329" s="183" t="s">
        <v>95</v>
      </c>
      <c r="L329" s="146" t="n">
        <v>10</v>
      </c>
      <c r="M329" s="147" t="n">
        <v>1.85</v>
      </c>
      <c r="N329" s="148" t="s">
        <v>365</v>
      </c>
      <c r="O329" s="149" t="s">
        <v>305</v>
      </c>
      <c r="P329" s="149"/>
      <c r="Q329" s="150" t="n">
        <v>0.02402</v>
      </c>
      <c r="R329" s="151" t="s">
        <v>366</v>
      </c>
      <c r="S329" s="152" t="n">
        <v>0.0248</v>
      </c>
      <c r="T329" s="151"/>
      <c r="U329" s="152"/>
      <c r="V329" s="152" t="n">
        <v>0.026159</v>
      </c>
      <c r="W329" s="152" t="n">
        <v>0.000523</v>
      </c>
      <c r="X329" s="152" t="n">
        <v>0.003536</v>
      </c>
      <c r="Y329" s="152" t="n">
        <v>0.016276</v>
      </c>
      <c r="Z329" s="152" t="n">
        <v>0.002</v>
      </c>
      <c r="AA329" s="152" t="n">
        <v>0.002</v>
      </c>
      <c r="AB329" s="154" t="n">
        <f aca="false">S329-Z329</f>
        <v>0.0228</v>
      </c>
      <c r="AC329" s="154" t="n">
        <f aca="false">U329-Z329-AA329</f>
        <v>-0.004</v>
      </c>
      <c r="AD329" s="155" t="n">
        <v>0.0221</v>
      </c>
      <c r="AE329" s="153" t="n">
        <f aca="false">IF(Y329="","",Y329)</f>
        <v>0.016276</v>
      </c>
      <c r="AF329" s="153" t="n">
        <v>0.005824</v>
      </c>
      <c r="AG329" s="184" t="n">
        <f aca="false">IF(AF329="","",AE329+AF329)</f>
        <v>0.0221</v>
      </c>
      <c r="AH329" s="185" t="n">
        <v>43481</v>
      </c>
      <c r="AI329" s="35" t="n">
        <v>1</v>
      </c>
      <c r="AJ329" s="19" t="str">
        <f aca="false">IF(AG329="","N","Y")</f>
        <v>Y</v>
      </c>
      <c r="AK329" s="238" t="s">
        <v>367</v>
      </c>
      <c r="AL329" s="36"/>
    </row>
    <row r="330" s="38" customFormat="true" ht="23.25" hidden="false" customHeight="true" outlineLevel="0" collapsed="false">
      <c r="A330" s="19" t="n">
        <f aca="false">IF(B330="","",IF((YEAR(B330)-YEAR(B329))=0,A329+1,1))</f>
        <v>5</v>
      </c>
      <c r="B330" s="141" t="n">
        <v>43486</v>
      </c>
      <c r="C330" s="63" t="s">
        <v>103</v>
      </c>
      <c r="D330" s="63" t="s">
        <v>216</v>
      </c>
      <c r="E330" s="63" t="s">
        <v>206</v>
      </c>
      <c r="F330" s="63" t="s">
        <v>217</v>
      </c>
      <c r="G330" s="142" t="n">
        <v>43486</v>
      </c>
      <c r="H330" s="142" t="n">
        <v>43517</v>
      </c>
      <c r="I330" s="19" t="n">
        <f aca="false">H330-G330</f>
        <v>31</v>
      </c>
      <c r="J330" s="149" t="n">
        <f aca="false">TRUNC(I330/30,0)</f>
        <v>1</v>
      </c>
      <c r="K330" s="183" t="s">
        <v>95</v>
      </c>
      <c r="L330" s="146" t="n">
        <v>10</v>
      </c>
      <c r="M330" s="147" t="n">
        <v>2.08683</v>
      </c>
      <c r="N330" s="148" t="s">
        <v>361</v>
      </c>
      <c r="O330" s="149" t="s">
        <v>255</v>
      </c>
      <c r="P330" s="149"/>
      <c r="Q330" s="150" t="n">
        <v>0.02506</v>
      </c>
      <c r="R330" s="151" t="s">
        <v>255</v>
      </c>
      <c r="S330" s="152" t="n">
        <v>0.0262</v>
      </c>
      <c r="T330" s="151"/>
      <c r="U330" s="152"/>
      <c r="V330" s="152" t="n">
        <v>0.027569</v>
      </c>
      <c r="W330" s="152" t="n">
        <v>0.000551</v>
      </c>
      <c r="X330" s="152" t="n">
        <v>0.003518</v>
      </c>
      <c r="Y330" s="152" t="n">
        <v>0.019233</v>
      </c>
      <c r="Z330" s="152" t="n">
        <v>0.002</v>
      </c>
      <c r="AA330" s="152" t="n">
        <v>0.002</v>
      </c>
      <c r="AB330" s="154" t="n">
        <f aca="false">S330-Z330</f>
        <v>0.0242</v>
      </c>
      <c r="AC330" s="154" t="n">
        <f aca="false">U330-Z330-AA330</f>
        <v>-0.004</v>
      </c>
      <c r="AD330" s="155" t="n">
        <v>0.0235</v>
      </c>
      <c r="AE330" s="153" t="n">
        <f aca="false">IF(Y330="","",Y330)</f>
        <v>0.019233</v>
      </c>
      <c r="AF330" s="153" t="n">
        <v>0.004267</v>
      </c>
      <c r="AG330" s="184" t="n">
        <f aca="false">IF(AF330="","",AE330+AF330)</f>
        <v>0.0235</v>
      </c>
      <c r="AH330" s="185" t="n">
        <v>43486</v>
      </c>
      <c r="AI330" s="35" t="n">
        <v>1</v>
      </c>
      <c r="AJ330" s="19" t="str">
        <f aca="false">IF(AG330="","N","Y")</f>
        <v>Y</v>
      </c>
      <c r="AK330" s="238" t="s">
        <v>368</v>
      </c>
      <c r="AL330" s="36"/>
    </row>
    <row r="331" s="38" customFormat="true" ht="23.25" hidden="false" customHeight="true" outlineLevel="0" collapsed="false">
      <c r="A331" s="19" t="n">
        <f aca="false">IF(B331="","",IF((YEAR(B331)-YEAR(B330))=0,A330+1,1))</f>
        <v>6</v>
      </c>
      <c r="B331" s="141" t="n">
        <v>43489</v>
      </c>
      <c r="C331" s="63" t="s">
        <v>100</v>
      </c>
      <c r="D331" s="63" t="s">
        <v>257</v>
      </c>
      <c r="E331" s="63" t="s">
        <v>101</v>
      </c>
      <c r="F331" s="63" t="s">
        <v>102</v>
      </c>
      <c r="G331" s="142" t="n">
        <v>43489</v>
      </c>
      <c r="H331" s="142" t="n">
        <v>43496</v>
      </c>
      <c r="I331" s="19" t="n">
        <f aca="false">H331-G331</f>
        <v>7</v>
      </c>
      <c r="J331" s="149" t="n">
        <f aca="false">TRUNC(I331/30,0)</f>
        <v>0</v>
      </c>
      <c r="K331" s="183" t="s">
        <v>95</v>
      </c>
      <c r="L331" s="146" t="n">
        <v>20</v>
      </c>
      <c r="M331" s="147" t="n">
        <v>1.90156</v>
      </c>
      <c r="N331" s="148" t="s">
        <v>295</v>
      </c>
      <c r="O331" s="149" t="s">
        <v>305</v>
      </c>
      <c r="P331" s="149"/>
      <c r="Q331" s="150" t="n">
        <v>0.0241438</v>
      </c>
      <c r="R331" s="151" t="s">
        <v>305</v>
      </c>
      <c r="S331" s="152" t="n">
        <v>0.0242</v>
      </c>
      <c r="T331" s="151"/>
      <c r="U331" s="152"/>
      <c r="V331" s="152" t="n">
        <v>0.025589</v>
      </c>
      <c r="W331" s="152" t="n">
        <v>0.000512</v>
      </c>
      <c r="X331" s="152" t="n">
        <v>0.003077</v>
      </c>
      <c r="Y331" s="152" t="n">
        <v>0.016391</v>
      </c>
      <c r="Z331" s="152" t="n">
        <v>0.002</v>
      </c>
      <c r="AA331" s="152" t="n">
        <v>0.002</v>
      </c>
      <c r="AB331" s="154" t="n">
        <f aca="false">S331-Z331</f>
        <v>0.0222</v>
      </c>
      <c r="AC331" s="154" t="n">
        <f aca="false">U331-Z331-AA331</f>
        <v>-0.004</v>
      </c>
      <c r="AD331" s="155" t="n">
        <v>0.022</v>
      </c>
      <c r="AE331" s="153" t="n">
        <f aca="false">IF(Y331="","",Y331)</f>
        <v>0.016391</v>
      </c>
      <c r="AF331" s="153" t="n">
        <v>0.005609</v>
      </c>
      <c r="AG331" s="184" t="n">
        <f aca="false">IF(AF331="","",AE331+AF331)</f>
        <v>0.022</v>
      </c>
      <c r="AH331" s="185" t="n">
        <v>43489</v>
      </c>
      <c r="AI331" s="35" t="n">
        <v>1</v>
      </c>
      <c r="AJ331" s="19" t="str">
        <f aca="false">IF(AG331="","N","Y")</f>
        <v>Y</v>
      </c>
      <c r="AK331" s="238" t="s">
        <v>369</v>
      </c>
      <c r="AL331" s="36"/>
    </row>
    <row r="332" s="220" customFormat="true" ht="23.25" hidden="false" customHeight="true" outlineLevel="0" collapsed="false">
      <c r="A332" s="200" t="n">
        <f aca="false">IF(B332="","",IF((YEAR(B332)-YEAR(B331))=0,A331+1,1))</f>
        <v>7</v>
      </c>
      <c r="B332" s="199" t="n">
        <v>43504</v>
      </c>
      <c r="C332" s="200" t="s">
        <v>103</v>
      </c>
      <c r="D332" s="200" t="s">
        <v>370</v>
      </c>
      <c r="E332" s="200" t="s">
        <v>206</v>
      </c>
      <c r="F332" s="200" t="s">
        <v>229</v>
      </c>
      <c r="G332" s="201" t="n">
        <v>43504</v>
      </c>
      <c r="H332" s="201" t="n">
        <v>43532</v>
      </c>
      <c r="I332" s="200" t="n">
        <f aca="false">H332-G332</f>
        <v>28</v>
      </c>
      <c r="J332" s="228" t="n">
        <f aca="false">TRUNC(I332/30,0)</f>
        <v>0</v>
      </c>
      <c r="K332" s="203" t="s">
        <v>99</v>
      </c>
      <c r="L332" s="204" t="n">
        <v>2.5</v>
      </c>
      <c r="M332" s="205" t="n">
        <v>1.35</v>
      </c>
      <c r="N332" s="227" t="s">
        <v>371</v>
      </c>
      <c r="O332" s="228" t="s">
        <v>305</v>
      </c>
      <c r="P332" s="228"/>
      <c r="Q332" s="208" t="n">
        <v>0.0240788</v>
      </c>
      <c r="R332" s="207" t="s">
        <v>271</v>
      </c>
      <c r="S332" s="209" t="n">
        <v>0.0235</v>
      </c>
      <c r="T332" s="207"/>
      <c r="U332" s="209"/>
      <c r="V332" s="209" t="n">
        <v>0.027626</v>
      </c>
      <c r="W332" s="209" t="n">
        <v>0.001934</v>
      </c>
      <c r="X332" s="209" t="n">
        <v>0.010692</v>
      </c>
      <c r="Y332" s="209" t="n">
        <v>0.014348</v>
      </c>
      <c r="Z332" s="209" t="n">
        <v>0.0033</v>
      </c>
      <c r="AA332" s="209" t="n">
        <v>0.002</v>
      </c>
      <c r="AB332" s="211" t="n">
        <f aca="false">S332-Z332</f>
        <v>0.0202</v>
      </c>
      <c r="AC332" s="211" t="n">
        <f aca="false">U332-Z332-AA332</f>
        <v>-0.0053</v>
      </c>
      <c r="AD332" s="212" t="n">
        <v>0.015</v>
      </c>
      <c r="AE332" s="210" t="n">
        <f aca="false">IF(Y332="","",Y332)</f>
        <v>0.014348</v>
      </c>
      <c r="AF332" s="210" t="n">
        <v>0.000652</v>
      </c>
      <c r="AG332" s="214" t="n">
        <f aca="false">IF(AF332="","",AE332+AF332)</f>
        <v>0.015</v>
      </c>
      <c r="AH332" s="215" t="n">
        <v>43504</v>
      </c>
      <c r="AI332" s="216" t="n">
        <v>1</v>
      </c>
      <c r="AJ332" s="217" t="str">
        <f aca="false">IF(AG332="","N","Y")</f>
        <v>Y</v>
      </c>
      <c r="AK332" s="239" t="s">
        <v>372</v>
      </c>
      <c r="AL332" s="229"/>
    </row>
    <row r="333" s="220" customFormat="true" ht="23.25" hidden="false" customHeight="true" outlineLevel="0" collapsed="false">
      <c r="A333" s="200" t="n">
        <f aca="false">IF(B333="","",IF((YEAR(B333)-YEAR(B332))=0,A332+1,1))</f>
        <v>8</v>
      </c>
      <c r="B333" s="199" t="n">
        <v>43509</v>
      </c>
      <c r="C333" s="200" t="s">
        <v>96</v>
      </c>
      <c r="D333" s="217"/>
      <c r="E333" s="200" t="s">
        <v>373</v>
      </c>
      <c r="F333" s="200" t="s">
        <v>360</v>
      </c>
      <c r="G333" s="201" t="n">
        <v>43509</v>
      </c>
      <c r="H333" s="201" t="n">
        <v>43537</v>
      </c>
      <c r="I333" s="200" t="n">
        <f aca="false">H333-G333</f>
        <v>28</v>
      </c>
      <c r="J333" s="228" t="n">
        <f aca="false">TRUNC(I333/30,0)</f>
        <v>0</v>
      </c>
      <c r="K333" s="203" t="s">
        <v>99</v>
      </c>
      <c r="L333" s="204" t="n">
        <v>20</v>
      </c>
      <c r="M333" s="205" t="n">
        <v>1.35</v>
      </c>
      <c r="N333" s="227" t="s">
        <v>371</v>
      </c>
      <c r="O333" s="228" t="s">
        <v>305</v>
      </c>
      <c r="P333" s="228"/>
      <c r="Q333" s="208" t="n">
        <v>0.024185</v>
      </c>
      <c r="R333" s="207" t="s">
        <v>305</v>
      </c>
      <c r="S333" s="209" t="n">
        <v>0.0235</v>
      </c>
      <c r="T333" s="207"/>
      <c r="U333" s="209"/>
      <c r="V333" s="209" t="n">
        <v>0.027479</v>
      </c>
      <c r="W333" s="209" t="n">
        <v>0.001924</v>
      </c>
      <c r="X333" s="209" t="n">
        <v>0.010555</v>
      </c>
      <c r="Y333" s="209" t="n">
        <v>0.014429</v>
      </c>
      <c r="Z333" s="209" t="n">
        <v>0.0033</v>
      </c>
      <c r="AA333" s="209" t="n">
        <v>0.002</v>
      </c>
      <c r="AB333" s="211" t="n">
        <f aca="false">S333-Z333</f>
        <v>0.0202</v>
      </c>
      <c r="AC333" s="211" t="n">
        <f aca="false">U333-Z333-AA333</f>
        <v>-0.0053</v>
      </c>
      <c r="AD333" s="212" t="n">
        <v>0.015</v>
      </c>
      <c r="AE333" s="210" t="n">
        <f aca="false">IF(Y333="","",Y333)</f>
        <v>0.014429</v>
      </c>
      <c r="AF333" s="210" t="n">
        <v>0</v>
      </c>
      <c r="AG333" s="214" t="n">
        <f aca="false">IF(AF333="","",AE333+AF333)</f>
        <v>0.014429</v>
      </c>
      <c r="AH333" s="215" t="n">
        <v>43509</v>
      </c>
      <c r="AI333" s="216" t="n">
        <v>2</v>
      </c>
      <c r="AJ333" s="217" t="str">
        <f aca="false">IF(AG333="","N","Y")</f>
        <v>Y</v>
      </c>
      <c r="AK333" s="218" t="s">
        <v>374</v>
      </c>
      <c r="AL333" s="229"/>
    </row>
    <row r="334" s="38" customFormat="true" ht="23.25" hidden="false" customHeight="true" outlineLevel="0" collapsed="false">
      <c r="A334" s="19" t="n">
        <f aca="false">IF(B334="","",IF((YEAR(B334)-YEAR(B333))=0,A333+1,1))</f>
        <v>9</v>
      </c>
      <c r="B334" s="141" t="n">
        <v>43517</v>
      </c>
      <c r="C334" s="63" t="s">
        <v>103</v>
      </c>
      <c r="D334" s="19"/>
      <c r="E334" s="63" t="s">
        <v>206</v>
      </c>
      <c r="F334" s="63" t="s">
        <v>217</v>
      </c>
      <c r="G334" s="142" t="n">
        <v>43517</v>
      </c>
      <c r="H334" s="142" t="n">
        <v>43545</v>
      </c>
      <c r="I334" s="19" t="n">
        <f aca="false">H334-G334</f>
        <v>28</v>
      </c>
      <c r="J334" s="149" t="n">
        <f aca="false">TRUNC(I334/30,0)</f>
        <v>0</v>
      </c>
      <c r="K334" s="183" t="s">
        <v>95</v>
      </c>
      <c r="L334" s="146" t="n">
        <v>10</v>
      </c>
      <c r="M334" s="147" t="n">
        <v>2.03</v>
      </c>
      <c r="N334" s="148" t="s">
        <v>375</v>
      </c>
      <c r="O334" s="149" t="s">
        <v>303</v>
      </c>
      <c r="P334" s="149"/>
      <c r="Q334" s="150" t="n">
        <v>0.0248113</v>
      </c>
      <c r="R334" s="151" t="s">
        <v>303</v>
      </c>
      <c r="S334" s="152" t="n">
        <v>0.0255</v>
      </c>
      <c r="T334" s="151"/>
      <c r="U334" s="152"/>
      <c r="V334" s="152" t="n">
        <v>0.027141</v>
      </c>
      <c r="W334" s="152" t="n">
        <v>0.000543</v>
      </c>
      <c r="X334" s="152" t="n">
        <v>0.003098</v>
      </c>
      <c r="Y334" s="152" t="n">
        <v>0.01899</v>
      </c>
      <c r="Z334" s="152" t="n">
        <v>0.002</v>
      </c>
      <c r="AA334" s="152" t="n">
        <v>0.002</v>
      </c>
      <c r="AB334" s="154" t="n">
        <f aca="false">S334-Z334</f>
        <v>0.0235</v>
      </c>
      <c r="AC334" s="154" t="n">
        <f aca="false">U334-Z334-AA334</f>
        <v>-0.004</v>
      </c>
      <c r="AD334" s="155" t="n">
        <v>0.0235</v>
      </c>
      <c r="AE334" s="153" t="n">
        <f aca="false">IF(Y334="","",Y334)</f>
        <v>0.01899</v>
      </c>
      <c r="AF334" s="153" t="n">
        <v>0.00451</v>
      </c>
      <c r="AG334" s="184" t="n">
        <f aca="false">IF(AF334="","",AE334+AF334)</f>
        <v>0.0235</v>
      </c>
      <c r="AH334" s="185" t="n">
        <v>43517</v>
      </c>
      <c r="AI334" s="35" t="n">
        <v>1</v>
      </c>
      <c r="AJ334" s="19" t="str">
        <f aca="false">IF(AG334="","N","Y")</f>
        <v>Y</v>
      </c>
      <c r="AK334" s="238" t="s">
        <v>376</v>
      </c>
      <c r="AL334" s="36"/>
    </row>
    <row r="335" s="38" customFormat="true" ht="23.25" hidden="false" customHeight="true" outlineLevel="0" collapsed="false">
      <c r="A335" s="19" t="n">
        <f aca="false">IF(B335="","",IF((YEAR(B335)-YEAR(B334))=0,A334+1,1))</f>
        <v>10</v>
      </c>
      <c r="B335" s="141" t="n">
        <v>43524</v>
      </c>
      <c r="C335" s="63" t="s">
        <v>187</v>
      </c>
      <c r="D335" s="19"/>
      <c r="E335" s="63" t="s">
        <v>188</v>
      </c>
      <c r="F335" s="63" t="s">
        <v>377</v>
      </c>
      <c r="G335" s="142" t="n">
        <v>43524</v>
      </c>
      <c r="H335" s="142" t="n">
        <v>43613</v>
      </c>
      <c r="I335" s="19" t="n">
        <f aca="false">H335-G335</f>
        <v>89</v>
      </c>
      <c r="J335" s="149" t="n">
        <f aca="false">TRUNC(I335/30,0)</f>
        <v>2</v>
      </c>
      <c r="K335" s="183" t="s">
        <v>95</v>
      </c>
      <c r="L335" s="146" t="n">
        <v>1</v>
      </c>
      <c r="M335" s="147" t="n">
        <v>2.22</v>
      </c>
      <c r="N335" s="148" t="s">
        <v>378</v>
      </c>
      <c r="O335" s="149" t="s">
        <v>300</v>
      </c>
      <c r="P335" s="149"/>
      <c r="Q335" s="150" t="n">
        <v>0.0262613</v>
      </c>
      <c r="R335" s="151" t="n">
        <v>3</v>
      </c>
      <c r="S335" s="152" t="n">
        <v>0.027</v>
      </c>
      <c r="T335" s="151"/>
      <c r="U335" s="152"/>
      <c r="V335" s="152" t="n">
        <v>0.029752</v>
      </c>
      <c r="W335" s="152" t="n">
        <v>0.000595</v>
      </c>
      <c r="X335" s="152" t="n">
        <v>0.004157</v>
      </c>
      <c r="Y335" s="152" t="n">
        <v>0.021611</v>
      </c>
      <c r="Z335" s="152" t="n">
        <v>0.002</v>
      </c>
      <c r="AA335" s="152" t="n">
        <v>0.002</v>
      </c>
      <c r="AB335" s="154" t="n">
        <f aca="false">S335-Z335</f>
        <v>0.025</v>
      </c>
      <c r="AC335" s="154" t="n">
        <f aca="false">U335-Z335-AA335</f>
        <v>-0.004</v>
      </c>
      <c r="AD335" s="155" t="n">
        <v>0.025</v>
      </c>
      <c r="AE335" s="153" t="n">
        <f aca="false">IF(Y335="","",Y335)</f>
        <v>0.021611</v>
      </c>
      <c r="AF335" s="153" t="n">
        <v>0.003389</v>
      </c>
      <c r="AG335" s="184" t="n">
        <f aca="false">IF(AF335="","",AE335+AF335)</f>
        <v>0.025</v>
      </c>
      <c r="AH335" s="185" t="n">
        <v>43524</v>
      </c>
      <c r="AI335" s="35" t="n">
        <v>1</v>
      </c>
      <c r="AJ335" s="19" t="str">
        <f aca="false">IF(AG335="","N","Y")</f>
        <v>Y</v>
      </c>
      <c r="AK335" s="238" t="s">
        <v>379</v>
      </c>
      <c r="AL335" s="36"/>
    </row>
    <row r="336" s="220" customFormat="true" ht="23.25" hidden="false" customHeight="true" outlineLevel="0" collapsed="false">
      <c r="A336" s="200" t="n">
        <f aca="false">IF(B336="","",IF((YEAR(B336)-YEAR(B335))=0,A335+1,1))</f>
        <v>11</v>
      </c>
      <c r="B336" s="199" t="n">
        <v>43532</v>
      </c>
      <c r="C336" s="200" t="s">
        <v>103</v>
      </c>
      <c r="D336" s="200" t="s">
        <v>370</v>
      </c>
      <c r="E336" s="200" t="s">
        <v>206</v>
      </c>
      <c r="F336" s="200" t="s">
        <v>229</v>
      </c>
      <c r="G336" s="201" t="n">
        <v>43532</v>
      </c>
      <c r="H336" s="201" t="n">
        <v>43563</v>
      </c>
      <c r="I336" s="200" t="n">
        <f aca="false">H336-G336</f>
        <v>31</v>
      </c>
      <c r="J336" s="228" t="n">
        <f aca="false">TRUNC(I336/30,0)</f>
        <v>1</v>
      </c>
      <c r="K336" s="203" t="s">
        <v>99</v>
      </c>
      <c r="L336" s="204" t="n">
        <v>2.14</v>
      </c>
      <c r="M336" s="205" t="n">
        <v>1.33646</v>
      </c>
      <c r="N336" s="227" t="s">
        <v>371</v>
      </c>
      <c r="O336" s="228" t="s">
        <v>305</v>
      </c>
      <c r="P336" s="228"/>
      <c r="Q336" s="208" t="n">
        <v>0.0241025</v>
      </c>
      <c r="R336" s="207" t="s">
        <v>305</v>
      </c>
      <c r="S336" s="209" t="n">
        <v>0.024</v>
      </c>
      <c r="T336" s="207"/>
      <c r="U336" s="209"/>
      <c r="V336" s="209" t="n">
        <v>0.027418</v>
      </c>
      <c r="W336" s="209" t="n">
        <v>0.001919</v>
      </c>
      <c r="X336" s="209" t="n">
        <v>0.010498</v>
      </c>
      <c r="Y336" s="209" t="n">
        <v>0.014352</v>
      </c>
      <c r="Z336" s="209" t="n">
        <v>0.0033</v>
      </c>
      <c r="AA336" s="209" t="n">
        <v>0.002</v>
      </c>
      <c r="AB336" s="211" t="n">
        <f aca="false">S336-Z336</f>
        <v>0.0207</v>
      </c>
      <c r="AC336" s="211" t="n">
        <f aca="false">U336-Z336-AA336</f>
        <v>-0.0053</v>
      </c>
      <c r="AD336" s="212" t="n">
        <v>0.015</v>
      </c>
      <c r="AE336" s="210" t="n">
        <f aca="false">IF(Y336="","",Y336)</f>
        <v>0.014352</v>
      </c>
      <c r="AF336" s="210" t="n">
        <v>0.000648</v>
      </c>
      <c r="AG336" s="214" t="n">
        <f aca="false">IF(AF336="","",AE336+AF336)</f>
        <v>0.015</v>
      </c>
      <c r="AH336" s="215" t="n">
        <v>43532</v>
      </c>
      <c r="AI336" s="216" t="n">
        <v>1</v>
      </c>
      <c r="AJ336" s="217" t="str">
        <f aca="false">IF(AG336="","N","Y")</f>
        <v>Y</v>
      </c>
      <c r="AK336" s="239" t="s">
        <v>372</v>
      </c>
      <c r="AL336" s="229"/>
    </row>
    <row r="337" s="220" customFormat="true" ht="23.25" hidden="false" customHeight="true" outlineLevel="0" collapsed="false">
      <c r="A337" s="200" t="n">
        <f aca="false">IF(B337="","",IF((YEAR(B337)-YEAR(B336))=0,A336+1,1))</f>
        <v>12</v>
      </c>
      <c r="B337" s="199" t="n">
        <v>43537</v>
      </c>
      <c r="C337" s="200" t="s">
        <v>96</v>
      </c>
      <c r="D337" s="217"/>
      <c r="E337" s="200" t="s">
        <v>373</v>
      </c>
      <c r="F337" s="200" t="s">
        <v>360</v>
      </c>
      <c r="G337" s="201" t="n">
        <v>43537</v>
      </c>
      <c r="H337" s="201" t="n">
        <v>43570</v>
      </c>
      <c r="I337" s="200" t="n">
        <f aca="false">H337-G337</f>
        <v>33</v>
      </c>
      <c r="J337" s="228" t="n">
        <f aca="false">TRUNC(I337/30,0)</f>
        <v>1</v>
      </c>
      <c r="K337" s="203" t="s">
        <v>99</v>
      </c>
      <c r="L337" s="204" t="n">
        <v>20</v>
      </c>
      <c r="M337" s="205" t="n">
        <v>1.26</v>
      </c>
      <c r="N337" s="227" t="s">
        <v>363</v>
      </c>
      <c r="O337" s="228" t="s">
        <v>305</v>
      </c>
      <c r="P337" s="228"/>
      <c r="Q337" s="208" t="n">
        <v>0.0241675</v>
      </c>
      <c r="R337" s="207" t="s">
        <v>305</v>
      </c>
      <c r="S337" s="209" t="n">
        <v>0.024</v>
      </c>
      <c r="T337" s="207"/>
      <c r="U337" s="209"/>
      <c r="V337" s="209" t="n">
        <v>0.027489</v>
      </c>
      <c r="W337" s="209" t="n">
        <v>0.001924</v>
      </c>
      <c r="X337" s="209" t="n">
        <v>0.010565</v>
      </c>
      <c r="Y337" s="209" t="n">
        <v>0.014413</v>
      </c>
      <c r="Z337" s="209" t="n">
        <v>0.0033</v>
      </c>
      <c r="AA337" s="209" t="n">
        <v>0.002</v>
      </c>
      <c r="AB337" s="211" t="n">
        <f aca="false">S337-Z337</f>
        <v>0.0207</v>
      </c>
      <c r="AC337" s="211" t="n">
        <f aca="false">U337-Z337-AA337</f>
        <v>-0.0053</v>
      </c>
      <c r="AD337" s="212" t="n">
        <v>0.015</v>
      </c>
      <c r="AE337" s="210" t="n">
        <f aca="false">IF(Y337="","",Y337)</f>
        <v>0.014413</v>
      </c>
      <c r="AF337" s="210" t="n">
        <v>0.000587</v>
      </c>
      <c r="AG337" s="214" t="n">
        <f aca="false">IF(AF337="","",AE337+AF337)</f>
        <v>0.015</v>
      </c>
      <c r="AH337" s="215" t="n">
        <v>43537</v>
      </c>
      <c r="AI337" s="216" t="n">
        <v>1</v>
      </c>
      <c r="AJ337" s="217" t="str">
        <f aca="false">IF(AG337="","N","Y")</f>
        <v>Y</v>
      </c>
      <c r="AK337" s="239" t="s">
        <v>372</v>
      </c>
      <c r="AL337" s="229"/>
    </row>
    <row r="338" s="38" customFormat="true" ht="23.25" hidden="false" customHeight="true" outlineLevel="0" collapsed="false">
      <c r="A338" s="19" t="n">
        <v>13</v>
      </c>
      <c r="B338" s="141" t="n">
        <v>43543</v>
      </c>
      <c r="C338" s="63" t="s">
        <v>346</v>
      </c>
      <c r="D338" s="63" t="s">
        <v>380</v>
      </c>
      <c r="E338" s="63" t="s">
        <v>381</v>
      </c>
      <c r="F338" s="19" t="s">
        <v>244</v>
      </c>
      <c r="G338" s="142" t="n">
        <v>43543</v>
      </c>
      <c r="H338" s="142" t="n">
        <v>43635</v>
      </c>
      <c r="I338" s="19" t="n">
        <f aca="false">H338-G338</f>
        <v>92</v>
      </c>
      <c r="J338" s="149" t="n">
        <f aca="false">TRUNC(I338/30,0)</f>
        <v>3</v>
      </c>
      <c r="K338" s="183" t="s">
        <v>95</v>
      </c>
      <c r="L338" s="146" t="n">
        <v>1</v>
      </c>
      <c r="M338" s="147" t="n">
        <v>2.21</v>
      </c>
      <c r="N338" s="148" t="s">
        <v>378</v>
      </c>
      <c r="O338" s="149" t="s">
        <v>300</v>
      </c>
      <c r="P338" s="149"/>
      <c r="Q338" s="150" t="n">
        <v>0.0263263</v>
      </c>
      <c r="R338" s="151" t="s">
        <v>300</v>
      </c>
      <c r="S338" s="152" t="n">
        <v>0.0258</v>
      </c>
      <c r="T338" s="151" t="s">
        <v>300</v>
      </c>
      <c r="U338" s="152" t="n">
        <v>0.03</v>
      </c>
      <c r="V338" s="152" t="n">
        <v>0.02976</v>
      </c>
      <c r="W338" s="152" t="n">
        <v>0.000595</v>
      </c>
      <c r="X338" s="152" t="n">
        <v>0.005565</v>
      </c>
      <c r="Y338" s="152" t="n">
        <v>0.021674</v>
      </c>
      <c r="Z338" s="152" t="n">
        <v>0.002</v>
      </c>
      <c r="AA338" s="152" t="n">
        <v>0.002</v>
      </c>
      <c r="AB338" s="154" t="n">
        <f aca="false">S338-Z338</f>
        <v>0.0238</v>
      </c>
      <c r="AC338" s="154" t="n">
        <f aca="false">U338-Z338-AA338</f>
        <v>0.026</v>
      </c>
      <c r="AD338" s="155" t="n">
        <v>0.0236</v>
      </c>
      <c r="AE338" s="153" t="n">
        <f aca="false">IF(Y338="","",Y338)</f>
        <v>0.021674</v>
      </c>
      <c r="AF338" s="153" t="n">
        <v>0.001926</v>
      </c>
      <c r="AG338" s="184" t="n">
        <f aca="false">IF(AF338="","",AE338+AF338)</f>
        <v>0.0236</v>
      </c>
      <c r="AH338" s="185" t="n">
        <v>43543</v>
      </c>
      <c r="AI338" s="35" t="n">
        <v>1</v>
      </c>
      <c r="AJ338" s="19" t="str">
        <f aca="false">IF(AG338="","N","Y")</f>
        <v>Y</v>
      </c>
      <c r="AK338" s="238" t="s">
        <v>382</v>
      </c>
      <c r="AL338" s="36"/>
    </row>
    <row r="339" s="38" customFormat="true" ht="23.25" hidden="false" customHeight="true" outlineLevel="0" collapsed="false">
      <c r="A339" s="19" t="n">
        <f aca="false">IF(B339="","",IF((YEAR(B339)-YEAR(B338))=0,A338+1,1))</f>
        <v>14</v>
      </c>
      <c r="B339" s="141" t="n">
        <v>43545</v>
      </c>
      <c r="C339" s="63" t="s">
        <v>103</v>
      </c>
      <c r="D339" s="63" t="s">
        <v>370</v>
      </c>
      <c r="E339" s="63" t="s">
        <v>206</v>
      </c>
      <c r="F339" s="63" t="s">
        <v>383</v>
      </c>
      <c r="G339" s="142" t="n">
        <v>43545</v>
      </c>
      <c r="H339" s="142" t="n">
        <v>43577</v>
      </c>
      <c r="I339" s="19" t="n">
        <f aca="false">H339-G339</f>
        <v>32</v>
      </c>
      <c r="J339" s="149" t="n">
        <f aca="false">TRUNC(I339/30,0)</f>
        <v>1</v>
      </c>
      <c r="K339" s="183" t="s">
        <v>95</v>
      </c>
      <c r="L339" s="146" t="n">
        <v>10</v>
      </c>
      <c r="M339" s="147" t="n">
        <v>2.02</v>
      </c>
      <c r="N339" s="148" t="s">
        <v>384</v>
      </c>
      <c r="O339" s="149" t="s">
        <v>303</v>
      </c>
      <c r="P339" s="149"/>
      <c r="Q339" s="150" t="n">
        <v>0.0249063</v>
      </c>
      <c r="R339" s="151" t="s">
        <v>303</v>
      </c>
      <c r="S339" s="152" t="n">
        <v>0.0255</v>
      </c>
      <c r="T339" s="151"/>
      <c r="U339" s="152"/>
      <c r="V339" s="152" t="n">
        <v>0.027391</v>
      </c>
      <c r="W339" s="152" t="n">
        <v>0.000548</v>
      </c>
      <c r="X339" s="152" t="n">
        <v>0.003343</v>
      </c>
      <c r="Y339" s="152" t="n">
        <v>0.019083</v>
      </c>
      <c r="Z339" s="152" t="n">
        <v>0.002</v>
      </c>
      <c r="AA339" s="152" t="n">
        <v>0.002</v>
      </c>
      <c r="AB339" s="154" t="n">
        <f aca="false">S339-Z339</f>
        <v>0.0235</v>
      </c>
      <c r="AC339" s="154" t="n">
        <f aca="false">U339-Z339-AA339</f>
        <v>-0.004</v>
      </c>
      <c r="AD339" s="155" t="n">
        <v>0.0235</v>
      </c>
      <c r="AE339" s="153" t="n">
        <f aca="false">IF(Y339="","",Y339)</f>
        <v>0.019083</v>
      </c>
      <c r="AF339" s="153" t="n">
        <v>0.004417</v>
      </c>
      <c r="AG339" s="184" t="n">
        <f aca="false">IF(AF339="","",AE339+AF339)</f>
        <v>0.0235</v>
      </c>
      <c r="AH339" s="185" t="n">
        <v>43545</v>
      </c>
      <c r="AI339" s="35" t="n">
        <v>1</v>
      </c>
      <c r="AJ339" s="19" t="str">
        <f aca="false">IF(AG339="","N","Y")</f>
        <v>Y</v>
      </c>
      <c r="AK339" s="238" t="s">
        <v>385</v>
      </c>
      <c r="AL339" s="36"/>
    </row>
    <row r="340" s="38" customFormat="true" ht="23.25" hidden="false" customHeight="true" outlineLevel="0" collapsed="false">
      <c r="A340" s="19" t="n">
        <f aca="false">IF(B340="","",IF((YEAR(B340)-YEAR(B339))=0,A339+1,1))</f>
        <v>15</v>
      </c>
      <c r="B340" s="141" t="n">
        <v>43556</v>
      </c>
      <c r="C340" s="63" t="s">
        <v>103</v>
      </c>
      <c r="D340" s="63" t="s">
        <v>370</v>
      </c>
      <c r="E340" s="63" t="s">
        <v>206</v>
      </c>
      <c r="F340" s="63" t="s">
        <v>386</v>
      </c>
      <c r="G340" s="142" t="n">
        <v>43556</v>
      </c>
      <c r="H340" s="142" t="n">
        <v>43644</v>
      </c>
      <c r="I340" s="19" t="n">
        <f aca="false">H340-G340</f>
        <v>88</v>
      </c>
      <c r="J340" s="149" t="n">
        <f aca="false">TRUNC(I340/30,0)</f>
        <v>2</v>
      </c>
      <c r="K340" s="183" t="s">
        <v>95</v>
      </c>
      <c r="L340" s="146" t="n">
        <v>5</v>
      </c>
      <c r="M340" s="147" t="n">
        <v>2.19</v>
      </c>
      <c r="N340" s="148" t="s">
        <v>387</v>
      </c>
      <c r="O340" s="149" t="s">
        <v>300</v>
      </c>
      <c r="P340" s="149"/>
      <c r="Q340" s="150" t="n">
        <v>0.0259975</v>
      </c>
      <c r="R340" s="151" t="s">
        <v>300</v>
      </c>
      <c r="S340" s="152" t="n">
        <v>0.0275</v>
      </c>
      <c r="T340" s="151"/>
      <c r="U340" s="152"/>
      <c r="V340" s="152" t="n">
        <v>0.029322</v>
      </c>
      <c r="W340" s="152" t="n">
        <v>0.000586</v>
      </c>
      <c r="X340" s="152" t="n">
        <v>0.0054363</v>
      </c>
      <c r="Y340" s="152" t="n">
        <v>0.019121</v>
      </c>
      <c r="Z340" s="152" t="n">
        <v>0.002</v>
      </c>
      <c r="AA340" s="152" t="n">
        <v>0.002</v>
      </c>
      <c r="AB340" s="154" t="n">
        <f aca="false">S340-Z340</f>
        <v>0.0255</v>
      </c>
      <c r="AC340" s="154" t="n">
        <f aca="false">U340-Z340-AA340</f>
        <v>-0.004</v>
      </c>
      <c r="AD340" s="155" t="n">
        <v>0.0233</v>
      </c>
      <c r="AE340" s="153" t="n">
        <f aca="false">IF(Y340="","",Y340)</f>
        <v>0.019121</v>
      </c>
      <c r="AF340" s="153" t="n">
        <v>0.004179</v>
      </c>
      <c r="AG340" s="184" t="n">
        <f aca="false">IF(AF340="","",AE340+AF340)</f>
        <v>0.0233</v>
      </c>
      <c r="AH340" s="185" t="n">
        <v>43556</v>
      </c>
      <c r="AI340" s="35" t="n">
        <v>1</v>
      </c>
      <c r="AJ340" s="19" t="str">
        <f aca="false">IF(AG340="","N","Y")</f>
        <v>Y</v>
      </c>
      <c r="AK340" s="238" t="s">
        <v>388</v>
      </c>
      <c r="AL340" s="36"/>
    </row>
    <row r="341" s="220" customFormat="true" ht="23.25" hidden="false" customHeight="true" outlineLevel="0" collapsed="false">
      <c r="A341" s="200" t="n">
        <f aca="false">IF(B341="","",IF((YEAR(B341)-YEAR(B340))=0,A340+1,1))</f>
        <v>16</v>
      </c>
      <c r="B341" s="199" t="n">
        <v>43564</v>
      </c>
      <c r="C341" s="200" t="s">
        <v>103</v>
      </c>
      <c r="D341" s="200" t="s">
        <v>370</v>
      </c>
      <c r="E341" s="200" t="s">
        <v>206</v>
      </c>
      <c r="F341" s="200" t="s">
        <v>389</v>
      </c>
      <c r="G341" s="201" t="n">
        <v>43564</v>
      </c>
      <c r="H341" s="201" t="n">
        <v>43594</v>
      </c>
      <c r="I341" s="200" t="n">
        <f aca="false">H341-G341</f>
        <v>30</v>
      </c>
      <c r="J341" s="228" t="n">
        <f aca="false">TRUNC(I341/30,0)</f>
        <v>1</v>
      </c>
      <c r="K341" s="203" t="s">
        <v>99</v>
      </c>
      <c r="L341" s="204" t="n">
        <v>2.77</v>
      </c>
      <c r="M341" s="205" t="n">
        <v>1.35</v>
      </c>
      <c r="N341" s="227" t="s">
        <v>363</v>
      </c>
      <c r="O341" s="228" t="s">
        <v>305</v>
      </c>
      <c r="P341" s="228"/>
      <c r="Q341" s="208" t="n">
        <v>0.0241375</v>
      </c>
      <c r="R341" s="207" t="s">
        <v>305</v>
      </c>
      <c r="S341" s="209" t="n">
        <v>0.024</v>
      </c>
      <c r="T341" s="207"/>
      <c r="U341" s="209"/>
      <c r="V341" s="209" t="n">
        <v>0.027216</v>
      </c>
      <c r="W341" s="209" t="n">
        <v>0.001905</v>
      </c>
      <c r="X341" s="209" t="n">
        <v>0.010311</v>
      </c>
      <c r="Y341" s="209" t="n">
        <v>0.014385</v>
      </c>
      <c r="Z341" s="209" t="n">
        <v>0.0033</v>
      </c>
      <c r="AA341" s="209" t="n">
        <v>0.002</v>
      </c>
      <c r="AB341" s="211" t="n">
        <f aca="false">S341-Z341</f>
        <v>0.0207</v>
      </c>
      <c r="AC341" s="211" t="n">
        <f aca="false">U341-Z341-AA341</f>
        <v>-0.0053</v>
      </c>
      <c r="AD341" s="212" t="n">
        <v>0.015</v>
      </c>
      <c r="AE341" s="210" t="n">
        <f aca="false">IF(Y341="","",Y341)</f>
        <v>0.014385</v>
      </c>
      <c r="AF341" s="210" t="n">
        <v>0.000615</v>
      </c>
      <c r="AG341" s="214" t="n">
        <f aca="false">IF(AF341="","",AE341+AF341)</f>
        <v>0.015</v>
      </c>
      <c r="AH341" s="215" t="n">
        <v>43564</v>
      </c>
      <c r="AI341" s="216" t="n">
        <v>1</v>
      </c>
      <c r="AJ341" s="217" t="str">
        <f aca="false">IF(AG341="","N","Y")</f>
        <v>Y</v>
      </c>
      <c r="AK341" s="239" t="s">
        <v>372</v>
      </c>
      <c r="AL341" s="229"/>
    </row>
    <row r="342" s="220" customFormat="true" ht="23.25" hidden="false" customHeight="true" outlineLevel="0" collapsed="false">
      <c r="A342" s="200" t="n">
        <f aca="false">IF(B342="","",IF((YEAR(B342)-YEAR(B341))=0,A341+1,1))</f>
        <v>17</v>
      </c>
      <c r="B342" s="199" t="n">
        <v>43570</v>
      </c>
      <c r="C342" s="200" t="s">
        <v>96</v>
      </c>
      <c r="D342" s="217"/>
      <c r="E342" s="200" t="s">
        <v>143</v>
      </c>
      <c r="F342" s="200" t="s">
        <v>360</v>
      </c>
      <c r="G342" s="201" t="n">
        <v>43570</v>
      </c>
      <c r="H342" s="201" t="n">
        <v>43600</v>
      </c>
      <c r="I342" s="200" t="n">
        <f aca="false">H342-G342</f>
        <v>30</v>
      </c>
      <c r="J342" s="228" t="n">
        <f aca="false">TRUNC(I342/30,0)</f>
        <v>1</v>
      </c>
      <c r="K342" s="203" t="s">
        <v>99</v>
      </c>
      <c r="L342" s="204" t="n">
        <v>20</v>
      </c>
      <c r="M342" s="205" t="n">
        <v>1.35</v>
      </c>
      <c r="N342" s="227" t="s">
        <v>363</v>
      </c>
      <c r="O342" s="228" t="s">
        <v>305</v>
      </c>
      <c r="P342" s="228"/>
      <c r="Q342" s="208" t="n">
        <v>0.0241175</v>
      </c>
      <c r="R342" s="207" t="s">
        <v>305</v>
      </c>
      <c r="S342" s="209" t="n">
        <v>0.024</v>
      </c>
      <c r="T342" s="207"/>
      <c r="U342" s="209"/>
      <c r="V342" s="209" t="n">
        <v>0.027226</v>
      </c>
      <c r="W342" s="209" t="n">
        <v>0.001906</v>
      </c>
      <c r="X342" s="209" t="n">
        <v>0.01032</v>
      </c>
      <c r="Y342" s="209" t="n">
        <v>0.014366</v>
      </c>
      <c r="Z342" s="209" t="n">
        <v>0.0033</v>
      </c>
      <c r="AA342" s="209" t="n">
        <v>0.002</v>
      </c>
      <c r="AB342" s="211" t="n">
        <f aca="false">S342-Z342</f>
        <v>0.0207</v>
      </c>
      <c r="AC342" s="211" t="n">
        <f aca="false">U342-Z342-AA342</f>
        <v>-0.0053</v>
      </c>
      <c r="AD342" s="212" t="n">
        <v>0.015</v>
      </c>
      <c r="AE342" s="210" t="n">
        <f aca="false">IF(Y342="","",Y342)</f>
        <v>0.014366</v>
      </c>
      <c r="AF342" s="210" t="n">
        <v>0.000634</v>
      </c>
      <c r="AG342" s="214" t="n">
        <f aca="false">IF(AF342="","",AE342+AF342)</f>
        <v>0.015</v>
      </c>
      <c r="AH342" s="215" t="n">
        <v>43570</v>
      </c>
      <c r="AI342" s="216" t="n">
        <v>1</v>
      </c>
      <c r="AJ342" s="217" t="str">
        <f aca="false">IF(AG342="","N","Y")</f>
        <v>Y</v>
      </c>
      <c r="AK342" s="239" t="s">
        <v>372</v>
      </c>
      <c r="AL342" s="229"/>
    </row>
    <row r="343" s="38" customFormat="true" ht="23.25" hidden="false" customHeight="true" outlineLevel="0" collapsed="false">
      <c r="A343" s="19" t="n">
        <f aca="false">IF(B343="","",IF((YEAR(B343)-YEAR(B342))=0,A342+1,1))</f>
        <v>18</v>
      </c>
      <c r="B343" s="141" t="n">
        <v>43556</v>
      </c>
      <c r="C343" s="63" t="s">
        <v>103</v>
      </c>
      <c r="D343" s="19"/>
      <c r="E343" s="63" t="s">
        <v>206</v>
      </c>
      <c r="F343" s="63" t="s">
        <v>390</v>
      </c>
      <c r="G343" s="142" t="n">
        <v>43573</v>
      </c>
      <c r="H343" s="142" t="n">
        <v>43580</v>
      </c>
      <c r="I343" s="19" t="n">
        <f aca="false">H343-G343</f>
        <v>7</v>
      </c>
      <c r="J343" s="149" t="s">
        <v>305</v>
      </c>
      <c r="K343" s="183" t="s">
        <v>95</v>
      </c>
      <c r="L343" s="146" t="n">
        <v>20</v>
      </c>
      <c r="M343" s="147" t="n">
        <v>1.92</v>
      </c>
      <c r="N343" s="148" t="s">
        <v>295</v>
      </c>
      <c r="O343" s="149" t="s">
        <v>305</v>
      </c>
      <c r="P343" s="149"/>
      <c r="Q343" s="150" t="n">
        <v>0.024135</v>
      </c>
      <c r="R343" s="151" t="s">
        <v>305</v>
      </c>
      <c r="S343" s="152" t="n">
        <v>0.025</v>
      </c>
      <c r="T343" s="151"/>
      <c r="U343" s="152"/>
      <c r="V343" s="152" t="n">
        <v>0.02563</v>
      </c>
      <c r="W343" s="152" t="n">
        <v>0.000513</v>
      </c>
      <c r="X343" s="152" t="n">
        <v>0.003117</v>
      </c>
      <c r="Y343" s="152" t="n">
        <v>0.016383</v>
      </c>
      <c r="Z343" s="152" t="n">
        <v>0.002</v>
      </c>
      <c r="AA343" s="152" t="n">
        <v>0.002</v>
      </c>
      <c r="AB343" s="154" t="n">
        <f aca="false">S343-Z343</f>
        <v>0.023</v>
      </c>
      <c r="AC343" s="154" t="n">
        <f aca="false">U343-Z343-AA343</f>
        <v>-0.004</v>
      </c>
      <c r="AD343" s="155" t="n">
        <v>0.022</v>
      </c>
      <c r="AE343" s="153" t="n">
        <f aca="false">IF(Y343="","",Y343)</f>
        <v>0.016383</v>
      </c>
      <c r="AF343" s="153" t="n">
        <v>0.005617</v>
      </c>
      <c r="AG343" s="184" t="n">
        <f aca="false">IF(AF343="","",AE343+AF343)</f>
        <v>0.022</v>
      </c>
      <c r="AH343" s="185" t="n">
        <v>43573</v>
      </c>
      <c r="AI343" s="35" t="n">
        <v>1</v>
      </c>
      <c r="AJ343" s="19" t="str">
        <f aca="false">IF(AG343="","N","Y")</f>
        <v>Y</v>
      </c>
      <c r="AK343" s="159" t="s">
        <v>391</v>
      </c>
      <c r="AL343" s="36"/>
    </row>
    <row r="344" s="268" customFormat="true" ht="23.25" hidden="false" customHeight="true" outlineLevel="0" collapsed="false">
      <c r="A344" s="247" t="n">
        <f aca="false">IF(B344="","",IF((YEAR(B344)-YEAR(B343))=0,A343+1,1))</f>
        <v>19</v>
      </c>
      <c r="B344" s="248" t="n">
        <v>43580</v>
      </c>
      <c r="C344" s="249" t="s">
        <v>392</v>
      </c>
      <c r="D344" s="249" t="s">
        <v>278</v>
      </c>
      <c r="E344" s="249" t="s">
        <v>393</v>
      </c>
      <c r="F344" s="249" t="s">
        <v>394</v>
      </c>
      <c r="G344" s="250" t="n">
        <v>43580</v>
      </c>
      <c r="H344" s="250" t="n">
        <v>43948</v>
      </c>
      <c r="I344" s="249" t="n">
        <f aca="false">H344-G344</f>
        <v>368</v>
      </c>
      <c r="J344" s="251" t="n">
        <f aca="false">TRUNC(I344/30,0)</f>
        <v>12</v>
      </c>
      <c r="K344" s="252" t="s">
        <v>95</v>
      </c>
      <c r="L344" s="253" t="n">
        <v>3</v>
      </c>
      <c r="M344" s="254" t="n">
        <v>2.25493</v>
      </c>
      <c r="N344" s="255" t="s">
        <v>395</v>
      </c>
      <c r="O344" s="251" t="s">
        <v>396</v>
      </c>
      <c r="P344" s="251"/>
      <c r="Q344" s="256" t="n">
        <v>0.0272513</v>
      </c>
      <c r="R344" s="257" t="s">
        <v>396</v>
      </c>
      <c r="S344" s="258" t="n">
        <v>0.0275</v>
      </c>
      <c r="T344" s="257" t="s">
        <v>396</v>
      </c>
      <c r="U344" s="258" t="n">
        <v>0.0295</v>
      </c>
      <c r="V344" s="258" t="n">
        <v>0.03586</v>
      </c>
      <c r="W344" s="258" t="n">
        <v>0.000717</v>
      </c>
      <c r="X344" s="258" t="n">
        <v>0.009643</v>
      </c>
      <c r="Y344" s="258" t="n">
        <v>0.022048</v>
      </c>
      <c r="Z344" s="258" t="n">
        <v>0.002</v>
      </c>
      <c r="AA344" s="258" t="n">
        <v>0.002</v>
      </c>
      <c r="AB344" s="259" t="n">
        <f aca="false">S344-Z344</f>
        <v>0.0255</v>
      </c>
      <c r="AC344" s="259" t="n">
        <f aca="false">U344-Z344-AA344</f>
        <v>0.0255</v>
      </c>
      <c r="AD344" s="260" t="n">
        <v>0.0255</v>
      </c>
      <c r="AE344" s="261" t="n">
        <f aca="false">IF(Y344="","",Y344)</f>
        <v>0.022048</v>
      </c>
      <c r="AF344" s="261" t="n">
        <v>0.003452</v>
      </c>
      <c r="AG344" s="262" t="n">
        <f aca="false">IF(AF344="","",AE344+AF344)</f>
        <v>0.0255</v>
      </c>
      <c r="AH344" s="263" t="n">
        <v>43580</v>
      </c>
      <c r="AI344" s="264" t="n">
        <v>2</v>
      </c>
      <c r="AJ344" s="265" t="str">
        <f aca="false">IF(AG344="","N","Y")</f>
        <v>Y</v>
      </c>
      <c r="AK344" s="266" t="s">
        <v>397</v>
      </c>
      <c r="AL344" s="267"/>
    </row>
    <row r="345" s="38" customFormat="true" ht="23.25" hidden="false" customHeight="true" outlineLevel="0" collapsed="false">
      <c r="A345" s="19" t="n">
        <f aca="false">IF(B345="","",IF((YEAR(B345)-YEAR(B344))=0,A344+1,1))</f>
        <v>20</v>
      </c>
      <c r="B345" s="141" t="n">
        <v>43580</v>
      </c>
      <c r="C345" s="63" t="s">
        <v>103</v>
      </c>
      <c r="D345" s="19"/>
      <c r="E345" s="63" t="s">
        <v>206</v>
      </c>
      <c r="F345" s="63" t="s">
        <v>390</v>
      </c>
      <c r="G345" s="142" t="n">
        <v>43580</v>
      </c>
      <c r="H345" s="142" t="n">
        <v>43587</v>
      </c>
      <c r="I345" s="19" t="n">
        <f aca="false">H345-G345</f>
        <v>7</v>
      </c>
      <c r="J345" s="149" t="s">
        <v>305</v>
      </c>
      <c r="K345" s="183" t="s">
        <v>95</v>
      </c>
      <c r="L345" s="146" t="n">
        <v>20</v>
      </c>
      <c r="M345" s="147" t="n">
        <v>1.92</v>
      </c>
      <c r="N345" s="148" t="s">
        <v>398</v>
      </c>
      <c r="O345" s="149" t="s">
        <v>305</v>
      </c>
      <c r="P345" s="149"/>
      <c r="Q345" s="150" t="n">
        <v>0.0242438</v>
      </c>
      <c r="R345" s="151" t="s">
        <v>305</v>
      </c>
      <c r="S345" s="152" t="n">
        <v>0.026</v>
      </c>
      <c r="T345" s="151"/>
      <c r="U345" s="152"/>
      <c r="V345" s="152" t="n">
        <v>0.025675</v>
      </c>
      <c r="W345" s="152" t="n">
        <v>0.000514</v>
      </c>
      <c r="X345" s="152" t="n">
        <v>0.003162</v>
      </c>
      <c r="Y345" s="152" t="n">
        <v>0.016484</v>
      </c>
      <c r="Z345" s="152" t="n">
        <v>0.002</v>
      </c>
      <c r="AA345" s="152" t="n">
        <v>0.002</v>
      </c>
      <c r="AB345" s="154" t="n">
        <f aca="false">S345-Z345</f>
        <v>0.024</v>
      </c>
      <c r="AC345" s="154" t="n">
        <f aca="false">U345-Z345-AA345</f>
        <v>-0.004</v>
      </c>
      <c r="AD345" s="155" t="n">
        <v>0.022</v>
      </c>
      <c r="AE345" s="153" t="n">
        <f aca="false">IF(Y345="","",Y345)</f>
        <v>0.016484</v>
      </c>
      <c r="AF345" s="153" t="n">
        <v>0.005516</v>
      </c>
      <c r="AG345" s="184" t="n">
        <f aca="false">IF(AF345="","",AE345+AF345)</f>
        <v>0.022</v>
      </c>
      <c r="AH345" s="185" t="n">
        <v>43580</v>
      </c>
      <c r="AI345" s="35" t="n">
        <v>3</v>
      </c>
      <c r="AJ345" s="19" t="str">
        <f aca="false">IF(AG345="","N","Y")</f>
        <v>Y</v>
      </c>
      <c r="AK345" s="159" t="s">
        <v>399</v>
      </c>
      <c r="AL345" s="36"/>
    </row>
    <row r="346" s="38" customFormat="true" ht="23.25" hidden="false" customHeight="true" outlineLevel="0" collapsed="false">
      <c r="A346" s="19" t="n">
        <f aca="false">IF(B346="","",IF((YEAR(B346)-YEAR(B345))=0,A345+1,1))</f>
        <v>21</v>
      </c>
      <c r="B346" s="141" t="n">
        <v>43587</v>
      </c>
      <c r="C346" s="63" t="s">
        <v>103</v>
      </c>
      <c r="D346" s="19"/>
      <c r="E346" s="63" t="s">
        <v>206</v>
      </c>
      <c r="F346" s="63" t="s">
        <v>400</v>
      </c>
      <c r="G346" s="142" t="n">
        <v>43587</v>
      </c>
      <c r="H346" s="142" t="n">
        <v>43594</v>
      </c>
      <c r="I346" s="19" t="n">
        <f aca="false">H346-G346</f>
        <v>7</v>
      </c>
      <c r="J346" s="149" t="s">
        <v>305</v>
      </c>
      <c r="K346" s="183" t="s">
        <v>95</v>
      </c>
      <c r="L346" s="146" t="n">
        <v>5</v>
      </c>
      <c r="M346" s="147" t="n">
        <v>1.92</v>
      </c>
      <c r="N346" s="148" t="s">
        <v>398</v>
      </c>
      <c r="O346" s="149" t="s">
        <v>305</v>
      </c>
      <c r="P346" s="149"/>
      <c r="Q346" s="150" t="n">
        <v>0.0242663</v>
      </c>
      <c r="R346" s="151" t="s">
        <v>401</v>
      </c>
      <c r="S346" s="152" t="n">
        <v>0.0257</v>
      </c>
      <c r="T346" s="151"/>
      <c r="U346" s="152"/>
      <c r="V346" s="152" t="n">
        <v>0.02577</v>
      </c>
      <c r="W346" s="152" t="n">
        <v>0.000515</v>
      </c>
      <c r="X346" s="152" t="n">
        <v>0.003255</v>
      </c>
      <c r="Y346" s="152" t="n">
        <v>0.016505</v>
      </c>
      <c r="Z346" s="152" t="n">
        <v>0.002</v>
      </c>
      <c r="AA346" s="152" t="n">
        <v>0.002</v>
      </c>
      <c r="AB346" s="154" t="n">
        <f aca="false">S346-Z346</f>
        <v>0.0237</v>
      </c>
      <c r="AC346" s="154" t="n">
        <f aca="false">U346-Z346-AA346</f>
        <v>-0.004</v>
      </c>
      <c r="AD346" s="155" t="n">
        <v>0.022</v>
      </c>
      <c r="AE346" s="153" t="n">
        <f aca="false">IF(Y346="","",Y346)</f>
        <v>0.016505</v>
      </c>
      <c r="AF346" s="153" t="n">
        <v>0.005495</v>
      </c>
      <c r="AG346" s="184" t="n">
        <f aca="false">IF(AF346="","",AE346+AF346)</f>
        <v>0.022</v>
      </c>
      <c r="AH346" s="185" t="n">
        <v>43587</v>
      </c>
      <c r="AI346" s="35" t="n">
        <v>2</v>
      </c>
      <c r="AJ346" s="19" t="str">
        <f aca="false">IF(AG346="","N","Y")</f>
        <v>Y</v>
      </c>
      <c r="AK346" s="159" t="s">
        <v>402</v>
      </c>
      <c r="AL346" s="36"/>
    </row>
    <row r="347" s="38" customFormat="true" ht="23.25" hidden="false" customHeight="true" outlineLevel="0" collapsed="false">
      <c r="A347" s="19" t="n">
        <f aca="false">IF(B347="","",IF((YEAR(B347)-YEAR(B346))=0,A346+1,1))</f>
        <v>22</v>
      </c>
      <c r="B347" s="141" t="n">
        <v>43587</v>
      </c>
      <c r="C347" s="63" t="s">
        <v>103</v>
      </c>
      <c r="D347" s="19"/>
      <c r="E347" s="63" t="s">
        <v>206</v>
      </c>
      <c r="F347" s="63" t="s">
        <v>390</v>
      </c>
      <c r="G347" s="142" t="n">
        <v>43587</v>
      </c>
      <c r="H347" s="142" t="n">
        <v>43594</v>
      </c>
      <c r="I347" s="19" t="n">
        <f aca="false">H347-G347</f>
        <v>7</v>
      </c>
      <c r="J347" s="149" t="s">
        <v>305</v>
      </c>
      <c r="K347" s="183" t="s">
        <v>95</v>
      </c>
      <c r="L347" s="146" t="n">
        <v>20</v>
      </c>
      <c r="M347" s="147" t="n">
        <v>1.92</v>
      </c>
      <c r="N347" s="148" t="s">
        <v>398</v>
      </c>
      <c r="O347" s="149" t="s">
        <v>305</v>
      </c>
      <c r="P347" s="149"/>
      <c r="Q347" s="150" t="n">
        <v>0.0242663</v>
      </c>
      <c r="R347" s="151" t="s">
        <v>401</v>
      </c>
      <c r="S347" s="152" t="n">
        <v>0.0257</v>
      </c>
      <c r="T347" s="151"/>
      <c r="U347" s="152"/>
      <c r="V347" s="152" t="n">
        <v>0.02577</v>
      </c>
      <c r="W347" s="152" t="n">
        <v>0.000515</v>
      </c>
      <c r="X347" s="152" t="n">
        <v>0.003255</v>
      </c>
      <c r="Y347" s="152" t="n">
        <v>0.016505</v>
      </c>
      <c r="Z347" s="152" t="n">
        <v>0.002</v>
      </c>
      <c r="AA347" s="152" t="n">
        <v>0.002</v>
      </c>
      <c r="AB347" s="154" t="n">
        <f aca="false">S347-Z347</f>
        <v>0.0237</v>
      </c>
      <c r="AC347" s="154" t="n">
        <f aca="false">U347-Z347-AA347</f>
        <v>-0.004</v>
      </c>
      <c r="AD347" s="155" t="n">
        <v>0.022</v>
      </c>
      <c r="AE347" s="153" t="n">
        <f aca="false">IF(Y347="","",Y347)</f>
        <v>0.016505</v>
      </c>
      <c r="AF347" s="153" t="n">
        <v>0.005495</v>
      </c>
      <c r="AG347" s="184" t="n">
        <f aca="false">IF(AF347="","",AE347+AF347)</f>
        <v>0.022</v>
      </c>
      <c r="AH347" s="185" t="n">
        <v>43587</v>
      </c>
      <c r="AI347" s="35" t="n">
        <v>3</v>
      </c>
      <c r="AJ347" s="19" t="str">
        <f aca="false">IF(AG347="","N","Y")</f>
        <v>Y</v>
      </c>
      <c r="AK347" s="159" t="s">
        <v>402</v>
      </c>
      <c r="AL347" s="36"/>
    </row>
    <row r="348" s="38" customFormat="true" ht="23.25" hidden="false" customHeight="true" outlineLevel="0" collapsed="false">
      <c r="A348" s="19" t="n">
        <f aca="false">IF(B348="","",IF((YEAR(B348)-YEAR(B347))=0,A347+1,1))</f>
        <v>23</v>
      </c>
      <c r="B348" s="141" t="n">
        <v>43588</v>
      </c>
      <c r="C348" s="63" t="s">
        <v>103</v>
      </c>
      <c r="D348" s="19"/>
      <c r="E348" s="63" t="s">
        <v>206</v>
      </c>
      <c r="F348" s="63" t="s">
        <v>207</v>
      </c>
      <c r="G348" s="142" t="n">
        <v>43588</v>
      </c>
      <c r="H348" s="142" t="n">
        <v>43619</v>
      </c>
      <c r="I348" s="19" t="n">
        <f aca="false">H348-G348</f>
        <v>31</v>
      </c>
      <c r="J348" s="149" t="s">
        <v>303</v>
      </c>
      <c r="K348" s="183" t="s">
        <v>95</v>
      </c>
      <c r="L348" s="146" t="n">
        <v>10</v>
      </c>
      <c r="M348" s="147" t="n">
        <v>2.01</v>
      </c>
      <c r="N348" s="148" t="s">
        <v>403</v>
      </c>
      <c r="O348" s="149" t="s">
        <v>303</v>
      </c>
      <c r="P348" s="149"/>
      <c r="Q348" s="150" t="n">
        <v>0.0246713</v>
      </c>
      <c r="R348" s="151" t="s">
        <v>303</v>
      </c>
      <c r="S348" s="152" t="n">
        <v>0.0258</v>
      </c>
      <c r="T348" s="151"/>
      <c r="U348" s="152"/>
      <c r="V348" s="152" t="n">
        <v>0.02735</v>
      </c>
      <c r="W348" s="152" t="n">
        <v>0.000547</v>
      </c>
      <c r="X348" s="152" t="n">
        <v>0.003803</v>
      </c>
      <c r="Y348" s="152" t="n">
        <v>0.018852</v>
      </c>
      <c r="Z348" s="152" t="n">
        <v>0.002</v>
      </c>
      <c r="AA348" s="152" t="n">
        <v>0.002</v>
      </c>
      <c r="AB348" s="154" t="n">
        <f aca="false">S348-Z348</f>
        <v>0.0238</v>
      </c>
      <c r="AC348" s="154" t="n">
        <f aca="false">U348-Z348-AA348</f>
        <v>-0.004</v>
      </c>
      <c r="AD348" s="155" t="n">
        <v>0.023</v>
      </c>
      <c r="AE348" s="153" t="n">
        <f aca="false">IF(Y348="","",Y348)</f>
        <v>0.018852</v>
      </c>
      <c r="AF348" s="153" t="n">
        <v>0.004148</v>
      </c>
      <c r="AG348" s="184" t="n">
        <f aca="false">IF(AF348="","",AE348+AF348)</f>
        <v>0.023</v>
      </c>
      <c r="AH348" s="185" t="n">
        <v>43588</v>
      </c>
      <c r="AI348" s="35" t="n">
        <v>1</v>
      </c>
      <c r="AJ348" s="19" t="str">
        <f aca="false">IF(AG348="","N","Y")</f>
        <v>Y</v>
      </c>
      <c r="AK348" s="238" t="s">
        <v>404</v>
      </c>
      <c r="AL348" s="36"/>
    </row>
    <row r="349" s="38" customFormat="true" ht="23.25" hidden="false" customHeight="true" outlineLevel="0" collapsed="false">
      <c r="A349" s="19" t="n">
        <f aca="false">IF(B349="","",IF((YEAR(B349)-YEAR(B348))=0,A348+1,1))</f>
        <v>24</v>
      </c>
      <c r="B349" s="141" t="n">
        <v>43594</v>
      </c>
      <c r="C349" s="63" t="s">
        <v>103</v>
      </c>
      <c r="D349" s="19"/>
      <c r="E349" s="63" t="s">
        <v>206</v>
      </c>
      <c r="F349" s="63" t="s">
        <v>400</v>
      </c>
      <c r="G349" s="142" t="n">
        <v>43594</v>
      </c>
      <c r="H349" s="142" t="n">
        <v>43608</v>
      </c>
      <c r="I349" s="19" t="n">
        <f aca="false">H349-G349</f>
        <v>14</v>
      </c>
      <c r="J349" s="149" t="s">
        <v>366</v>
      </c>
      <c r="K349" s="183" t="s">
        <v>95</v>
      </c>
      <c r="L349" s="146" t="n">
        <v>5</v>
      </c>
      <c r="M349" s="147" t="n">
        <v>1.86</v>
      </c>
      <c r="N349" s="148" t="s">
        <v>405</v>
      </c>
      <c r="O349" s="149" t="s">
        <v>305</v>
      </c>
      <c r="P349" s="149"/>
      <c r="Q349" s="150" t="n">
        <v>0.023955</v>
      </c>
      <c r="R349" s="151" t="s">
        <v>305</v>
      </c>
      <c r="S349" s="152" t="n">
        <v>0.025</v>
      </c>
      <c r="T349" s="151"/>
      <c r="U349" s="152"/>
      <c r="V349" s="152" t="n">
        <v>0.025999</v>
      </c>
      <c r="W349" s="152" t="n">
        <v>0.00052</v>
      </c>
      <c r="X349" s="152" t="n">
        <v>0.003279</v>
      </c>
      <c r="Y349" s="152" t="n">
        <v>0.016215</v>
      </c>
      <c r="Z349" s="152" t="n">
        <v>0.002</v>
      </c>
      <c r="AA349" s="152" t="n">
        <v>0.002</v>
      </c>
      <c r="AB349" s="154" t="n">
        <f aca="false">S349-Z349</f>
        <v>0.023</v>
      </c>
      <c r="AC349" s="154" t="n">
        <f aca="false">U349-Z349-AA349</f>
        <v>-0.004</v>
      </c>
      <c r="AD349" s="155" t="n">
        <v>0.0222</v>
      </c>
      <c r="AE349" s="153" t="n">
        <f aca="false">IF(Y349="","",Y349)</f>
        <v>0.016215</v>
      </c>
      <c r="AF349" s="153" t="n">
        <v>0.005985</v>
      </c>
      <c r="AG349" s="184" t="n">
        <f aca="false">IF(AF349="","",AE349+AF349)</f>
        <v>0.0222</v>
      </c>
      <c r="AH349" s="185" t="n">
        <v>43594</v>
      </c>
      <c r="AI349" s="35" t="n">
        <v>2</v>
      </c>
      <c r="AJ349" s="19" t="str">
        <f aca="false">IF(AG349="","N","Y")</f>
        <v>Y</v>
      </c>
      <c r="AK349" s="159" t="s">
        <v>406</v>
      </c>
      <c r="AL349" s="36"/>
    </row>
    <row r="350" s="38" customFormat="true" ht="23.25" hidden="false" customHeight="true" outlineLevel="0" collapsed="false">
      <c r="A350" s="19" t="n">
        <f aca="false">IF(B350="","",IF((YEAR(B350)-YEAR(B349))=0,A349+1,1))</f>
        <v>25</v>
      </c>
      <c r="B350" s="141" t="n">
        <v>43594</v>
      </c>
      <c r="C350" s="63" t="s">
        <v>103</v>
      </c>
      <c r="D350" s="19"/>
      <c r="E350" s="63" t="s">
        <v>206</v>
      </c>
      <c r="F350" s="63" t="s">
        <v>390</v>
      </c>
      <c r="G350" s="142" t="n">
        <v>43594</v>
      </c>
      <c r="H350" s="142" t="n">
        <v>43601</v>
      </c>
      <c r="I350" s="19" t="n">
        <f aca="false">H350-G350</f>
        <v>7</v>
      </c>
      <c r="J350" s="149" t="s">
        <v>305</v>
      </c>
      <c r="K350" s="183" t="s">
        <v>95</v>
      </c>
      <c r="L350" s="146" t="n">
        <v>20</v>
      </c>
      <c r="M350" s="147" t="n">
        <v>1.9</v>
      </c>
      <c r="N350" s="148" t="s">
        <v>407</v>
      </c>
      <c r="O350" s="149" t="s">
        <v>305</v>
      </c>
      <c r="P350" s="149"/>
      <c r="Q350" s="150" t="n">
        <v>0.023955</v>
      </c>
      <c r="R350" s="151" t="s">
        <v>366</v>
      </c>
      <c r="S350" s="152" t="n">
        <v>0.025</v>
      </c>
      <c r="T350" s="151"/>
      <c r="U350" s="152"/>
      <c r="V350" s="152" t="n">
        <v>0.025544</v>
      </c>
      <c r="W350" s="152" t="n">
        <v>0.000511</v>
      </c>
      <c r="X350" s="152" t="n">
        <v>0.003033</v>
      </c>
      <c r="Y350" s="152" t="n">
        <v>0.016215</v>
      </c>
      <c r="Z350" s="152" t="n">
        <v>0.002</v>
      </c>
      <c r="AA350" s="152" t="n">
        <v>0.002</v>
      </c>
      <c r="AB350" s="154" t="n">
        <f aca="false">S350-Z350</f>
        <v>0.023</v>
      </c>
      <c r="AC350" s="154" t="n">
        <f aca="false">U350-Z350-AA350</f>
        <v>-0.004</v>
      </c>
      <c r="AD350" s="155" t="n">
        <v>0.022</v>
      </c>
      <c r="AE350" s="153" t="n">
        <f aca="false">IF(Y350="","",Y350)</f>
        <v>0.016215</v>
      </c>
      <c r="AF350" s="153" t="n">
        <v>0.005785</v>
      </c>
      <c r="AG350" s="184" t="n">
        <f aca="false">IF(AF350="","",AE350+AF350)</f>
        <v>0.022</v>
      </c>
      <c r="AH350" s="185" t="n">
        <v>43594</v>
      </c>
      <c r="AI350" s="35" t="n">
        <v>1</v>
      </c>
      <c r="AJ350" s="19" t="str">
        <f aca="false">IF(AG350="","N","Y")</f>
        <v>Y</v>
      </c>
      <c r="AK350" s="159" t="s">
        <v>391</v>
      </c>
      <c r="AL350" s="36"/>
    </row>
    <row r="351" s="220" customFormat="true" ht="23.25" hidden="false" customHeight="true" outlineLevel="0" collapsed="false">
      <c r="A351" s="200" t="n">
        <f aca="false">IF(B351="","",IF((YEAR(B351)-YEAR(B350))=0,A350+1,1))</f>
        <v>26</v>
      </c>
      <c r="B351" s="199" t="n">
        <v>43595</v>
      </c>
      <c r="C351" s="200" t="s">
        <v>103</v>
      </c>
      <c r="D351" s="200"/>
      <c r="E351" s="200" t="s">
        <v>206</v>
      </c>
      <c r="F351" s="200" t="s">
        <v>389</v>
      </c>
      <c r="G351" s="201" t="n">
        <v>43595</v>
      </c>
      <c r="H351" s="201" t="n">
        <v>43626</v>
      </c>
      <c r="I351" s="200" t="n">
        <f aca="false">H351-G351</f>
        <v>31</v>
      </c>
      <c r="J351" s="228" t="n">
        <f aca="false">TRUNC(I351/30,0)</f>
        <v>1</v>
      </c>
      <c r="K351" s="203" t="s">
        <v>99</v>
      </c>
      <c r="L351" s="204" t="n">
        <v>2.99</v>
      </c>
      <c r="M351" s="205" t="n">
        <v>1.34</v>
      </c>
      <c r="N351" s="227" t="s">
        <v>408</v>
      </c>
      <c r="O351" s="228" t="s">
        <v>305</v>
      </c>
      <c r="P351" s="228"/>
      <c r="Q351" s="208" t="n">
        <v>0.0239063</v>
      </c>
      <c r="R351" s="207" t="s">
        <v>305</v>
      </c>
      <c r="S351" s="209" t="n">
        <v>0.0244</v>
      </c>
      <c r="T351" s="207"/>
      <c r="U351" s="209"/>
      <c r="V351" s="209" t="n">
        <v>0.027014</v>
      </c>
      <c r="W351" s="209" t="n">
        <v>0.001891</v>
      </c>
      <c r="X351" s="209" t="n">
        <v>0.010123</v>
      </c>
      <c r="Y351" s="209" t="n">
        <v>0.01417</v>
      </c>
      <c r="Z351" s="209" t="n">
        <v>0.0033</v>
      </c>
      <c r="AA351" s="209" t="n">
        <v>0.002</v>
      </c>
      <c r="AB351" s="211" t="n">
        <f aca="false">S351-Z351</f>
        <v>0.0211</v>
      </c>
      <c r="AC351" s="211" t="n">
        <f aca="false">U351-Z351-AA351</f>
        <v>-0.0053</v>
      </c>
      <c r="AD351" s="212" t="n">
        <v>0.015</v>
      </c>
      <c r="AE351" s="210" t="n">
        <f aca="false">IF(Y351="","",Y351)</f>
        <v>0.01417</v>
      </c>
      <c r="AF351" s="210" t="n">
        <v>0.00083</v>
      </c>
      <c r="AG351" s="214" t="n">
        <f aca="false">IF(AF351="","",AE351+AF351)</f>
        <v>0.015</v>
      </c>
      <c r="AH351" s="215" t="n">
        <v>43595</v>
      </c>
      <c r="AI351" s="216" t="n">
        <v>2</v>
      </c>
      <c r="AJ351" s="217" t="str">
        <f aca="false">IF(AG351="","N","Y")</f>
        <v>Y</v>
      </c>
      <c r="AK351" s="239" t="s">
        <v>372</v>
      </c>
      <c r="AL351" s="229"/>
    </row>
    <row r="352" s="220" customFormat="true" ht="23.25" hidden="false" customHeight="true" outlineLevel="0" collapsed="false">
      <c r="A352" s="200" t="n">
        <f aca="false">IF(B352="","",IF((YEAR(B352)-YEAR(B351))=0,A351+1,1))</f>
        <v>27</v>
      </c>
      <c r="B352" s="199" t="n">
        <v>43570</v>
      </c>
      <c r="C352" s="200" t="s">
        <v>96</v>
      </c>
      <c r="D352" s="217"/>
      <c r="E352" s="200" t="s">
        <v>143</v>
      </c>
      <c r="F352" s="200" t="s">
        <v>360</v>
      </c>
      <c r="G352" s="201" t="n">
        <v>43600</v>
      </c>
      <c r="H352" s="201" t="n">
        <v>43633</v>
      </c>
      <c r="I352" s="200" t="n">
        <f aca="false">H352-G352</f>
        <v>33</v>
      </c>
      <c r="J352" s="228" t="n">
        <f aca="false">TRUNC(I352/30,0)</f>
        <v>1</v>
      </c>
      <c r="K352" s="203" t="s">
        <v>99</v>
      </c>
      <c r="L352" s="204" t="n">
        <v>20</v>
      </c>
      <c r="M352" s="205" t="n">
        <v>1.33</v>
      </c>
      <c r="N352" s="227" t="s">
        <v>409</v>
      </c>
      <c r="O352" s="228" t="s">
        <v>305</v>
      </c>
      <c r="P352" s="228"/>
      <c r="Q352" s="208" t="n">
        <v>0.0238813</v>
      </c>
      <c r="R352" s="207" t="s">
        <v>305</v>
      </c>
      <c r="S352" s="209" t="n">
        <v>0.0245</v>
      </c>
      <c r="T352" s="207"/>
      <c r="U352" s="209"/>
      <c r="V352" s="209" t="n">
        <v>0.026896</v>
      </c>
      <c r="W352" s="209" t="n">
        <v>0.001883</v>
      </c>
      <c r="X352" s="209" t="n">
        <v>0.010014</v>
      </c>
      <c r="Y352" s="209" t="n">
        <v>0.014147</v>
      </c>
      <c r="Z352" s="209" t="n">
        <v>0.0033</v>
      </c>
      <c r="AA352" s="209" t="n">
        <v>0.002</v>
      </c>
      <c r="AB352" s="211" t="n">
        <f aca="false">S352-Z352</f>
        <v>0.0212</v>
      </c>
      <c r="AC352" s="211" t="n">
        <f aca="false">U352-Z352-AA352</f>
        <v>-0.0053</v>
      </c>
      <c r="AD352" s="212" t="n">
        <v>0.015</v>
      </c>
      <c r="AE352" s="210" t="n">
        <f aca="false">IF(Y352="","",Y352)</f>
        <v>0.014147</v>
      </c>
      <c r="AF352" s="210" t="n">
        <v>0.000853</v>
      </c>
      <c r="AG352" s="214" t="n">
        <f aca="false">IF(AF352="","",AE352+AF352)</f>
        <v>0.015</v>
      </c>
      <c r="AH352" s="215" t="n">
        <v>43600</v>
      </c>
      <c r="AI352" s="216" t="n">
        <v>1</v>
      </c>
      <c r="AJ352" s="217" t="str">
        <f aca="false">IF(AG352="","N","Y")</f>
        <v>Y</v>
      </c>
      <c r="AK352" s="239" t="s">
        <v>372</v>
      </c>
      <c r="AL352" s="229"/>
    </row>
    <row r="353" s="38" customFormat="true" ht="23.25" hidden="false" customHeight="true" outlineLevel="0" collapsed="false">
      <c r="A353" s="19" t="n">
        <f aca="false">IF(B353="","",IF((YEAR(B353)-YEAR(B352))=0,A352+1,1))</f>
        <v>28</v>
      </c>
      <c r="B353" s="141" t="n">
        <v>43601</v>
      </c>
      <c r="C353" s="63" t="s">
        <v>103</v>
      </c>
      <c r="D353" s="19"/>
      <c r="E353" s="63" t="s">
        <v>206</v>
      </c>
      <c r="F353" s="63" t="s">
        <v>390</v>
      </c>
      <c r="G353" s="142" t="n">
        <v>43601</v>
      </c>
      <c r="H353" s="142" t="n">
        <v>43608</v>
      </c>
      <c r="I353" s="19" t="n">
        <f aca="false">H353-G353</f>
        <v>7</v>
      </c>
      <c r="J353" s="149" t="s">
        <v>305</v>
      </c>
      <c r="K353" s="183" t="s">
        <v>95</v>
      </c>
      <c r="L353" s="146" t="n">
        <v>20</v>
      </c>
      <c r="M353" s="147" t="n">
        <v>1.9</v>
      </c>
      <c r="N353" s="148" t="s">
        <v>410</v>
      </c>
      <c r="O353" s="149" t="s">
        <v>305</v>
      </c>
      <c r="P353" s="149"/>
      <c r="Q353" s="150" t="n">
        <v>0.0238113</v>
      </c>
      <c r="R353" s="151" t="s">
        <v>366</v>
      </c>
      <c r="S353" s="152" t="n">
        <v>0.0252</v>
      </c>
      <c r="T353" s="151"/>
      <c r="U353" s="152"/>
      <c r="V353" s="152" t="n">
        <v>0.025381</v>
      </c>
      <c r="W353" s="152" t="n">
        <v>0.000508</v>
      </c>
      <c r="X353" s="152" t="n">
        <v>0.002874</v>
      </c>
      <c r="Y353" s="152" t="n">
        <v>0.016082</v>
      </c>
      <c r="Z353" s="152" t="n">
        <v>0.002</v>
      </c>
      <c r="AA353" s="152" t="n">
        <v>0.002</v>
      </c>
      <c r="AB353" s="154" t="n">
        <f aca="false">S353-Z353</f>
        <v>0.0232</v>
      </c>
      <c r="AC353" s="154" t="n">
        <f aca="false">U353-Z353-AA353</f>
        <v>-0.004</v>
      </c>
      <c r="AD353" s="155" t="n">
        <v>0.022</v>
      </c>
      <c r="AE353" s="153" t="n">
        <f aca="false">IF(Y353="","",Y353)</f>
        <v>0.016082</v>
      </c>
      <c r="AF353" s="153" t="n">
        <v>0.005918</v>
      </c>
      <c r="AG353" s="184" t="n">
        <f aca="false">IF(AF353="","",AE353+AF353)</f>
        <v>0.022</v>
      </c>
      <c r="AH353" s="185" t="n">
        <v>43601</v>
      </c>
      <c r="AI353" s="35" t="n">
        <v>1</v>
      </c>
      <c r="AJ353" s="19" t="str">
        <f aca="false">IF(AG353="","N","Y")</f>
        <v>Y</v>
      </c>
      <c r="AK353" s="159" t="s">
        <v>391</v>
      </c>
      <c r="AL353" s="36"/>
    </row>
    <row r="354" s="38" customFormat="true" ht="23.25" hidden="false" customHeight="true" outlineLevel="0" collapsed="false">
      <c r="A354" s="19" t="n">
        <f aca="false">IF(B354="","",IF((YEAR(B354)-YEAR(B353))=0,A353+1,1))</f>
        <v>29</v>
      </c>
      <c r="B354" s="141" t="n">
        <v>43606</v>
      </c>
      <c r="C354" s="63" t="s">
        <v>103</v>
      </c>
      <c r="D354" s="19"/>
      <c r="E354" s="63" t="s">
        <v>206</v>
      </c>
      <c r="F354" s="63" t="s">
        <v>386</v>
      </c>
      <c r="G354" s="142" t="n">
        <v>43606</v>
      </c>
      <c r="H354" s="142" t="n">
        <v>43637</v>
      </c>
      <c r="I354" s="19" t="n">
        <f aca="false">H354-G354</f>
        <v>31</v>
      </c>
      <c r="J354" s="149" t="n">
        <f aca="false">TRUNC(I354/30,0)</f>
        <v>1</v>
      </c>
      <c r="K354" s="183" t="s">
        <v>95</v>
      </c>
      <c r="L354" s="146" t="n">
        <v>5</v>
      </c>
      <c r="M354" s="147" t="n">
        <v>1.97</v>
      </c>
      <c r="N354" s="148" t="s">
        <v>411</v>
      </c>
      <c r="O354" s="149" t="s">
        <v>303</v>
      </c>
      <c r="P354" s="149"/>
      <c r="Q354" s="150" t="n">
        <v>0.02436</v>
      </c>
      <c r="R354" s="151" t="s">
        <v>303</v>
      </c>
      <c r="S354" s="152" t="n">
        <v>0.0253</v>
      </c>
      <c r="T354" s="151"/>
      <c r="U354" s="152"/>
      <c r="V354" s="152" t="n">
        <v>0.026937</v>
      </c>
      <c r="W354" s="152" t="n">
        <v>0.000539</v>
      </c>
      <c r="X354" s="152" t="n">
        <v>0.003398</v>
      </c>
      <c r="Y354" s="152" t="n">
        <v>0.018547</v>
      </c>
      <c r="Z354" s="152" t="n">
        <v>0.002</v>
      </c>
      <c r="AA354" s="152" t="n">
        <v>0.002</v>
      </c>
      <c r="AB354" s="154" t="n">
        <f aca="false">S354-Z354</f>
        <v>0.0233</v>
      </c>
      <c r="AC354" s="154" t="n">
        <f aca="false">U354-Z354-AA354</f>
        <v>-0.004</v>
      </c>
      <c r="AD354" s="155" t="n">
        <v>0.023</v>
      </c>
      <c r="AE354" s="153" t="n">
        <f aca="false">IF(Y354="","",Y354)</f>
        <v>0.018547</v>
      </c>
      <c r="AF354" s="153" t="n">
        <v>0.004453</v>
      </c>
      <c r="AG354" s="184" t="n">
        <f aca="false">IF(AF354="","",AE354+AF354)</f>
        <v>0.023</v>
      </c>
      <c r="AH354" s="185" t="n">
        <v>43606</v>
      </c>
      <c r="AI354" s="35" t="n">
        <v>1</v>
      </c>
      <c r="AJ354" s="19" t="str">
        <f aca="false">IF(AG354="","N","Y")</f>
        <v>Y</v>
      </c>
      <c r="AK354" s="238" t="s">
        <v>412</v>
      </c>
      <c r="AL354" s="36"/>
    </row>
    <row r="355" s="38" customFormat="true" ht="23.25" hidden="false" customHeight="true" outlineLevel="0" collapsed="false">
      <c r="A355" s="19" t="n">
        <f aca="false">IF(B355="","",IF((YEAR(B355)-YEAR(B354))=0,A354+1,1))</f>
        <v>30</v>
      </c>
      <c r="B355" s="141" t="n">
        <v>43608</v>
      </c>
      <c r="C355" s="63" t="s">
        <v>103</v>
      </c>
      <c r="D355" s="19"/>
      <c r="E355" s="63" t="s">
        <v>206</v>
      </c>
      <c r="F355" s="63" t="s">
        <v>400</v>
      </c>
      <c r="G355" s="142" t="n">
        <v>43608</v>
      </c>
      <c r="H355" s="142" t="n">
        <v>43626</v>
      </c>
      <c r="I355" s="19" t="n">
        <f aca="false">H355-G355</f>
        <v>18</v>
      </c>
      <c r="J355" s="149" t="s">
        <v>366</v>
      </c>
      <c r="K355" s="183" t="s">
        <v>95</v>
      </c>
      <c r="L355" s="146" t="n">
        <v>10</v>
      </c>
      <c r="M355" s="147" t="n">
        <v>1.89</v>
      </c>
      <c r="N355" s="148" t="s">
        <v>413</v>
      </c>
      <c r="O355" s="149" t="s">
        <v>305</v>
      </c>
      <c r="P355" s="149"/>
      <c r="Q355" s="150" t="n">
        <v>0.0239425</v>
      </c>
      <c r="R355" s="151" t="s">
        <v>366</v>
      </c>
      <c r="S355" s="152" t="n">
        <v>0.0248</v>
      </c>
      <c r="T355" s="151"/>
      <c r="U355" s="152"/>
      <c r="V355" s="152" t="n">
        <v>0.026075</v>
      </c>
      <c r="W355" s="152" t="n">
        <v>0.000522</v>
      </c>
      <c r="X355" s="152" t="n">
        <v>0.003254</v>
      </c>
      <c r="Y355" s="152" t="n">
        <v>0.016204</v>
      </c>
      <c r="Z355" s="152" t="n">
        <v>0.002</v>
      </c>
      <c r="AA355" s="152" t="n">
        <v>0.002</v>
      </c>
      <c r="AB355" s="154" t="n">
        <f aca="false">S355-Z355</f>
        <v>0.0228</v>
      </c>
      <c r="AC355" s="154" t="n">
        <f aca="false">U355-Z355-AA355</f>
        <v>-0.004</v>
      </c>
      <c r="AD355" s="155" t="n">
        <v>0.0223</v>
      </c>
      <c r="AE355" s="153" t="n">
        <f aca="false">IF(Y355="","",Y355)</f>
        <v>0.016204</v>
      </c>
      <c r="AF355" s="153" t="n">
        <v>0.006096</v>
      </c>
      <c r="AG355" s="184" t="n">
        <f aca="false">IF(AF355="","",AE355+AF355)</f>
        <v>0.0223</v>
      </c>
      <c r="AH355" s="185" t="n">
        <v>43608</v>
      </c>
      <c r="AI355" s="35" t="n">
        <v>1</v>
      </c>
      <c r="AJ355" s="19" t="str">
        <f aca="false">IF(AG355="","N","Y")</f>
        <v>Y</v>
      </c>
      <c r="AK355" s="159" t="s">
        <v>414</v>
      </c>
      <c r="AL355" s="36"/>
    </row>
    <row r="356" s="38" customFormat="true" ht="23.25" hidden="false" customHeight="true" outlineLevel="0" collapsed="false">
      <c r="A356" s="19" t="n">
        <f aca="false">IF(B356="","",IF((YEAR(B356)-YEAR(B355))=0,A355+1,1))</f>
        <v>31</v>
      </c>
      <c r="B356" s="141" t="n">
        <v>43608</v>
      </c>
      <c r="C356" s="63" t="s">
        <v>103</v>
      </c>
      <c r="D356" s="19"/>
      <c r="E356" s="63" t="s">
        <v>206</v>
      </c>
      <c r="F356" s="63" t="s">
        <v>390</v>
      </c>
      <c r="G356" s="142" t="n">
        <v>43608</v>
      </c>
      <c r="H356" s="142" t="n">
        <v>43615</v>
      </c>
      <c r="I356" s="19" t="n">
        <f aca="false">H356-G356</f>
        <v>7</v>
      </c>
      <c r="J356" s="149" t="s">
        <v>305</v>
      </c>
      <c r="K356" s="183" t="s">
        <v>95</v>
      </c>
      <c r="L356" s="146" t="n">
        <v>20</v>
      </c>
      <c r="M356" s="147" t="n">
        <v>1.9</v>
      </c>
      <c r="N356" s="148" t="s">
        <v>407</v>
      </c>
      <c r="O356" s="149" t="s">
        <v>305</v>
      </c>
      <c r="P356" s="149"/>
      <c r="Q356" s="150" t="n">
        <v>0.0239425</v>
      </c>
      <c r="R356" s="151" t="s">
        <v>305</v>
      </c>
      <c r="S356" s="152" t="n">
        <v>0.0245</v>
      </c>
      <c r="T356" s="151"/>
      <c r="U356" s="152"/>
      <c r="V356" s="152" t="n">
        <v>0.025451</v>
      </c>
      <c r="W356" s="152" t="n">
        <v>0.000509</v>
      </c>
      <c r="X356" s="152" t="n">
        <v>0.002942</v>
      </c>
      <c r="Y356" s="152" t="n">
        <v>0.016204</v>
      </c>
      <c r="Z356" s="152" t="n">
        <v>0.002</v>
      </c>
      <c r="AA356" s="152" t="n">
        <v>0.002</v>
      </c>
      <c r="AB356" s="154" t="n">
        <f aca="false">S356-Z356</f>
        <v>0.0225</v>
      </c>
      <c r="AC356" s="154" t="n">
        <f aca="false">U356-Z356-AA356</f>
        <v>-0.004</v>
      </c>
      <c r="AD356" s="155" t="n">
        <v>0.022</v>
      </c>
      <c r="AE356" s="153" t="n">
        <f aca="false">IF(Y356="","",Y356)</f>
        <v>0.016204</v>
      </c>
      <c r="AF356" s="153" t="n">
        <v>0.005796</v>
      </c>
      <c r="AG356" s="184" t="n">
        <f aca="false">IF(AF356="","",AE356+AF356)</f>
        <v>0.022</v>
      </c>
      <c r="AH356" s="185" t="n">
        <v>43608</v>
      </c>
      <c r="AI356" s="35" t="n">
        <v>2</v>
      </c>
      <c r="AJ356" s="19" t="str">
        <f aca="false">IF(AG356="","N","Y")</f>
        <v>Y</v>
      </c>
      <c r="AK356" s="159" t="s">
        <v>415</v>
      </c>
      <c r="AL356" s="36"/>
    </row>
    <row r="357" s="38" customFormat="true" ht="23.25" hidden="false" customHeight="true" outlineLevel="0" collapsed="false">
      <c r="A357" s="19" t="n">
        <f aca="false">IF(B357="","",IF((YEAR(B357)-YEAR(B356))=0,A356+1,1))</f>
        <v>32</v>
      </c>
      <c r="B357" s="141" t="n">
        <v>43613</v>
      </c>
      <c r="C357" s="63" t="s">
        <v>187</v>
      </c>
      <c r="D357" s="19"/>
      <c r="E357" s="63" t="s">
        <v>188</v>
      </c>
      <c r="F357" s="63" t="s">
        <v>377</v>
      </c>
      <c r="G357" s="142" t="n">
        <v>43613</v>
      </c>
      <c r="H357" s="142" t="n">
        <v>43705</v>
      </c>
      <c r="I357" s="19" t="n">
        <f aca="false">H357-G357</f>
        <v>92</v>
      </c>
      <c r="J357" s="149" t="n">
        <f aca="false">TRUNC(I357/30,0)</f>
        <v>3</v>
      </c>
      <c r="K357" s="183" t="s">
        <v>95</v>
      </c>
      <c r="L357" s="146" t="n">
        <v>1</v>
      </c>
      <c r="M357" s="147" t="n">
        <v>2.09</v>
      </c>
      <c r="N357" s="148" t="s">
        <v>416</v>
      </c>
      <c r="O357" s="149" t="s">
        <v>300</v>
      </c>
      <c r="P357" s="149"/>
      <c r="Q357" s="150" t="n">
        <v>0.0252488</v>
      </c>
      <c r="R357" s="151" t="n">
        <v>3</v>
      </c>
      <c r="S357" s="152" t="n">
        <v>0.0265</v>
      </c>
      <c r="T357" s="151"/>
      <c r="U357" s="152"/>
      <c r="V357" s="152" t="n">
        <v>0.028755</v>
      </c>
      <c r="W357" s="152" t="n">
        <v>0.000575</v>
      </c>
      <c r="X357" s="152" t="n">
        <v>0.00418</v>
      </c>
      <c r="Y357" s="152" t="n">
        <v>0.020618</v>
      </c>
      <c r="Z357" s="152" t="n">
        <v>0.002</v>
      </c>
      <c r="AA357" s="152" t="n">
        <v>0.002</v>
      </c>
      <c r="AB357" s="154" t="n">
        <f aca="false">S357-Z357</f>
        <v>0.0245</v>
      </c>
      <c r="AC357" s="154" t="n">
        <f aca="false">U357-Z357-AA357</f>
        <v>-0.004</v>
      </c>
      <c r="AD357" s="155" t="n">
        <v>0.024</v>
      </c>
      <c r="AE357" s="153" t="n">
        <f aca="false">IF(Y357="","",Y357)</f>
        <v>0.020618</v>
      </c>
      <c r="AF357" s="153" t="n">
        <v>0.003382</v>
      </c>
      <c r="AG357" s="184" t="n">
        <f aca="false">IF(AF357="","",AE357+AF357)</f>
        <v>0.024</v>
      </c>
      <c r="AH357" s="185" t="n">
        <v>43613</v>
      </c>
      <c r="AI357" s="35" t="n">
        <v>1</v>
      </c>
      <c r="AJ357" s="19" t="str">
        <f aca="false">IF(AG357="","N","Y")</f>
        <v>Y</v>
      </c>
      <c r="AK357" s="238" t="s">
        <v>417</v>
      </c>
      <c r="AL357" s="36"/>
    </row>
    <row r="358" s="38" customFormat="true" ht="23.25" hidden="false" customHeight="true" outlineLevel="0" collapsed="false">
      <c r="A358" s="19" t="n">
        <f aca="false">IF(B358="","",IF((YEAR(B358)-YEAR(B357))=0,A357+1,1))</f>
        <v>33</v>
      </c>
      <c r="B358" s="141" t="n">
        <v>43614</v>
      </c>
      <c r="C358" s="63" t="s">
        <v>124</v>
      </c>
      <c r="D358" s="19"/>
      <c r="E358" s="63" t="s">
        <v>418</v>
      </c>
      <c r="F358" s="63" t="s">
        <v>419</v>
      </c>
      <c r="G358" s="142" t="n">
        <v>43614</v>
      </c>
      <c r="H358" s="142" t="n">
        <v>43980</v>
      </c>
      <c r="I358" s="19" t="n">
        <f aca="false">H358-G358</f>
        <v>366</v>
      </c>
      <c r="J358" s="149" t="s">
        <v>396</v>
      </c>
      <c r="K358" s="183" t="s">
        <v>95</v>
      </c>
      <c r="L358" s="146" t="n">
        <v>1.4</v>
      </c>
      <c r="M358" s="147" t="n">
        <v>2.11626</v>
      </c>
      <c r="N358" s="148" t="s">
        <v>420</v>
      </c>
      <c r="O358" s="149" t="s">
        <v>396</v>
      </c>
      <c r="P358" s="149"/>
      <c r="Q358" s="152" t="n">
        <v>0.0259988</v>
      </c>
      <c r="R358" s="151" t="s">
        <v>396</v>
      </c>
      <c r="S358" s="152" t="n">
        <v>0.028</v>
      </c>
      <c r="T358" s="151"/>
      <c r="U358" s="152"/>
      <c r="V358" s="152" t="n">
        <v>0.034694</v>
      </c>
      <c r="W358" s="152" t="n">
        <v>0.000694</v>
      </c>
      <c r="X358" s="152" t="n">
        <v>0.009</v>
      </c>
      <c r="Y358" s="152" t="n">
        <v>0.021279</v>
      </c>
      <c r="Z358" s="152" t="n">
        <v>0.002</v>
      </c>
      <c r="AA358" s="152" t="n">
        <v>0.002</v>
      </c>
      <c r="AB358" s="154" t="n">
        <f aca="false">S358-Z358</f>
        <v>0.026</v>
      </c>
      <c r="AC358" s="154" t="n">
        <f aca="false">U358-Z358-AA358</f>
        <v>-0.004</v>
      </c>
      <c r="AD358" s="155" t="n">
        <v>0.025</v>
      </c>
      <c r="AE358" s="153" t="n">
        <f aca="false">IF(Y358="","",Y358)</f>
        <v>0.021279</v>
      </c>
      <c r="AF358" s="153" t="n">
        <v>0.003712</v>
      </c>
      <c r="AG358" s="184" t="n">
        <f aca="false">IF(AF358="","",AE358+AF358)</f>
        <v>0.024991</v>
      </c>
      <c r="AH358" s="185" t="n">
        <v>43614</v>
      </c>
      <c r="AI358" s="35" t="n">
        <v>1</v>
      </c>
      <c r="AJ358" s="19" t="str">
        <f aca="false">IF(AG358="","N","Y")</f>
        <v>Y</v>
      </c>
      <c r="AK358" s="238" t="s">
        <v>421</v>
      </c>
      <c r="AL358" s="36"/>
    </row>
    <row r="359" s="38" customFormat="true" ht="23.25" hidden="false" customHeight="true" outlineLevel="0" collapsed="false">
      <c r="A359" s="19" t="n">
        <f aca="false">IF(B359="","",IF((YEAR(B359)-YEAR(B358))=0,A358+1,1))</f>
        <v>34</v>
      </c>
      <c r="B359" s="141" t="n">
        <v>43619</v>
      </c>
      <c r="C359" s="63" t="s">
        <v>103</v>
      </c>
      <c r="D359" s="19"/>
      <c r="E359" s="63" t="s">
        <v>206</v>
      </c>
      <c r="F359" s="63" t="s">
        <v>207</v>
      </c>
      <c r="G359" s="142" t="n">
        <v>43619</v>
      </c>
      <c r="H359" s="142" t="n">
        <v>43626</v>
      </c>
      <c r="I359" s="19" t="n">
        <f aca="false">H359-G359</f>
        <v>7</v>
      </c>
      <c r="J359" s="149" t="s">
        <v>305</v>
      </c>
      <c r="K359" s="183" t="s">
        <v>95</v>
      </c>
      <c r="L359" s="146" t="n">
        <v>10</v>
      </c>
      <c r="M359" s="147" t="n">
        <v>1.90118</v>
      </c>
      <c r="N359" s="148" t="s">
        <v>407</v>
      </c>
      <c r="O359" s="149" t="s">
        <v>305</v>
      </c>
      <c r="P359" s="149"/>
      <c r="Q359" s="150" t="n">
        <v>0.02398</v>
      </c>
      <c r="R359" s="151" t="s">
        <v>305</v>
      </c>
      <c r="S359" s="152" t="n">
        <v>0.0249</v>
      </c>
      <c r="T359" s="151"/>
      <c r="U359" s="152"/>
      <c r="V359" s="152" t="n">
        <v>0.02548</v>
      </c>
      <c r="W359" s="152" t="n">
        <v>0.00051</v>
      </c>
      <c r="X359" s="152" t="n">
        <v>0.00297</v>
      </c>
      <c r="Y359" s="152" t="n">
        <v>0.016157</v>
      </c>
      <c r="Z359" s="152" t="n">
        <v>0.002</v>
      </c>
      <c r="AA359" s="152" t="n">
        <v>0.002</v>
      </c>
      <c r="AB359" s="154" t="n">
        <f aca="false">S359-Z359</f>
        <v>0.0229</v>
      </c>
      <c r="AC359" s="154" t="n">
        <f aca="false">U359-Z359-AA359</f>
        <v>-0.004</v>
      </c>
      <c r="AD359" s="155" t="n">
        <v>0.022</v>
      </c>
      <c r="AE359" s="153" t="n">
        <f aca="false">IF(Y359="","",Y359)</f>
        <v>0.016157</v>
      </c>
      <c r="AF359" s="153" t="n">
        <v>0.005843</v>
      </c>
      <c r="AG359" s="184" t="n">
        <f aca="false">IF(AF359="","",AE359+AF359)</f>
        <v>0.022</v>
      </c>
      <c r="AH359" s="185" t="n">
        <v>43619</v>
      </c>
      <c r="AI359" s="35" t="n">
        <v>1</v>
      </c>
      <c r="AJ359" s="19" t="str">
        <f aca="false">IF(AG359="","N","Y")</f>
        <v>Y</v>
      </c>
      <c r="AK359" s="238" t="s">
        <v>422</v>
      </c>
      <c r="AL359" s="36"/>
    </row>
    <row r="360" s="38" customFormat="true" ht="23.25" hidden="false" customHeight="true" outlineLevel="0" collapsed="false">
      <c r="A360" s="19" t="n">
        <f aca="false">IF(B360="","",IF((YEAR(B360)-YEAR(B359))=0,A359+1,1))</f>
        <v>35</v>
      </c>
      <c r="B360" s="141" t="n">
        <v>43620</v>
      </c>
      <c r="C360" s="63" t="s">
        <v>96</v>
      </c>
      <c r="D360" s="19"/>
      <c r="E360" s="63" t="s">
        <v>143</v>
      </c>
      <c r="F360" s="63" t="s">
        <v>423</v>
      </c>
      <c r="G360" s="142" t="n">
        <v>43620</v>
      </c>
      <c r="H360" s="142" t="n">
        <v>43775</v>
      </c>
      <c r="I360" s="19" t="n">
        <f aca="false">H360-G360</f>
        <v>155</v>
      </c>
      <c r="J360" s="149" t="n">
        <f aca="false">TRUNC(I360/30,0)</f>
        <v>5</v>
      </c>
      <c r="K360" s="183" t="s">
        <v>95</v>
      </c>
      <c r="L360" s="146" t="n">
        <v>1.02</v>
      </c>
      <c r="M360" s="147" t="n">
        <v>2.02</v>
      </c>
      <c r="N360" s="148" t="s">
        <v>424</v>
      </c>
      <c r="O360" s="149" t="s">
        <v>337</v>
      </c>
      <c r="P360" s="149"/>
      <c r="Q360" s="150" t="n">
        <v>0.024555</v>
      </c>
      <c r="R360" s="151" t="s">
        <v>337</v>
      </c>
      <c r="S360" s="152" t="n">
        <v>0.027</v>
      </c>
      <c r="T360" s="151"/>
      <c r="U360" s="152"/>
      <c r="V360" s="152" t="n">
        <v>0.028973</v>
      </c>
      <c r="W360" s="152" t="n">
        <v>0.000579</v>
      </c>
      <c r="X360" s="152" t="n">
        <v>0.004394</v>
      </c>
      <c r="Y360" s="152" t="n">
        <v>0.020164</v>
      </c>
      <c r="Z360" s="152" t="n">
        <v>0.002</v>
      </c>
      <c r="AA360" s="152" t="n">
        <v>0.002</v>
      </c>
      <c r="AB360" s="154" t="n">
        <f aca="false">S360-Z360</f>
        <v>0.025</v>
      </c>
      <c r="AC360" s="154" t="n">
        <f aca="false">U360-Z360-AA360</f>
        <v>-0.004</v>
      </c>
      <c r="AD360" s="155" t="n">
        <v>0.024</v>
      </c>
      <c r="AE360" s="153" t="n">
        <f aca="false">IF(Y360="","",Y360)</f>
        <v>0.020164</v>
      </c>
      <c r="AF360" s="153" t="n">
        <v>0.003836</v>
      </c>
      <c r="AG360" s="184" t="n">
        <f aca="false">IF(AF360="","",AE360+AF360)</f>
        <v>0.024</v>
      </c>
      <c r="AH360" s="185" t="n">
        <v>43620</v>
      </c>
      <c r="AI360" s="35" t="n">
        <v>1</v>
      </c>
      <c r="AJ360" s="19" t="str">
        <f aca="false">IF(AG360="","N","Y")</f>
        <v>Y</v>
      </c>
      <c r="AK360" s="238" t="s">
        <v>425</v>
      </c>
      <c r="AL360" s="36"/>
    </row>
    <row r="361" s="38" customFormat="true" ht="23.25" hidden="false" customHeight="true" outlineLevel="0" collapsed="false">
      <c r="A361" s="19" t="n">
        <f aca="false">IF(B361="","",IF((YEAR(B361)-YEAR(B360))=0,A360+1,1))</f>
        <v>36</v>
      </c>
      <c r="B361" s="141" t="n">
        <v>43626</v>
      </c>
      <c r="C361" s="63" t="s">
        <v>103</v>
      </c>
      <c r="D361" s="19"/>
      <c r="E361" s="63" t="s">
        <v>206</v>
      </c>
      <c r="F361" s="63" t="s">
        <v>207</v>
      </c>
      <c r="G361" s="142" t="n">
        <v>43626</v>
      </c>
      <c r="H361" s="142" t="n">
        <v>43633</v>
      </c>
      <c r="I361" s="19" t="n">
        <f aca="false">H361-G361</f>
        <v>7</v>
      </c>
      <c r="J361" s="149" t="s">
        <v>305</v>
      </c>
      <c r="K361" s="183" t="s">
        <v>95</v>
      </c>
      <c r="L361" s="146" t="n">
        <v>10</v>
      </c>
      <c r="M361" s="147" t="n">
        <v>1.88</v>
      </c>
      <c r="N361" s="148" t="s">
        <v>426</v>
      </c>
      <c r="O361" s="149" t="s">
        <v>305</v>
      </c>
      <c r="P361" s="149"/>
      <c r="Q361" s="150" t="n">
        <v>0.0237638</v>
      </c>
      <c r="R361" s="151" t="s">
        <v>305</v>
      </c>
      <c r="S361" s="152" t="n">
        <v>0.0246</v>
      </c>
      <c r="T361" s="151"/>
      <c r="U361" s="152"/>
      <c r="V361" s="152" t="n">
        <v>0.025285</v>
      </c>
      <c r="W361" s="152" t="n">
        <v>0.000506</v>
      </c>
      <c r="X361" s="152" t="n">
        <v>0.002779</v>
      </c>
      <c r="Y361" s="152" t="n">
        <v>0.016037</v>
      </c>
      <c r="Z361" s="152" t="n">
        <v>0.002</v>
      </c>
      <c r="AA361" s="152" t="n">
        <v>0.002</v>
      </c>
      <c r="AB361" s="154" t="n">
        <f aca="false">S361-Z361</f>
        <v>0.0226</v>
      </c>
      <c r="AC361" s="154" t="n">
        <f aca="false">U361-Z361-AA361</f>
        <v>-0.004</v>
      </c>
      <c r="AD361" s="155" t="n">
        <v>0.022</v>
      </c>
      <c r="AE361" s="153" t="n">
        <f aca="false">IF(Y361="","",Y361)</f>
        <v>0.016037</v>
      </c>
      <c r="AF361" s="153" t="n">
        <v>0.005963</v>
      </c>
      <c r="AG361" s="184" t="n">
        <f aca="false">IF(AF361="","",AE361+AF361)</f>
        <v>0.022</v>
      </c>
      <c r="AH361" s="185" t="n">
        <v>43626</v>
      </c>
      <c r="AI361" s="35" t="n">
        <v>1</v>
      </c>
      <c r="AJ361" s="19" t="str">
        <f aca="false">IF(AG361="","N","Y")</f>
        <v>Y</v>
      </c>
      <c r="AK361" s="159" t="s">
        <v>427</v>
      </c>
      <c r="AL361" s="36"/>
    </row>
    <row r="362" s="38" customFormat="true" ht="23.25" hidden="false" customHeight="true" outlineLevel="0" collapsed="false">
      <c r="A362" s="19" t="n">
        <f aca="false">IF(B362="","",IF((YEAR(B362)-YEAR(B361))=0,A361+1,1))</f>
        <v>37</v>
      </c>
      <c r="B362" s="141" t="n">
        <v>43626</v>
      </c>
      <c r="C362" s="63" t="s">
        <v>103</v>
      </c>
      <c r="D362" s="19"/>
      <c r="E362" s="63" t="s">
        <v>206</v>
      </c>
      <c r="F362" s="63" t="s">
        <v>400</v>
      </c>
      <c r="G362" s="142" t="n">
        <v>43626</v>
      </c>
      <c r="H362" s="142" t="n">
        <v>43640</v>
      </c>
      <c r="I362" s="19" t="n">
        <f aca="false">H362-G362</f>
        <v>14</v>
      </c>
      <c r="J362" s="149" t="s">
        <v>366</v>
      </c>
      <c r="K362" s="183" t="s">
        <v>95</v>
      </c>
      <c r="L362" s="146" t="n">
        <v>10</v>
      </c>
      <c r="M362" s="147" t="n">
        <v>1.84</v>
      </c>
      <c r="N362" s="148" t="s">
        <v>405</v>
      </c>
      <c r="O362" s="149" t="s">
        <v>305</v>
      </c>
      <c r="P362" s="149"/>
      <c r="Q362" s="150" t="n">
        <v>0.0237638</v>
      </c>
      <c r="R362" s="151" t="s">
        <v>366</v>
      </c>
      <c r="S362" s="152" t="n">
        <v>0.0246</v>
      </c>
      <c r="T362" s="151"/>
      <c r="U362" s="152"/>
      <c r="V362" s="152" t="n">
        <v>0.025673</v>
      </c>
      <c r="W362" s="152" t="n">
        <v>0.000513</v>
      </c>
      <c r="X362" s="152" t="n">
        <v>0.002859</v>
      </c>
      <c r="Y362" s="152" t="n">
        <v>0.016037</v>
      </c>
      <c r="Z362" s="152" t="n">
        <v>0.002</v>
      </c>
      <c r="AA362" s="152" t="n">
        <v>0.002</v>
      </c>
      <c r="AB362" s="154" t="n">
        <f aca="false">S362-Z362</f>
        <v>0.0226</v>
      </c>
      <c r="AC362" s="154" t="n">
        <f aca="false">U362-Z362-AA362</f>
        <v>-0.004</v>
      </c>
      <c r="AD362" s="155" t="n">
        <v>0.0223</v>
      </c>
      <c r="AE362" s="153" t="n">
        <f aca="false">IF(Y362="","",Y362)</f>
        <v>0.016037</v>
      </c>
      <c r="AF362" s="153" t="n">
        <v>0.006263</v>
      </c>
      <c r="AG362" s="184" t="n">
        <f aca="false">IF(AF362="","",AE362+AF362)</f>
        <v>0.0223</v>
      </c>
      <c r="AH362" s="185" t="n">
        <v>43626</v>
      </c>
      <c r="AI362" s="35" t="n">
        <v>2</v>
      </c>
      <c r="AJ362" s="19" t="str">
        <f aca="false">IF(AG362="","N","Y")</f>
        <v>Y</v>
      </c>
      <c r="AK362" s="159" t="s">
        <v>428</v>
      </c>
      <c r="AL362" s="36"/>
    </row>
    <row r="363" s="220" customFormat="true" ht="23.25" hidden="false" customHeight="true" outlineLevel="0" collapsed="false">
      <c r="A363" s="200" t="n">
        <f aca="false">IF(B363="","",IF((YEAR(B363)-YEAR(B362))=0,A362+1,1))</f>
        <v>38</v>
      </c>
      <c r="B363" s="199" t="n">
        <v>43626</v>
      </c>
      <c r="C363" s="200" t="s">
        <v>103</v>
      </c>
      <c r="D363" s="200"/>
      <c r="E363" s="200" t="s">
        <v>206</v>
      </c>
      <c r="F363" s="200" t="s">
        <v>389</v>
      </c>
      <c r="G363" s="201" t="n">
        <v>43626</v>
      </c>
      <c r="H363" s="201" t="n">
        <v>43656</v>
      </c>
      <c r="I363" s="200" t="n">
        <f aca="false">H363-G363</f>
        <v>30</v>
      </c>
      <c r="J363" s="228" t="n">
        <f aca="false">TRUNC(I363/30,0)</f>
        <v>1</v>
      </c>
      <c r="K363" s="203" t="s">
        <v>99</v>
      </c>
      <c r="L363" s="204" t="n">
        <v>1.99</v>
      </c>
      <c r="M363" s="205" t="n">
        <v>1.3</v>
      </c>
      <c r="N363" s="227" t="s">
        <v>429</v>
      </c>
      <c r="O363" s="228" t="s">
        <v>305</v>
      </c>
      <c r="P363" s="228"/>
      <c r="Q363" s="208" t="n">
        <v>0.0237638</v>
      </c>
      <c r="R363" s="207" t="s">
        <v>305</v>
      </c>
      <c r="S363" s="209" t="n">
        <v>0.0246</v>
      </c>
      <c r="T363" s="207"/>
      <c r="U363" s="209"/>
      <c r="V363" s="209" t="n">
        <v>0.026616</v>
      </c>
      <c r="W363" s="209" t="n">
        <v>0.001863</v>
      </c>
      <c r="X363" s="209" t="n">
        <v>0.009753</v>
      </c>
      <c r="Y363" s="209" t="n">
        <v>0.014037</v>
      </c>
      <c r="Z363" s="209" t="n">
        <v>0.0033</v>
      </c>
      <c r="AA363" s="209" t="n">
        <v>0.002</v>
      </c>
      <c r="AB363" s="211" t="n">
        <f aca="false">S363-Z363</f>
        <v>0.0213</v>
      </c>
      <c r="AC363" s="211" t="n">
        <f aca="false">U363-Z363-AA363</f>
        <v>-0.0053</v>
      </c>
      <c r="AD363" s="212" t="n">
        <v>0.015</v>
      </c>
      <c r="AE363" s="210" t="n">
        <f aca="false">IF(Y363="","",Y363)</f>
        <v>0.014037</v>
      </c>
      <c r="AF363" s="210" t="n">
        <v>0.000963</v>
      </c>
      <c r="AG363" s="214" t="n">
        <f aca="false">IF(AF363="","",AE363+AF363)</f>
        <v>0.015</v>
      </c>
      <c r="AH363" s="215" t="n">
        <v>43626</v>
      </c>
      <c r="AI363" s="216" t="n">
        <v>3</v>
      </c>
      <c r="AJ363" s="217" t="str">
        <f aca="false">IF(AG363="","N","Y")</f>
        <v>Y</v>
      </c>
      <c r="AK363" s="239" t="s">
        <v>372</v>
      </c>
      <c r="AL363" s="229"/>
    </row>
    <row r="364" s="220" customFormat="true" ht="23.25" hidden="false" customHeight="true" outlineLevel="0" collapsed="false">
      <c r="A364" s="200" t="n">
        <f aca="false">IF(B364="","",IF((YEAR(B364)-YEAR(B363))=0,A363+1,1))</f>
        <v>39</v>
      </c>
      <c r="B364" s="199" t="n">
        <v>43633</v>
      </c>
      <c r="C364" s="200" t="s">
        <v>96</v>
      </c>
      <c r="D364" s="217"/>
      <c r="E364" s="200" t="s">
        <v>143</v>
      </c>
      <c r="F364" s="200" t="s">
        <v>360</v>
      </c>
      <c r="G364" s="201" t="n">
        <v>43633</v>
      </c>
      <c r="H364" s="201" t="n">
        <v>43663</v>
      </c>
      <c r="I364" s="200" t="n">
        <f aca="false">H364-G364</f>
        <v>30</v>
      </c>
      <c r="J364" s="228" t="n">
        <f aca="false">TRUNC(I364/30,0)</f>
        <v>1</v>
      </c>
      <c r="K364" s="203" t="s">
        <v>99</v>
      </c>
      <c r="L364" s="204" t="n">
        <v>20</v>
      </c>
      <c r="M364" s="205" t="n">
        <v>1.3</v>
      </c>
      <c r="N364" s="227" t="s">
        <v>429</v>
      </c>
      <c r="O364" s="228" t="s">
        <v>305</v>
      </c>
      <c r="P364" s="228"/>
      <c r="Q364" s="209" t="n">
        <v>0.0237</v>
      </c>
      <c r="R364" s="207" t="s">
        <v>305</v>
      </c>
      <c r="S364" s="209" t="n">
        <v>0.0244</v>
      </c>
      <c r="T364" s="207"/>
      <c r="U364" s="209"/>
      <c r="V364" s="209" t="n">
        <v>0.026443</v>
      </c>
      <c r="W364" s="209" t="n">
        <v>0.001851</v>
      </c>
      <c r="X364" s="209" t="n">
        <v>0.009592</v>
      </c>
      <c r="Y364" s="209" t="n">
        <v>0.013978</v>
      </c>
      <c r="Z364" s="209" t="n">
        <v>0.0033</v>
      </c>
      <c r="AA364" s="209" t="n">
        <v>0.002</v>
      </c>
      <c r="AB364" s="211" t="n">
        <f aca="false">S364-Z364</f>
        <v>0.0211</v>
      </c>
      <c r="AC364" s="211" t="n">
        <f aca="false">U364-Z364-AA364</f>
        <v>-0.0053</v>
      </c>
      <c r="AD364" s="212" t="n">
        <v>0.015</v>
      </c>
      <c r="AE364" s="210" t="n">
        <f aca="false">IF(Y364="","",Y364)</f>
        <v>0.013978</v>
      </c>
      <c r="AF364" s="210" t="n">
        <v>0.001022</v>
      </c>
      <c r="AG364" s="214" t="n">
        <f aca="false">IF(AF364="","",AE364+AF364)</f>
        <v>0.015</v>
      </c>
      <c r="AH364" s="215" t="n">
        <v>43633</v>
      </c>
      <c r="AI364" s="216" t="n">
        <v>1</v>
      </c>
      <c r="AJ364" s="217" t="str">
        <f aca="false">IF(AG364="","N","Y")</f>
        <v>Y</v>
      </c>
      <c r="AK364" s="239" t="s">
        <v>372</v>
      </c>
      <c r="AL364" s="229"/>
    </row>
    <row r="365" s="38" customFormat="true" ht="23.25" hidden="false" customHeight="true" outlineLevel="0" collapsed="false">
      <c r="A365" s="19" t="n">
        <f aca="false">IF(B365="","",IF((YEAR(B365)-YEAR(B364))=0,A364+1,1))</f>
        <v>40</v>
      </c>
      <c r="B365" s="141" t="n">
        <v>43633</v>
      </c>
      <c r="C365" s="63" t="s">
        <v>124</v>
      </c>
      <c r="D365" s="19"/>
      <c r="E365" s="63" t="s">
        <v>430</v>
      </c>
      <c r="F365" s="63" t="s">
        <v>431</v>
      </c>
      <c r="G365" s="142" t="n">
        <v>43633</v>
      </c>
      <c r="H365" s="142" t="n">
        <v>43663</v>
      </c>
      <c r="I365" s="19" t="n">
        <f aca="false">H365-G365</f>
        <v>30</v>
      </c>
      <c r="J365" s="149" t="n">
        <f aca="false">TRUNC(I365/30,0)</f>
        <v>1</v>
      </c>
      <c r="K365" s="183" t="s">
        <v>95</v>
      </c>
      <c r="L365" s="146" t="n">
        <v>1.5</v>
      </c>
      <c r="M365" s="147" t="n">
        <v>1.93</v>
      </c>
      <c r="N365" s="148" t="s">
        <v>432</v>
      </c>
      <c r="O365" s="149" t="s">
        <v>255</v>
      </c>
      <c r="P365" s="149"/>
      <c r="Q365" s="152" t="n">
        <v>0.0238175</v>
      </c>
      <c r="R365" s="151" t="s">
        <v>255</v>
      </c>
      <c r="S365" s="152" t="n">
        <v>0.025</v>
      </c>
      <c r="T365" s="151"/>
      <c r="U365" s="152"/>
      <c r="V365" s="152" t="n">
        <v>0.026437</v>
      </c>
      <c r="W365" s="152" t="n">
        <v>0.000529</v>
      </c>
      <c r="X365" s="152" t="n">
        <v>0.004708</v>
      </c>
      <c r="Y365" s="152" t="n">
        <v>0.018016</v>
      </c>
      <c r="Z365" s="152" t="n">
        <v>0.002</v>
      </c>
      <c r="AA365" s="152" t="n">
        <v>0.002</v>
      </c>
      <c r="AB365" s="154" t="n">
        <f aca="false">S365-Z365</f>
        <v>0.023</v>
      </c>
      <c r="AC365" s="154" t="n">
        <f aca="false">U365-Z365-AA365</f>
        <v>-0.004</v>
      </c>
      <c r="AD365" s="155" t="n">
        <v>0.0212</v>
      </c>
      <c r="AE365" s="153" t="n">
        <f aca="false">IF(Y365="","",Y365)</f>
        <v>0.018016</v>
      </c>
      <c r="AF365" s="153" t="n">
        <v>0.003184</v>
      </c>
      <c r="AG365" s="184" t="n">
        <f aca="false">IF(AF365="","",AE365+AF365)</f>
        <v>0.0212</v>
      </c>
      <c r="AH365" s="185" t="n">
        <v>43633</v>
      </c>
      <c r="AI365" s="35" t="n">
        <v>7</v>
      </c>
      <c r="AJ365" s="19" t="str">
        <f aca="false">IF(AG365="","N","Y")</f>
        <v>Y</v>
      </c>
      <c r="AK365" s="238" t="s">
        <v>433</v>
      </c>
      <c r="AL365" s="36"/>
    </row>
    <row r="366" s="38" customFormat="true" ht="23.25" hidden="false" customHeight="true" outlineLevel="0" collapsed="false">
      <c r="A366" s="19" t="n">
        <f aca="false">IF(B366="","",IF((YEAR(B366)-YEAR(B365))=0,A365+1,1))</f>
        <v>41</v>
      </c>
      <c r="B366" s="141" t="n">
        <v>43633</v>
      </c>
      <c r="C366" s="63" t="s">
        <v>124</v>
      </c>
      <c r="D366" s="19"/>
      <c r="E366" s="63" t="s">
        <v>430</v>
      </c>
      <c r="F366" s="63" t="s">
        <v>431</v>
      </c>
      <c r="G366" s="142" t="n">
        <v>43633</v>
      </c>
      <c r="H366" s="142" t="n">
        <v>43725</v>
      </c>
      <c r="I366" s="19" t="n">
        <f aca="false">H366-G366</f>
        <v>92</v>
      </c>
      <c r="J366" s="149" t="n">
        <f aca="false">TRUNC(I366/30,0)</f>
        <v>3</v>
      </c>
      <c r="K366" s="183" t="s">
        <v>95</v>
      </c>
      <c r="L366" s="146" t="n">
        <v>1</v>
      </c>
      <c r="M366" s="147" t="n">
        <v>1.99</v>
      </c>
      <c r="N366" s="148" t="s">
        <v>432</v>
      </c>
      <c r="O366" s="149" t="s">
        <v>265</v>
      </c>
      <c r="P366" s="149"/>
      <c r="Q366" s="152" t="n">
        <v>0.02402</v>
      </c>
      <c r="R366" s="151" t="s">
        <v>265</v>
      </c>
      <c r="S366" s="152" t="n">
        <v>0.0255</v>
      </c>
      <c r="T366" s="151"/>
      <c r="U366" s="152"/>
      <c r="V366" s="152" t="n">
        <v>0.027599</v>
      </c>
      <c r="W366" s="152" t="n">
        <v>0.000552</v>
      </c>
      <c r="X366" s="152" t="n">
        <v>0.004847</v>
      </c>
      <c r="Y366" s="152" t="n">
        <v>0.019414</v>
      </c>
      <c r="Z366" s="152" t="n">
        <v>0.002</v>
      </c>
      <c r="AA366" s="152" t="n">
        <v>0.002</v>
      </c>
      <c r="AB366" s="154" t="n">
        <f aca="false">S366-Z366</f>
        <v>0.0235</v>
      </c>
      <c r="AC366" s="154" t="n">
        <f aca="false">U366-Z366-AA366</f>
        <v>-0.004</v>
      </c>
      <c r="AD366" s="155" t="n">
        <v>0.0222</v>
      </c>
      <c r="AE366" s="153" t="n">
        <f aca="false">IF(Y366="","",Y366)</f>
        <v>0.019414</v>
      </c>
      <c r="AF366" s="153" t="n">
        <v>0.002786</v>
      </c>
      <c r="AG366" s="184" t="n">
        <f aca="false">IF(AF366="","",AE366+AF366)</f>
        <v>0.0222</v>
      </c>
      <c r="AH366" s="185" t="n">
        <v>43633</v>
      </c>
      <c r="AI366" s="35" t="n">
        <v>8</v>
      </c>
      <c r="AJ366" s="19" t="str">
        <f aca="false">IF(AG366="","N","Y")</f>
        <v>Y</v>
      </c>
      <c r="AK366" s="238" t="s">
        <v>434</v>
      </c>
      <c r="AL366" s="36"/>
    </row>
    <row r="367" s="38" customFormat="true" ht="23.25" hidden="false" customHeight="true" outlineLevel="0" collapsed="false">
      <c r="A367" s="19" t="n">
        <f aca="false">IF(B367="","",IF((YEAR(B367)-YEAR(B366))=0,A366+1,1))</f>
        <v>42</v>
      </c>
      <c r="B367" s="141" t="n">
        <v>43633</v>
      </c>
      <c r="C367" s="63" t="s">
        <v>103</v>
      </c>
      <c r="D367" s="19"/>
      <c r="E367" s="63" t="s">
        <v>435</v>
      </c>
      <c r="F367" s="63" t="s">
        <v>390</v>
      </c>
      <c r="G367" s="142" t="n">
        <v>43633</v>
      </c>
      <c r="H367" s="142" t="n">
        <v>43640</v>
      </c>
      <c r="I367" s="19" t="n">
        <f aca="false">H367-G367</f>
        <v>7</v>
      </c>
      <c r="J367" s="149" t="s">
        <v>305</v>
      </c>
      <c r="K367" s="183" t="s">
        <v>95</v>
      </c>
      <c r="L367" s="146" t="n">
        <v>20</v>
      </c>
      <c r="M367" s="147" t="n">
        <v>1.87</v>
      </c>
      <c r="N367" s="148" t="s">
        <v>426</v>
      </c>
      <c r="O367" s="149" t="s">
        <v>305</v>
      </c>
      <c r="P367" s="149"/>
      <c r="Q367" s="150" t="n">
        <v>0.0237</v>
      </c>
      <c r="R367" s="151" t="s">
        <v>305</v>
      </c>
      <c r="S367" s="152" t="n">
        <v>0.0244</v>
      </c>
      <c r="T367" s="151"/>
      <c r="U367" s="152"/>
      <c r="V367" s="152" t="n">
        <v>0.025146</v>
      </c>
      <c r="W367" s="152" t="n">
        <v>0.000503</v>
      </c>
      <c r="X367" s="152" t="n">
        <v>0.002643</v>
      </c>
      <c r="Y367" s="152" t="n">
        <v>0.015978</v>
      </c>
      <c r="Z367" s="152" t="n">
        <v>0.002</v>
      </c>
      <c r="AA367" s="152" t="n">
        <v>0.002</v>
      </c>
      <c r="AB367" s="154" t="n">
        <f aca="false">S367-Z367</f>
        <v>0.0224</v>
      </c>
      <c r="AC367" s="154" t="n">
        <f aca="false">U367-Z367-AA367</f>
        <v>-0.004</v>
      </c>
      <c r="AD367" s="155" t="n">
        <v>0.022</v>
      </c>
      <c r="AE367" s="153" t="n">
        <f aca="false">IF(Y367="","",Y367)</f>
        <v>0.015978</v>
      </c>
      <c r="AF367" s="153" t="n">
        <v>0.006022</v>
      </c>
      <c r="AG367" s="184" t="n">
        <f aca="false">IF(AF367="","",AE367+AF367)</f>
        <v>0.022</v>
      </c>
      <c r="AH367" s="185" t="n">
        <v>43633</v>
      </c>
      <c r="AI367" s="35" t="n">
        <v>9</v>
      </c>
      <c r="AJ367" s="19" t="str">
        <f aca="false">IF(AG367="","N","Y")</f>
        <v>Y</v>
      </c>
      <c r="AK367" s="159" t="s">
        <v>436</v>
      </c>
      <c r="AL367" s="36"/>
    </row>
    <row r="368" s="38" customFormat="true" ht="23.25" hidden="false" customHeight="true" outlineLevel="0" collapsed="false">
      <c r="A368" s="19" t="n">
        <f aca="false">IF(B368="","",IF((YEAR(B368)-YEAR(B367))=0,A367+1,1))</f>
        <v>43</v>
      </c>
      <c r="B368" s="141" t="n">
        <v>43637</v>
      </c>
      <c r="C368" s="63" t="s">
        <v>103</v>
      </c>
      <c r="D368" s="19"/>
      <c r="E368" s="63" t="s">
        <v>206</v>
      </c>
      <c r="F368" s="63" t="s">
        <v>386</v>
      </c>
      <c r="G368" s="142" t="n">
        <v>43637</v>
      </c>
      <c r="H368" s="142" t="n">
        <v>43651</v>
      </c>
      <c r="I368" s="19" t="n">
        <f aca="false">H368-G368</f>
        <v>14</v>
      </c>
      <c r="J368" s="149" t="s">
        <v>366</v>
      </c>
      <c r="K368" s="183" t="s">
        <v>95</v>
      </c>
      <c r="L368" s="146" t="n">
        <v>5</v>
      </c>
      <c r="M368" s="147" t="n">
        <v>1.83</v>
      </c>
      <c r="N368" s="148" t="s">
        <v>437</v>
      </c>
      <c r="O368" s="149" t="s">
        <v>305</v>
      </c>
      <c r="P368" s="149"/>
      <c r="Q368" s="150" t="n">
        <v>0.0236875</v>
      </c>
      <c r="R368" s="151" t="s">
        <v>366</v>
      </c>
      <c r="S368" s="152" t="n">
        <v>0.0246</v>
      </c>
      <c r="T368" s="151"/>
      <c r="U368" s="152"/>
      <c r="V368" s="152" t="n">
        <v>0.025438</v>
      </c>
      <c r="W368" s="152" t="n">
        <v>0.000509</v>
      </c>
      <c r="X368" s="152" t="n">
        <v>0.002429</v>
      </c>
      <c r="Y368" s="152" t="n">
        <v>0.016088</v>
      </c>
      <c r="Z368" s="152" t="n">
        <v>0.002</v>
      </c>
      <c r="AA368" s="152" t="n">
        <v>0.002</v>
      </c>
      <c r="AB368" s="154" t="n">
        <f aca="false">S368-Z368</f>
        <v>0.0226</v>
      </c>
      <c r="AC368" s="154" t="n">
        <f aca="false">U368-Z368-AA368</f>
        <v>-0.004</v>
      </c>
      <c r="AD368" s="155" t="n">
        <v>0.0223</v>
      </c>
      <c r="AE368" s="153" t="n">
        <f aca="false">IF(Y368="","",Y368)</f>
        <v>0.016088</v>
      </c>
      <c r="AF368" s="153" t="n">
        <v>0.006212</v>
      </c>
      <c r="AG368" s="184" t="n">
        <f aca="false">IF(AF368="","",AE368+AF368)</f>
        <v>0.0223</v>
      </c>
      <c r="AH368" s="185" t="n">
        <v>43637</v>
      </c>
      <c r="AI368" s="35" t="n">
        <v>1</v>
      </c>
      <c r="AJ368" s="19" t="str">
        <f aca="false">IF(AG368="","N","Y")</f>
        <v>Y</v>
      </c>
      <c r="AK368" s="238" t="s">
        <v>438</v>
      </c>
      <c r="AL368" s="36"/>
    </row>
    <row r="369" s="38" customFormat="true" ht="23.25" hidden="false" customHeight="true" outlineLevel="0" collapsed="false">
      <c r="A369" s="19" t="n">
        <f aca="false">IF(B369="","",IF((YEAR(B369)-YEAR(B368))=0,A368+1,1))</f>
        <v>44</v>
      </c>
      <c r="B369" s="141" t="n">
        <v>43640</v>
      </c>
      <c r="C369" s="63" t="s">
        <v>103</v>
      </c>
      <c r="D369" s="19"/>
      <c r="E369" s="63" t="s">
        <v>435</v>
      </c>
      <c r="F369" s="63" t="s">
        <v>390</v>
      </c>
      <c r="G369" s="142" t="n">
        <v>43640</v>
      </c>
      <c r="H369" s="142" t="n">
        <v>43647</v>
      </c>
      <c r="I369" s="19" t="n">
        <f aca="false">H369-G369</f>
        <v>7</v>
      </c>
      <c r="J369" s="149" t="s">
        <v>305</v>
      </c>
      <c r="K369" s="183" t="s">
        <v>95</v>
      </c>
      <c r="L369" s="146" t="n">
        <v>20</v>
      </c>
      <c r="M369" s="147" t="n">
        <v>1.88</v>
      </c>
      <c r="N369" s="148" t="s">
        <v>426</v>
      </c>
      <c r="O369" s="149" t="s">
        <v>305</v>
      </c>
      <c r="P369" s="149"/>
      <c r="Q369" s="150" t="n">
        <v>0.0236875</v>
      </c>
      <c r="R369" s="151" t="s">
        <v>305</v>
      </c>
      <c r="S369" s="152" t="n">
        <v>0.0271</v>
      </c>
      <c r="T369" s="151"/>
      <c r="U369" s="152"/>
      <c r="V369" s="152" t="n">
        <v>0.025319</v>
      </c>
      <c r="W369" s="152" t="n">
        <v>0.000506</v>
      </c>
      <c r="X369" s="152" t="n">
        <v>0.002812</v>
      </c>
      <c r="Y369" s="152" t="n">
        <v>0.015966</v>
      </c>
      <c r="Z369" s="152" t="n">
        <v>0.002</v>
      </c>
      <c r="AA369" s="152" t="n">
        <v>0.002</v>
      </c>
      <c r="AB369" s="154" t="n">
        <f aca="false">S369-Z369</f>
        <v>0.0251</v>
      </c>
      <c r="AC369" s="154" t="n">
        <f aca="false">U369-Z369-AA369</f>
        <v>-0.004</v>
      </c>
      <c r="AD369" s="155" t="n">
        <v>0.022</v>
      </c>
      <c r="AE369" s="153" t="n">
        <f aca="false">IF(Y369="","",Y369)</f>
        <v>0.015966</v>
      </c>
      <c r="AF369" s="153" t="n">
        <v>0.006034</v>
      </c>
      <c r="AG369" s="184" t="n">
        <f aca="false">IF(AF369="","",AE369+AF369)</f>
        <v>0.022</v>
      </c>
      <c r="AH369" s="185" t="n">
        <v>43640</v>
      </c>
      <c r="AI369" s="35" t="n">
        <v>1</v>
      </c>
      <c r="AJ369" s="19" t="str">
        <f aca="false">IF(AG369="","N","Y")</f>
        <v>Y</v>
      </c>
      <c r="AK369" s="238" t="s">
        <v>439</v>
      </c>
      <c r="AL369" s="36"/>
    </row>
    <row r="370" s="38" customFormat="true" ht="23.25" hidden="false" customHeight="true" outlineLevel="0" collapsed="false">
      <c r="A370" s="19" t="n">
        <f aca="false">IF(B370="","",IF((YEAR(B370)-YEAR(B369))=0,A369+1,1))</f>
        <v>45</v>
      </c>
      <c r="B370" s="141" t="n">
        <v>43642</v>
      </c>
      <c r="C370" s="63" t="s">
        <v>440</v>
      </c>
      <c r="D370" s="19"/>
      <c r="E370" s="63" t="s">
        <v>441</v>
      </c>
      <c r="F370" s="63" t="s">
        <v>442</v>
      </c>
      <c r="G370" s="142" t="n">
        <v>43642</v>
      </c>
      <c r="H370" s="142" t="n">
        <v>43672</v>
      </c>
      <c r="I370" s="19" t="n">
        <f aca="false">H370-G370</f>
        <v>30</v>
      </c>
      <c r="J370" s="149" t="n">
        <f aca="false">TRUNC(I370/30,0)</f>
        <v>1</v>
      </c>
      <c r="K370" s="183" t="s">
        <v>95</v>
      </c>
      <c r="L370" s="146" t="n">
        <v>2</v>
      </c>
      <c r="M370" s="147" t="n">
        <v>1.93</v>
      </c>
      <c r="N370" s="148" t="s">
        <v>432</v>
      </c>
      <c r="O370" s="149" t="s">
        <v>255</v>
      </c>
      <c r="P370" s="149"/>
      <c r="Q370" s="150" t="n">
        <v>0.0240238</v>
      </c>
      <c r="R370" s="151" t="s">
        <v>255</v>
      </c>
      <c r="S370" s="152" t="n">
        <v>0.025</v>
      </c>
      <c r="T370" s="151"/>
      <c r="U370" s="152"/>
      <c r="V370" s="152" t="n">
        <v>0.026513</v>
      </c>
      <c r="W370" s="152" t="n">
        <v>0.00053</v>
      </c>
      <c r="X370" s="152" t="n">
        <v>0.003982</v>
      </c>
      <c r="Y370" s="152" t="n">
        <v>0.018235</v>
      </c>
      <c r="Z370" s="152" t="n">
        <v>0.002</v>
      </c>
      <c r="AA370" s="152" t="n">
        <v>0.002</v>
      </c>
      <c r="AB370" s="154" t="n">
        <f aca="false">S370-Z370</f>
        <v>0.023</v>
      </c>
      <c r="AC370" s="154" t="n">
        <f aca="false">U370-Z370-AA370</f>
        <v>-0.004</v>
      </c>
      <c r="AD370" s="155" t="n">
        <v>0.022</v>
      </c>
      <c r="AE370" s="153" t="n">
        <f aca="false">IF(Y370="","",Y370)</f>
        <v>0.018235</v>
      </c>
      <c r="AF370" s="153" t="n">
        <v>0.003765</v>
      </c>
      <c r="AG370" s="184" t="n">
        <f aca="false">IF(AF370="","",AE370+AF370)</f>
        <v>0.022</v>
      </c>
      <c r="AH370" s="185" t="n">
        <v>43642</v>
      </c>
      <c r="AI370" s="35" t="n">
        <v>6</v>
      </c>
      <c r="AJ370" s="19" t="str">
        <f aca="false">IF(AG370="","N","Y")</f>
        <v>Y</v>
      </c>
      <c r="AK370" s="238" t="s">
        <v>443</v>
      </c>
      <c r="AL370" s="36"/>
    </row>
    <row r="371" s="38" customFormat="true" ht="23.25" hidden="false" customHeight="true" outlineLevel="0" collapsed="false">
      <c r="A371" s="19" t="n">
        <f aca="false">IF(B371="","",IF((YEAR(B371)-YEAR(B370))=0,A370+1,1))</f>
        <v>46</v>
      </c>
      <c r="B371" s="141" t="n">
        <v>43642</v>
      </c>
      <c r="C371" s="63" t="s">
        <v>440</v>
      </c>
      <c r="D371" s="19"/>
      <c r="E371" s="63" t="s">
        <v>441</v>
      </c>
      <c r="F371" s="63" t="s">
        <v>442</v>
      </c>
      <c r="G371" s="142" t="n">
        <v>43642</v>
      </c>
      <c r="H371" s="142" t="n">
        <v>43672</v>
      </c>
      <c r="I371" s="19" t="n">
        <f aca="false">H371-G371</f>
        <v>30</v>
      </c>
      <c r="J371" s="149" t="n">
        <f aca="false">TRUNC(I371/30,0)</f>
        <v>1</v>
      </c>
      <c r="K371" s="183" t="s">
        <v>95</v>
      </c>
      <c r="L371" s="146" t="n">
        <v>4</v>
      </c>
      <c r="M371" s="147" t="n">
        <v>1.93</v>
      </c>
      <c r="N371" s="148" t="s">
        <v>432</v>
      </c>
      <c r="O371" s="149" t="s">
        <v>255</v>
      </c>
      <c r="P371" s="149"/>
      <c r="Q371" s="150" t="n">
        <v>0.0240238</v>
      </c>
      <c r="R371" s="151" t="s">
        <v>255</v>
      </c>
      <c r="S371" s="152" t="n">
        <v>0.025</v>
      </c>
      <c r="T371" s="151"/>
      <c r="U371" s="152"/>
      <c r="V371" s="152" t="n">
        <v>0.026513</v>
      </c>
      <c r="W371" s="152" t="n">
        <v>0.00053</v>
      </c>
      <c r="X371" s="152" t="n">
        <v>0.003982</v>
      </c>
      <c r="Y371" s="152" t="n">
        <v>0.018235</v>
      </c>
      <c r="Z371" s="152" t="n">
        <v>0.002</v>
      </c>
      <c r="AA371" s="152" t="n">
        <v>0.002</v>
      </c>
      <c r="AB371" s="154" t="n">
        <f aca="false">S371-Z371</f>
        <v>0.023</v>
      </c>
      <c r="AC371" s="154" t="n">
        <f aca="false">U371-Z371-AA371</f>
        <v>-0.004</v>
      </c>
      <c r="AD371" s="155" t="n">
        <v>0.022</v>
      </c>
      <c r="AE371" s="153" t="n">
        <f aca="false">IF(Y371="","",Y371)</f>
        <v>0.018235</v>
      </c>
      <c r="AF371" s="153" t="n">
        <v>0.003765</v>
      </c>
      <c r="AG371" s="184" t="n">
        <f aca="false">IF(AF371="","",AE371+AF371)</f>
        <v>0.022</v>
      </c>
      <c r="AH371" s="185" t="n">
        <v>43642</v>
      </c>
      <c r="AI371" s="35" t="n">
        <v>7</v>
      </c>
      <c r="AJ371" s="19" t="str">
        <f aca="false">IF(AG371="","N","Y")</f>
        <v>Y</v>
      </c>
      <c r="AK371" s="238" t="s">
        <v>443</v>
      </c>
      <c r="AL371" s="36"/>
    </row>
    <row r="372" s="38" customFormat="true" ht="23.25" hidden="false" customHeight="true" outlineLevel="0" collapsed="false">
      <c r="A372" s="19" t="n">
        <f aca="false">IF(B372="","",IF((YEAR(B372)-YEAR(B371))=0,A371+1,1))</f>
        <v>47</v>
      </c>
      <c r="B372" s="141" t="n">
        <v>43644</v>
      </c>
      <c r="C372" s="63" t="s">
        <v>103</v>
      </c>
      <c r="D372" s="19"/>
      <c r="E372" s="63" t="s">
        <v>435</v>
      </c>
      <c r="F372" s="63" t="s">
        <v>386</v>
      </c>
      <c r="G372" s="142" t="n">
        <v>43644</v>
      </c>
      <c r="H372" s="142" t="n">
        <v>43732</v>
      </c>
      <c r="I372" s="19" t="n">
        <f aca="false">H372-G372</f>
        <v>88</v>
      </c>
      <c r="J372" s="149" t="n">
        <f aca="false">TRUNC(I372/30,0)</f>
        <v>2</v>
      </c>
      <c r="K372" s="183" t="s">
        <v>95</v>
      </c>
      <c r="L372" s="146" t="n">
        <v>5</v>
      </c>
      <c r="M372" s="147" t="n">
        <v>1.91</v>
      </c>
      <c r="N372" s="148" t="s">
        <v>444</v>
      </c>
      <c r="O372" s="149" t="s">
        <v>300</v>
      </c>
      <c r="P372" s="149"/>
      <c r="Q372" s="150" t="n">
        <v>0.0231888</v>
      </c>
      <c r="R372" s="151" t="s">
        <v>300</v>
      </c>
      <c r="S372" s="152" t="n">
        <v>0.0245</v>
      </c>
      <c r="T372" s="151"/>
      <c r="U372" s="152"/>
      <c r="V372" s="152" t="n">
        <v>0.026762</v>
      </c>
      <c r="W372" s="152" t="n">
        <v>0.000535</v>
      </c>
      <c r="X372" s="152" t="n">
        <v>0.003727</v>
      </c>
      <c r="Y372" s="152" t="n">
        <v>0.018218</v>
      </c>
      <c r="Z372" s="152" t="n">
        <v>0.002</v>
      </c>
      <c r="AA372" s="152" t="n">
        <v>0.002</v>
      </c>
      <c r="AB372" s="154" t="n">
        <f aca="false">S372-Z372</f>
        <v>0.0225</v>
      </c>
      <c r="AC372" s="154" t="n">
        <f aca="false">U372-Z372-AA372</f>
        <v>-0.004</v>
      </c>
      <c r="AD372" s="155" t="n">
        <v>0.0225</v>
      </c>
      <c r="AE372" s="153" t="n">
        <f aca="false">IF(Y372="","",Y372)</f>
        <v>0.018218</v>
      </c>
      <c r="AF372" s="153" t="n">
        <v>0.004282</v>
      </c>
      <c r="AG372" s="184" t="n">
        <f aca="false">IF(AF372="","",AE372+AF372)</f>
        <v>0.0225</v>
      </c>
      <c r="AH372" s="185" t="n">
        <v>43644</v>
      </c>
      <c r="AI372" s="35" t="n">
        <v>1</v>
      </c>
      <c r="AJ372" s="19" t="str">
        <f aca="false">IF(AG372="","N","Y")</f>
        <v>Y</v>
      </c>
      <c r="AK372" s="238" t="s">
        <v>443</v>
      </c>
      <c r="AL372" s="36"/>
    </row>
    <row r="373" s="38" customFormat="true" ht="23.25" hidden="false" customHeight="true" outlineLevel="0" collapsed="false">
      <c r="A373" s="19" t="n">
        <f aca="false">IF(B373="","",IF((YEAR(B373)-YEAR(B372))=0,A372+1,1))</f>
        <v>48</v>
      </c>
      <c r="B373" s="141" t="n">
        <v>43644</v>
      </c>
      <c r="C373" s="63" t="s">
        <v>346</v>
      </c>
      <c r="D373" s="19"/>
      <c r="E373" s="63" t="s">
        <v>445</v>
      </c>
      <c r="F373" s="19" t="s">
        <v>244</v>
      </c>
      <c r="G373" s="142" t="n">
        <v>43644</v>
      </c>
      <c r="H373" s="142" t="n">
        <v>43675</v>
      </c>
      <c r="I373" s="19" t="n">
        <f aca="false">H373-G373</f>
        <v>31</v>
      </c>
      <c r="J373" s="149" t="n">
        <f aca="false">TRUNC(I373/30,0)</f>
        <v>1</v>
      </c>
      <c r="K373" s="183" t="s">
        <v>95</v>
      </c>
      <c r="L373" s="146" t="n">
        <v>1</v>
      </c>
      <c r="M373" s="147" t="n">
        <v>1.93</v>
      </c>
      <c r="N373" s="148" t="s">
        <v>432</v>
      </c>
      <c r="O373" s="149" t="s">
        <v>303</v>
      </c>
      <c r="P373" s="149"/>
      <c r="Q373" s="150" t="n">
        <v>0.0240238</v>
      </c>
      <c r="R373" s="151" t="s">
        <v>303</v>
      </c>
      <c r="S373" s="152" t="n">
        <v>0.0255</v>
      </c>
      <c r="T373" s="151"/>
      <c r="U373" s="152"/>
      <c r="V373" s="152" t="n">
        <v>0.026521</v>
      </c>
      <c r="W373" s="152" t="n">
        <v>0.00053</v>
      </c>
      <c r="X373" s="152" t="n">
        <v>0.00299</v>
      </c>
      <c r="Y373" s="152" t="n">
        <v>0.018218</v>
      </c>
      <c r="Z373" s="152" t="n">
        <v>0.002</v>
      </c>
      <c r="AA373" s="152" t="n">
        <v>0.002</v>
      </c>
      <c r="AB373" s="154" t="n">
        <f aca="false">S373-Z373</f>
        <v>0.0235</v>
      </c>
      <c r="AC373" s="154" t="n">
        <f aca="false">U373-Z373-AA373</f>
        <v>-0.004</v>
      </c>
      <c r="AD373" s="155" t="n">
        <v>0.023</v>
      </c>
      <c r="AE373" s="153" t="n">
        <f aca="false">IF(Y373="","",Y373)</f>
        <v>0.018218</v>
      </c>
      <c r="AF373" s="153" t="n">
        <v>0.004782</v>
      </c>
      <c r="AG373" s="184" t="n">
        <f aca="false">IF(AF373="","",AE373+AF373)</f>
        <v>0.023</v>
      </c>
      <c r="AH373" s="185" t="n">
        <v>43644</v>
      </c>
      <c r="AI373" s="35" t="n">
        <v>3</v>
      </c>
      <c r="AJ373" s="19" t="str">
        <f aca="false">IF(AG373="","N","Y")</f>
        <v>Y</v>
      </c>
      <c r="AK373" s="238" t="s">
        <v>443</v>
      </c>
      <c r="AL373" s="36"/>
    </row>
    <row r="374" s="38" customFormat="true" ht="23.25" hidden="false" customHeight="true" outlineLevel="0" collapsed="false">
      <c r="A374" s="19" t="n">
        <f aca="false">IF(B374="","",IF((YEAR(B374)-YEAR(B373))=0,A373+1,1))</f>
        <v>49</v>
      </c>
      <c r="B374" s="141" t="n">
        <v>43648</v>
      </c>
      <c r="C374" s="63" t="s">
        <v>96</v>
      </c>
      <c r="D374" s="19"/>
      <c r="E374" s="63" t="s">
        <v>143</v>
      </c>
      <c r="F374" s="63" t="s">
        <v>360</v>
      </c>
      <c r="G374" s="142" t="n">
        <v>43648</v>
      </c>
      <c r="H374" s="142" t="n">
        <v>43679</v>
      </c>
      <c r="I374" s="19" t="n">
        <f aca="false">H374-G374</f>
        <v>31</v>
      </c>
      <c r="J374" s="149" t="n">
        <f aca="false">TRUNC(I374/30,0)</f>
        <v>1</v>
      </c>
      <c r="K374" s="183" t="s">
        <v>95</v>
      </c>
      <c r="L374" s="146" t="n">
        <v>20</v>
      </c>
      <c r="M374" s="147" t="n">
        <v>1.93</v>
      </c>
      <c r="N374" s="148" t="s">
        <v>446</v>
      </c>
      <c r="O374" s="149" t="s">
        <v>303</v>
      </c>
      <c r="P374" s="149"/>
      <c r="Q374" s="150" t="n">
        <v>0.0238775</v>
      </c>
      <c r="R374" s="151" t="s">
        <v>303</v>
      </c>
      <c r="S374" s="152" t="n">
        <v>0.025</v>
      </c>
      <c r="T374" s="151"/>
      <c r="U374" s="152"/>
      <c r="V374" s="152" t="n">
        <v>0.026477</v>
      </c>
      <c r="W374" s="152" t="n">
        <v>0.00053</v>
      </c>
      <c r="X374" s="152" t="n">
        <v>0.003847</v>
      </c>
      <c r="Y374" s="152" t="n">
        <v>0.018074</v>
      </c>
      <c r="Z374" s="152" t="n">
        <v>0.002</v>
      </c>
      <c r="AA374" s="152" t="n">
        <v>0.002</v>
      </c>
      <c r="AB374" s="154" t="n">
        <f aca="false">S374-Z374</f>
        <v>0.023</v>
      </c>
      <c r="AC374" s="154" t="n">
        <f aca="false">U374-Z374-AA374</f>
        <v>-0.004</v>
      </c>
      <c r="AD374" s="155" t="n">
        <v>0.0221</v>
      </c>
      <c r="AE374" s="153" t="n">
        <f aca="false">IF(Y374="","",Y374)</f>
        <v>0.018074</v>
      </c>
      <c r="AF374" s="153" t="n">
        <v>0.004026</v>
      </c>
      <c r="AG374" s="184" t="n">
        <f aca="false">IF(AF374="","",AE374+AF374)</f>
        <v>0.0221</v>
      </c>
      <c r="AH374" s="185" t="n">
        <v>43648</v>
      </c>
      <c r="AI374" s="35" t="n">
        <v>1</v>
      </c>
      <c r="AJ374" s="19" t="str">
        <f aca="false">IF(AG374="","N","Y")</f>
        <v>Y</v>
      </c>
      <c r="AK374" s="238" t="s">
        <v>447</v>
      </c>
      <c r="AL374" s="36"/>
    </row>
    <row r="375" s="38" customFormat="true" ht="23.25" hidden="false" customHeight="true" outlineLevel="0" collapsed="false">
      <c r="A375" s="19" t="n">
        <f aca="false">IF(B375="","",IF((YEAR(B375)-YEAR(B374))=0,A374+1,1))</f>
        <v>50</v>
      </c>
      <c r="B375" s="141" t="n">
        <v>43651</v>
      </c>
      <c r="C375" s="63" t="s">
        <v>103</v>
      </c>
      <c r="D375" s="19"/>
      <c r="E375" s="63" t="s">
        <v>206</v>
      </c>
      <c r="F375" s="63" t="s">
        <v>386</v>
      </c>
      <c r="G375" s="142" t="n">
        <v>43651</v>
      </c>
      <c r="H375" s="142" t="n">
        <v>43682</v>
      </c>
      <c r="I375" s="19" t="n">
        <f aca="false">H375-G375</f>
        <v>31</v>
      </c>
      <c r="J375" s="149" t="n">
        <f aca="false">TRUNC(I375/30,0)</f>
        <v>1</v>
      </c>
      <c r="K375" s="183" t="s">
        <v>95</v>
      </c>
      <c r="L375" s="146" t="n">
        <v>5</v>
      </c>
      <c r="M375" s="147" t="n">
        <v>1.91</v>
      </c>
      <c r="N375" s="148" t="s">
        <v>448</v>
      </c>
      <c r="O375" s="149" t="s">
        <v>303</v>
      </c>
      <c r="P375" s="149"/>
      <c r="Q375" s="150" t="n">
        <v>0.0236413</v>
      </c>
      <c r="R375" s="151" t="s">
        <v>303</v>
      </c>
      <c r="S375" s="152" t="n">
        <v>0.025</v>
      </c>
      <c r="T375" s="151"/>
      <c r="U375" s="152"/>
      <c r="V375" s="152" t="n">
        <v>0.026105</v>
      </c>
      <c r="W375" s="152" t="n">
        <v>0.000522</v>
      </c>
      <c r="X375" s="152" t="n">
        <v>0.002583</v>
      </c>
      <c r="Y375" s="152" t="n">
        <v>0.017843</v>
      </c>
      <c r="Z375" s="152" t="n">
        <v>0.002</v>
      </c>
      <c r="AA375" s="152" t="n">
        <v>0.002</v>
      </c>
      <c r="AB375" s="154" t="n">
        <f aca="false">S375-Z375</f>
        <v>0.023</v>
      </c>
      <c r="AC375" s="154" t="n">
        <f aca="false">U375-Z375-AA375</f>
        <v>-0.004</v>
      </c>
      <c r="AD375" s="155" t="n">
        <v>0.023</v>
      </c>
      <c r="AE375" s="153" t="n">
        <f aca="false">IF(Y375="","",Y375)</f>
        <v>0.017843</v>
      </c>
      <c r="AF375" s="153" t="n">
        <v>0.005157</v>
      </c>
      <c r="AG375" s="184" t="n">
        <f aca="false">IF(AF375="","",AE375+AF375)</f>
        <v>0.023</v>
      </c>
      <c r="AH375" s="185" t="n">
        <v>43651</v>
      </c>
      <c r="AI375" s="35" t="n">
        <v>3</v>
      </c>
      <c r="AJ375" s="19" t="str">
        <f aca="false">IF(AG375="","N","Y")</f>
        <v>Y</v>
      </c>
      <c r="AK375" s="238" t="s">
        <v>449</v>
      </c>
      <c r="AL375" s="36"/>
    </row>
    <row r="376" s="220" customFormat="true" ht="23.25" hidden="false" customHeight="true" outlineLevel="0" collapsed="false">
      <c r="A376" s="200" t="n">
        <f aca="false">IF(B376="","",IF((YEAR(B376)-YEAR(B375))=0,A375+1,1))</f>
        <v>51</v>
      </c>
      <c r="B376" s="199" t="n">
        <v>43656</v>
      </c>
      <c r="C376" s="200" t="s">
        <v>103</v>
      </c>
      <c r="D376" s="200"/>
      <c r="E376" s="200" t="s">
        <v>206</v>
      </c>
      <c r="F376" s="200" t="s">
        <v>389</v>
      </c>
      <c r="G376" s="201" t="n">
        <v>43656</v>
      </c>
      <c r="H376" s="201" t="n">
        <v>43686</v>
      </c>
      <c r="I376" s="200" t="n">
        <f aca="false">H376-G376</f>
        <v>30</v>
      </c>
      <c r="J376" s="228" t="n">
        <f aca="false">TRUNC(I376/30,0)</f>
        <v>1</v>
      </c>
      <c r="K376" s="203" t="s">
        <v>99</v>
      </c>
      <c r="L376" s="204" t="n">
        <v>2.2</v>
      </c>
      <c r="M376" s="205" t="n">
        <v>1.33</v>
      </c>
      <c r="N376" s="227" t="s">
        <v>429</v>
      </c>
      <c r="O376" s="228" t="s">
        <v>305</v>
      </c>
      <c r="P376" s="228"/>
      <c r="Q376" s="208" t="n">
        <v>0.0238038</v>
      </c>
      <c r="R376" s="207" t="s">
        <v>305</v>
      </c>
      <c r="S376" s="209" t="n">
        <v>0.0248</v>
      </c>
      <c r="T376" s="207"/>
      <c r="U376" s="209"/>
      <c r="V376" s="209" t="n">
        <v>0.026294</v>
      </c>
      <c r="W376" s="209" t="n">
        <v>0.001841</v>
      </c>
      <c r="X376" s="209" t="n">
        <v>0.009453</v>
      </c>
      <c r="Y376" s="209" t="n">
        <v>0.014075</v>
      </c>
      <c r="Z376" s="209" t="n">
        <v>0.0033</v>
      </c>
      <c r="AA376" s="209" t="n">
        <v>0.002</v>
      </c>
      <c r="AB376" s="211" t="n">
        <f aca="false">S376-Z376</f>
        <v>0.0215</v>
      </c>
      <c r="AC376" s="211" t="n">
        <f aca="false">U376-Z376-AA376</f>
        <v>-0.0053</v>
      </c>
      <c r="AD376" s="212" t="n">
        <v>0.015</v>
      </c>
      <c r="AE376" s="210" t="n">
        <f aca="false">IF(Y376="","",Y376)</f>
        <v>0.014075</v>
      </c>
      <c r="AF376" s="210" t="n">
        <v>0.000925</v>
      </c>
      <c r="AG376" s="214" t="n">
        <f aca="false">IF(AF376="","",AE376+AF376)</f>
        <v>0.015</v>
      </c>
      <c r="AH376" s="215" t="n">
        <v>43656</v>
      </c>
      <c r="AI376" s="216" t="n">
        <v>2</v>
      </c>
      <c r="AJ376" s="217" t="str">
        <f aca="false">IF(AG376="","N","Y")</f>
        <v>Y</v>
      </c>
      <c r="AK376" s="239" t="s">
        <v>372</v>
      </c>
      <c r="AL376" s="229"/>
    </row>
    <row r="377" s="38" customFormat="true" ht="23.25" hidden="false" customHeight="true" outlineLevel="0" collapsed="false">
      <c r="A377" s="19" t="n">
        <f aca="false">IF(B377="","",IF((YEAR(B377)-YEAR(B376))=0,A376+1,1))</f>
        <v>52</v>
      </c>
      <c r="B377" s="141" t="n">
        <v>43663</v>
      </c>
      <c r="C377" s="63" t="s">
        <v>124</v>
      </c>
      <c r="D377" s="19"/>
      <c r="E377" s="63" t="s">
        <v>450</v>
      </c>
      <c r="F377" s="63" t="s">
        <v>431</v>
      </c>
      <c r="G377" s="142" t="n">
        <v>43663</v>
      </c>
      <c r="H377" s="142" t="n">
        <v>43696</v>
      </c>
      <c r="I377" s="19" t="n">
        <f aca="false">H377-G377</f>
        <v>33</v>
      </c>
      <c r="J377" s="149" t="n">
        <f aca="false">TRUNC(I377/30,0)</f>
        <v>1</v>
      </c>
      <c r="K377" s="183" t="s">
        <v>95</v>
      </c>
      <c r="L377" s="146" t="n">
        <v>1.5</v>
      </c>
      <c r="M377" s="147" t="n">
        <v>1.85</v>
      </c>
      <c r="N377" s="148" t="s">
        <v>328</v>
      </c>
      <c r="O377" s="149" t="s">
        <v>255</v>
      </c>
      <c r="P377" s="149"/>
      <c r="Q377" s="150" t="n">
        <v>0.0230038</v>
      </c>
      <c r="R377" s="151" t="s">
        <v>255</v>
      </c>
      <c r="S377" s="152" t="n">
        <v>0.024</v>
      </c>
      <c r="T377" s="151"/>
      <c r="U377" s="152"/>
      <c r="V377" s="152" t="n">
        <v>0.02565</v>
      </c>
      <c r="W377" s="152" t="n">
        <v>0.000513</v>
      </c>
      <c r="X377" s="152" t="n">
        <v>0.003937</v>
      </c>
      <c r="Y377" s="152" t="n">
        <v>0.017218</v>
      </c>
      <c r="Z377" s="152" t="n">
        <v>0.002</v>
      </c>
      <c r="AA377" s="152" t="n">
        <v>0.002</v>
      </c>
      <c r="AB377" s="154" t="n">
        <f aca="false">S377-Z377</f>
        <v>0.022</v>
      </c>
      <c r="AC377" s="154" t="n">
        <f aca="false">U377-Z377-AA377</f>
        <v>-0.004</v>
      </c>
      <c r="AD377" s="155" t="n">
        <v>0.0212</v>
      </c>
      <c r="AE377" s="153" t="n">
        <f aca="false">IF(Y377="","",Y377)</f>
        <v>0.017218</v>
      </c>
      <c r="AF377" s="153" t="n">
        <v>0.003982</v>
      </c>
      <c r="AG377" s="184" t="n">
        <f aca="false">IF(AF377="","",AE377+AF377)</f>
        <v>0.0212</v>
      </c>
      <c r="AH377" s="185" t="n">
        <v>43663</v>
      </c>
      <c r="AI377" s="35" t="n">
        <v>1</v>
      </c>
      <c r="AJ377" s="19" t="str">
        <f aca="false">IF(AG377="","N","Y")</f>
        <v>Y</v>
      </c>
      <c r="AK377" s="238" t="s">
        <v>451</v>
      </c>
      <c r="AL377" s="36"/>
    </row>
    <row r="378" s="38" customFormat="true" ht="23.25" hidden="false" customHeight="true" outlineLevel="0" collapsed="false">
      <c r="A378" s="19" t="n">
        <f aca="false">IF(B378="","",IF((YEAR(B378)-YEAR(B377))=0,A377+1,1))</f>
        <v>53</v>
      </c>
      <c r="B378" s="141" t="n">
        <v>43672</v>
      </c>
      <c r="C378" s="63" t="s">
        <v>440</v>
      </c>
      <c r="D378" s="19"/>
      <c r="E378" s="63" t="s">
        <v>452</v>
      </c>
      <c r="F378" s="63" t="s">
        <v>442</v>
      </c>
      <c r="G378" s="142" t="n">
        <v>43672</v>
      </c>
      <c r="H378" s="142" t="n">
        <v>43703</v>
      </c>
      <c r="I378" s="19" t="n">
        <f aca="false">H378-G378</f>
        <v>31</v>
      </c>
      <c r="J378" s="149" t="n">
        <f aca="false">TRUNC(I378/30,0)</f>
        <v>1</v>
      </c>
      <c r="K378" s="183" t="s">
        <v>95</v>
      </c>
      <c r="L378" s="146" t="n">
        <v>2</v>
      </c>
      <c r="M378" s="147" t="n">
        <v>1.81</v>
      </c>
      <c r="N378" s="148" t="s">
        <v>453</v>
      </c>
      <c r="O378" s="149" t="s">
        <v>255</v>
      </c>
      <c r="P378" s="149"/>
      <c r="Q378" s="150" t="n">
        <v>0.0224113</v>
      </c>
      <c r="R378" s="151" t="s">
        <v>255</v>
      </c>
      <c r="S378" s="152" t="n">
        <v>0.0225</v>
      </c>
      <c r="T378" s="151"/>
      <c r="U378" s="152"/>
      <c r="V378" s="152" t="n">
        <v>0.025131</v>
      </c>
      <c r="W378" s="152" t="n">
        <v>0.000503</v>
      </c>
      <c r="X378" s="152" t="n">
        <v>0.004228</v>
      </c>
      <c r="Y378" s="152" t="n">
        <v>0.016638</v>
      </c>
      <c r="Z378" s="152" t="n">
        <v>0.002</v>
      </c>
      <c r="AA378" s="152" t="n">
        <v>0.002</v>
      </c>
      <c r="AB378" s="154" t="n">
        <f aca="false">S378-Z378</f>
        <v>0.0205</v>
      </c>
      <c r="AC378" s="154" t="n">
        <f aca="false">U378-Z378-AA378</f>
        <v>-0.004</v>
      </c>
      <c r="AD378" s="155" t="n">
        <v>0.0204</v>
      </c>
      <c r="AE378" s="153" t="n">
        <f aca="false">IF(Y378="","",Y378)</f>
        <v>0.016638</v>
      </c>
      <c r="AF378" s="153" t="n">
        <v>0.003762</v>
      </c>
      <c r="AG378" s="184" t="n">
        <f aca="false">IF(AF378="","",AE378+AF378)</f>
        <v>0.0204</v>
      </c>
      <c r="AH378" s="185" t="n">
        <v>43672</v>
      </c>
      <c r="AI378" s="35" t="n">
        <v>5</v>
      </c>
      <c r="AJ378" s="19" t="str">
        <f aca="false">IF(AG378="","N","Y")</f>
        <v>Y</v>
      </c>
      <c r="AK378" s="238" t="s">
        <v>454</v>
      </c>
      <c r="AL378" s="36"/>
    </row>
    <row r="379" s="38" customFormat="true" ht="23.25" hidden="false" customHeight="true" outlineLevel="0" collapsed="false">
      <c r="A379" s="19" t="n">
        <f aca="false">IF(B379="","",IF((YEAR(B379)-YEAR(B378))=0,A378+1,1))</f>
        <v>54</v>
      </c>
      <c r="B379" s="141" t="n">
        <v>43672</v>
      </c>
      <c r="C379" s="63" t="s">
        <v>440</v>
      </c>
      <c r="D379" s="19"/>
      <c r="E379" s="63" t="s">
        <v>452</v>
      </c>
      <c r="F379" s="63" t="s">
        <v>442</v>
      </c>
      <c r="G379" s="142" t="n">
        <v>43672</v>
      </c>
      <c r="H379" s="142" t="n">
        <v>43703</v>
      </c>
      <c r="I379" s="19" t="n">
        <f aca="false">H379-G379</f>
        <v>31</v>
      </c>
      <c r="J379" s="149" t="n">
        <f aca="false">TRUNC(I379/30,0)</f>
        <v>1</v>
      </c>
      <c r="K379" s="183" t="s">
        <v>95</v>
      </c>
      <c r="L379" s="146" t="n">
        <v>4</v>
      </c>
      <c r="M379" s="147" t="n">
        <v>1.81</v>
      </c>
      <c r="N379" s="148" t="s">
        <v>453</v>
      </c>
      <c r="O379" s="149" t="s">
        <v>255</v>
      </c>
      <c r="P379" s="149"/>
      <c r="Q379" s="150" t="n">
        <v>0.0224113</v>
      </c>
      <c r="R379" s="151" t="s">
        <v>255</v>
      </c>
      <c r="S379" s="152" t="n">
        <v>0.0225</v>
      </c>
      <c r="T379" s="151"/>
      <c r="U379" s="152"/>
      <c r="V379" s="152" t="n">
        <v>0.025131</v>
      </c>
      <c r="W379" s="152" t="n">
        <v>0.000503</v>
      </c>
      <c r="X379" s="152" t="n">
        <v>0.004228</v>
      </c>
      <c r="Y379" s="152" t="n">
        <v>0.016638</v>
      </c>
      <c r="Z379" s="152" t="n">
        <v>0.002</v>
      </c>
      <c r="AA379" s="152" t="n">
        <v>0.002</v>
      </c>
      <c r="AB379" s="154" t="n">
        <f aca="false">S379-Z379</f>
        <v>0.0205</v>
      </c>
      <c r="AC379" s="154" t="n">
        <f aca="false">U379-Z379-AA379</f>
        <v>-0.004</v>
      </c>
      <c r="AD379" s="155" t="n">
        <v>0.0204</v>
      </c>
      <c r="AE379" s="153" t="n">
        <f aca="false">IF(Y379="","",Y379)</f>
        <v>0.016638</v>
      </c>
      <c r="AF379" s="153" t="n">
        <v>0.003762</v>
      </c>
      <c r="AG379" s="184" t="n">
        <f aca="false">IF(AF379="","",AE379+AF379)</f>
        <v>0.0204</v>
      </c>
      <c r="AH379" s="185" t="n">
        <v>43672</v>
      </c>
      <c r="AI379" s="35" t="n">
        <v>6</v>
      </c>
      <c r="AJ379" s="19" t="str">
        <f aca="false">IF(AG379="","N","Y")</f>
        <v>Y</v>
      </c>
      <c r="AK379" s="238" t="s">
        <v>454</v>
      </c>
      <c r="AL379" s="36"/>
    </row>
    <row r="380" s="38" customFormat="true" ht="23.25" hidden="false" customHeight="true" outlineLevel="0" collapsed="false">
      <c r="A380" s="19" t="n">
        <f aca="false">IF(B380="","",IF((YEAR(B380)-YEAR(B379))=0,A379+1,1))</f>
        <v>55</v>
      </c>
      <c r="B380" s="141" t="n">
        <v>43675</v>
      </c>
      <c r="C380" s="63" t="s">
        <v>103</v>
      </c>
      <c r="D380" s="19"/>
      <c r="E380" s="63" t="s">
        <v>435</v>
      </c>
      <c r="F380" s="19" t="s">
        <v>455</v>
      </c>
      <c r="G380" s="142" t="n">
        <v>43675</v>
      </c>
      <c r="H380" s="142" t="n">
        <v>43682</v>
      </c>
      <c r="I380" s="19" t="n">
        <f aca="false">H380-G380</f>
        <v>7</v>
      </c>
      <c r="J380" s="149" t="n">
        <f aca="false">TRUNC(I380/30,0)</f>
        <v>0</v>
      </c>
      <c r="K380" s="183" t="s">
        <v>95</v>
      </c>
      <c r="L380" s="146" t="n">
        <v>10</v>
      </c>
      <c r="M380" s="147" t="n">
        <v>1.76</v>
      </c>
      <c r="N380" s="148" t="s">
        <v>258</v>
      </c>
      <c r="O380" s="149" t="s">
        <v>305</v>
      </c>
      <c r="P380" s="149"/>
      <c r="Q380" s="150" t="n">
        <v>0.0227313</v>
      </c>
      <c r="R380" s="151" t="s">
        <v>305</v>
      </c>
      <c r="S380" s="152" t="n">
        <v>0.0243</v>
      </c>
      <c r="T380" s="151"/>
      <c r="U380" s="152"/>
      <c r="V380" s="152" t="n">
        <v>0.024569</v>
      </c>
      <c r="W380" s="152" t="n">
        <v>0.000491</v>
      </c>
      <c r="X380" s="152" t="n">
        <v>0.002077</v>
      </c>
      <c r="Y380" s="152" t="n">
        <v>0.015077</v>
      </c>
      <c r="Z380" s="152" t="n">
        <v>0.002</v>
      </c>
      <c r="AA380" s="152" t="n">
        <v>0.002</v>
      </c>
      <c r="AB380" s="154" t="n">
        <f aca="false">S380-Z380</f>
        <v>0.0223</v>
      </c>
      <c r="AC380" s="154" t="n">
        <f aca="false">U380-Z380-AA380</f>
        <v>-0.004</v>
      </c>
      <c r="AD380" s="155" t="n">
        <v>0.022</v>
      </c>
      <c r="AE380" s="153" t="n">
        <f aca="false">IF(Y380="","",Y380)</f>
        <v>0.015077</v>
      </c>
      <c r="AF380" s="153" t="n">
        <v>0.006923</v>
      </c>
      <c r="AG380" s="184" t="n">
        <f aca="false">IF(AF380="","",AE380+AF380)</f>
        <v>0.022</v>
      </c>
      <c r="AH380" s="185" t="n">
        <v>43675</v>
      </c>
      <c r="AI380" s="35" t="n">
        <v>1</v>
      </c>
      <c r="AJ380" s="19" t="str">
        <f aca="false">IF(AG380="","N","Y")</f>
        <v>Y</v>
      </c>
      <c r="AK380" s="238" t="s">
        <v>456</v>
      </c>
      <c r="AL380" s="36"/>
    </row>
    <row r="381" s="38" customFormat="true" ht="23.25" hidden="false" customHeight="true" outlineLevel="0" collapsed="false">
      <c r="A381" s="19" t="n">
        <f aca="false">IF(B381="","",IF((YEAR(B381)-YEAR(B380))=0,A380+1,1))</f>
        <v>56</v>
      </c>
      <c r="B381" s="141" t="n">
        <v>43678</v>
      </c>
      <c r="C381" s="63" t="s">
        <v>187</v>
      </c>
      <c r="D381" s="19"/>
      <c r="E381" s="63" t="s">
        <v>188</v>
      </c>
      <c r="F381" s="63" t="s">
        <v>457</v>
      </c>
      <c r="G381" s="142" t="n">
        <v>43678</v>
      </c>
      <c r="H381" s="142" t="n">
        <v>43770</v>
      </c>
      <c r="I381" s="19" t="n">
        <f aca="false">H381-G381</f>
        <v>92</v>
      </c>
      <c r="J381" s="149" t="n">
        <f aca="false">TRUNC(I381/30,0)</f>
        <v>3</v>
      </c>
      <c r="K381" s="183" t="s">
        <v>95</v>
      </c>
      <c r="L381" s="146" t="n">
        <v>3</v>
      </c>
      <c r="M381" s="147" t="n">
        <v>1.86</v>
      </c>
      <c r="N381" s="148" t="s">
        <v>453</v>
      </c>
      <c r="O381" s="149" t="s">
        <v>265</v>
      </c>
      <c r="P381" s="149"/>
      <c r="Q381" s="150" t="n">
        <v>0.0226563</v>
      </c>
      <c r="R381" s="151" t="s">
        <v>265</v>
      </c>
      <c r="S381" s="152" t="n">
        <v>0.0245</v>
      </c>
      <c r="T381" s="151"/>
      <c r="U381" s="152"/>
      <c r="V381" s="152" t="n">
        <v>0.02603</v>
      </c>
      <c r="W381" s="152" t="n">
        <v>0.000521</v>
      </c>
      <c r="X381" s="152" t="n">
        <v>0.00391</v>
      </c>
      <c r="Y381" s="152" t="n">
        <v>0.018078</v>
      </c>
      <c r="Z381" s="152" t="n">
        <v>0.002</v>
      </c>
      <c r="AA381" s="152" t="n">
        <v>0.002</v>
      </c>
      <c r="AB381" s="154" t="n">
        <f aca="false">S381-Z381</f>
        <v>0.0225</v>
      </c>
      <c r="AC381" s="154" t="n">
        <f aca="false">U381-Z381-AA381</f>
        <v>-0.004</v>
      </c>
      <c r="AD381" s="155" t="n">
        <v>0.0216</v>
      </c>
      <c r="AE381" s="153" t="n">
        <f aca="false">IF(Y381="","",Y381)</f>
        <v>0.018078</v>
      </c>
      <c r="AF381" s="153" t="n">
        <v>0.003522</v>
      </c>
      <c r="AG381" s="184" t="n">
        <f aca="false">IF(AF381="","",AE381+AF381)</f>
        <v>0.0216</v>
      </c>
      <c r="AH381" s="185" t="n">
        <v>43678</v>
      </c>
      <c r="AI381" s="35" t="n">
        <v>1</v>
      </c>
      <c r="AJ381" s="19" t="str">
        <f aca="false">IF(AG381="","N","Y")</f>
        <v>Y</v>
      </c>
      <c r="AK381" s="238" t="s">
        <v>458</v>
      </c>
      <c r="AL381" s="36"/>
    </row>
    <row r="382" s="220" customFormat="true" ht="23.25" hidden="false" customHeight="true" outlineLevel="0" collapsed="false">
      <c r="A382" s="200" t="n">
        <f aca="false">IF(B382="","",IF((YEAR(B382)-YEAR(B381))=0,A381+1,1))</f>
        <v>57</v>
      </c>
      <c r="B382" s="199" t="n">
        <v>43678</v>
      </c>
      <c r="C382" s="200" t="s">
        <v>103</v>
      </c>
      <c r="D382" s="200"/>
      <c r="E382" s="200" t="s">
        <v>435</v>
      </c>
      <c r="F382" s="198" t="s">
        <v>459</v>
      </c>
      <c r="G382" s="201" t="n">
        <v>43678</v>
      </c>
      <c r="H382" s="201" t="n">
        <v>43707</v>
      </c>
      <c r="I382" s="200" t="n">
        <f aca="false">H382-G382</f>
        <v>29</v>
      </c>
      <c r="J382" s="228" t="n">
        <f aca="false">TRUNC(I382/30,0)</f>
        <v>0</v>
      </c>
      <c r="K382" s="203" t="s">
        <v>99</v>
      </c>
      <c r="L382" s="204" t="n">
        <v>10</v>
      </c>
      <c r="M382" s="205" t="n">
        <v>1.3</v>
      </c>
      <c r="N382" s="227" t="s">
        <v>429</v>
      </c>
      <c r="O382" s="228" t="s">
        <v>305</v>
      </c>
      <c r="P382" s="228"/>
      <c r="Q382" s="208" t="n">
        <v>0.0234913</v>
      </c>
      <c r="R382" s="207" t="s">
        <v>305</v>
      </c>
      <c r="S382" s="209" t="n">
        <v>0.023</v>
      </c>
      <c r="T382" s="207"/>
      <c r="U382" s="209"/>
      <c r="V382" s="209" t="n">
        <v>0.024798</v>
      </c>
      <c r="W382" s="209" t="n">
        <v>0.001736</v>
      </c>
      <c r="X382" s="209" t="n">
        <v>0.009062</v>
      </c>
      <c r="Y382" s="209" t="n">
        <v>0.012176</v>
      </c>
      <c r="Z382" s="209" t="n">
        <v>0.0033</v>
      </c>
      <c r="AA382" s="209" t="n">
        <v>0.002</v>
      </c>
      <c r="AB382" s="211" t="n">
        <f aca="false">S382-Z382</f>
        <v>0.0197</v>
      </c>
      <c r="AC382" s="211" t="n">
        <f aca="false">U382-Z382-AA382</f>
        <v>-0.0053</v>
      </c>
      <c r="AD382" s="212" t="n">
        <v>0.014</v>
      </c>
      <c r="AE382" s="210" t="n">
        <f aca="false">IF(Y382="","",Y382)</f>
        <v>0.012176</v>
      </c>
      <c r="AF382" s="210" t="n">
        <v>0.001824</v>
      </c>
      <c r="AG382" s="214" t="n">
        <f aca="false">IF(AF382="","",AE382+AF382)</f>
        <v>0.014</v>
      </c>
      <c r="AH382" s="215" t="n">
        <v>43678</v>
      </c>
      <c r="AI382" s="216" t="n">
        <v>2</v>
      </c>
      <c r="AJ382" s="217" t="str">
        <f aca="false">IF(AG382="","N","Y")</f>
        <v>Y</v>
      </c>
      <c r="AK382" s="239" t="s">
        <v>460</v>
      </c>
      <c r="AL382" s="229"/>
    </row>
    <row r="383" s="38" customFormat="true" ht="23.25" hidden="false" customHeight="true" outlineLevel="0" collapsed="false">
      <c r="A383" s="19" t="n">
        <f aca="false">IF(B383="","",IF((YEAR(B383)-YEAR(B382))=0,A382+1,1))</f>
        <v>58</v>
      </c>
      <c r="B383" s="141" t="n">
        <v>43682</v>
      </c>
      <c r="C383" s="63" t="s">
        <v>103</v>
      </c>
      <c r="D383" s="19"/>
      <c r="E383" s="63" t="s">
        <v>435</v>
      </c>
      <c r="F383" s="19" t="s">
        <v>455</v>
      </c>
      <c r="G383" s="142" t="n">
        <v>43682</v>
      </c>
      <c r="H383" s="142" t="n">
        <v>43689</v>
      </c>
      <c r="I383" s="19" t="n">
        <f aca="false">H383-G383</f>
        <v>7</v>
      </c>
      <c r="J383" s="149" t="n">
        <f aca="false">TRUNC(I383/30,0)</f>
        <v>0</v>
      </c>
      <c r="K383" s="183" t="s">
        <v>95</v>
      </c>
      <c r="L383" s="146" t="n">
        <v>10</v>
      </c>
      <c r="M383" s="147" t="n">
        <v>1.68</v>
      </c>
      <c r="N383" s="148" t="s">
        <v>461</v>
      </c>
      <c r="O383" s="149" t="s">
        <v>305</v>
      </c>
      <c r="P383" s="149"/>
      <c r="Q383" s="150" t="n">
        <v>0.0218013</v>
      </c>
      <c r="R383" s="151" t="s">
        <v>305</v>
      </c>
      <c r="S383" s="152" t="n">
        <v>0.023</v>
      </c>
      <c r="T383" s="151"/>
      <c r="U383" s="152"/>
      <c r="V383" s="152" t="n">
        <v>0.023383</v>
      </c>
      <c r="W383" s="152" t="n">
        <v>0.000468</v>
      </c>
      <c r="X383" s="152" t="n">
        <v>0.001915</v>
      </c>
      <c r="Y383" s="152" t="n">
        <v>0.014212</v>
      </c>
      <c r="Z383" s="152" t="n">
        <v>0.002</v>
      </c>
      <c r="AA383" s="152" t="n">
        <v>0.002</v>
      </c>
      <c r="AB383" s="154" t="n">
        <f aca="false">S383-Z383</f>
        <v>0.021</v>
      </c>
      <c r="AC383" s="154" t="n">
        <f aca="false">U383-Z383-AA383</f>
        <v>-0.004</v>
      </c>
      <c r="AD383" s="155" t="n">
        <v>0.021</v>
      </c>
      <c r="AE383" s="153" t="n">
        <f aca="false">IF(Y383="","",Y383)</f>
        <v>0.014212</v>
      </c>
      <c r="AF383" s="153" t="n">
        <v>0.006788</v>
      </c>
      <c r="AG383" s="184" t="n">
        <f aca="false">IF(AF383="","",AE383+AF383)</f>
        <v>0.021</v>
      </c>
      <c r="AH383" s="185" t="n">
        <v>43682</v>
      </c>
      <c r="AI383" s="35" t="n">
        <v>1</v>
      </c>
      <c r="AJ383" s="19" t="str">
        <f aca="false">IF(AG383="","N","Y")</f>
        <v>Y</v>
      </c>
      <c r="AK383" s="238" t="s">
        <v>462</v>
      </c>
      <c r="AL383" s="36"/>
    </row>
    <row r="384" s="220" customFormat="true" ht="23.25" hidden="false" customHeight="true" outlineLevel="0" collapsed="false">
      <c r="A384" s="200" t="n">
        <f aca="false">IF(B384="","",IF((YEAR(B384)-YEAR(B383))=0,A383+1,1))</f>
        <v>59</v>
      </c>
      <c r="B384" s="199" t="n">
        <v>43686</v>
      </c>
      <c r="C384" s="200" t="s">
        <v>103</v>
      </c>
      <c r="D384" s="200"/>
      <c r="E384" s="200" t="s">
        <v>435</v>
      </c>
      <c r="F384" s="200" t="s">
        <v>389</v>
      </c>
      <c r="G384" s="201" t="n">
        <v>43686</v>
      </c>
      <c r="H384" s="201" t="n">
        <v>43717</v>
      </c>
      <c r="I384" s="200" t="n">
        <f aca="false">H384-G384</f>
        <v>31</v>
      </c>
      <c r="J384" s="228" t="n">
        <f aca="false">TRUNC(I384/30,0)</f>
        <v>1</v>
      </c>
      <c r="K384" s="203" t="s">
        <v>99</v>
      </c>
      <c r="L384" s="204" t="n">
        <v>2.8</v>
      </c>
      <c r="M384" s="205" t="n">
        <v>1.1</v>
      </c>
      <c r="N384" s="227" t="s">
        <v>463</v>
      </c>
      <c r="O384" s="228" t="s">
        <v>305</v>
      </c>
      <c r="P384" s="228"/>
      <c r="Q384" s="208" t="n">
        <v>0.02149</v>
      </c>
      <c r="R384" s="207" t="s">
        <v>305</v>
      </c>
      <c r="S384" s="209" t="n">
        <v>0.022</v>
      </c>
      <c r="T384" s="207"/>
      <c r="U384" s="209"/>
      <c r="V384" s="209" t="n">
        <v>0.024613</v>
      </c>
      <c r="W384" s="209" t="n">
        <v>0.001723</v>
      </c>
      <c r="X384" s="209" t="n">
        <v>0.00889</v>
      </c>
      <c r="Y384" s="209" t="n">
        <v>0.011923</v>
      </c>
      <c r="Z384" s="209" t="n">
        <v>0.0033</v>
      </c>
      <c r="AA384" s="209" t="n">
        <v>0.002</v>
      </c>
      <c r="AB384" s="211" t="n">
        <f aca="false">S384-Z384</f>
        <v>0.0187</v>
      </c>
      <c r="AC384" s="211" t="n">
        <f aca="false">U384-Z384-AA384</f>
        <v>-0.0053</v>
      </c>
      <c r="AD384" s="212" t="n">
        <v>0.014</v>
      </c>
      <c r="AE384" s="210" t="n">
        <f aca="false">IF(Y384="","",Y384)</f>
        <v>0.011923</v>
      </c>
      <c r="AF384" s="210" t="n">
        <v>0.002077</v>
      </c>
      <c r="AG384" s="214" t="n">
        <f aca="false">IF(AF384="","",AE384+AF384)</f>
        <v>0.014</v>
      </c>
      <c r="AH384" s="215" t="n">
        <v>43686</v>
      </c>
      <c r="AI384" s="216" t="n">
        <v>2</v>
      </c>
      <c r="AJ384" s="217" t="str">
        <f aca="false">IF(AG384="","N","Y")</f>
        <v>Y</v>
      </c>
      <c r="AK384" s="239" t="s">
        <v>460</v>
      </c>
      <c r="AL384" s="229"/>
    </row>
    <row r="385" s="38" customFormat="true" ht="23.25" hidden="false" customHeight="true" outlineLevel="0" collapsed="false">
      <c r="A385" s="19" t="n">
        <v>60</v>
      </c>
      <c r="B385" s="141" t="n">
        <v>43689</v>
      </c>
      <c r="C385" s="63" t="s">
        <v>103</v>
      </c>
      <c r="D385" s="19"/>
      <c r="E385" s="63" t="s">
        <v>435</v>
      </c>
      <c r="F385" s="19" t="s">
        <v>455</v>
      </c>
      <c r="G385" s="142" t="n">
        <v>43689</v>
      </c>
      <c r="H385" s="142" t="n">
        <v>43726</v>
      </c>
      <c r="I385" s="19" t="n">
        <f aca="false">H385-G385</f>
        <v>37</v>
      </c>
      <c r="J385" s="149" t="n">
        <f aca="false">TRUNC(I385/30,0)</f>
        <v>1</v>
      </c>
      <c r="K385" s="183" t="s">
        <v>95</v>
      </c>
      <c r="L385" s="146" t="n">
        <v>10</v>
      </c>
      <c r="M385" s="147" t="n">
        <v>1.73</v>
      </c>
      <c r="N385" s="148" t="s">
        <v>464</v>
      </c>
      <c r="O385" s="149" t="s">
        <v>303</v>
      </c>
      <c r="P385" s="149"/>
      <c r="Q385" s="150" t="n">
        <v>0.0219425</v>
      </c>
      <c r="R385" s="151" t="s">
        <v>303</v>
      </c>
      <c r="S385" s="152" t="n">
        <v>0.023</v>
      </c>
      <c r="T385" s="151"/>
      <c r="U385" s="152"/>
      <c r="V385" s="152" t="n">
        <v>0.024645</v>
      </c>
      <c r="W385" s="152" t="n">
        <v>0.000493</v>
      </c>
      <c r="X385" s="152" t="n">
        <v>0.003352</v>
      </c>
      <c r="Y385" s="152" t="n">
        <v>0.016178</v>
      </c>
      <c r="Z385" s="152" t="n">
        <v>0.002</v>
      </c>
      <c r="AA385" s="152" t="n">
        <v>0.002</v>
      </c>
      <c r="AB385" s="154" t="n">
        <f aca="false">S385-Z385</f>
        <v>0.021</v>
      </c>
      <c r="AC385" s="154" t="n">
        <f aca="false">U385-Z385-AA385</f>
        <v>-0.004</v>
      </c>
      <c r="AD385" s="155" t="n">
        <v>0.0208</v>
      </c>
      <c r="AE385" s="153" t="n">
        <f aca="false">IF(Y385="","",Y385)</f>
        <v>0.016178</v>
      </c>
      <c r="AF385" s="153" t="n">
        <f aca="false">AG385-AE385</f>
        <v>0.004622</v>
      </c>
      <c r="AG385" s="184" t="n">
        <v>0.0208</v>
      </c>
      <c r="AH385" s="185" t="n">
        <v>43689</v>
      </c>
      <c r="AI385" s="35" t="n">
        <v>1</v>
      </c>
      <c r="AJ385" s="19" t="str">
        <f aca="false">IF(AG385="","N","Y")</f>
        <v>Y</v>
      </c>
      <c r="AK385" s="238" t="s">
        <v>465</v>
      </c>
      <c r="AL385" s="36"/>
    </row>
    <row r="386" s="38" customFormat="true" ht="23.25" hidden="false" customHeight="true" outlineLevel="0" collapsed="false">
      <c r="A386" s="19" t="n">
        <v>61</v>
      </c>
      <c r="B386" s="141" t="n">
        <v>43691</v>
      </c>
      <c r="C386" s="63" t="s">
        <v>346</v>
      </c>
      <c r="D386" s="63" t="s">
        <v>380</v>
      </c>
      <c r="E386" s="63" t="s">
        <v>445</v>
      </c>
      <c r="F386" s="19" t="s">
        <v>244</v>
      </c>
      <c r="G386" s="142" t="n">
        <v>43691</v>
      </c>
      <c r="H386" s="142" t="n">
        <v>43724</v>
      </c>
      <c r="I386" s="19" t="n">
        <f aca="false">H386-G386</f>
        <v>33</v>
      </c>
      <c r="J386" s="149" t="n">
        <f aca="false">TRUNC(I386/30,0)</f>
        <v>1</v>
      </c>
      <c r="K386" s="183" t="s">
        <v>95</v>
      </c>
      <c r="L386" s="146" t="n">
        <v>1</v>
      </c>
      <c r="M386" s="147" t="n">
        <v>1.68945</v>
      </c>
      <c r="N386" s="148" t="s">
        <v>464</v>
      </c>
      <c r="O386" s="149" t="s">
        <v>303</v>
      </c>
      <c r="P386" s="149"/>
      <c r="Q386" s="150" t="n">
        <v>0.0219513</v>
      </c>
      <c r="R386" s="151" t="s">
        <v>303</v>
      </c>
      <c r="S386" s="152" t="n">
        <v>0.0232</v>
      </c>
      <c r="T386" s="151"/>
      <c r="U386" s="152"/>
      <c r="V386" s="152" t="n">
        <v>0.024461</v>
      </c>
      <c r="W386" s="152" t="n">
        <v>0.000489</v>
      </c>
      <c r="X386" s="152" t="n">
        <v>0.002972</v>
      </c>
      <c r="Y386" s="152" t="n">
        <v>0.016187</v>
      </c>
      <c r="Z386" s="152" t="n">
        <v>0.002</v>
      </c>
      <c r="AA386" s="152" t="n">
        <v>0.002</v>
      </c>
      <c r="AB386" s="154" t="n">
        <f aca="false">S386-Z386</f>
        <v>0.0212</v>
      </c>
      <c r="AC386" s="154" t="n">
        <f aca="false">U386-Z386-AA386</f>
        <v>-0.004</v>
      </c>
      <c r="AD386" s="155" t="n">
        <v>0.021</v>
      </c>
      <c r="AE386" s="153" t="n">
        <f aca="false">IF(Y386="","",Y386)</f>
        <v>0.016187</v>
      </c>
      <c r="AF386" s="153" t="n">
        <f aca="false">AG386-AE386</f>
        <v>0.004813</v>
      </c>
      <c r="AG386" s="184" t="n">
        <v>0.021</v>
      </c>
      <c r="AH386" s="185" t="n">
        <v>43691</v>
      </c>
      <c r="AI386" s="35" t="n">
        <v>3</v>
      </c>
      <c r="AJ386" s="19" t="s">
        <v>466</v>
      </c>
      <c r="AK386" s="238" t="s">
        <v>467</v>
      </c>
      <c r="AL386" s="36"/>
    </row>
    <row r="387" s="38" customFormat="true" ht="23.25" hidden="false" customHeight="true" outlineLevel="0" collapsed="false">
      <c r="A387" s="19" t="n">
        <v>62</v>
      </c>
      <c r="B387" s="141" t="n">
        <v>43693</v>
      </c>
      <c r="C387" s="63" t="s">
        <v>103</v>
      </c>
      <c r="D387" s="19"/>
      <c r="E387" s="63" t="s">
        <v>468</v>
      </c>
      <c r="F387" s="63" t="s">
        <v>469</v>
      </c>
      <c r="G387" s="142" t="n">
        <v>43693</v>
      </c>
      <c r="H387" s="142" t="n">
        <v>43724</v>
      </c>
      <c r="I387" s="19" t="n">
        <f aca="false">H387-G387</f>
        <v>31</v>
      </c>
      <c r="J387" s="149" t="n">
        <f aca="false">TRUNC(I387/30,0)</f>
        <v>1</v>
      </c>
      <c r="K387" s="183" t="s">
        <v>95</v>
      </c>
      <c r="L387" s="146" t="n">
        <v>5</v>
      </c>
      <c r="M387" s="147" t="n">
        <v>1.71763</v>
      </c>
      <c r="N387" s="148" t="s">
        <v>464</v>
      </c>
      <c r="O387" s="149" t="s">
        <v>303</v>
      </c>
      <c r="P387" s="149"/>
      <c r="Q387" s="152" t="n">
        <v>0.02182</v>
      </c>
      <c r="R387" s="151" t="s">
        <v>303</v>
      </c>
      <c r="S387" s="152" t="n">
        <v>0.023</v>
      </c>
      <c r="T387" s="151"/>
      <c r="U387" s="152"/>
      <c r="V387" s="152" t="n">
        <v>0.024458</v>
      </c>
      <c r="W387" s="152" t="n">
        <v>0.000489</v>
      </c>
      <c r="X387" s="152" t="n">
        <v>0.002969</v>
      </c>
      <c r="Y387" s="152" t="n">
        <v>0.016058</v>
      </c>
      <c r="Z387" s="152" t="n">
        <v>0.002</v>
      </c>
      <c r="AA387" s="152" t="n">
        <v>0.002</v>
      </c>
      <c r="AB387" s="154" t="n">
        <f aca="false">S387-Z387</f>
        <v>0.021</v>
      </c>
      <c r="AC387" s="154" t="n">
        <f aca="false">U387-Z387-AA387</f>
        <v>-0.004</v>
      </c>
      <c r="AD387" s="155" t="n">
        <v>0.021</v>
      </c>
      <c r="AE387" s="153" t="n">
        <f aca="false">IF(Y387="","",Y387)</f>
        <v>0.016058</v>
      </c>
      <c r="AF387" s="153" t="n">
        <f aca="false">AG387-AE387</f>
        <v>0.004942</v>
      </c>
      <c r="AG387" s="184" t="n">
        <v>0.021</v>
      </c>
      <c r="AH387" s="185" t="n">
        <v>43693</v>
      </c>
      <c r="AI387" s="35" t="n">
        <v>2</v>
      </c>
      <c r="AJ387" s="19" t="str">
        <f aca="false">IF(AG387="","N","Y")</f>
        <v>Y</v>
      </c>
      <c r="AK387" s="238" t="s">
        <v>470</v>
      </c>
      <c r="AL387" s="36"/>
    </row>
    <row r="388" s="38" customFormat="true" ht="23.25" hidden="false" customHeight="true" outlineLevel="0" collapsed="false">
      <c r="A388" s="19" t="n">
        <f aca="false">IF(B388="","",IF((YEAR(B388)-YEAR(B387))=0,A387+1,1))</f>
        <v>63</v>
      </c>
      <c r="B388" s="141" t="n">
        <v>43703</v>
      </c>
      <c r="C388" s="63" t="s">
        <v>440</v>
      </c>
      <c r="D388" s="19"/>
      <c r="E388" s="63" t="s">
        <v>452</v>
      </c>
      <c r="F388" s="63" t="s">
        <v>442</v>
      </c>
      <c r="G388" s="142" t="n">
        <v>43703</v>
      </c>
      <c r="H388" s="142" t="n">
        <v>43795</v>
      </c>
      <c r="I388" s="19" t="n">
        <f aca="false">H388-G388</f>
        <v>92</v>
      </c>
      <c r="J388" s="149" t="n">
        <f aca="false">TRUNC(I388/30,0)</f>
        <v>3</v>
      </c>
      <c r="K388" s="183" t="s">
        <v>95</v>
      </c>
      <c r="L388" s="146" t="n">
        <v>2</v>
      </c>
      <c r="M388" s="147" t="n">
        <v>1.74</v>
      </c>
      <c r="N388" s="148" t="s">
        <v>464</v>
      </c>
      <c r="O388" s="149" t="s">
        <v>265</v>
      </c>
      <c r="P388" s="149"/>
      <c r="Q388" s="150" t="n">
        <v>0.0214438</v>
      </c>
      <c r="R388" s="151" t="s">
        <v>265</v>
      </c>
      <c r="S388" s="152" t="n">
        <v>0.0221</v>
      </c>
      <c r="T388" s="151"/>
      <c r="U388" s="152"/>
      <c r="V388" s="152" t="n">
        <v>0.024819</v>
      </c>
      <c r="W388" s="152" t="n">
        <v>0.000496</v>
      </c>
      <c r="X388" s="152" t="n">
        <v>0.004223</v>
      </c>
      <c r="Y388" s="152" t="n">
        <v>0.016889</v>
      </c>
      <c r="Z388" s="152" t="n">
        <v>0.002</v>
      </c>
      <c r="AA388" s="152" t="n">
        <v>0.002</v>
      </c>
      <c r="AB388" s="154" t="n">
        <f aca="false">S388-Z388</f>
        <v>0.0201</v>
      </c>
      <c r="AC388" s="154" t="n">
        <f aca="false">U388-Z388-AA388</f>
        <v>-0.004</v>
      </c>
      <c r="AD388" s="155" t="n">
        <v>0.0201</v>
      </c>
      <c r="AE388" s="153" t="n">
        <f aca="false">IF(Y388="","",Y388)</f>
        <v>0.016889</v>
      </c>
      <c r="AF388" s="153" t="n">
        <v>0.003211</v>
      </c>
      <c r="AG388" s="184" t="n">
        <f aca="false">IF(AF388="","",AE388+AF388)</f>
        <v>0.0201</v>
      </c>
      <c r="AH388" s="185" t="n">
        <v>43703</v>
      </c>
      <c r="AI388" s="35" t="n">
        <v>3</v>
      </c>
      <c r="AJ388" s="19" t="str">
        <f aca="false">IF(AG388="","N","Y")</f>
        <v>Y</v>
      </c>
      <c r="AK388" s="238" t="s">
        <v>471</v>
      </c>
      <c r="AL388" s="36"/>
    </row>
    <row r="389" s="38" customFormat="true" ht="23.25" hidden="false" customHeight="true" outlineLevel="0" collapsed="false">
      <c r="A389" s="19" t="n">
        <f aca="false">IF(B389="","",IF((YEAR(B389)-YEAR(B388))=0,A388+1,1))</f>
        <v>64</v>
      </c>
      <c r="B389" s="141" t="n">
        <v>43703</v>
      </c>
      <c r="C389" s="63" t="s">
        <v>440</v>
      </c>
      <c r="D389" s="19"/>
      <c r="E389" s="63" t="s">
        <v>452</v>
      </c>
      <c r="F389" s="63" t="s">
        <v>442</v>
      </c>
      <c r="G389" s="142" t="n">
        <v>43703</v>
      </c>
      <c r="H389" s="142" t="n">
        <v>43795</v>
      </c>
      <c r="I389" s="19" t="n">
        <f aca="false">H389-G389</f>
        <v>92</v>
      </c>
      <c r="J389" s="149" t="n">
        <f aca="false">TRUNC(I389/30,0)</f>
        <v>3</v>
      </c>
      <c r="K389" s="183" t="s">
        <v>95</v>
      </c>
      <c r="L389" s="146" t="n">
        <v>4</v>
      </c>
      <c r="M389" s="147" t="n">
        <v>1.74</v>
      </c>
      <c r="N389" s="148" t="s">
        <v>464</v>
      </c>
      <c r="O389" s="149" t="s">
        <v>265</v>
      </c>
      <c r="P389" s="149"/>
      <c r="Q389" s="150" t="n">
        <v>0.0214438</v>
      </c>
      <c r="R389" s="151" t="s">
        <v>265</v>
      </c>
      <c r="S389" s="152" t="n">
        <v>0.0221</v>
      </c>
      <c r="T389" s="151"/>
      <c r="U389" s="152"/>
      <c r="V389" s="152" t="n">
        <v>0.024819</v>
      </c>
      <c r="W389" s="152" t="n">
        <v>0.000496</v>
      </c>
      <c r="X389" s="152" t="n">
        <v>0.004223</v>
      </c>
      <c r="Y389" s="152" t="n">
        <v>0.016889</v>
      </c>
      <c r="Z389" s="152" t="n">
        <v>0.002</v>
      </c>
      <c r="AA389" s="152" t="n">
        <v>0.002</v>
      </c>
      <c r="AB389" s="154" t="n">
        <f aca="false">S389-Z389</f>
        <v>0.0201</v>
      </c>
      <c r="AC389" s="154" t="n">
        <f aca="false">U389-Z389-AA389</f>
        <v>-0.004</v>
      </c>
      <c r="AD389" s="155" t="n">
        <v>0.0201</v>
      </c>
      <c r="AE389" s="153" t="n">
        <f aca="false">IF(Y389="","",Y389)</f>
        <v>0.016889</v>
      </c>
      <c r="AF389" s="153" t="n">
        <v>0.003211</v>
      </c>
      <c r="AG389" s="184" t="n">
        <f aca="false">IF(AF389="","",AE389+AF389)</f>
        <v>0.0201</v>
      </c>
      <c r="AH389" s="185" t="n">
        <v>43703</v>
      </c>
      <c r="AI389" s="35" t="n">
        <v>4</v>
      </c>
      <c r="AJ389" s="19" t="str">
        <f aca="false">IF(AG389="","N","Y")</f>
        <v>Y</v>
      </c>
      <c r="AK389" s="238" t="s">
        <v>471</v>
      </c>
      <c r="AL389" s="36"/>
    </row>
    <row r="390" s="38" customFormat="true" ht="23.25" hidden="false" customHeight="true" outlineLevel="0" collapsed="false">
      <c r="A390" s="19" t="n">
        <f aca="false">IF(B390="","",IF((YEAR(B390)-YEAR(B389))=0,A389+1,1))</f>
        <v>65</v>
      </c>
      <c r="B390" s="141" t="n">
        <v>43705</v>
      </c>
      <c r="C390" s="63" t="s">
        <v>187</v>
      </c>
      <c r="D390" s="19"/>
      <c r="E390" s="63" t="s">
        <v>188</v>
      </c>
      <c r="F390" s="63" t="s">
        <v>377</v>
      </c>
      <c r="G390" s="142" t="n">
        <v>43705</v>
      </c>
      <c r="H390" s="142" t="n">
        <v>43797</v>
      </c>
      <c r="I390" s="19" t="n">
        <f aca="false">H390-G390</f>
        <v>92</v>
      </c>
      <c r="J390" s="149" t="n">
        <f aca="false">TRUNC(I390/30,0)</f>
        <v>3</v>
      </c>
      <c r="K390" s="183" t="s">
        <v>95</v>
      </c>
      <c r="L390" s="146" t="n">
        <v>1</v>
      </c>
      <c r="M390" s="147" t="n">
        <v>1.73</v>
      </c>
      <c r="N390" s="148" t="s">
        <v>464</v>
      </c>
      <c r="O390" s="149" t="s">
        <v>300</v>
      </c>
      <c r="P390" s="149"/>
      <c r="Q390" s="150" t="n">
        <v>0.0214438</v>
      </c>
      <c r="R390" s="151" t="n">
        <v>3</v>
      </c>
      <c r="S390" s="152" t="n">
        <v>0.022</v>
      </c>
      <c r="T390" s="151"/>
      <c r="U390" s="152"/>
      <c r="V390" s="152" t="n">
        <v>0.024943</v>
      </c>
      <c r="W390" s="152" t="n">
        <v>0.000499</v>
      </c>
      <c r="X390" s="152" t="n">
        <v>0.004444</v>
      </c>
      <c r="Y390" s="152" t="n">
        <v>0.016625</v>
      </c>
      <c r="Z390" s="152" t="n">
        <v>0.002</v>
      </c>
      <c r="AA390" s="152" t="n">
        <v>0.002</v>
      </c>
      <c r="AB390" s="154" t="n">
        <f aca="false">S390-Z390</f>
        <v>0.02</v>
      </c>
      <c r="AC390" s="154" t="n">
        <f aca="false">U390-Z390-AA390</f>
        <v>-0.004</v>
      </c>
      <c r="AD390" s="155" t="n">
        <v>0.02</v>
      </c>
      <c r="AE390" s="153" t="n">
        <f aca="false">IF(Y390="","",Y390)</f>
        <v>0.016625</v>
      </c>
      <c r="AF390" s="153" t="n">
        <v>0.003375</v>
      </c>
      <c r="AG390" s="184" t="n">
        <f aca="false">IF(AF390="","",AE390+AF390)</f>
        <v>0.02</v>
      </c>
      <c r="AH390" s="185" t="n">
        <v>43705</v>
      </c>
      <c r="AI390" s="35" t="n">
        <v>1</v>
      </c>
      <c r="AJ390" s="19" t="str">
        <f aca="false">IF(AG390="","N","Y")</f>
        <v>Y</v>
      </c>
      <c r="AK390" s="238" t="s">
        <v>472</v>
      </c>
      <c r="AL390" s="36"/>
    </row>
    <row r="391" s="220" customFormat="true" ht="23.25" hidden="false" customHeight="true" outlineLevel="0" collapsed="false">
      <c r="A391" s="200" t="n">
        <f aca="false">IF(B391="","",IF((YEAR(B391)-YEAR(B390))=0,A390+1,1))</f>
        <v>66</v>
      </c>
      <c r="B391" s="199" t="n">
        <v>43707</v>
      </c>
      <c r="C391" s="200" t="s">
        <v>103</v>
      </c>
      <c r="D391" s="200"/>
      <c r="E391" s="200" t="s">
        <v>435</v>
      </c>
      <c r="F391" s="198" t="s">
        <v>459</v>
      </c>
      <c r="G391" s="201" t="n">
        <v>43707</v>
      </c>
      <c r="H391" s="201" t="n">
        <v>43738</v>
      </c>
      <c r="I391" s="200" t="n">
        <f aca="false">H391-G391</f>
        <v>31</v>
      </c>
      <c r="J391" s="228" t="n">
        <f aca="false">TRUNC(I391/30,0)</f>
        <v>1</v>
      </c>
      <c r="K391" s="203" t="s">
        <v>99</v>
      </c>
      <c r="L391" s="204" t="n">
        <v>10</v>
      </c>
      <c r="M391" s="205" t="n">
        <v>1.09</v>
      </c>
      <c r="N391" s="227" t="s">
        <v>463</v>
      </c>
      <c r="O391" s="228" t="s">
        <v>305</v>
      </c>
      <c r="P391" s="228"/>
      <c r="Q391" s="208" t="n">
        <v>0.021425</v>
      </c>
      <c r="R391" s="207" t="s">
        <v>305</v>
      </c>
      <c r="S391" s="209" t="n">
        <v>0.0217</v>
      </c>
      <c r="T391" s="207"/>
      <c r="U391" s="209"/>
      <c r="V391" s="209" t="n">
        <v>0.02362</v>
      </c>
      <c r="W391" s="209" t="n">
        <v>0.001653</v>
      </c>
      <c r="X391" s="209" t="n">
        <v>0.008467</v>
      </c>
      <c r="Y391" s="209" t="n">
        <v>0.011862</v>
      </c>
      <c r="Z391" s="209" t="n">
        <v>0.0033</v>
      </c>
      <c r="AA391" s="209" t="n">
        <v>0.002</v>
      </c>
      <c r="AB391" s="211" t="n">
        <f aca="false">S391-Z391</f>
        <v>0.0184</v>
      </c>
      <c r="AC391" s="211" t="n">
        <f aca="false">U391-Z391-AA391</f>
        <v>-0.0053</v>
      </c>
      <c r="AD391" s="212" t="n">
        <v>0.0135</v>
      </c>
      <c r="AE391" s="210" t="n">
        <f aca="false">IF(Y391="","",Y391)</f>
        <v>0.011862</v>
      </c>
      <c r="AF391" s="210" t="n">
        <v>0.001638</v>
      </c>
      <c r="AG391" s="214" t="n">
        <f aca="false">IF(AF391="","",AE391+AF391)</f>
        <v>0.0135</v>
      </c>
      <c r="AH391" s="215" t="n">
        <v>43707</v>
      </c>
      <c r="AI391" s="216" t="n">
        <v>3</v>
      </c>
      <c r="AJ391" s="217" t="str">
        <f aca="false">IF(AG391="","N","Y")</f>
        <v>Y</v>
      </c>
      <c r="AK391" s="239" t="s">
        <v>473</v>
      </c>
      <c r="AL391" s="229"/>
    </row>
    <row r="392" s="38" customFormat="true" ht="23.25" hidden="false" customHeight="true" outlineLevel="0" collapsed="false">
      <c r="A392" s="19" t="n">
        <f aca="false">IF(B392="","",IF((YEAR(B392)-YEAR(B391))=0,A391+1,1))</f>
        <v>67</v>
      </c>
      <c r="B392" s="141" t="n">
        <v>43711</v>
      </c>
      <c r="C392" s="63" t="s">
        <v>96</v>
      </c>
      <c r="D392" s="19"/>
      <c r="E392" s="63" t="s">
        <v>143</v>
      </c>
      <c r="F392" s="63" t="s">
        <v>360</v>
      </c>
      <c r="G392" s="142" t="n">
        <v>43711</v>
      </c>
      <c r="H392" s="142" t="n">
        <v>43741</v>
      </c>
      <c r="I392" s="19" t="n">
        <f aca="false">H392-G392</f>
        <v>30</v>
      </c>
      <c r="J392" s="149" t="n">
        <f aca="false">TRUNC(I392/30,0)</f>
        <v>1</v>
      </c>
      <c r="K392" s="183" t="s">
        <v>95</v>
      </c>
      <c r="L392" s="146" t="n">
        <v>20</v>
      </c>
      <c r="M392" s="147" t="n">
        <v>1.64</v>
      </c>
      <c r="N392" s="148" t="s">
        <v>474</v>
      </c>
      <c r="O392" s="149" t="s">
        <v>303</v>
      </c>
      <c r="P392" s="149"/>
      <c r="Q392" s="150" t="n">
        <v>0.0208188</v>
      </c>
      <c r="R392" s="151" t="s">
        <v>303</v>
      </c>
      <c r="S392" s="152" t="n">
        <v>0.0235</v>
      </c>
      <c r="T392" s="151"/>
      <c r="U392" s="152"/>
      <c r="V392" s="152" t="n">
        <v>0.023399</v>
      </c>
      <c r="W392" s="152" t="n">
        <v>0.000468</v>
      </c>
      <c r="X392" s="152" t="n">
        <v>0.003931</v>
      </c>
      <c r="Y392" s="152" t="n">
        <v>0.015077</v>
      </c>
      <c r="Z392" s="152" t="n">
        <v>0.002</v>
      </c>
      <c r="AA392" s="152" t="n">
        <v>0.002</v>
      </c>
      <c r="AB392" s="154" t="n">
        <f aca="false">S392-Z392</f>
        <v>0.0215</v>
      </c>
      <c r="AC392" s="154" t="n">
        <f aca="false">U392-Z392-AA392</f>
        <v>-0.004</v>
      </c>
      <c r="AD392" s="155" t="n">
        <v>0.019</v>
      </c>
      <c r="AE392" s="153" t="n">
        <f aca="false">IF(Y392="","",Y392)</f>
        <v>0.015077</v>
      </c>
      <c r="AF392" s="153" t="n">
        <v>0.003923</v>
      </c>
      <c r="AG392" s="184" t="n">
        <f aca="false">IF(AF392="","",AE392+AF392)</f>
        <v>0.019</v>
      </c>
      <c r="AH392" s="185" t="n">
        <v>43711</v>
      </c>
      <c r="AI392" s="35" t="n">
        <v>2</v>
      </c>
      <c r="AJ392" s="19" t="str">
        <f aca="false">IF(AG392="","N","Y")</f>
        <v>Y</v>
      </c>
      <c r="AK392" s="238" t="s">
        <v>475</v>
      </c>
      <c r="AL392" s="36"/>
    </row>
    <row r="393" s="38" customFormat="true" ht="23.25" hidden="false" customHeight="true" outlineLevel="0" collapsed="false">
      <c r="A393" s="19" t="n">
        <f aca="false">IF(B393="","",IF((YEAR(B393)-YEAR(B392))=0,A392+1,1))</f>
        <v>68</v>
      </c>
      <c r="B393" s="141" t="n">
        <v>43714</v>
      </c>
      <c r="C393" s="63" t="s">
        <v>103</v>
      </c>
      <c r="D393" s="19"/>
      <c r="E393" s="63" t="s">
        <v>435</v>
      </c>
      <c r="F393" s="63" t="s">
        <v>383</v>
      </c>
      <c r="G393" s="142" t="n">
        <v>43714</v>
      </c>
      <c r="H393" s="142" t="n">
        <v>43745</v>
      </c>
      <c r="I393" s="19" t="n">
        <f aca="false">H393-G393</f>
        <v>31</v>
      </c>
      <c r="J393" s="149" t="n">
        <f aca="false">TRUNC(I393/30,0)</f>
        <v>1</v>
      </c>
      <c r="K393" s="183" t="s">
        <v>95</v>
      </c>
      <c r="L393" s="146" t="n">
        <v>10</v>
      </c>
      <c r="M393" s="147" t="n">
        <v>1.6</v>
      </c>
      <c r="N393" s="148" t="s">
        <v>476</v>
      </c>
      <c r="O393" s="149" t="s">
        <v>303</v>
      </c>
      <c r="P393" s="149"/>
      <c r="Q393" s="150" t="n">
        <v>0.0204213</v>
      </c>
      <c r="R393" s="151" t="s">
        <v>303</v>
      </c>
      <c r="S393" s="152" t="n">
        <v>0.0225</v>
      </c>
      <c r="T393" s="151"/>
      <c r="U393" s="152"/>
      <c r="V393" s="152" t="n">
        <v>0.023086</v>
      </c>
      <c r="W393" s="152" t="n">
        <v>0.000462</v>
      </c>
      <c r="X393" s="152" t="n">
        <v>0.002125</v>
      </c>
      <c r="Y393" s="152" t="n">
        <v>0.014687</v>
      </c>
      <c r="Z393" s="152" t="n">
        <v>0.002</v>
      </c>
      <c r="AA393" s="152" t="n">
        <v>0.002</v>
      </c>
      <c r="AB393" s="154" t="n">
        <f aca="false">S393-Z393</f>
        <v>0.0205</v>
      </c>
      <c r="AC393" s="154" t="n">
        <f aca="false">U393-Z393-AA393</f>
        <v>-0.004</v>
      </c>
      <c r="AD393" s="155" t="n">
        <v>0.0205</v>
      </c>
      <c r="AE393" s="153" t="n">
        <f aca="false">IF(Y393="","",Y393)</f>
        <v>0.014687</v>
      </c>
      <c r="AF393" s="153" t="n">
        <v>0.005813</v>
      </c>
      <c r="AG393" s="184" t="n">
        <f aca="false">IF(AF393="","",AE393+AF393)</f>
        <v>0.0205</v>
      </c>
      <c r="AH393" s="185" t="n">
        <v>43714</v>
      </c>
      <c r="AI393" s="35" t="n">
        <v>1</v>
      </c>
      <c r="AJ393" s="19" t="str">
        <f aca="false">IF(AG393="","N","Y")</f>
        <v>Y</v>
      </c>
      <c r="AK393" s="238" t="s">
        <v>477</v>
      </c>
      <c r="AL393" s="36"/>
    </row>
    <row r="394" customFormat="false" ht="20.25" hidden="false" customHeight="true" outlineLevel="0" collapsed="false">
      <c r="A394" s="19" t="n">
        <f aca="false">IF(B394="","",IF((YEAR(B394)-YEAR(B393))=0,A393+1,1))</f>
        <v>69</v>
      </c>
      <c r="B394" s="141" t="n">
        <v>43718</v>
      </c>
      <c r="C394" s="63" t="s">
        <v>103</v>
      </c>
      <c r="D394" s="19"/>
      <c r="E394" s="63" t="s">
        <v>206</v>
      </c>
      <c r="F394" s="63" t="s">
        <v>400</v>
      </c>
      <c r="G394" s="142" t="n">
        <v>43718</v>
      </c>
      <c r="H394" s="142" t="n">
        <v>43748</v>
      </c>
      <c r="I394" s="19" t="n">
        <f aca="false">H394-G394</f>
        <v>30</v>
      </c>
      <c r="J394" s="149" t="n">
        <f aca="false">TRUNC(I394/30,0)</f>
        <v>1</v>
      </c>
      <c r="K394" s="183" t="s">
        <v>95</v>
      </c>
      <c r="L394" s="146" t="n">
        <v>10</v>
      </c>
      <c r="M394" s="147" t="n">
        <v>1.59</v>
      </c>
      <c r="N394" s="148" t="s">
        <v>478</v>
      </c>
      <c r="O394" s="149" t="s">
        <v>255</v>
      </c>
      <c r="P394" s="149"/>
      <c r="Q394" s="150" t="n">
        <v>0.020495</v>
      </c>
      <c r="R394" s="151" t="s">
        <v>255</v>
      </c>
      <c r="S394" s="152" t="n">
        <v>0.0228</v>
      </c>
      <c r="T394" s="151"/>
      <c r="U394" s="152"/>
      <c r="V394" s="152" t="n">
        <v>0.023005</v>
      </c>
      <c r="W394" s="152" t="n">
        <v>0.00046</v>
      </c>
      <c r="X394" s="152" t="n">
        <v>0.002045</v>
      </c>
      <c r="Y394" s="152" t="n">
        <v>0.01476</v>
      </c>
      <c r="Z394" s="152" t="n">
        <v>0.002</v>
      </c>
      <c r="AA394" s="152" t="n">
        <v>0.002</v>
      </c>
      <c r="AB394" s="154" t="n">
        <f aca="false">S394-Z394</f>
        <v>0.0208</v>
      </c>
      <c r="AC394" s="154" t="n">
        <f aca="false">U394-Z394-AA394</f>
        <v>-0.004</v>
      </c>
      <c r="AD394" s="155" t="n">
        <v>0.0205</v>
      </c>
      <c r="AE394" s="153" t="n">
        <f aca="false">IF(Y394="","",Y394)</f>
        <v>0.01476</v>
      </c>
      <c r="AF394" s="153" t="n">
        <v>0.00574</v>
      </c>
      <c r="AG394" s="184" t="n">
        <f aca="false">IF(AF394="","",AE394+AF394)</f>
        <v>0.0205</v>
      </c>
      <c r="AH394" s="185" t="n">
        <v>43718</v>
      </c>
      <c r="AI394" s="35" t="n">
        <v>1</v>
      </c>
      <c r="AJ394" s="19" t="str">
        <f aca="false">IF(AG394="","N","Y")</f>
        <v>Y</v>
      </c>
      <c r="AK394" s="238" t="s">
        <v>479</v>
      </c>
    </row>
    <row r="395" s="220" customFormat="true" ht="20.25" hidden="false" customHeight="true" outlineLevel="0" collapsed="false">
      <c r="A395" s="200" t="n">
        <f aca="false">IF(B395="","",IF((YEAR(B395)-YEAR(B394))=0,A394+1,1))</f>
        <v>70</v>
      </c>
      <c r="B395" s="199" t="n">
        <v>43718</v>
      </c>
      <c r="C395" s="200" t="s">
        <v>103</v>
      </c>
      <c r="D395" s="200"/>
      <c r="E395" s="200" t="s">
        <v>435</v>
      </c>
      <c r="F395" s="200" t="s">
        <v>389</v>
      </c>
      <c r="G395" s="201" t="n">
        <v>43718</v>
      </c>
      <c r="H395" s="201" t="n">
        <v>43748</v>
      </c>
      <c r="I395" s="200" t="n">
        <f aca="false">H395-G395</f>
        <v>30</v>
      </c>
      <c r="J395" s="228" t="n">
        <f aca="false">TRUNC(I395/30,0)</f>
        <v>1</v>
      </c>
      <c r="K395" s="203" t="s">
        <v>99</v>
      </c>
      <c r="L395" s="204" t="n">
        <v>1.1</v>
      </c>
      <c r="M395" s="205" t="n">
        <v>1.08</v>
      </c>
      <c r="N395" s="227" t="s">
        <v>463</v>
      </c>
      <c r="O395" s="228" t="s">
        <v>305</v>
      </c>
      <c r="P395" s="228"/>
      <c r="Q395" s="208" t="n">
        <v>0.0213263</v>
      </c>
      <c r="R395" s="207" t="s">
        <v>305</v>
      </c>
      <c r="S395" s="209" t="n">
        <v>0.0215</v>
      </c>
      <c r="T395" s="207"/>
      <c r="U395" s="209"/>
      <c r="V395" s="209" t="n">
        <v>0.02299</v>
      </c>
      <c r="W395" s="209" t="n">
        <v>0.001609</v>
      </c>
      <c r="X395" s="209" t="n">
        <v>0.007881</v>
      </c>
      <c r="Y395" s="209" t="n">
        <v>0.01177</v>
      </c>
      <c r="Z395" s="209" t="n">
        <v>0.0033</v>
      </c>
      <c r="AA395" s="209" t="n">
        <v>0.002</v>
      </c>
      <c r="AB395" s="211" t="n">
        <f aca="false">S395-Z395</f>
        <v>0.0182</v>
      </c>
      <c r="AC395" s="211" t="n">
        <f aca="false">U395-Z395-AA395</f>
        <v>-0.0053</v>
      </c>
      <c r="AD395" s="212" t="n">
        <v>0.0135</v>
      </c>
      <c r="AE395" s="210" t="n">
        <f aca="false">IF(Y395="","",Y395)</f>
        <v>0.01177</v>
      </c>
      <c r="AF395" s="210" t="n">
        <v>0.00173</v>
      </c>
      <c r="AG395" s="214" t="n">
        <f aca="false">IF(AF395="","",AE395+AF395)</f>
        <v>0.0135</v>
      </c>
      <c r="AH395" s="215" t="n">
        <v>43718</v>
      </c>
      <c r="AI395" s="216" t="n">
        <v>2</v>
      </c>
      <c r="AJ395" s="217" t="str">
        <f aca="false">IF(AG395="","N","Y")</f>
        <v>Y</v>
      </c>
      <c r="AK395" s="239" t="s">
        <v>473</v>
      </c>
      <c r="AL395" s="229"/>
    </row>
    <row r="396" s="38" customFormat="true" ht="23.25" hidden="false" customHeight="true" outlineLevel="0" collapsed="false">
      <c r="A396" s="19" t="n">
        <f aca="false">IF(B396="","",IF((YEAR(B396)-YEAR(B395))=0,A395+1,1))</f>
        <v>71</v>
      </c>
      <c r="B396" s="141" t="n">
        <v>43724</v>
      </c>
      <c r="C396" s="63" t="s">
        <v>103</v>
      </c>
      <c r="D396" s="19"/>
      <c r="E396" s="63" t="s">
        <v>480</v>
      </c>
      <c r="F396" s="63" t="s">
        <v>469</v>
      </c>
      <c r="G396" s="142" t="n">
        <v>43724</v>
      </c>
      <c r="H396" s="142" t="n">
        <v>43754</v>
      </c>
      <c r="I396" s="19" t="n">
        <f aca="false">H396-G396</f>
        <v>30</v>
      </c>
      <c r="J396" s="149" t="n">
        <f aca="false">TRUNC(I396/30,0)</f>
        <v>1</v>
      </c>
      <c r="K396" s="183" t="s">
        <v>95</v>
      </c>
      <c r="L396" s="146" t="n">
        <v>5</v>
      </c>
      <c r="M396" s="147" t="n">
        <v>1.58</v>
      </c>
      <c r="N396" s="148" t="s">
        <v>481</v>
      </c>
      <c r="O396" s="149" t="s">
        <v>303</v>
      </c>
      <c r="P396" s="149"/>
      <c r="Q396" s="150" t="n">
        <v>0.0202475</v>
      </c>
      <c r="R396" s="151" t="s">
        <v>303</v>
      </c>
      <c r="S396" s="152" t="n">
        <v>0.0225</v>
      </c>
      <c r="T396" s="151"/>
      <c r="U396" s="152"/>
      <c r="V396" s="152" t="n">
        <v>0.022903</v>
      </c>
      <c r="W396" s="152" t="n">
        <v>0.000458</v>
      </c>
      <c r="X396" s="152" t="n">
        <v>0.002145</v>
      </c>
      <c r="Y396" s="152" t="n">
        <v>0.014517</v>
      </c>
      <c r="Z396" s="152" t="n">
        <v>0.002</v>
      </c>
      <c r="AA396" s="152" t="n">
        <v>0.002</v>
      </c>
      <c r="AB396" s="154" t="n">
        <f aca="false">S396-Z396</f>
        <v>0.0205</v>
      </c>
      <c r="AC396" s="154" t="n">
        <f aca="false">U396-Z396-AA396</f>
        <v>-0.004</v>
      </c>
      <c r="AD396" s="155" t="n">
        <v>0.0203</v>
      </c>
      <c r="AE396" s="153" t="n">
        <f aca="false">IF(Y396="","",Y396)</f>
        <v>0.014517</v>
      </c>
      <c r="AF396" s="153" t="n">
        <v>0.005783</v>
      </c>
      <c r="AG396" s="184" t="n">
        <f aca="false">IF(AF396="","",AE396+AF396)</f>
        <v>0.0203</v>
      </c>
      <c r="AH396" s="185" t="n">
        <v>43724</v>
      </c>
      <c r="AI396" s="35" t="n">
        <v>1</v>
      </c>
      <c r="AJ396" s="19" t="str">
        <f aca="false">IF(AG396="","N","Y")</f>
        <v>Y</v>
      </c>
      <c r="AK396" s="238" t="s">
        <v>482</v>
      </c>
      <c r="AL396" s="36"/>
    </row>
    <row r="397" s="38" customFormat="true" ht="23.25" hidden="false" customHeight="true" outlineLevel="0" collapsed="false">
      <c r="A397" s="19" t="n">
        <f aca="false">IF(B397="","",IF((YEAR(B397)-YEAR(B396))=0,A396+1,1))</f>
        <v>72</v>
      </c>
      <c r="B397" s="141" t="n">
        <v>43724</v>
      </c>
      <c r="C397" s="63" t="s">
        <v>103</v>
      </c>
      <c r="D397" s="19"/>
      <c r="E397" s="63" t="s">
        <v>330</v>
      </c>
      <c r="F397" s="63" t="s">
        <v>207</v>
      </c>
      <c r="G397" s="142" t="n">
        <v>43724</v>
      </c>
      <c r="H397" s="142" t="n">
        <v>43753</v>
      </c>
      <c r="I397" s="19" t="n">
        <f aca="false">H397-G397</f>
        <v>29</v>
      </c>
      <c r="J397" s="149" t="s">
        <v>255</v>
      </c>
      <c r="K397" s="183" t="s">
        <v>95</v>
      </c>
      <c r="L397" s="146" t="n">
        <v>10</v>
      </c>
      <c r="M397" s="147" t="n">
        <v>1.58</v>
      </c>
      <c r="N397" s="148" t="s">
        <v>481</v>
      </c>
      <c r="O397" s="149" t="s">
        <v>303</v>
      </c>
      <c r="P397" s="149"/>
      <c r="Q397" s="150" t="n">
        <v>0.0202475</v>
      </c>
      <c r="R397" s="151" t="s">
        <v>303</v>
      </c>
      <c r="S397" s="152" t="n">
        <v>0.0225</v>
      </c>
      <c r="T397" s="151"/>
      <c r="U397" s="152"/>
      <c r="V397" s="152" t="n">
        <v>0.022882</v>
      </c>
      <c r="W397" s="152" t="n">
        <v>0.000458</v>
      </c>
      <c r="X397" s="152" t="n">
        <v>0.001925</v>
      </c>
      <c r="Y397" s="152" t="n">
        <v>0.012749</v>
      </c>
      <c r="Z397" s="152" t="n">
        <v>0.002</v>
      </c>
      <c r="AA397" s="152" t="n">
        <v>0.002</v>
      </c>
      <c r="AB397" s="154" t="n">
        <f aca="false">S397-Z397</f>
        <v>0.0205</v>
      </c>
      <c r="AC397" s="154" t="n">
        <f aca="false">U397-Z397-AA397</f>
        <v>-0.004</v>
      </c>
      <c r="AD397" s="155" t="n">
        <v>0.0205</v>
      </c>
      <c r="AE397" s="153" t="n">
        <f aca="false">IF(Y397="","",Y397)</f>
        <v>0.012749</v>
      </c>
      <c r="AF397" s="153" t="n">
        <v>0.007751</v>
      </c>
      <c r="AG397" s="184" t="n">
        <f aca="false">IF(AF397="","",AE397+AF397)</f>
        <v>0.0205</v>
      </c>
      <c r="AH397" s="185" t="n">
        <v>43724</v>
      </c>
      <c r="AI397" s="35" t="n">
        <v>2</v>
      </c>
      <c r="AJ397" s="19" t="str">
        <f aca="false">IF(AG397="","N","Y")</f>
        <v>Y</v>
      </c>
      <c r="AK397" s="238" t="s">
        <v>483</v>
      </c>
      <c r="AL397" s="36"/>
    </row>
    <row r="398" customFormat="false" ht="20.25" hidden="false" customHeight="true" outlineLevel="0" collapsed="false">
      <c r="A398" s="19" t="n">
        <f aca="false">IF(B398="","",IF((YEAR(B398)-YEAR(B397))=0,A397+1,1))</f>
        <v>73</v>
      </c>
      <c r="B398" s="141" t="n">
        <v>43725</v>
      </c>
      <c r="C398" s="63" t="s">
        <v>124</v>
      </c>
      <c r="D398" s="19"/>
      <c r="E398" s="63" t="s">
        <v>484</v>
      </c>
      <c r="F398" s="63" t="s">
        <v>431</v>
      </c>
      <c r="G398" s="142" t="n">
        <v>43725</v>
      </c>
      <c r="H398" s="142" t="n">
        <v>43755</v>
      </c>
      <c r="I398" s="19" t="n">
        <f aca="false">H398-G398</f>
        <v>30</v>
      </c>
      <c r="J398" s="149" t="n">
        <f aca="false">TRUNC(I398/30,0)</f>
        <v>1</v>
      </c>
      <c r="K398" s="183" t="s">
        <v>95</v>
      </c>
      <c r="L398" s="146" t="n">
        <v>1</v>
      </c>
      <c r="M398" s="147" t="n">
        <v>1.59</v>
      </c>
      <c r="N398" s="148" t="s">
        <v>485</v>
      </c>
      <c r="O398" s="149" t="s">
        <v>303</v>
      </c>
      <c r="P398" s="149"/>
      <c r="Q398" s="150" t="n">
        <v>0.0204088</v>
      </c>
      <c r="R398" s="151" t="s">
        <v>303</v>
      </c>
      <c r="S398" s="152" t="n">
        <v>0.0225</v>
      </c>
      <c r="T398" s="151"/>
      <c r="U398" s="152"/>
      <c r="V398" s="152" t="n">
        <v>0.022747</v>
      </c>
      <c r="W398" s="152" t="n">
        <v>0.000455</v>
      </c>
      <c r="X398" s="152" t="n">
        <v>0.002292</v>
      </c>
      <c r="Y398" s="152" t="n">
        <v>0.014675</v>
      </c>
      <c r="Z398" s="152" t="n">
        <v>0.002</v>
      </c>
      <c r="AA398" s="152" t="n">
        <v>0.002</v>
      </c>
      <c r="AB398" s="154" t="n">
        <f aca="false">S398-Z398</f>
        <v>0.0205</v>
      </c>
      <c r="AC398" s="154" t="n">
        <f aca="false">U398-Z398-AA398</f>
        <v>-0.004</v>
      </c>
      <c r="AD398" s="155" t="n">
        <v>0.02</v>
      </c>
      <c r="AE398" s="153" t="n">
        <f aca="false">IF(Y398="","",Y398)</f>
        <v>0.014675</v>
      </c>
      <c r="AF398" s="153" t="n">
        <v>0.005325</v>
      </c>
      <c r="AG398" s="184" t="n">
        <f aca="false">IF(AF398="","",AE398+AF398)</f>
        <v>0.02</v>
      </c>
      <c r="AH398" s="185" t="n">
        <v>43725</v>
      </c>
      <c r="AI398" s="35" t="n">
        <v>2</v>
      </c>
      <c r="AJ398" s="19" t="str">
        <f aca="false">IF(AG398="","N","Y")</f>
        <v>Y</v>
      </c>
      <c r="AK398" s="238" t="s">
        <v>483</v>
      </c>
    </row>
    <row r="399" customFormat="false" ht="20.25" hidden="false" customHeight="true" outlineLevel="0" collapsed="false">
      <c r="A399" s="19" t="n">
        <f aca="false">IF(B399="","",IF((YEAR(B399)-YEAR(B398))=0,A398+1,1))</f>
        <v>74</v>
      </c>
      <c r="B399" s="141" t="n">
        <v>43726</v>
      </c>
      <c r="C399" s="63" t="s">
        <v>103</v>
      </c>
      <c r="D399" s="19"/>
      <c r="E399" s="63" t="s">
        <v>435</v>
      </c>
      <c r="F399" s="19" t="s">
        <v>455</v>
      </c>
      <c r="G399" s="142" t="n">
        <v>43726</v>
      </c>
      <c r="H399" s="142" t="n">
        <v>43756</v>
      </c>
      <c r="I399" s="19" t="n">
        <f aca="false">H399-G399</f>
        <v>30</v>
      </c>
      <c r="J399" s="149" t="n">
        <f aca="false">TRUNC(I399/30,0)</f>
        <v>1</v>
      </c>
      <c r="K399" s="183" t="s">
        <v>95</v>
      </c>
      <c r="L399" s="146" t="n">
        <v>10</v>
      </c>
      <c r="M399" s="147" t="n">
        <v>1.53728</v>
      </c>
      <c r="N399" s="148" t="s">
        <v>486</v>
      </c>
      <c r="O399" s="149" t="s">
        <v>303</v>
      </c>
      <c r="P399" s="149"/>
      <c r="Q399" s="150" t="n">
        <v>0.02057</v>
      </c>
      <c r="R399" s="151" t="s">
        <v>303</v>
      </c>
      <c r="S399" s="152" t="n">
        <v>0.0228</v>
      </c>
      <c r="T399" s="151"/>
      <c r="U399" s="152"/>
      <c r="V399" s="152" t="n">
        <v>0.022902</v>
      </c>
      <c r="W399" s="152" t="n">
        <v>0.000458</v>
      </c>
      <c r="X399" s="152" t="n">
        <v>0.002444</v>
      </c>
      <c r="Y399" s="152" t="n">
        <v>0.014833</v>
      </c>
      <c r="Z399" s="152" t="n">
        <v>0.002</v>
      </c>
      <c r="AA399" s="152" t="n">
        <v>0.002</v>
      </c>
      <c r="AB399" s="154" t="n">
        <f aca="false">S399-Z399</f>
        <v>0.0208</v>
      </c>
      <c r="AC399" s="154" t="n">
        <f aca="false">U399-Z399-AA399</f>
        <v>-0.004</v>
      </c>
      <c r="AD399" s="155" t="n">
        <v>0.02</v>
      </c>
      <c r="AE399" s="153" t="n">
        <f aca="false">IF(Y399="","",Y399)</f>
        <v>0.014833</v>
      </c>
      <c r="AF399" s="153" t="n">
        <f aca="false">AG399-AE399</f>
        <v>0.005167</v>
      </c>
      <c r="AG399" s="184" t="n">
        <v>0.02</v>
      </c>
      <c r="AH399" s="185" t="n">
        <v>43726</v>
      </c>
      <c r="AI399" s="35" t="n">
        <v>1</v>
      </c>
      <c r="AJ399" s="19" t="str">
        <f aca="false">IF(AG399="","N","Y")</f>
        <v>Y</v>
      </c>
      <c r="AK399" s="238" t="s">
        <v>487</v>
      </c>
    </row>
    <row r="400" s="38" customFormat="true" ht="23.25" hidden="false" customHeight="true" outlineLevel="0" collapsed="false">
      <c r="A400" s="19" t="n">
        <f aca="false">IF(B400="","",IF((YEAR(B400)-YEAR(B399))=0,A399+1,1))</f>
        <v>75</v>
      </c>
      <c r="B400" s="141" t="n">
        <v>43732</v>
      </c>
      <c r="C400" s="63" t="s">
        <v>103</v>
      </c>
      <c r="D400" s="19"/>
      <c r="E400" s="63" t="s">
        <v>435</v>
      </c>
      <c r="F400" s="63" t="s">
        <v>386</v>
      </c>
      <c r="G400" s="142" t="n">
        <v>43732</v>
      </c>
      <c r="H400" s="142" t="n">
        <v>43819</v>
      </c>
      <c r="I400" s="19" t="n">
        <f aca="false">H400-G400</f>
        <v>87</v>
      </c>
      <c r="J400" s="149" t="n">
        <f aca="false">TRUNC(I400/30,0)</f>
        <v>2</v>
      </c>
      <c r="K400" s="183" t="s">
        <v>95</v>
      </c>
      <c r="L400" s="146" t="n">
        <v>5</v>
      </c>
      <c r="M400" s="147" t="n">
        <v>1.6878</v>
      </c>
      <c r="N400" s="148" t="s">
        <v>488</v>
      </c>
      <c r="O400" s="151" t="s">
        <v>300</v>
      </c>
      <c r="P400" s="151"/>
      <c r="Q400" s="150" t="n">
        <v>0.0210625</v>
      </c>
      <c r="R400" s="151" t="s">
        <v>300</v>
      </c>
      <c r="S400" s="152" t="n">
        <v>0.0209</v>
      </c>
      <c r="T400" s="151"/>
      <c r="U400" s="152"/>
      <c r="V400" s="152" t="n">
        <v>0.024756</v>
      </c>
      <c r="W400" s="152" t="n">
        <v>0.000495</v>
      </c>
      <c r="X400" s="152" t="n">
        <v>0.005361</v>
      </c>
      <c r="Y400" s="152" t="n">
        <v>0.014455</v>
      </c>
      <c r="Z400" s="152" t="n">
        <v>0.002</v>
      </c>
      <c r="AA400" s="152" t="n">
        <v>0.002</v>
      </c>
      <c r="AB400" s="154" t="n">
        <f aca="false">S400-Z400</f>
        <v>0.0189</v>
      </c>
      <c r="AC400" s="154" t="n">
        <f aca="false">U400-Z400-AA400</f>
        <v>-0.004</v>
      </c>
      <c r="AD400" s="155" t="n">
        <v>0.0189</v>
      </c>
      <c r="AE400" s="153" t="n">
        <f aca="false">IF(Y400="","",Y400)</f>
        <v>0.014455</v>
      </c>
      <c r="AF400" s="153" t="n">
        <f aca="false">AG400-AE400</f>
        <v>0.004445</v>
      </c>
      <c r="AG400" s="184" t="n">
        <v>0.0189</v>
      </c>
      <c r="AH400" s="185" t="n">
        <v>43732</v>
      </c>
      <c r="AI400" s="35" t="n">
        <v>1</v>
      </c>
      <c r="AJ400" s="19" t="str">
        <f aca="false">IF(AG400="","N","Y")</f>
        <v>Y</v>
      </c>
      <c r="AK400" s="238" t="s">
        <v>489</v>
      </c>
      <c r="AL400" s="36"/>
    </row>
    <row r="401" s="140" customFormat="true" ht="23.25" hidden="false" customHeight="true" outlineLevel="0" collapsed="false">
      <c r="A401" s="116" t="n">
        <f aca="false">IF(B401="","",IF((YEAR(B401)-YEAR(B400))=0,A400+1,1))</f>
        <v>76</v>
      </c>
      <c r="B401" s="160" t="n">
        <v>43734</v>
      </c>
      <c r="C401" s="161" t="s">
        <v>490</v>
      </c>
      <c r="D401" s="161" t="s">
        <v>491</v>
      </c>
      <c r="E401" s="161" t="s">
        <v>492</v>
      </c>
      <c r="F401" s="116" t="s">
        <v>493</v>
      </c>
      <c r="G401" s="162" t="n">
        <v>43734</v>
      </c>
      <c r="H401" s="162" t="n">
        <v>43764</v>
      </c>
      <c r="I401" s="116" t="n">
        <f aca="false">H401-G401</f>
        <v>30</v>
      </c>
      <c r="J401" s="169" t="n">
        <f aca="false">TRUNC(I401/30,0)</f>
        <v>1</v>
      </c>
      <c r="K401" s="180" t="s">
        <v>95</v>
      </c>
      <c r="L401" s="166" t="n">
        <v>1</v>
      </c>
      <c r="M401" s="167" t="n">
        <v>1.59021</v>
      </c>
      <c r="N401" s="168" t="s">
        <v>478</v>
      </c>
      <c r="O401" s="171" t="s">
        <v>303</v>
      </c>
      <c r="P401" s="171"/>
      <c r="Q401" s="170" t="n">
        <v>0.0205363</v>
      </c>
      <c r="R401" s="171" t="s">
        <v>303</v>
      </c>
      <c r="S401" s="172" t="n">
        <v>0.021</v>
      </c>
      <c r="T401" s="171"/>
      <c r="U401" s="172"/>
      <c r="V401" s="172" t="n">
        <v>0.022935</v>
      </c>
      <c r="W401" s="172" t="n">
        <v>0.000459</v>
      </c>
      <c r="X401" s="172" t="n">
        <v>0.003976</v>
      </c>
      <c r="Y401" s="172" t="n">
        <v>0.0148</v>
      </c>
      <c r="Z401" s="172" t="n">
        <v>0.002</v>
      </c>
      <c r="AA401" s="172" t="n">
        <v>0.002</v>
      </c>
      <c r="AB401" s="174" t="n">
        <f aca="false">S401-Z401</f>
        <v>0.019</v>
      </c>
      <c r="AC401" s="174" t="n">
        <f aca="false">U401-Z401-AA401</f>
        <v>-0.004</v>
      </c>
      <c r="AD401" s="175" t="n">
        <v>0.0185</v>
      </c>
      <c r="AE401" s="173" t="n">
        <f aca="false">IF(Y401="","",Y401)</f>
        <v>0.0148</v>
      </c>
      <c r="AF401" s="173" t="n">
        <f aca="false">AG401-AE401</f>
        <v>0.0037</v>
      </c>
      <c r="AG401" s="186" t="n">
        <v>0.0185</v>
      </c>
      <c r="AH401" s="187"/>
      <c r="AI401" s="176"/>
      <c r="AJ401" s="116" t="s">
        <v>494</v>
      </c>
      <c r="AK401" s="177" t="s">
        <v>495</v>
      </c>
      <c r="AL401" s="138"/>
    </row>
    <row r="402" s="220" customFormat="true" ht="20.25" hidden="false" customHeight="true" outlineLevel="0" collapsed="false">
      <c r="A402" s="200" t="n">
        <f aca="false">IF(B402="","",IF((YEAR(B402)-YEAR(B401))=0,A401+1,1))</f>
        <v>77</v>
      </c>
      <c r="B402" s="199" t="n">
        <v>43738</v>
      </c>
      <c r="C402" s="200" t="s">
        <v>103</v>
      </c>
      <c r="D402" s="200"/>
      <c r="E402" s="200" t="s">
        <v>435</v>
      </c>
      <c r="F402" s="198" t="s">
        <v>459</v>
      </c>
      <c r="G402" s="201" t="n">
        <v>43738</v>
      </c>
      <c r="H402" s="201" t="n">
        <v>43768</v>
      </c>
      <c r="I402" s="200" t="n">
        <f aca="false">H402-G402</f>
        <v>30</v>
      </c>
      <c r="J402" s="228" t="n">
        <f aca="false">TRUNC(I402/30,0)</f>
        <v>1</v>
      </c>
      <c r="K402" s="203" t="s">
        <v>99</v>
      </c>
      <c r="L402" s="204" t="n">
        <v>5</v>
      </c>
      <c r="M402" s="205" t="n">
        <v>0.86</v>
      </c>
      <c r="N402" s="227" t="s">
        <v>496</v>
      </c>
      <c r="O402" s="228" t="s">
        <v>305</v>
      </c>
      <c r="P402" s="228"/>
      <c r="Q402" s="208" t="n">
        <v>0.0191325</v>
      </c>
      <c r="R402" s="207" t="s">
        <v>305</v>
      </c>
      <c r="S402" s="209" t="n">
        <v>0.02</v>
      </c>
      <c r="T402" s="207"/>
      <c r="U402" s="209"/>
      <c r="V402" s="209" t="n">
        <v>0.022935</v>
      </c>
      <c r="W402" s="209" t="n">
        <v>0.001605</v>
      </c>
      <c r="X402" s="209" t="n">
        <v>0.00983</v>
      </c>
      <c r="Y402" s="209" t="n">
        <v>0.00973</v>
      </c>
      <c r="Z402" s="209" t="n">
        <v>0.0033</v>
      </c>
      <c r="AA402" s="209" t="n">
        <v>0.002</v>
      </c>
      <c r="AB402" s="211" t="n">
        <f aca="false">S402-Z402</f>
        <v>0.0167</v>
      </c>
      <c r="AC402" s="211" t="n">
        <f aca="false">U402-Z402-AA402</f>
        <v>-0.0053</v>
      </c>
      <c r="AD402" s="212" t="n">
        <v>0.0115</v>
      </c>
      <c r="AE402" s="210" t="n">
        <f aca="false">IF(Y402="","",Y402)</f>
        <v>0.00973</v>
      </c>
      <c r="AF402" s="210" t="n">
        <v>0.00177</v>
      </c>
      <c r="AG402" s="214" t="n">
        <f aca="false">IF(AF402="","",AE402+AF402)</f>
        <v>0.0115</v>
      </c>
      <c r="AH402" s="215" t="n">
        <v>43738</v>
      </c>
      <c r="AI402" s="216" t="n">
        <v>2</v>
      </c>
      <c r="AJ402" s="217" t="s">
        <v>494</v>
      </c>
      <c r="AK402" s="239" t="s">
        <v>497</v>
      </c>
      <c r="AL402" s="229"/>
    </row>
    <row r="403" s="268" customFormat="true" ht="23.25" hidden="false" customHeight="true" outlineLevel="0" collapsed="false">
      <c r="A403" s="249" t="n">
        <f aca="false">IF(B403="","",IF((YEAR(B403)-YEAR(B402))=0,A402+1,1))</f>
        <v>78</v>
      </c>
      <c r="B403" s="248" t="n">
        <v>43742</v>
      </c>
      <c r="C403" s="249" t="s">
        <v>96</v>
      </c>
      <c r="D403" s="265"/>
      <c r="E403" s="249" t="s">
        <v>143</v>
      </c>
      <c r="F403" s="249" t="s">
        <v>360</v>
      </c>
      <c r="G403" s="250" t="n">
        <v>43742</v>
      </c>
      <c r="H403" s="250" t="n">
        <v>43773</v>
      </c>
      <c r="I403" s="249" t="n">
        <f aca="false">H403-G403</f>
        <v>31</v>
      </c>
      <c r="J403" s="251" t="n">
        <f aca="false">TRUNC(I403/30,0)</f>
        <v>1</v>
      </c>
      <c r="K403" s="252" t="s">
        <v>95</v>
      </c>
      <c r="L403" s="253" t="n">
        <v>20</v>
      </c>
      <c r="M403" s="254" t="n">
        <v>1.54</v>
      </c>
      <c r="N403" s="255" t="s">
        <v>498</v>
      </c>
      <c r="O403" s="251" t="s">
        <v>303</v>
      </c>
      <c r="P403" s="251"/>
      <c r="Q403" s="256" t="n">
        <v>0.019895</v>
      </c>
      <c r="R403" s="257" t="s">
        <v>303</v>
      </c>
      <c r="S403" s="258" t="n">
        <v>0.0215</v>
      </c>
      <c r="T403" s="257"/>
      <c r="U403" s="258"/>
      <c r="V403" s="258" t="n">
        <v>0.022628</v>
      </c>
      <c r="W403" s="258" t="n">
        <v>0.000453</v>
      </c>
      <c r="X403" s="258" t="n">
        <v>0.003675</v>
      </c>
      <c r="Y403" s="258" t="n">
        <v>0.014172</v>
      </c>
      <c r="Z403" s="258" t="n">
        <v>0.002</v>
      </c>
      <c r="AA403" s="258" t="n">
        <v>0.002</v>
      </c>
      <c r="AB403" s="259" t="n">
        <f aca="false">S403-Z403</f>
        <v>0.0195</v>
      </c>
      <c r="AC403" s="259" t="n">
        <f aca="false">U403-Z403-AA403</f>
        <v>-0.004</v>
      </c>
      <c r="AD403" s="260" t="n">
        <v>0.0185</v>
      </c>
      <c r="AE403" s="261" t="n">
        <f aca="false">IF(Y403="","",Y403)</f>
        <v>0.014172</v>
      </c>
      <c r="AF403" s="261" t="n">
        <v>0.004328</v>
      </c>
      <c r="AG403" s="262" t="n">
        <f aca="false">IF(AF403="","",AE403+AF403)</f>
        <v>0.0185</v>
      </c>
      <c r="AH403" s="263" t="n">
        <v>43742</v>
      </c>
      <c r="AI403" s="264" t="n">
        <v>1</v>
      </c>
      <c r="AJ403" s="265" t="str">
        <f aca="false">IF(AG403="","N","Y")</f>
        <v>Y</v>
      </c>
      <c r="AK403" s="266" t="s">
        <v>499</v>
      </c>
      <c r="AL403" s="267"/>
    </row>
    <row r="404" s="38" customFormat="true" ht="23.25" hidden="false" customHeight="true" outlineLevel="0" collapsed="false">
      <c r="A404" s="19" t="n">
        <f aca="false">IF(B404="","",IF((YEAR(B404)-YEAR(B403))=0,A403+1,1))</f>
        <v>79</v>
      </c>
      <c r="B404" s="141" t="n">
        <v>43745</v>
      </c>
      <c r="C404" s="63" t="s">
        <v>103</v>
      </c>
      <c r="D404" s="19"/>
      <c r="E404" s="63" t="s">
        <v>435</v>
      </c>
      <c r="F404" s="63" t="s">
        <v>383</v>
      </c>
      <c r="G404" s="142" t="n">
        <v>43745</v>
      </c>
      <c r="H404" s="142" t="n">
        <v>43776</v>
      </c>
      <c r="I404" s="19" t="n">
        <f aca="false">H404-G404</f>
        <v>31</v>
      </c>
      <c r="J404" s="149" t="n">
        <f aca="false">TRUNC(I404/30,0)</f>
        <v>1</v>
      </c>
      <c r="K404" s="183" t="s">
        <v>95</v>
      </c>
      <c r="L404" s="146" t="n">
        <v>10</v>
      </c>
      <c r="M404" s="147" t="n">
        <v>1.54</v>
      </c>
      <c r="N404" s="148" t="s">
        <v>500</v>
      </c>
      <c r="O404" s="149" t="s">
        <v>303</v>
      </c>
      <c r="P404" s="149"/>
      <c r="Q404" s="150" t="n">
        <v>0.01978</v>
      </c>
      <c r="R404" s="151" t="s">
        <v>303</v>
      </c>
      <c r="S404" s="152" t="n">
        <v>0.0202</v>
      </c>
      <c r="T404" s="151"/>
      <c r="U404" s="152"/>
      <c r="V404" s="152" t="n">
        <v>0.022411</v>
      </c>
      <c r="W404" s="152" t="n">
        <v>0.00448</v>
      </c>
      <c r="X404" s="152" t="n">
        <v>0.003963</v>
      </c>
      <c r="Y404" s="152" t="n">
        <v>0.014059</v>
      </c>
      <c r="Z404" s="152" t="n">
        <v>0.002</v>
      </c>
      <c r="AA404" s="152" t="n">
        <v>0.002</v>
      </c>
      <c r="AB404" s="154" t="n">
        <f aca="false">S404-Z404</f>
        <v>0.0182</v>
      </c>
      <c r="AC404" s="154" t="n">
        <f aca="false">U404-Z404-AA404</f>
        <v>-0.004</v>
      </c>
      <c r="AD404" s="155" t="n">
        <v>0.018</v>
      </c>
      <c r="AE404" s="153" t="n">
        <f aca="false">IF(Y404="","",Y404)</f>
        <v>0.014059</v>
      </c>
      <c r="AF404" s="153" t="n">
        <v>0.003941</v>
      </c>
      <c r="AG404" s="184" t="n">
        <f aca="false">IF(AF404="","",AE404+AF404)</f>
        <v>0.018</v>
      </c>
      <c r="AH404" s="185" t="n">
        <v>43745</v>
      </c>
      <c r="AI404" s="35" t="n">
        <v>1</v>
      </c>
      <c r="AJ404" s="19" t="str">
        <f aca="false">IF(AG404="","N","Y")</f>
        <v>Y</v>
      </c>
      <c r="AK404" s="238" t="s">
        <v>501</v>
      </c>
      <c r="AL404" s="36"/>
    </row>
    <row r="405" customFormat="false" ht="20.25" hidden="false" customHeight="true" outlineLevel="0" collapsed="false">
      <c r="A405" s="19" t="n">
        <f aca="false">IF(B405="","",IF((YEAR(B405)-YEAR(B404))=0,A404+1,1))</f>
        <v>80</v>
      </c>
      <c r="B405" s="141" t="n">
        <v>43748</v>
      </c>
      <c r="C405" s="63" t="s">
        <v>103</v>
      </c>
      <c r="D405" s="19"/>
      <c r="E405" s="63" t="s">
        <v>206</v>
      </c>
      <c r="F405" s="63" t="s">
        <v>400</v>
      </c>
      <c r="G405" s="142" t="n">
        <v>43748</v>
      </c>
      <c r="H405" s="142" t="n">
        <v>43773</v>
      </c>
      <c r="I405" s="19" t="n">
        <f aca="false">H405-G405</f>
        <v>25</v>
      </c>
      <c r="J405" s="149" t="n">
        <f aca="false">TRUNC(I405/30,0)</f>
        <v>0</v>
      </c>
      <c r="K405" s="183" t="s">
        <v>95</v>
      </c>
      <c r="L405" s="146" t="n">
        <v>10</v>
      </c>
      <c r="M405" s="147" t="n">
        <v>1.5</v>
      </c>
      <c r="N405" s="148" t="s">
        <v>502</v>
      </c>
      <c r="O405" s="149" t="s">
        <v>255</v>
      </c>
      <c r="P405" s="149"/>
      <c r="Q405" s="150" t="n">
        <v>0.0192738</v>
      </c>
      <c r="R405" s="151" t="s">
        <v>255</v>
      </c>
      <c r="S405" s="152" t="n">
        <v>0.019</v>
      </c>
      <c r="T405" s="151"/>
      <c r="U405" s="152"/>
      <c r="V405" s="152" t="n">
        <v>0.021533</v>
      </c>
      <c r="W405" s="152" t="n">
        <v>0.000431</v>
      </c>
      <c r="X405" s="152" t="n">
        <v>0.004603</v>
      </c>
      <c r="Y405" s="152" t="n">
        <v>0.011395</v>
      </c>
      <c r="Z405" s="152" t="n">
        <v>0.002</v>
      </c>
      <c r="AA405" s="152" t="n">
        <v>0.002</v>
      </c>
      <c r="AB405" s="154" t="n">
        <f aca="false">S405-Z405</f>
        <v>0.017</v>
      </c>
      <c r="AC405" s="154" t="n">
        <f aca="false">U405-Z405-AA405</f>
        <v>-0.004</v>
      </c>
      <c r="AD405" s="155" t="n">
        <v>0.0165</v>
      </c>
      <c r="AE405" s="153" t="n">
        <f aca="false">IF(Y405="","",Y405)</f>
        <v>0.011395</v>
      </c>
      <c r="AF405" s="153" t="n">
        <v>0.005105</v>
      </c>
      <c r="AG405" s="184" t="n">
        <f aca="false">IF(AF405="","",AE405+AF405)</f>
        <v>0.0165</v>
      </c>
      <c r="AH405" s="185" t="n">
        <v>43748</v>
      </c>
      <c r="AI405" s="35" t="n">
        <v>1</v>
      </c>
      <c r="AJ405" s="19" t="str">
        <f aca="false">IF(AG405="","N","Y")</f>
        <v>Y</v>
      </c>
      <c r="AK405" s="238" t="s">
        <v>503</v>
      </c>
    </row>
    <row r="406" s="220" customFormat="true" ht="20.25" hidden="false" customHeight="true" outlineLevel="0" collapsed="false">
      <c r="A406" s="200" t="n">
        <f aca="false">IF(B406="","",IF((YEAR(B406)-YEAR(B405))=0,A405+1,1))</f>
        <v>81</v>
      </c>
      <c r="B406" s="199" t="n">
        <v>43748</v>
      </c>
      <c r="C406" s="200" t="s">
        <v>103</v>
      </c>
      <c r="D406" s="200"/>
      <c r="E406" s="200" t="s">
        <v>435</v>
      </c>
      <c r="F406" s="200" t="s">
        <v>389</v>
      </c>
      <c r="G406" s="201" t="n">
        <v>43748</v>
      </c>
      <c r="H406" s="201" t="n">
        <v>43779</v>
      </c>
      <c r="I406" s="200" t="n">
        <f aca="false">H406-G406</f>
        <v>31</v>
      </c>
      <c r="J406" s="228" t="n">
        <f aca="false">TRUNC(I406/30,0)</f>
        <v>1</v>
      </c>
      <c r="K406" s="203" t="s">
        <v>99</v>
      </c>
      <c r="L406" s="204" t="n">
        <v>2.99</v>
      </c>
      <c r="M406" s="205" t="n">
        <v>0.85</v>
      </c>
      <c r="N406" s="227" t="s">
        <v>504</v>
      </c>
      <c r="O406" s="228" t="s">
        <v>305</v>
      </c>
      <c r="P406" s="228"/>
      <c r="Q406" s="208" t="n">
        <v>0.0187725</v>
      </c>
      <c r="R406" s="207" t="s">
        <v>305</v>
      </c>
      <c r="S406" s="209" t="n">
        <v>0.0175</v>
      </c>
      <c r="T406" s="207"/>
      <c r="U406" s="209"/>
      <c r="V406" s="209" t="n">
        <v>0.021903</v>
      </c>
      <c r="W406" s="209" t="n">
        <v>0.001533</v>
      </c>
      <c r="X406" s="209" t="n">
        <v>0.008869</v>
      </c>
      <c r="Y406" s="209" t="n">
        <v>0.009395</v>
      </c>
      <c r="Z406" s="209" t="n">
        <v>0.0033</v>
      </c>
      <c r="AA406" s="209" t="n">
        <v>0.002</v>
      </c>
      <c r="AB406" s="211" t="n">
        <f aca="false">S406-Z406</f>
        <v>0.0142</v>
      </c>
      <c r="AC406" s="211" t="n">
        <f aca="false">U406-Z406-AA406</f>
        <v>-0.0053</v>
      </c>
      <c r="AD406" s="212" t="n">
        <v>0.0115</v>
      </c>
      <c r="AE406" s="210" t="n">
        <f aca="false">IF(Y406="","",Y406)</f>
        <v>0.009395</v>
      </c>
      <c r="AF406" s="210" t="n">
        <v>0.002105</v>
      </c>
      <c r="AG406" s="214" t="n">
        <f aca="false">IF(AF406="","",AE406+AF406)</f>
        <v>0.0115</v>
      </c>
      <c r="AH406" s="215" t="n">
        <v>43748</v>
      </c>
      <c r="AI406" s="216" t="n">
        <v>3</v>
      </c>
      <c r="AJ406" s="217" t="str">
        <f aca="false">IF(AG406="","N","Y")</f>
        <v>Y</v>
      </c>
      <c r="AK406" s="239" t="s">
        <v>497</v>
      </c>
      <c r="AL406" s="229"/>
    </row>
    <row r="407" s="38" customFormat="true" ht="23.25" hidden="false" customHeight="true" outlineLevel="0" collapsed="false">
      <c r="A407" s="19" t="n">
        <f aca="false">IF(B407="","",IF((YEAR(B407)-YEAR(B406))=0,A406+1,1))</f>
        <v>82</v>
      </c>
      <c r="B407" s="141" t="n">
        <v>43752</v>
      </c>
      <c r="C407" s="63" t="s">
        <v>103</v>
      </c>
      <c r="D407" s="19"/>
      <c r="E407" s="63" t="s">
        <v>330</v>
      </c>
      <c r="F407" s="63" t="s">
        <v>207</v>
      </c>
      <c r="G407" s="142" t="n">
        <v>43753</v>
      </c>
      <c r="H407" s="142" t="n">
        <v>43783</v>
      </c>
      <c r="I407" s="19" t="n">
        <f aca="false">H407-G407</f>
        <v>30</v>
      </c>
      <c r="J407" s="149" t="s">
        <v>255</v>
      </c>
      <c r="K407" s="183" t="s">
        <v>95</v>
      </c>
      <c r="L407" s="146" t="n">
        <v>10</v>
      </c>
      <c r="M407" s="147" t="n">
        <v>1.46</v>
      </c>
      <c r="N407" s="148" t="s">
        <v>505</v>
      </c>
      <c r="O407" s="149" t="s">
        <v>255</v>
      </c>
      <c r="P407" s="149"/>
      <c r="Q407" s="150" t="n">
        <v>0.0189075</v>
      </c>
      <c r="R407" s="151" t="s">
        <v>255</v>
      </c>
      <c r="S407" s="152" t="n">
        <v>0.0204</v>
      </c>
      <c r="T407" s="151"/>
      <c r="U407" s="152"/>
      <c r="V407" s="152" t="n">
        <v>0.021626</v>
      </c>
      <c r="W407" s="152" t="n">
        <v>0.000433</v>
      </c>
      <c r="X407" s="152" t="n">
        <v>0.002894</v>
      </c>
      <c r="Y407" s="152" t="n">
        <v>0.011291</v>
      </c>
      <c r="Z407" s="152" t="n">
        <v>0.002</v>
      </c>
      <c r="AA407" s="152" t="n">
        <v>0.002</v>
      </c>
      <c r="AB407" s="154" t="n">
        <f aca="false">S407-Z407</f>
        <v>0.0184</v>
      </c>
      <c r="AC407" s="154" t="n">
        <f aca="false">U407-Z407-AA407</f>
        <v>-0.004</v>
      </c>
      <c r="AD407" s="155" t="n">
        <v>0.0183</v>
      </c>
      <c r="AE407" s="153" t="n">
        <f aca="false">IF(Y407="","",Y407)</f>
        <v>0.011291</v>
      </c>
      <c r="AF407" s="153" t="n">
        <v>0.007009</v>
      </c>
      <c r="AG407" s="184" t="n">
        <f aca="false">IF(AF407="","",AE407+AF407)</f>
        <v>0.0183</v>
      </c>
      <c r="AH407" s="185" t="n">
        <v>43753</v>
      </c>
      <c r="AI407" s="35" t="n">
        <v>1</v>
      </c>
      <c r="AJ407" s="19" t="str">
        <f aca="false">IF(AG407="","N","Y")</f>
        <v>Y</v>
      </c>
      <c r="AK407" s="238" t="s">
        <v>506</v>
      </c>
      <c r="AL407" s="36"/>
    </row>
    <row r="408" customFormat="false" ht="20.25" hidden="false" customHeight="true" outlineLevel="0" collapsed="false">
      <c r="A408" s="19" t="n">
        <f aca="false">IF(B408="","",IF((YEAR(B408)-YEAR(B407))=0,A407+1,1))</f>
        <v>83</v>
      </c>
      <c r="B408" s="141" t="n">
        <v>43759</v>
      </c>
      <c r="C408" s="63" t="s">
        <v>124</v>
      </c>
      <c r="D408" s="19"/>
      <c r="E408" s="63" t="s">
        <v>484</v>
      </c>
      <c r="F408" s="63" t="s">
        <v>431</v>
      </c>
      <c r="G408" s="142" t="n">
        <v>43759</v>
      </c>
      <c r="H408" s="142" t="n">
        <v>43790</v>
      </c>
      <c r="I408" s="19" t="n">
        <f aca="false">H408-G408</f>
        <v>31</v>
      </c>
      <c r="J408" s="149" t="n">
        <f aca="false">TRUNC(I408/30,0)</f>
        <v>1</v>
      </c>
      <c r="K408" s="183" t="s">
        <v>95</v>
      </c>
      <c r="L408" s="146" t="n">
        <v>1</v>
      </c>
      <c r="M408" s="147" t="n">
        <v>1.41</v>
      </c>
      <c r="N408" s="148" t="s">
        <v>507</v>
      </c>
      <c r="O408" s="149" t="s">
        <v>303</v>
      </c>
      <c r="P408" s="149"/>
      <c r="Q408" s="150" t="n">
        <v>0.0185025</v>
      </c>
      <c r="R408" s="151" t="s">
        <v>303</v>
      </c>
      <c r="S408" s="152" t="n">
        <v>0.0188</v>
      </c>
      <c r="T408" s="151"/>
      <c r="U408" s="152"/>
      <c r="V408" s="152" t="n">
        <v>0.02099</v>
      </c>
      <c r="W408" s="152" t="n">
        <v>0.00042</v>
      </c>
      <c r="X408" s="152" t="n">
        <v>0.004571</v>
      </c>
      <c r="Y408" s="152" t="n">
        <v>0.012807</v>
      </c>
      <c r="Z408" s="152" t="n">
        <v>0.002</v>
      </c>
      <c r="AA408" s="152" t="n">
        <v>0.002</v>
      </c>
      <c r="AB408" s="154" t="n">
        <f aca="false">S408-Z408</f>
        <v>0.0168</v>
      </c>
      <c r="AC408" s="154" t="n">
        <f aca="false">U408-Z408-AA408</f>
        <v>-0.004</v>
      </c>
      <c r="AD408" s="155" t="n">
        <v>0.016</v>
      </c>
      <c r="AE408" s="153" t="n">
        <f aca="false">IF(Y408="","",Y408)</f>
        <v>0.012807</v>
      </c>
      <c r="AF408" s="153" t="n">
        <v>0.003193</v>
      </c>
      <c r="AG408" s="184" t="n">
        <f aca="false">IF(AF408="","",AE408+AF408)</f>
        <v>0.016</v>
      </c>
      <c r="AH408" s="185" t="n">
        <v>43759</v>
      </c>
      <c r="AI408" s="35" t="n">
        <v>4</v>
      </c>
      <c r="AJ408" s="19" t="str">
        <f aca="false">IF(AG408="","N","Y")</f>
        <v>Y</v>
      </c>
      <c r="AK408" s="238" t="s">
        <v>508</v>
      </c>
    </row>
    <row r="409" s="38" customFormat="true" ht="20.25" hidden="false" customHeight="true" outlineLevel="0" collapsed="false">
      <c r="A409" s="19" t="n">
        <f aca="false">IF(B409="","",IF((YEAR(B409)-YEAR(B408))=0,A408+1,1))</f>
        <v>84</v>
      </c>
      <c r="B409" s="141" t="n">
        <v>43762</v>
      </c>
      <c r="C409" s="63" t="s">
        <v>103</v>
      </c>
      <c r="D409" s="19"/>
      <c r="E409" s="63" t="s">
        <v>330</v>
      </c>
      <c r="F409" s="19" t="s">
        <v>455</v>
      </c>
      <c r="G409" s="142" t="n">
        <v>43763</v>
      </c>
      <c r="H409" s="142" t="n">
        <v>43794</v>
      </c>
      <c r="I409" s="19" t="n">
        <f aca="false">H409-G409</f>
        <v>31</v>
      </c>
      <c r="J409" s="149" t="n">
        <f aca="false">TRUNC(I409/30,0)</f>
        <v>1</v>
      </c>
      <c r="K409" s="183" t="s">
        <v>95</v>
      </c>
      <c r="L409" s="146" t="n">
        <v>10</v>
      </c>
      <c r="M409" s="147" t="n">
        <v>1.36</v>
      </c>
      <c r="N409" s="148" t="s">
        <v>509</v>
      </c>
      <c r="O409" s="149" t="s">
        <v>303</v>
      </c>
      <c r="P409" s="149"/>
      <c r="Q409" s="150" t="n">
        <v>0.0180425</v>
      </c>
      <c r="R409" s="151" t="s">
        <v>303</v>
      </c>
      <c r="S409" s="152" t="n">
        <v>0.0195</v>
      </c>
      <c r="T409" s="151"/>
      <c r="U409" s="152"/>
      <c r="V409" s="152" t="n">
        <v>0.020752</v>
      </c>
      <c r="W409" s="152" t="n">
        <v>0.000415</v>
      </c>
      <c r="X409" s="152" t="n">
        <v>0.002836</v>
      </c>
      <c r="Y409" s="152" t="n">
        <v>0.012356</v>
      </c>
      <c r="Z409" s="152" t="n">
        <v>0.002</v>
      </c>
      <c r="AA409" s="152" t="n">
        <v>0.002</v>
      </c>
      <c r="AB409" s="154" t="n">
        <f aca="false">S409-Z409</f>
        <v>0.0175</v>
      </c>
      <c r="AC409" s="154" t="n">
        <f aca="false">U409-Z409-AA409</f>
        <v>-0.004</v>
      </c>
      <c r="AD409" s="155" t="n">
        <v>0.0175</v>
      </c>
      <c r="AE409" s="153" t="n">
        <f aca="false">IF(Y409="","",Y409)</f>
        <v>0.012356</v>
      </c>
      <c r="AF409" s="153" t="n">
        <v>0.005144</v>
      </c>
      <c r="AG409" s="184" t="n">
        <f aca="false">IF(AF409="","",AE409+AF409)</f>
        <v>0.0175</v>
      </c>
      <c r="AH409" s="185" t="n">
        <v>43763</v>
      </c>
      <c r="AI409" s="35" t="n">
        <v>1</v>
      </c>
      <c r="AJ409" s="19" t="str">
        <f aca="false">IF(AG409="","N","Y")</f>
        <v>Y</v>
      </c>
      <c r="AK409" s="238" t="s">
        <v>510</v>
      </c>
      <c r="AL409" s="36"/>
    </row>
    <row r="410" s="220" customFormat="true" ht="20.25" hidden="false" customHeight="true" outlineLevel="0" collapsed="false">
      <c r="A410" s="200" t="n">
        <f aca="false">IF(B410="","",IF((YEAR(B410)-YEAR(B409))=0,A409+1,1))</f>
        <v>85</v>
      </c>
      <c r="B410" s="199" t="n">
        <v>43768</v>
      </c>
      <c r="C410" s="200" t="s">
        <v>103</v>
      </c>
      <c r="D410" s="200"/>
      <c r="E410" s="200" t="s">
        <v>435</v>
      </c>
      <c r="F410" s="198" t="s">
        <v>459</v>
      </c>
      <c r="G410" s="201" t="n">
        <v>43768</v>
      </c>
      <c r="H410" s="201" t="n">
        <v>43798</v>
      </c>
      <c r="I410" s="200" t="n">
        <f aca="false">H410-G410</f>
        <v>30</v>
      </c>
      <c r="J410" s="228" t="n">
        <f aca="false">TRUNC(I410/30,0)</f>
        <v>1</v>
      </c>
      <c r="K410" s="203" t="s">
        <v>99</v>
      </c>
      <c r="L410" s="204" t="n">
        <v>2.84</v>
      </c>
      <c r="M410" s="205" t="n">
        <v>0.82</v>
      </c>
      <c r="N410" s="227" t="s">
        <v>511</v>
      </c>
      <c r="O410" s="228" t="s">
        <v>305</v>
      </c>
      <c r="P410" s="228"/>
      <c r="Q410" s="208" t="n">
        <v>0.0171038</v>
      </c>
      <c r="R410" s="207" t="s">
        <v>305</v>
      </c>
      <c r="S410" s="209" t="n">
        <v>0.0178</v>
      </c>
      <c r="T410" s="207"/>
      <c r="U410" s="209"/>
      <c r="V410" s="209" t="n">
        <v>0.020496</v>
      </c>
      <c r="W410" s="209" t="n">
        <v>0.001435</v>
      </c>
      <c r="X410" s="209" t="n">
        <v>0.009062</v>
      </c>
      <c r="Y410" s="209" t="n">
        <v>0.007844</v>
      </c>
      <c r="Z410" s="209" t="n">
        <v>0.0033</v>
      </c>
      <c r="AA410" s="209" t="n">
        <v>0.002</v>
      </c>
      <c r="AB410" s="211" t="n">
        <f aca="false">S410-Z410</f>
        <v>0.0145</v>
      </c>
      <c r="AC410" s="211" t="n">
        <f aca="false">U410-Z410-AA410</f>
        <v>-0.0053</v>
      </c>
      <c r="AD410" s="212" t="n">
        <v>0.01</v>
      </c>
      <c r="AE410" s="210" t="n">
        <f aca="false">IF(Y410="","",Y410)</f>
        <v>0.007844</v>
      </c>
      <c r="AF410" s="210" t="n">
        <v>0.002156</v>
      </c>
      <c r="AG410" s="214" t="n">
        <f aca="false">IF(AF410="","",AE410+AF410)</f>
        <v>0.01</v>
      </c>
      <c r="AH410" s="215" t="n">
        <v>43768</v>
      </c>
      <c r="AI410" s="216" t="n">
        <v>5</v>
      </c>
      <c r="AJ410" s="217" t="str">
        <f aca="false">IF(AG410="","N","Y")</f>
        <v>Y</v>
      </c>
      <c r="AK410" s="239" t="s">
        <v>512</v>
      </c>
      <c r="AL410" s="229"/>
    </row>
    <row r="411" s="291" customFormat="true" ht="82.5" hidden="false" customHeight="true" outlineLevel="0" collapsed="false">
      <c r="A411" s="269" t="n">
        <f aca="false">IF(B411="","",IF((YEAR(B411)-YEAR(B410))=0,A410+1,1))</f>
        <v>86</v>
      </c>
      <c r="B411" s="270" t="n">
        <v>43773</v>
      </c>
      <c r="C411" s="271" t="s">
        <v>96</v>
      </c>
      <c r="D411" s="272"/>
      <c r="E411" s="271" t="s">
        <v>373</v>
      </c>
      <c r="F411" s="271" t="s">
        <v>360</v>
      </c>
      <c r="G411" s="273" t="n">
        <v>43773</v>
      </c>
      <c r="H411" s="273" t="n">
        <v>43803</v>
      </c>
      <c r="I411" s="271" t="n">
        <f aca="false">H411-G411</f>
        <v>30</v>
      </c>
      <c r="J411" s="274" t="n">
        <f aca="false">TRUNC(I411/30,0)</f>
        <v>1</v>
      </c>
      <c r="K411" s="275" t="s">
        <v>95</v>
      </c>
      <c r="L411" s="276" t="n">
        <v>20</v>
      </c>
      <c r="M411" s="277" t="n">
        <v>1.33104</v>
      </c>
      <c r="N411" s="278" t="s">
        <v>513</v>
      </c>
      <c r="O411" s="274" t="s">
        <v>303</v>
      </c>
      <c r="P411" s="274"/>
      <c r="Q411" s="279" t="n">
        <v>0.0177425</v>
      </c>
      <c r="R411" s="280" t="s">
        <v>303</v>
      </c>
      <c r="S411" s="281" t="n">
        <v>0.018</v>
      </c>
      <c r="T411" s="280"/>
      <c r="U411" s="281"/>
      <c r="V411" s="281" t="n">
        <v>0.020325</v>
      </c>
      <c r="W411" s="281" t="n">
        <v>0.000407</v>
      </c>
      <c r="X411" s="281" t="n">
        <v>0.003019</v>
      </c>
      <c r="Y411" s="281" t="n">
        <v>0.012062</v>
      </c>
      <c r="Z411" s="281" t="n">
        <v>0.002</v>
      </c>
      <c r="AA411" s="281" t="n">
        <v>0.002</v>
      </c>
      <c r="AB411" s="282" t="n">
        <f aca="false">S411-Z411</f>
        <v>0.016</v>
      </c>
      <c r="AC411" s="282" t="n">
        <f aca="false">U411-Z411-AA411</f>
        <v>-0.004</v>
      </c>
      <c r="AD411" s="283" t="n">
        <v>0.0169</v>
      </c>
      <c r="AE411" s="284" t="n">
        <f aca="false">IF(Y411="","",Y411)</f>
        <v>0.012062</v>
      </c>
      <c r="AF411" s="284" t="n">
        <v>0.004838</v>
      </c>
      <c r="AG411" s="285" t="n">
        <f aca="false">IF(AF411="","",AE411+AF411)</f>
        <v>0.0169</v>
      </c>
      <c r="AH411" s="286" t="n">
        <v>43773</v>
      </c>
      <c r="AI411" s="287" t="n">
        <v>1</v>
      </c>
      <c r="AJ411" s="288" t="s">
        <v>466</v>
      </c>
      <c r="AK411" s="289" t="s">
        <v>514</v>
      </c>
      <c r="AL411" s="290"/>
    </row>
    <row r="412" s="140" customFormat="true" ht="23.25" hidden="false" customHeight="true" outlineLevel="0" collapsed="false">
      <c r="A412" s="116" t="n">
        <f aca="false">IF(B412="","",IF((YEAR(B412)-YEAR(B411))=0,A411+1,1))</f>
        <v>87</v>
      </c>
      <c r="B412" s="160" t="n">
        <v>43773</v>
      </c>
      <c r="C412" s="161" t="s">
        <v>103</v>
      </c>
      <c r="D412" s="116"/>
      <c r="E412" s="161" t="s">
        <v>435</v>
      </c>
      <c r="F412" s="161" t="s">
        <v>400</v>
      </c>
      <c r="G412" s="162" t="n">
        <v>43773</v>
      </c>
      <c r="H412" s="162" t="n">
        <v>43803</v>
      </c>
      <c r="I412" s="116" t="n">
        <f aca="false">H412-G412</f>
        <v>30</v>
      </c>
      <c r="J412" s="169" t="n">
        <f aca="false">TRUNC(I412/30,0)</f>
        <v>1</v>
      </c>
      <c r="K412" s="180" t="s">
        <v>95</v>
      </c>
      <c r="L412" s="166" t="n">
        <v>10</v>
      </c>
      <c r="M412" s="167" t="n">
        <v>1.33</v>
      </c>
      <c r="N412" s="168" t="s">
        <v>513</v>
      </c>
      <c r="O412" s="169" t="s">
        <v>255</v>
      </c>
      <c r="P412" s="169"/>
      <c r="Q412" s="170" t="n">
        <v>0.0177425</v>
      </c>
      <c r="R412" s="171" t="s">
        <v>255</v>
      </c>
      <c r="S412" s="172" t="n">
        <v>0.0178</v>
      </c>
      <c r="T412" s="171"/>
      <c r="U412" s="172"/>
      <c r="V412" s="172" t="n">
        <v>0.020325</v>
      </c>
      <c r="W412" s="172" t="n">
        <v>0.000407</v>
      </c>
      <c r="X412" s="172" t="n">
        <v>0.003619</v>
      </c>
      <c r="Y412" s="172" t="n">
        <v>0.012062</v>
      </c>
      <c r="Z412" s="172" t="n">
        <v>0.002</v>
      </c>
      <c r="AA412" s="172" t="n">
        <v>0.002</v>
      </c>
      <c r="AB412" s="174" t="n">
        <f aca="false">S412-Z412</f>
        <v>0.0158</v>
      </c>
      <c r="AC412" s="174" t="n">
        <f aca="false">U412-Z412-AA412</f>
        <v>-0.004</v>
      </c>
      <c r="AD412" s="175"/>
      <c r="AE412" s="173" t="n">
        <f aca="false">IF(Y412="","",Y412)</f>
        <v>0.012062</v>
      </c>
      <c r="AF412" s="173" t="n">
        <v>0.005105</v>
      </c>
      <c r="AG412" s="186" t="n">
        <f aca="false">IF(AF412="","",AE412+AF412)</f>
        <v>0.017167</v>
      </c>
      <c r="AH412" s="187" t="n">
        <v>43748</v>
      </c>
      <c r="AI412" s="176"/>
      <c r="AJ412" s="116" t="s">
        <v>494</v>
      </c>
      <c r="AK412" s="245" t="s">
        <v>515</v>
      </c>
      <c r="AL412" s="138"/>
    </row>
    <row r="413" s="140" customFormat="true" ht="23.25" hidden="false" customHeight="true" outlineLevel="0" collapsed="false">
      <c r="A413" s="116" t="n">
        <f aca="false">IF(B413="","",IF((YEAR(B413)-YEAR(B412))=0,A412+1,1))</f>
        <v>88</v>
      </c>
      <c r="B413" s="160" t="n">
        <v>43773</v>
      </c>
      <c r="C413" s="161" t="s">
        <v>103</v>
      </c>
      <c r="D413" s="116"/>
      <c r="E413" s="161" t="s">
        <v>435</v>
      </c>
      <c r="F413" s="161" t="s">
        <v>383</v>
      </c>
      <c r="G413" s="162" t="n">
        <v>43773</v>
      </c>
      <c r="H413" s="162" t="n">
        <v>43803</v>
      </c>
      <c r="I413" s="116" t="n">
        <f aca="false">H413-G413</f>
        <v>30</v>
      </c>
      <c r="J413" s="169" t="n">
        <f aca="false">TRUNC(I413/30,0)</f>
        <v>1</v>
      </c>
      <c r="K413" s="181" t="s">
        <v>99</v>
      </c>
      <c r="L413" s="166"/>
      <c r="M413" s="167" t="n">
        <v>0.64362</v>
      </c>
      <c r="N413" s="168" t="s">
        <v>516</v>
      </c>
      <c r="O413" s="169" t="s">
        <v>255</v>
      </c>
      <c r="P413" s="169"/>
      <c r="Q413" s="170" t="n">
        <v>0.0177425</v>
      </c>
      <c r="R413" s="171" t="s">
        <v>255</v>
      </c>
      <c r="S413" s="172" t="n">
        <v>0.0178</v>
      </c>
      <c r="T413" s="171"/>
      <c r="U413" s="172"/>
      <c r="V413" s="172" t="n">
        <v>0.020349</v>
      </c>
      <c r="W413" s="172" t="n">
        <v>0.001424</v>
      </c>
      <c r="X413" s="172" t="n">
        <v>0.009424</v>
      </c>
      <c r="Y413" s="172" t="n">
        <v>0.007111</v>
      </c>
      <c r="Z413" s="172" t="n">
        <v>0.0033</v>
      </c>
      <c r="AA413" s="172" t="n">
        <v>0.002</v>
      </c>
      <c r="AB413" s="174" t="n">
        <f aca="false">S413-Z413</f>
        <v>0.0145</v>
      </c>
      <c r="AC413" s="174" t="n">
        <f aca="false">U413-Z413-AA413</f>
        <v>-0.0053</v>
      </c>
      <c r="AD413" s="175" t="n">
        <v>0.0095</v>
      </c>
      <c r="AE413" s="173" t="n">
        <f aca="false">IF(Y413="","",Y413)</f>
        <v>0.007111</v>
      </c>
      <c r="AF413" s="173"/>
      <c r="AG413" s="186" t="str">
        <f aca="false">IF(AF413="","",AE413+AF413)</f>
        <v/>
      </c>
      <c r="AH413" s="187"/>
      <c r="AI413" s="176"/>
      <c r="AJ413" s="116" t="s">
        <v>494</v>
      </c>
      <c r="AK413" s="177" t="s">
        <v>517</v>
      </c>
      <c r="AL413" s="138"/>
    </row>
    <row r="414" s="268" customFormat="true" ht="23.25" hidden="false" customHeight="true" outlineLevel="0" collapsed="false">
      <c r="A414" s="249" t="n">
        <f aca="false">IF(B414="","",IF((YEAR(B414)-YEAR(B413))=0,A413+1,1))</f>
        <v>89</v>
      </c>
      <c r="B414" s="248" t="n">
        <v>43775</v>
      </c>
      <c r="C414" s="249" t="s">
        <v>96</v>
      </c>
      <c r="D414" s="249"/>
      <c r="E414" s="249" t="s">
        <v>143</v>
      </c>
      <c r="F414" s="249" t="s">
        <v>518</v>
      </c>
      <c r="G414" s="250" t="n">
        <v>43775</v>
      </c>
      <c r="H414" s="250" t="n">
        <v>44140</v>
      </c>
      <c r="I414" s="249" t="n">
        <f aca="false">H414-G414</f>
        <v>365</v>
      </c>
      <c r="J414" s="251" t="n">
        <f aca="false">TRUNC(I414/30,0)</f>
        <v>12</v>
      </c>
      <c r="K414" s="252" t="s">
        <v>95</v>
      </c>
      <c r="L414" s="253" t="n">
        <v>1.02</v>
      </c>
      <c r="M414" s="254" t="n">
        <v>1.48</v>
      </c>
      <c r="N414" s="255" t="s">
        <v>519</v>
      </c>
      <c r="O414" s="251" t="s">
        <v>340</v>
      </c>
      <c r="P414" s="251"/>
      <c r="Q414" s="256" t="n">
        <v>0.0196688</v>
      </c>
      <c r="R414" s="257" t="s">
        <v>340</v>
      </c>
      <c r="S414" s="258" t="n">
        <v>0.0235</v>
      </c>
      <c r="T414" s="257"/>
      <c r="U414" s="258"/>
      <c r="V414" s="258" t="n">
        <v>0.028104</v>
      </c>
      <c r="W414" s="258" t="n">
        <v>0.000562</v>
      </c>
      <c r="X414" s="258" t="n">
        <v>0.010042</v>
      </c>
      <c r="Y414" s="258" t="n">
        <v>0.015252</v>
      </c>
      <c r="Z414" s="258" t="n">
        <v>0.002</v>
      </c>
      <c r="AA414" s="258" t="n">
        <v>0.002</v>
      </c>
      <c r="AB414" s="259" t="n">
        <f aca="false">S414-Z414</f>
        <v>0.0215</v>
      </c>
      <c r="AC414" s="259" t="n">
        <f aca="false">U414-Z414-AA414</f>
        <v>-0.004</v>
      </c>
      <c r="AD414" s="260" t="n">
        <v>0.0175</v>
      </c>
      <c r="AE414" s="261" t="n">
        <f aca="false">IF(Y414="","",Y414)</f>
        <v>0.015252</v>
      </c>
      <c r="AF414" s="261" t="n">
        <v>0.002248</v>
      </c>
      <c r="AG414" s="262" t="n">
        <f aca="false">IF(AF414="","",AE414+AF414)</f>
        <v>0.0175</v>
      </c>
      <c r="AH414" s="263" t="n">
        <v>43775</v>
      </c>
      <c r="AI414" s="264" t="n">
        <v>3</v>
      </c>
      <c r="AJ414" s="19" t="str">
        <f aca="false">IF(AG414="","N","Y")</f>
        <v>Y</v>
      </c>
      <c r="AK414" s="266" t="s">
        <v>520</v>
      </c>
      <c r="AL414" s="267"/>
    </row>
    <row r="415" s="220" customFormat="true" ht="20.25" hidden="false" customHeight="true" outlineLevel="0" collapsed="false">
      <c r="A415" s="200" t="n">
        <f aca="false">IF(B415="","",IF((YEAR(B415)-YEAR(B414))=0,A414+1,1))</f>
        <v>90</v>
      </c>
      <c r="B415" s="199" t="n">
        <v>43780</v>
      </c>
      <c r="C415" s="200" t="s">
        <v>103</v>
      </c>
      <c r="D415" s="200"/>
      <c r="E415" s="200" t="s">
        <v>435</v>
      </c>
      <c r="F415" s="200" t="s">
        <v>389</v>
      </c>
      <c r="G415" s="201" t="n">
        <v>43780</v>
      </c>
      <c r="H415" s="201" t="n">
        <v>43810</v>
      </c>
      <c r="I415" s="200" t="n">
        <f aca="false">H415-G415</f>
        <v>30</v>
      </c>
      <c r="J415" s="228" t="n">
        <f aca="false">TRUNC(I415/30,0)</f>
        <v>1</v>
      </c>
      <c r="K415" s="203" t="s">
        <v>99</v>
      </c>
      <c r="L415" s="204" t="n">
        <v>3.17</v>
      </c>
      <c r="M415" s="205" t="n">
        <v>0.9</v>
      </c>
      <c r="N415" s="227" t="s">
        <v>521</v>
      </c>
      <c r="O415" s="228" t="s">
        <v>305</v>
      </c>
      <c r="P415" s="228"/>
      <c r="Q415" s="208" t="n">
        <v>0.0161225</v>
      </c>
      <c r="R415" s="207" t="s">
        <v>305</v>
      </c>
      <c r="S415" s="209" t="n">
        <v>0.016</v>
      </c>
      <c r="T415" s="207"/>
      <c r="U415" s="209"/>
      <c r="V415" s="209" t="n">
        <v>0.02008</v>
      </c>
      <c r="W415" s="209" t="n">
        <v>0.001406</v>
      </c>
      <c r="X415" s="209" t="n">
        <v>0.009674</v>
      </c>
      <c r="Y415" s="209" t="n">
        <v>0.006931</v>
      </c>
      <c r="Z415" s="209" t="n">
        <v>0.0033</v>
      </c>
      <c r="AA415" s="209" t="n">
        <v>0.002</v>
      </c>
      <c r="AB415" s="211" t="n">
        <f aca="false">S415-Z415</f>
        <v>0.0127</v>
      </c>
      <c r="AC415" s="211" t="n">
        <f aca="false">U415-Z415-AA415</f>
        <v>-0.0053</v>
      </c>
      <c r="AD415" s="212" t="n">
        <v>0.009</v>
      </c>
      <c r="AE415" s="210" t="n">
        <f aca="false">IF(Y415="","",Y415)</f>
        <v>0.006931</v>
      </c>
      <c r="AF415" s="210" t="n">
        <v>0.002069</v>
      </c>
      <c r="AG415" s="214" t="n">
        <f aca="false">IF(AF415="","",AE415+AF415)</f>
        <v>0.009</v>
      </c>
      <c r="AH415" s="215" t="n">
        <v>43780</v>
      </c>
      <c r="AI415" s="216" t="n">
        <v>6</v>
      </c>
      <c r="AJ415" s="217" t="str">
        <f aca="false">IF(AG415="","N","Y")</f>
        <v>Y</v>
      </c>
      <c r="AK415" s="239" t="s">
        <v>522</v>
      </c>
      <c r="AL415" s="229"/>
    </row>
    <row r="416" s="38" customFormat="true" ht="23.25" hidden="false" customHeight="true" outlineLevel="0" collapsed="false">
      <c r="A416" s="19" t="n">
        <f aca="false">IF(B416="","",IF((YEAR(B416)-YEAR(B415))=0,A415+1,1))</f>
        <v>91</v>
      </c>
      <c r="B416" s="141" t="n">
        <v>43783</v>
      </c>
      <c r="C416" s="63" t="s">
        <v>209</v>
      </c>
      <c r="D416" s="19"/>
      <c r="E416" s="63" t="s">
        <v>523</v>
      </c>
      <c r="F416" s="63" t="s">
        <v>524</v>
      </c>
      <c r="G416" s="142" t="n">
        <v>43783</v>
      </c>
      <c r="H416" s="142" t="n">
        <v>43875</v>
      </c>
      <c r="I416" s="19" t="n">
        <f aca="false">H416-G416</f>
        <v>92</v>
      </c>
      <c r="J416" s="149" t="n">
        <f aca="false">TRUNC(I416/30,0)</f>
        <v>3</v>
      </c>
      <c r="K416" s="183" t="s">
        <v>95</v>
      </c>
      <c r="L416" s="146" t="n">
        <v>1</v>
      </c>
      <c r="M416" s="147" t="n">
        <v>1.49</v>
      </c>
      <c r="N416" s="148" t="s">
        <v>525</v>
      </c>
      <c r="O416" s="149" t="n">
        <v>3</v>
      </c>
      <c r="P416" s="149"/>
      <c r="Q416" s="150" t="n">
        <v>0.0190988</v>
      </c>
      <c r="R416" s="151" t="n">
        <v>3</v>
      </c>
      <c r="S416" s="152" t="n">
        <v>0.021</v>
      </c>
      <c r="T416" s="151"/>
      <c r="U416" s="152"/>
      <c r="V416" s="152" t="n">
        <v>0.022598</v>
      </c>
      <c r="W416" s="152" t="n">
        <v>0.000452</v>
      </c>
      <c r="X416" s="152" t="n">
        <v>0.003146</v>
      </c>
      <c r="Y416" s="152" t="n">
        <v>0.014591</v>
      </c>
      <c r="Z416" s="152" t="n">
        <v>0.002</v>
      </c>
      <c r="AA416" s="152" t="n">
        <v>0.002</v>
      </c>
      <c r="AB416" s="154" t="n">
        <f aca="false">S416-Z416</f>
        <v>0.019</v>
      </c>
      <c r="AC416" s="154" t="n">
        <f aca="false">U416-Z416-AA416</f>
        <v>-0.004</v>
      </c>
      <c r="AD416" s="155" t="n">
        <v>0.019</v>
      </c>
      <c r="AE416" s="153" t="n">
        <f aca="false">IF(Y416="","",Y416)</f>
        <v>0.014591</v>
      </c>
      <c r="AF416" s="153" t="n">
        <v>0.004409</v>
      </c>
      <c r="AG416" s="184" t="n">
        <f aca="false">IF(AF416="","",AE416+AF416)</f>
        <v>0.019</v>
      </c>
      <c r="AH416" s="185" t="n">
        <v>43783</v>
      </c>
      <c r="AI416" s="35" t="n">
        <v>1</v>
      </c>
      <c r="AJ416" s="19" t="str">
        <f aca="false">IF(AG416="","N","Y")</f>
        <v>Y</v>
      </c>
      <c r="AK416" s="238" t="s">
        <v>526</v>
      </c>
      <c r="AL416" s="36"/>
    </row>
    <row r="417" s="38" customFormat="true" ht="23.25" hidden="false" customHeight="true" outlineLevel="0" collapsed="false">
      <c r="A417" s="19" t="n">
        <f aca="false">IF(B417="","",IF((YEAR(B417)-YEAR(B416))=0,A416+1,1))</f>
        <v>92</v>
      </c>
      <c r="B417" s="141" t="n">
        <v>43783</v>
      </c>
      <c r="C417" s="63" t="s">
        <v>209</v>
      </c>
      <c r="D417" s="19"/>
      <c r="E417" s="63" t="s">
        <v>523</v>
      </c>
      <c r="F417" s="63" t="s">
        <v>524</v>
      </c>
      <c r="G417" s="142" t="n">
        <v>43783</v>
      </c>
      <c r="H417" s="142" t="n">
        <v>44148</v>
      </c>
      <c r="I417" s="19" t="n">
        <f aca="false">H417-G417</f>
        <v>365</v>
      </c>
      <c r="J417" s="149" t="n">
        <f aca="false">TRUNC(I417/30,0)</f>
        <v>12</v>
      </c>
      <c r="K417" s="183" t="s">
        <v>95</v>
      </c>
      <c r="L417" s="146" t="n">
        <v>1</v>
      </c>
      <c r="M417" s="147" t="n">
        <v>1.53</v>
      </c>
      <c r="N417" s="148" t="s">
        <v>527</v>
      </c>
      <c r="O417" s="149" t="n">
        <v>12</v>
      </c>
      <c r="P417" s="149"/>
      <c r="Q417" s="150" t="n">
        <v>0.01987</v>
      </c>
      <c r="R417" s="151" t="n">
        <v>12</v>
      </c>
      <c r="S417" s="152" t="n">
        <v>0.02</v>
      </c>
      <c r="T417" s="151"/>
      <c r="U417" s="152"/>
      <c r="V417" s="152" t="n">
        <v>0.02856</v>
      </c>
      <c r="W417" s="152" t="n">
        <v>0.000571</v>
      </c>
      <c r="X417" s="152" t="n">
        <v>0.009989</v>
      </c>
      <c r="Y417" s="152" t="n">
        <v>0.015213</v>
      </c>
      <c r="Z417" s="152" t="n">
        <v>0.002</v>
      </c>
      <c r="AA417" s="152" t="n">
        <v>0.002</v>
      </c>
      <c r="AB417" s="154" t="n">
        <f aca="false">S417-Z417</f>
        <v>0.018</v>
      </c>
      <c r="AC417" s="154" t="n">
        <f aca="false">U417-Z417-AA417</f>
        <v>-0.004</v>
      </c>
      <c r="AD417" s="155" t="n">
        <v>0.018</v>
      </c>
      <c r="AE417" s="153" t="n">
        <f aca="false">IF(Y417="","",Y417)</f>
        <v>0.015213</v>
      </c>
      <c r="AF417" s="153" t="n">
        <v>0.002787</v>
      </c>
      <c r="AG417" s="184" t="n">
        <f aca="false">IF(AF417="","",AE417+AF417)</f>
        <v>0.018</v>
      </c>
      <c r="AH417" s="185" t="n">
        <v>43783</v>
      </c>
      <c r="AI417" s="35" t="n">
        <v>2</v>
      </c>
      <c r="AJ417" s="19" t="str">
        <f aca="false">IF(AG417="","N","Y")</f>
        <v>Y</v>
      </c>
      <c r="AK417" s="238" t="s">
        <v>528</v>
      </c>
      <c r="AL417" s="36"/>
    </row>
    <row r="418" s="38" customFormat="true" ht="20.25" hidden="false" customHeight="true" outlineLevel="0" collapsed="false">
      <c r="A418" s="19" t="n">
        <f aca="false">IF(B418="","",IF((YEAR(B418)-YEAR(B417))=0,A417+1,1))</f>
        <v>93</v>
      </c>
      <c r="B418" s="141" t="n">
        <v>43783</v>
      </c>
      <c r="C418" s="63" t="s">
        <v>209</v>
      </c>
      <c r="D418" s="19"/>
      <c r="E418" s="63" t="s">
        <v>523</v>
      </c>
      <c r="F418" s="63" t="s">
        <v>524</v>
      </c>
      <c r="G418" s="142" t="n">
        <v>43783</v>
      </c>
      <c r="H418" s="142" t="n">
        <v>44148</v>
      </c>
      <c r="I418" s="19" t="n">
        <f aca="false">H418-G418</f>
        <v>365</v>
      </c>
      <c r="J418" s="149" t="n">
        <f aca="false">TRUNC(I418/30,0)</f>
        <v>12</v>
      </c>
      <c r="K418" s="183" t="s">
        <v>95</v>
      </c>
      <c r="L418" s="146" t="n">
        <v>1</v>
      </c>
      <c r="M418" s="147" t="n">
        <v>1.53</v>
      </c>
      <c r="N418" s="148" t="s">
        <v>527</v>
      </c>
      <c r="O418" s="149" t="n">
        <v>12</v>
      </c>
      <c r="P418" s="149"/>
      <c r="Q418" s="150" t="n">
        <v>0.01987</v>
      </c>
      <c r="R418" s="151" t="n">
        <v>12</v>
      </c>
      <c r="S418" s="152" t="n">
        <v>0.02</v>
      </c>
      <c r="T418" s="151"/>
      <c r="U418" s="152"/>
      <c r="V418" s="152" t="n">
        <v>0.02856</v>
      </c>
      <c r="W418" s="152" t="n">
        <v>0.000571</v>
      </c>
      <c r="X418" s="152" t="n">
        <v>0.009989</v>
      </c>
      <c r="Y418" s="152" t="n">
        <v>0.015213</v>
      </c>
      <c r="Z418" s="152" t="n">
        <v>0.002</v>
      </c>
      <c r="AA418" s="152" t="n">
        <v>0.002</v>
      </c>
      <c r="AB418" s="154" t="n">
        <f aca="false">S418-Z418</f>
        <v>0.018</v>
      </c>
      <c r="AC418" s="154" t="n">
        <f aca="false">U418-Z418-AA418</f>
        <v>-0.004</v>
      </c>
      <c r="AD418" s="155" t="n">
        <v>0.018</v>
      </c>
      <c r="AE418" s="153" t="n">
        <f aca="false">IF(Y418="","",Y418)</f>
        <v>0.015213</v>
      </c>
      <c r="AF418" s="153" t="n">
        <v>0.002787</v>
      </c>
      <c r="AG418" s="184" t="n">
        <f aca="false">IF(AF418="","",AE418+AF418)</f>
        <v>0.018</v>
      </c>
      <c r="AH418" s="185" t="n">
        <v>43783</v>
      </c>
      <c r="AI418" s="35" t="n">
        <v>3</v>
      </c>
      <c r="AJ418" s="19" t="str">
        <f aca="false">IF(AG418="","N","Y")</f>
        <v>Y</v>
      </c>
      <c r="AK418" s="238" t="s">
        <v>528</v>
      </c>
      <c r="AL418" s="36"/>
    </row>
    <row r="419" s="38" customFormat="true" ht="20.25" hidden="false" customHeight="true" outlineLevel="0" collapsed="false">
      <c r="A419" s="19" t="n">
        <f aca="false">IF(B419="","",IF((YEAR(B419)-YEAR(B418))=0,A418+1,1))</f>
        <v>94</v>
      </c>
      <c r="B419" s="141" t="n">
        <v>43783</v>
      </c>
      <c r="C419" s="63" t="s">
        <v>209</v>
      </c>
      <c r="D419" s="19"/>
      <c r="E419" s="63" t="s">
        <v>523</v>
      </c>
      <c r="F419" s="63" t="s">
        <v>524</v>
      </c>
      <c r="G419" s="142" t="n">
        <v>43783</v>
      </c>
      <c r="H419" s="142" t="n">
        <v>44148</v>
      </c>
      <c r="I419" s="19" t="n">
        <f aca="false">H419-G419</f>
        <v>365</v>
      </c>
      <c r="J419" s="149" t="n">
        <f aca="false">TRUNC(I419/30,0)</f>
        <v>12</v>
      </c>
      <c r="K419" s="183" t="s">
        <v>95</v>
      </c>
      <c r="L419" s="146" t="n">
        <v>1</v>
      </c>
      <c r="M419" s="147" t="n">
        <v>1.53</v>
      </c>
      <c r="N419" s="148" t="s">
        <v>527</v>
      </c>
      <c r="O419" s="149" t="n">
        <v>12</v>
      </c>
      <c r="P419" s="149"/>
      <c r="Q419" s="150" t="n">
        <v>0.01987</v>
      </c>
      <c r="R419" s="151" t="n">
        <v>12</v>
      </c>
      <c r="S419" s="152" t="n">
        <v>0.02</v>
      </c>
      <c r="T419" s="151"/>
      <c r="U419" s="152"/>
      <c r="V419" s="152" t="n">
        <v>0.02856</v>
      </c>
      <c r="W419" s="152" t="n">
        <v>0.000571</v>
      </c>
      <c r="X419" s="152" t="n">
        <v>0.009989</v>
      </c>
      <c r="Y419" s="152" t="n">
        <v>0.015213</v>
      </c>
      <c r="Z419" s="152" t="n">
        <v>0.002</v>
      </c>
      <c r="AA419" s="152" t="n">
        <v>0.002</v>
      </c>
      <c r="AB419" s="154" t="n">
        <f aca="false">S419-Z419</f>
        <v>0.018</v>
      </c>
      <c r="AC419" s="154" t="n">
        <f aca="false">U419-Z419-AA419</f>
        <v>-0.004</v>
      </c>
      <c r="AD419" s="155" t="n">
        <v>0.018</v>
      </c>
      <c r="AE419" s="153" t="n">
        <f aca="false">IF(Y419="","",Y419)</f>
        <v>0.015213</v>
      </c>
      <c r="AF419" s="153" t="n">
        <v>0.002787</v>
      </c>
      <c r="AG419" s="184" t="n">
        <f aca="false">IF(AF419="","",AE419+AF419)</f>
        <v>0.018</v>
      </c>
      <c r="AH419" s="185" t="n">
        <v>43783</v>
      </c>
      <c r="AI419" s="35" t="n">
        <v>4</v>
      </c>
      <c r="AJ419" s="19" t="str">
        <f aca="false">IF(AG419="","N","Y")</f>
        <v>Y</v>
      </c>
      <c r="AK419" s="238" t="s">
        <v>528</v>
      </c>
      <c r="AL419" s="36"/>
    </row>
    <row r="420" s="38" customFormat="true" ht="20.25" hidden="false" customHeight="true" outlineLevel="0" collapsed="false">
      <c r="A420" s="19" t="n">
        <f aca="false">IF(B420="","",IF((YEAR(B420)-YEAR(B419))=0,A419+1,1))</f>
        <v>95</v>
      </c>
      <c r="B420" s="141" t="n">
        <v>43790</v>
      </c>
      <c r="C420" s="63" t="s">
        <v>124</v>
      </c>
      <c r="D420" s="19"/>
      <c r="E420" s="63" t="s">
        <v>484</v>
      </c>
      <c r="F420" s="63" t="s">
        <v>431</v>
      </c>
      <c r="G420" s="142" t="n">
        <v>43790</v>
      </c>
      <c r="H420" s="142" t="n">
        <v>43822</v>
      </c>
      <c r="I420" s="19" t="n">
        <f aca="false">H420-G420</f>
        <v>32</v>
      </c>
      <c r="J420" s="149" t="n">
        <f aca="false">TRUNC(I420/30,0)</f>
        <v>1</v>
      </c>
      <c r="K420" s="183" t="s">
        <v>95</v>
      </c>
      <c r="L420" s="146" t="n">
        <v>1</v>
      </c>
      <c r="M420" s="147" t="n">
        <v>1.24</v>
      </c>
      <c r="N420" s="148" t="s">
        <v>529</v>
      </c>
      <c r="O420" s="149" t="s">
        <v>303</v>
      </c>
      <c r="P420" s="149"/>
      <c r="Q420" s="150" t="n">
        <v>0.0171563</v>
      </c>
      <c r="R420" s="151" t="s">
        <v>303</v>
      </c>
      <c r="S420" s="152" t="n">
        <v>0.017</v>
      </c>
      <c r="T420" s="151"/>
      <c r="U420" s="152"/>
      <c r="V420" s="152" t="n">
        <v>0.019691</v>
      </c>
      <c r="W420" s="152" t="n">
        <v>0.000394</v>
      </c>
      <c r="X420" s="152" t="n">
        <v>0.004798</v>
      </c>
      <c r="Y420" s="152" t="n">
        <v>0.011488</v>
      </c>
      <c r="Z420" s="152" t="n">
        <v>0.002</v>
      </c>
      <c r="AA420" s="152" t="n">
        <v>0.002</v>
      </c>
      <c r="AB420" s="154" t="n">
        <f aca="false">S420-Z420</f>
        <v>0.015</v>
      </c>
      <c r="AC420" s="154" t="n">
        <f aca="false">U420-Z420-AA420</f>
        <v>-0.004</v>
      </c>
      <c r="AD420" s="155" t="n">
        <v>0.0145</v>
      </c>
      <c r="AE420" s="153" t="n">
        <f aca="false">IF(Y420="","",Y420)</f>
        <v>0.011488</v>
      </c>
      <c r="AF420" s="153" t="n">
        <v>0.003012</v>
      </c>
      <c r="AG420" s="184" t="n">
        <f aca="false">IF(AF420="","",AE420+AF420)</f>
        <v>0.0145</v>
      </c>
      <c r="AH420" s="185" t="n">
        <v>43790</v>
      </c>
      <c r="AI420" s="35" t="n">
        <v>1</v>
      </c>
      <c r="AJ420" s="19" t="str">
        <f aca="false">IF(AG420="","N","Y")</f>
        <v>Y</v>
      </c>
      <c r="AK420" s="238" t="s">
        <v>530</v>
      </c>
      <c r="AL420" s="36"/>
    </row>
    <row r="421" s="38" customFormat="true" ht="23.25" hidden="false" customHeight="true" outlineLevel="0" collapsed="false">
      <c r="A421" s="19" t="n">
        <f aca="false">IF(B421="","",IF((YEAR(B421)-YEAR(B420))=0,A420+1,1))</f>
        <v>96</v>
      </c>
      <c r="B421" s="141" t="n">
        <v>43794</v>
      </c>
      <c r="C421" s="63" t="s">
        <v>103</v>
      </c>
      <c r="D421" s="19"/>
      <c r="E421" s="63" t="s">
        <v>330</v>
      </c>
      <c r="F421" s="19" t="s">
        <v>455</v>
      </c>
      <c r="G421" s="142" t="n">
        <v>43794</v>
      </c>
      <c r="H421" s="142" t="n">
        <v>43845</v>
      </c>
      <c r="I421" s="19" t="n">
        <f aca="false">H421-G421</f>
        <v>51</v>
      </c>
      <c r="J421" s="149" t="n">
        <f aca="false">TRUNC(I421/30,0)</f>
        <v>1</v>
      </c>
      <c r="K421" s="183" t="s">
        <v>95</v>
      </c>
      <c r="L421" s="146" t="n">
        <v>10</v>
      </c>
      <c r="M421" s="147" t="n">
        <v>1.23051</v>
      </c>
      <c r="N421" s="148" t="s">
        <v>531</v>
      </c>
      <c r="O421" s="149" t="s">
        <v>303</v>
      </c>
      <c r="P421" s="149"/>
      <c r="Q421" s="150" t="n">
        <v>0.0170275</v>
      </c>
      <c r="R421" s="151" t="s">
        <v>303</v>
      </c>
      <c r="S421" s="152" t="n">
        <v>0.023</v>
      </c>
      <c r="T421" s="151"/>
      <c r="U421" s="152"/>
      <c r="V421" s="152" t="n">
        <v>0.020818</v>
      </c>
      <c r="W421" s="152" t="n">
        <v>0.000416</v>
      </c>
      <c r="X421" s="152" t="n">
        <v>0.002402</v>
      </c>
      <c r="Y421" s="152" t="n">
        <v>0.011361</v>
      </c>
      <c r="Z421" s="152" t="n">
        <v>0.002</v>
      </c>
      <c r="AA421" s="152" t="n">
        <v>0.002</v>
      </c>
      <c r="AB421" s="154" t="n">
        <f aca="false">S421-Z421</f>
        <v>0.021</v>
      </c>
      <c r="AC421" s="154" t="n">
        <f aca="false">U421-Z421-AA421</f>
        <v>-0.004</v>
      </c>
      <c r="AD421" s="155" t="n">
        <v>0.018</v>
      </c>
      <c r="AE421" s="153" t="n">
        <f aca="false">IF(Y421="","",Y421)</f>
        <v>0.011361</v>
      </c>
      <c r="AF421" s="153" t="n">
        <f aca="false">AD421-AE421</f>
        <v>0.006639</v>
      </c>
      <c r="AG421" s="184" t="n">
        <f aca="false">IF(AF421="","",AE421+AF421)</f>
        <v>0.018</v>
      </c>
      <c r="AH421" s="185" t="n">
        <v>43794</v>
      </c>
      <c r="AI421" s="35" t="n">
        <v>1</v>
      </c>
      <c r="AJ421" s="19" t="str">
        <f aca="false">IF(AG421="","N","Y")</f>
        <v>Y</v>
      </c>
      <c r="AK421" s="238" t="s">
        <v>532</v>
      </c>
      <c r="AL421" s="36"/>
    </row>
    <row r="422" s="140" customFormat="true" ht="20.25" hidden="false" customHeight="true" outlineLevel="0" collapsed="false">
      <c r="A422" s="116" t="n">
        <f aca="false">IF(B422="","",IF((YEAR(B422)-YEAR(B421))=0,A421+1,1))</f>
        <v>97</v>
      </c>
      <c r="B422" s="160" t="n">
        <v>43794</v>
      </c>
      <c r="C422" s="161" t="s">
        <v>307</v>
      </c>
      <c r="D422" s="116"/>
      <c r="E422" s="161" t="s">
        <v>309</v>
      </c>
      <c r="F422" s="161" t="s">
        <v>533</v>
      </c>
      <c r="G422" s="162" t="n">
        <v>43794</v>
      </c>
      <c r="H422" s="162" t="n">
        <v>43886</v>
      </c>
      <c r="I422" s="116" t="n">
        <f aca="false">H422-G422</f>
        <v>92</v>
      </c>
      <c r="J422" s="169" t="n">
        <f aca="false">TRUNC(I422/30,0)</f>
        <v>3</v>
      </c>
      <c r="K422" s="180" t="s">
        <v>95</v>
      </c>
      <c r="L422" s="166" t="s">
        <v>534</v>
      </c>
      <c r="M422" s="167" t="n">
        <v>1.51162</v>
      </c>
      <c r="N422" s="168" t="s">
        <v>535</v>
      </c>
      <c r="O422" s="169" t="s">
        <v>265</v>
      </c>
      <c r="P422" s="169"/>
      <c r="Q422" s="170" t="n">
        <v>0.0191725</v>
      </c>
      <c r="R422" s="171" t="s">
        <v>265</v>
      </c>
      <c r="S422" s="172"/>
      <c r="T422" s="171"/>
      <c r="U422" s="172"/>
      <c r="V422" s="172" t="n">
        <v>0.022598</v>
      </c>
      <c r="W422" s="172" t="n">
        <v>0.000452</v>
      </c>
      <c r="X422" s="172" t="n">
        <v>0.004146</v>
      </c>
      <c r="Y422" s="172" t="n">
        <v>0.014663</v>
      </c>
      <c r="Z422" s="172" t="n">
        <v>0.002</v>
      </c>
      <c r="AA422" s="172" t="n">
        <v>0.002</v>
      </c>
      <c r="AB422" s="174" t="n">
        <f aca="false">S422-Z422</f>
        <v>-0.002</v>
      </c>
      <c r="AC422" s="174" t="n">
        <f aca="false">U422-Z422-AA422</f>
        <v>-0.004</v>
      </c>
      <c r="AD422" s="175" t="s">
        <v>536</v>
      </c>
      <c r="AE422" s="173" t="n">
        <f aca="false">IF(Y422="","",Y422)</f>
        <v>0.014663</v>
      </c>
      <c r="AF422" s="173"/>
      <c r="AG422" s="186"/>
      <c r="AH422" s="187"/>
      <c r="AI422" s="176"/>
      <c r="AJ422" s="116" t="str">
        <f aca="false">IF(AG422="","N","Y")</f>
        <v>N</v>
      </c>
      <c r="AK422" s="177" t="s">
        <v>537</v>
      </c>
      <c r="AL422" s="138"/>
    </row>
    <row r="423" s="38" customFormat="true" ht="23.25" hidden="false" customHeight="true" outlineLevel="0" collapsed="false">
      <c r="A423" s="19" t="n">
        <f aca="false">IF(B423="","",IF((YEAR(B423)-YEAR(B422))=0,A422+1,1))</f>
        <v>98</v>
      </c>
      <c r="B423" s="141" t="n">
        <v>43795</v>
      </c>
      <c r="C423" s="63" t="s">
        <v>440</v>
      </c>
      <c r="D423" s="19"/>
      <c r="E423" s="63" t="s">
        <v>452</v>
      </c>
      <c r="F423" s="63" t="s">
        <v>442</v>
      </c>
      <c r="G423" s="142" t="n">
        <v>43795</v>
      </c>
      <c r="H423" s="142" t="n">
        <v>43825</v>
      </c>
      <c r="I423" s="19" t="n">
        <f aca="false">H423-G423</f>
        <v>30</v>
      </c>
      <c r="J423" s="149" t="n">
        <f aca="false">TRUNC(I423/30,0)</f>
        <v>1</v>
      </c>
      <c r="K423" s="183" t="s">
        <v>95</v>
      </c>
      <c r="L423" s="146" t="n">
        <v>2</v>
      </c>
      <c r="M423" s="147" t="n">
        <v>1.23</v>
      </c>
      <c r="N423" s="148" t="s">
        <v>538</v>
      </c>
      <c r="O423" s="149" t="s">
        <v>303</v>
      </c>
      <c r="P423" s="149"/>
      <c r="Q423" s="150" t="n">
        <v>0.016995</v>
      </c>
      <c r="R423" s="151" t="s">
        <v>303</v>
      </c>
      <c r="S423" s="152" t="n">
        <v>0.0172</v>
      </c>
      <c r="T423" s="151"/>
      <c r="U423" s="152"/>
      <c r="V423" s="152" t="n">
        <v>0.019507</v>
      </c>
      <c r="W423" s="152" t="n">
        <v>0.00039</v>
      </c>
      <c r="X423" s="152" t="n">
        <v>0.004116</v>
      </c>
      <c r="Y423" s="152" t="n">
        <v>0.01133</v>
      </c>
      <c r="Z423" s="152" t="n">
        <v>0.002</v>
      </c>
      <c r="AA423" s="152" t="n">
        <v>0.002</v>
      </c>
      <c r="AB423" s="154" t="n">
        <f aca="false">S423-Z423</f>
        <v>0.0152</v>
      </c>
      <c r="AC423" s="154" t="n">
        <f aca="false">U423-Z423-AA423</f>
        <v>-0.004</v>
      </c>
      <c r="AD423" s="155" t="n">
        <v>0.015</v>
      </c>
      <c r="AE423" s="153" t="n">
        <f aca="false">IF(Y423="","",Y423)</f>
        <v>0.01133</v>
      </c>
      <c r="AF423" s="153" t="n">
        <v>0.00367</v>
      </c>
      <c r="AG423" s="184" t="n">
        <f aca="false">IF(AF423="","",AE423+AF423)</f>
        <v>0.015</v>
      </c>
      <c r="AH423" s="185" t="n">
        <v>43795</v>
      </c>
      <c r="AI423" s="35" t="n">
        <v>2</v>
      </c>
      <c r="AJ423" s="19" t="str">
        <f aca="false">IF(AG423="","N","Y")</f>
        <v>Y</v>
      </c>
      <c r="AK423" s="238" t="s">
        <v>539</v>
      </c>
      <c r="AL423" s="36"/>
    </row>
    <row r="424" s="38" customFormat="true" ht="23.25" hidden="false" customHeight="true" outlineLevel="0" collapsed="false">
      <c r="A424" s="19" t="n">
        <f aca="false">IF(B424="","",IF((YEAR(B424)-YEAR(B423))=0,A423+1,1))</f>
        <v>99</v>
      </c>
      <c r="B424" s="141" t="n">
        <v>43795</v>
      </c>
      <c r="C424" s="63" t="s">
        <v>440</v>
      </c>
      <c r="D424" s="19"/>
      <c r="E424" s="63" t="s">
        <v>452</v>
      </c>
      <c r="F424" s="63" t="s">
        <v>442</v>
      </c>
      <c r="G424" s="142" t="n">
        <v>43795</v>
      </c>
      <c r="H424" s="142" t="n">
        <v>43825</v>
      </c>
      <c r="I424" s="19" t="n">
        <f aca="false">H424-G424</f>
        <v>30</v>
      </c>
      <c r="J424" s="149" t="n">
        <f aca="false">TRUNC(I424/30,0)</f>
        <v>1</v>
      </c>
      <c r="K424" s="183" t="s">
        <v>95</v>
      </c>
      <c r="L424" s="146" t="n">
        <v>4</v>
      </c>
      <c r="M424" s="147" t="n">
        <v>1.23</v>
      </c>
      <c r="N424" s="148" t="s">
        <v>538</v>
      </c>
      <c r="O424" s="149" t="s">
        <v>303</v>
      </c>
      <c r="P424" s="149"/>
      <c r="Q424" s="150" t="n">
        <v>0.016995</v>
      </c>
      <c r="R424" s="151" t="s">
        <v>303</v>
      </c>
      <c r="S424" s="152" t="n">
        <v>0.0172</v>
      </c>
      <c r="T424" s="151"/>
      <c r="U424" s="152"/>
      <c r="V424" s="152" t="n">
        <v>0.019507</v>
      </c>
      <c r="W424" s="152" t="n">
        <v>0.00039</v>
      </c>
      <c r="X424" s="152" t="n">
        <v>0.004116</v>
      </c>
      <c r="Y424" s="152" t="n">
        <v>0.01133</v>
      </c>
      <c r="Z424" s="152" t="n">
        <v>0.002</v>
      </c>
      <c r="AA424" s="152" t="n">
        <v>0.002</v>
      </c>
      <c r="AB424" s="154" t="n">
        <f aca="false">S424-Z424</f>
        <v>0.0152</v>
      </c>
      <c r="AC424" s="154" t="n">
        <f aca="false">U424-Z424-AA424</f>
        <v>-0.004</v>
      </c>
      <c r="AD424" s="155" t="n">
        <v>0.015</v>
      </c>
      <c r="AE424" s="153" t="n">
        <f aca="false">IF(Y424="","",Y424)</f>
        <v>0.01133</v>
      </c>
      <c r="AF424" s="153" t="n">
        <v>0.00367</v>
      </c>
      <c r="AG424" s="184" t="n">
        <f aca="false">IF(AF424="","",AE424+AF424)</f>
        <v>0.015</v>
      </c>
      <c r="AH424" s="185" t="n">
        <v>43795</v>
      </c>
      <c r="AI424" s="35" t="n">
        <v>3</v>
      </c>
      <c r="AJ424" s="19" t="str">
        <f aca="false">IF(AG424="","N","Y")</f>
        <v>Y</v>
      </c>
      <c r="AK424" s="238" t="s">
        <v>539</v>
      </c>
      <c r="AL424" s="36"/>
    </row>
    <row r="425" s="38" customFormat="true" ht="23.25" hidden="false" customHeight="true" outlineLevel="0" collapsed="false">
      <c r="A425" s="19" t="n">
        <f aca="false">IF(B425="","",IF((YEAR(B425)-YEAR(B424))=0,A424+1,1))</f>
        <v>100</v>
      </c>
      <c r="B425" s="141" t="n">
        <v>43797</v>
      </c>
      <c r="C425" s="63" t="s">
        <v>307</v>
      </c>
      <c r="D425" s="19"/>
      <c r="E425" s="63" t="s">
        <v>540</v>
      </c>
      <c r="F425" s="63" t="s">
        <v>541</v>
      </c>
      <c r="G425" s="142" t="n">
        <v>43797</v>
      </c>
      <c r="H425" s="142" t="n">
        <v>43889</v>
      </c>
      <c r="I425" s="19" t="n">
        <f aca="false">H425-G425</f>
        <v>92</v>
      </c>
      <c r="J425" s="149" t="n">
        <f aca="false">TRUNC(I425/30,0)</f>
        <v>3</v>
      </c>
      <c r="K425" s="183" t="s">
        <v>95</v>
      </c>
      <c r="L425" s="146" t="n">
        <v>1</v>
      </c>
      <c r="M425" s="147" t="n">
        <v>1.51</v>
      </c>
      <c r="N425" s="148" t="s">
        <v>542</v>
      </c>
      <c r="O425" s="149" t="s">
        <v>300</v>
      </c>
      <c r="P425" s="149"/>
      <c r="Q425" s="150" t="n">
        <v>0.0190863</v>
      </c>
      <c r="R425" s="151" t="s">
        <v>300</v>
      </c>
      <c r="S425" s="152" t="n">
        <v>0.02</v>
      </c>
      <c r="T425" s="151"/>
      <c r="U425" s="152"/>
      <c r="V425" s="152" t="n">
        <v>0.022591</v>
      </c>
      <c r="W425" s="152" t="n">
        <v>0.000452</v>
      </c>
      <c r="X425" s="152" t="n">
        <v>0.005139</v>
      </c>
      <c r="Y425" s="152" t="n">
        <v>0.014629</v>
      </c>
      <c r="Z425" s="152" t="n">
        <v>0.002</v>
      </c>
      <c r="AA425" s="152" t="n">
        <v>0.002</v>
      </c>
      <c r="AB425" s="154" t="n">
        <f aca="false">S425-Z425</f>
        <v>0.018</v>
      </c>
      <c r="AC425" s="154" t="n">
        <f aca="false">U425-Z425-AA425</f>
        <v>-0.004</v>
      </c>
      <c r="AD425" s="155" t="n">
        <v>0.017</v>
      </c>
      <c r="AE425" s="153" t="n">
        <f aca="false">IF(Y425="","",Y425)</f>
        <v>0.014629</v>
      </c>
      <c r="AF425" s="153" t="n">
        <v>0.002371</v>
      </c>
      <c r="AG425" s="184" t="n">
        <f aca="false">IF(AF425="","",AE425+AF425)</f>
        <v>0.017</v>
      </c>
      <c r="AH425" s="185" t="n">
        <v>43797</v>
      </c>
      <c r="AI425" s="35" t="n">
        <v>1</v>
      </c>
      <c r="AJ425" s="19" t="str">
        <f aca="false">IF(AG425="","N","Y")</f>
        <v>Y</v>
      </c>
      <c r="AK425" s="238" t="s">
        <v>543</v>
      </c>
      <c r="AL425" s="36"/>
    </row>
    <row r="426" s="38" customFormat="true" ht="23.25" hidden="false" customHeight="true" outlineLevel="0" collapsed="false">
      <c r="A426" s="19" t="n">
        <f aca="false">IF(B426="","",IF((YEAR(B426)-YEAR(B425))=0,A425+1,1))</f>
        <v>101</v>
      </c>
      <c r="B426" s="141" t="n">
        <v>43797</v>
      </c>
      <c r="C426" s="63" t="s">
        <v>187</v>
      </c>
      <c r="D426" s="19"/>
      <c r="E426" s="63" t="s">
        <v>188</v>
      </c>
      <c r="F426" s="63" t="s">
        <v>544</v>
      </c>
      <c r="G426" s="142" t="n">
        <v>43797</v>
      </c>
      <c r="H426" s="142" t="n">
        <v>43889</v>
      </c>
      <c r="I426" s="19" t="n">
        <f aca="false">H426-G426</f>
        <v>92</v>
      </c>
      <c r="J426" s="149" t="n">
        <f aca="false">TRUNC(I426/30,0)</f>
        <v>3</v>
      </c>
      <c r="K426" s="183" t="s">
        <v>95</v>
      </c>
      <c r="L426" s="146" t="n">
        <v>1.01</v>
      </c>
      <c r="M426" s="147" t="n">
        <v>1.51</v>
      </c>
      <c r="N426" s="148" t="s">
        <v>542</v>
      </c>
      <c r="O426" s="149" t="s">
        <v>300</v>
      </c>
      <c r="P426" s="149"/>
      <c r="Q426" s="150" t="n">
        <v>0.0190863</v>
      </c>
      <c r="R426" s="151" t="s">
        <v>300</v>
      </c>
      <c r="S426" s="152" t="n">
        <v>0.02</v>
      </c>
      <c r="T426" s="151"/>
      <c r="U426" s="152"/>
      <c r="V426" s="152" t="n">
        <v>0.022591</v>
      </c>
      <c r="W426" s="152" t="n">
        <v>0.000452</v>
      </c>
      <c r="X426" s="152" t="n">
        <v>0.005139</v>
      </c>
      <c r="Y426" s="152" t="n">
        <v>0.014629</v>
      </c>
      <c r="Z426" s="152" t="n">
        <v>0.002</v>
      </c>
      <c r="AA426" s="152" t="n">
        <v>0.002</v>
      </c>
      <c r="AB426" s="154" t="n">
        <f aca="false">S426-Z426</f>
        <v>0.018</v>
      </c>
      <c r="AC426" s="154" t="n">
        <f aca="false">U426-Z426-AA426</f>
        <v>-0.004</v>
      </c>
      <c r="AD426" s="155" t="n">
        <v>0.017</v>
      </c>
      <c r="AE426" s="153" t="n">
        <f aca="false">IF(Y426="","",Y426)</f>
        <v>0.014629</v>
      </c>
      <c r="AF426" s="153" t="n">
        <v>0.002371</v>
      </c>
      <c r="AG426" s="184" t="n">
        <f aca="false">IF(AF426="","",AE426+AF426)</f>
        <v>0.017</v>
      </c>
      <c r="AH426" s="185" t="n">
        <v>43797</v>
      </c>
      <c r="AI426" s="35" t="n">
        <v>3</v>
      </c>
      <c r="AJ426" s="19" t="str">
        <f aca="false">IF(AG426="","N","Y")</f>
        <v>Y</v>
      </c>
      <c r="AK426" s="238" t="s">
        <v>543</v>
      </c>
      <c r="AL426" s="36"/>
    </row>
    <row r="427" s="291" customFormat="true" ht="27" hidden="false" customHeight="true" outlineLevel="0" collapsed="false">
      <c r="A427" s="271" t="n">
        <f aca="false">IF(B427="","",IF((YEAR(B427)-YEAR(B426))=0,A426+1,1))</f>
        <v>102</v>
      </c>
      <c r="B427" s="270" t="n">
        <v>43803</v>
      </c>
      <c r="C427" s="271" t="s">
        <v>96</v>
      </c>
      <c r="D427" s="272"/>
      <c r="E427" s="271" t="s">
        <v>373</v>
      </c>
      <c r="F427" s="271" t="s">
        <v>360</v>
      </c>
      <c r="G427" s="273" t="n">
        <v>43803</v>
      </c>
      <c r="H427" s="273" t="n">
        <v>43836</v>
      </c>
      <c r="I427" s="271" t="n">
        <f aca="false">H427-G427</f>
        <v>33</v>
      </c>
      <c r="J427" s="274" t="n">
        <f aca="false">TRUNC(I427/30,0)</f>
        <v>1</v>
      </c>
      <c r="K427" s="275" t="s">
        <v>95</v>
      </c>
      <c r="L427" s="276" t="n">
        <v>20</v>
      </c>
      <c r="M427" s="277" t="n">
        <v>1.23</v>
      </c>
      <c r="N427" s="278" t="s">
        <v>545</v>
      </c>
      <c r="O427" s="274" t="s">
        <v>303</v>
      </c>
      <c r="P427" s="274"/>
      <c r="Q427" s="279" t="n">
        <v>0.0170363</v>
      </c>
      <c r="R427" s="280" t="s">
        <v>303</v>
      </c>
      <c r="S427" s="281" t="n">
        <v>0.0239</v>
      </c>
      <c r="T427" s="280"/>
      <c r="U427" s="281"/>
      <c r="V427" s="281" t="n">
        <v>0.019599</v>
      </c>
      <c r="W427" s="281" t="n">
        <v>0.000392</v>
      </c>
      <c r="X427" s="281" t="n">
        <v>0.002907</v>
      </c>
      <c r="Y427" s="281" t="n">
        <v>0.01137</v>
      </c>
      <c r="Z427" s="281" t="n">
        <v>0.002</v>
      </c>
      <c r="AA427" s="281" t="n">
        <v>0.002</v>
      </c>
      <c r="AB427" s="282" t="n">
        <f aca="false">S427-Z427</f>
        <v>0.0219</v>
      </c>
      <c r="AC427" s="282" t="n">
        <f aca="false">U427-Z427-AA427</f>
        <v>-0.004</v>
      </c>
      <c r="AD427" s="283" t="n">
        <v>0.0163</v>
      </c>
      <c r="AE427" s="284" t="n">
        <f aca="false">IF(Y427="","",Y427)</f>
        <v>0.01137</v>
      </c>
      <c r="AF427" s="284" t="n">
        <v>0.00493</v>
      </c>
      <c r="AG427" s="285" t="n">
        <f aca="false">IF(AF427="","",AE427+AF427)</f>
        <v>0.0163</v>
      </c>
      <c r="AH427" s="286" t="n">
        <v>43803</v>
      </c>
      <c r="AI427" s="287" t="n">
        <v>2</v>
      </c>
      <c r="AJ427" s="288" t="s">
        <v>466</v>
      </c>
      <c r="AK427" s="292" t="s">
        <v>546</v>
      </c>
      <c r="AL427" s="290"/>
    </row>
    <row r="428" s="220" customFormat="true" ht="20.25" hidden="false" customHeight="true" outlineLevel="0" collapsed="false">
      <c r="A428" s="200" t="n">
        <f aca="false">IF(B428="","",IF((YEAR(B428)-YEAR(B427))=0,A427+1,1))</f>
        <v>103</v>
      </c>
      <c r="B428" s="199" t="n">
        <v>43810</v>
      </c>
      <c r="C428" s="200" t="s">
        <v>103</v>
      </c>
      <c r="D428" s="200"/>
      <c r="E428" s="200" t="s">
        <v>435</v>
      </c>
      <c r="F428" s="200" t="s">
        <v>389</v>
      </c>
      <c r="G428" s="201" t="n">
        <v>43810</v>
      </c>
      <c r="H428" s="201" t="n">
        <v>43840</v>
      </c>
      <c r="I428" s="200" t="n">
        <v>30</v>
      </c>
      <c r="J428" s="228" t="n">
        <v>1</v>
      </c>
      <c r="K428" s="203" t="s">
        <v>99</v>
      </c>
      <c r="L428" s="204" t="n">
        <v>1.435911</v>
      </c>
      <c r="M428" s="205" t="n">
        <v>0.6612</v>
      </c>
      <c r="N428" s="227" t="s">
        <v>547</v>
      </c>
      <c r="O428" s="228" t="s">
        <v>305</v>
      </c>
      <c r="P428" s="228"/>
      <c r="Q428" s="208" t="n">
        <v>0.0158013</v>
      </c>
      <c r="R428" s="207" t="s">
        <v>305</v>
      </c>
      <c r="S428" s="209" t="n">
        <v>0.016</v>
      </c>
      <c r="T428" s="207"/>
      <c r="U428" s="209"/>
      <c r="V428" s="209" t="n">
        <v>0.019676</v>
      </c>
      <c r="W428" s="209" t="n">
        <v>0.001377</v>
      </c>
      <c r="X428" s="209" t="n">
        <v>0.009299</v>
      </c>
      <c r="Y428" s="209" t="n">
        <v>0.006632</v>
      </c>
      <c r="Z428" s="209" t="n">
        <v>0.0033</v>
      </c>
      <c r="AA428" s="209" t="n">
        <v>0.002</v>
      </c>
      <c r="AB428" s="211" t="n">
        <v>0.0127</v>
      </c>
      <c r="AC428" s="211" t="n">
        <v>-0.0053</v>
      </c>
      <c r="AD428" s="212" t="n">
        <v>0.009</v>
      </c>
      <c r="AE428" s="210" t="n">
        <v>0.006632</v>
      </c>
      <c r="AF428" s="210" t="n">
        <f aca="false">AG428-AE428</f>
        <v>0.002368</v>
      </c>
      <c r="AG428" s="214" t="n">
        <v>0.009</v>
      </c>
      <c r="AH428" s="215" t="n">
        <v>43810</v>
      </c>
      <c r="AI428" s="216" t="n">
        <v>1</v>
      </c>
      <c r="AJ428" s="217" t="s">
        <v>466</v>
      </c>
      <c r="AK428" s="218" t="s">
        <v>548</v>
      </c>
      <c r="AL428" s="229"/>
    </row>
    <row r="429" s="38" customFormat="true" ht="23.25" hidden="false" customHeight="true" outlineLevel="0" collapsed="false">
      <c r="A429" s="19" t="n">
        <f aca="false">IF(B429="","",IF((YEAR(B429)-YEAR(B428))=0,A428+1,1))</f>
        <v>104</v>
      </c>
      <c r="B429" s="141" t="n">
        <v>43822</v>
      </c>
      <c r="C429" s="63" t="s">
        <v>124</v>
      </c>
      <c r="D429" s="19"/>
      <c r="E429" s="63" t="s">
        <v>484</v>
      </c>
      <c r="F429" s="63" t="s">
        <v>431</v>
      </c>
      <c r="G429" s="142" t="n">
        <v>43822</v>
      </c>
      <c r="H429" s="142" t="n">
        <v>43853</v>
      </c>
      <c r="I429" s="19" t="n">
        <f aca="false">H429-G429</f>
        <v>31</v>
      </c>
      <c r="J429" s="149" t="n">
        <f aca="false">TRUNC(I429/30,0)</f>
        <v>1</v>
      </c>
      <c r="K429" s="183" t="s">
        <v>95</v>
      </c>
      <c r="L429" s="146" t="n">
        <v>1.00738927</v>
      </c>
      <c r="M429" s="147" t="n">
        <v>1.36216</v>
      </c>
      <c r="N429" s="148" t="s">
        <v>549</v>
      </c>
      <c r="O429" s="149" t="s">
        <v>303</v>
      </c>
      <c r="P429" s="149"/>
      <c r="Q429" s="150" t="n">
        <v>0.0177988</v>
      </c>
      <c r="R429" s="151" t="s">
        <v>303</v>
      </c>
      <c r="S429" s="152" t="n">
        <v>0.0172</v>
      </c>
      <c r="T429" s="151"/>
      <c r="U429" s="152"/>
      <c r="V429" s="152" t="n">
        <v>0.020372</v>
      </c>
      <c r="W429" s="152" t="n">
        <v>0.000407</v>
      </c>
      <c r="X429" s="152" t="n">
        <v>0.004965</v>
      </c>
      <c r="Y429" s="152" t="n">
        <v>0.012117</v>
      </c>
      <c r="Z429" s="152" t="n">
        <v>0.002</v>
      </c>
      <c r="AA429" s="152" t="n">
        <v>0.002</v>
      </c>
      <c r="AB429" s="154" t="n">
        <f aca="false">S429-Z429</f>
        <v>0.0152</v>
      </c>
      <c r="AC429" s="154" t="n">
        <f aca="false">U429-Z429-AA429</f>
        <v>-0.004</v>
      </c>
      <c r="AD429" s="155" t="n">
        <v>0.015</v>
      </c>
      <c r="AE429" s="153" t="n">
        <f aca="false">IF(Y429="","",Y429)</f>
        <v>0.012117</v>
      </c>
      <c r="AF429" s="153" t="n">
        <f aca="false">AG429-AE429</f>
        <v>0.002883</v>
      </c>
      <c r="AG429" s="184" t="n">
        <v>0.015</v>
      </c>
      <c r="AH429" s="185" t="n">
        <v>43822</v>
      </c>
      <c r="AI429" s="35" t="n">
        <v>1</v>
      </c>
      <c r="AJ429" s="19" t="str">
        <f aca="false">IF(AG429="","N","Y")</f>
        <v>Y</v>
      </c>
      <c r="AK429" s="238" t="s">
        <v>550</v>
      </c>
      <c r="AL429" s="36"/>
    </row>
    <row r="430" customFormat="false" ht="20.25" hidden="false" customHeight="true" outlineLevel="0" collapsed="false">
      <c r="A430" s="19" t="n">
        <f aca="false">IF(B430="","",IF((YEAR(B430)-YEAR(B429))=0,A429+1,1))</f>
        <v>105</v>
      </c>
      <c r="B430" s="141" t="n">
        <v>43825</v>
      </c>
      <c r="C430" s="63" t="s">
        <v>440</v>
      </c>
      <c r="D430" s="19"/>
      <c r="E430" s="63" t="s">
        <v>452</v>
      </c>
      <c r="F430" s="63" t="s">
        <v>442</v>
      </c>
      <c r="G430" s="142" t="n">
        <v>43825</v>
      </c>
      <c r="H430" s="142" t="n">
        <v>43858</v>
      </c>
      <c r="I430" s="19" t="n">
        <f aca="false">H430-G430</f>
        <v>33</v>
      </c>
      <c r="J430" s="149" t="n">
        <f aca="false">TRUNC(I430/30,0)</f>
        <v>1</v>
      </c>
      <c r="K430" s="183" t="s">
        <v>95</v>
      </c>
      <c r="L430" s="146" t="n">
        <v>2</v>
      </c>
      <c r="M430" s="147" t="n">
        <v>1.37</v>
      </c>
      <c r="N430" s="148" t="s">
        <v>551</v>
      </c>
      <c r="O430" s="149" t="s">
        <v>303</v>
      </c>
      <c r="P430" s="149"/>
      <c r="Q430" s="150" t="n">
        <v>0.0180475</v>
      </c>
      <c r="R430" s="151" t="s">
        <v>303</v>
      </c>
      <c r="S430" s="152" t="n">
        <v>0.018</v>
      </c>
      <c r="T430" s="151"/>
      <c r="U430" s="152"/>
      <c r="V430" s="152" t="n">
        <v>0.02044</v>
      </c>
      <c r="W430" s="152" t="n">
        <v>0.000409</v>
      </c>
      <c r="X430" s="152" t="n">
        <v>0.004531</v>
      </c>
      <c r="Y430" s="152" t="n">
        <v>0.012361</v>
      </c>
      <c r="Z430" s="152" t="n">
        <v>0.002</v>
      </c>
      <c r="AA430" s="152" t="n">
        <v>0.002</v>
      </c>
      <c r="AB430" s="154" t="n">
        <f aca="false">S430-Z430</f>
        <v>0.016</v>
      </c>
      <c r="AC430" s="154" t="n">
        <f aca="false">U430-Z430-AA430</f>
        <v>-0.004</v>
      </c>
      <c r="AD430" s="155" t="n">
        <v>0.0155</v>
      </c>
      <c r="AE430" s="153" t="n">
        <f aca="false">IF(Y430="","",Y430)</f>
        <v>0.012361</v>
      </c>
      <c r="AF430" s="153" t="n">
        <f aca="false">AG430-AE430</f>
        <v>0.003139</v>
      </c>
      <c r="AG430" s="184" t="n">
        <v>0.0155</v>
      </c>
      <c r="AH430" s="185" t="n">
        <v>43825</v>
      </c>
      <c r="AI430" s="35" t="n">
        <v>3</v>
      </c>
      <c r="AJ430" s="19" t="str">
        <f aca="false">IF(AG430="","N","Y")</f>
        <v>Y</v>
      </c>
      <c r="AK430" s="238" t="s">
        <v>552</v>
      </c>
    </row>
    <row r="431" customFormat="false" ht="20.25" hidden="false" customHeight="true" outlineLevel="0" collapsed="false">
      <c r="A431" s="19" t="n">
        <f aca="false">IF(B431="","",IF((YEAR(B431)-YEAR(B430))=0,A430+1,1))</f>
        <v>106</v>
      </c>
      <c r="B431" s="141" t="n">
        <v>43825</v>
      </c>
      <c r="C431" s="63" t="s">
        <v>440</v>
      </c>
      <c r="D431" s="19"/>
      <c r="E431" s="63" t="s">
        <v>452</v>
      </c>
      <c r="F431" s="63" t="s">
        <v>442</v>
      </c>
      <c r="G431" s="142" t="n">
        <v>43825</v>
      </c>
      <c r="H431" s="142" t="n">
        <v>43858</v>
      </c>
      <c r="I431" s="19" t="n">
        <f aca="false">H431-G431</f>
        <v>33</v>
      </c>
      <c r="J431" s="149" t="n">
        <f aca="false">TRUNC(I431/30,0)</f>
        <v>1</v>
      </c>
      <c r="K431" s="183" t="s">
        <v>95</v>
      </c>
      <c r="L431" s="146" t="n">
        <v>4</v>
      </c>
      <c r="M431" s="147" t="n">
        <v>1.37</v>
      </c>
      <c r="N431" s="148" t="s">
        <v>551</v>
      </c>
      <c r="O431" s="149" t="s">
        <v>303</v>
      </c>
      <c r="P431" s="149"/>
      <c r="Q431" s="150" t="n">
        <v>0.0180475</v>
      </c>
      <c r="R431" s="151" t="s">
        <v>303</v>
      </c>
      <c r="S431" s="152" t="n">
        <v>0.018</v>
      </c>
      <c r="T431" s="151"/>
      <c r="U431" s="152"/>
      <c r="V431" s="152" t="n">
        <v>0.02044</v>
      </c>
      <c r="W431" s="152" t="n">
        <v>0.000409</v>
      </c>
      <c r="X431" s="152" t="n">
        <v>0.004531</v>
      </c>
      <c r="Y431" s="152" t="n">
        <v>0.012361</v>
      </c>
      <c r="Z431" s="152" t="n">
        <v>0.002</v>
      </c>
      <c r="AA431" s="152" t="n">
        <v>0.002</v>
      </c>
      <c r="AB431" s="154" t="n">
        <f aca="false">S431-Z431</f>
        <v>0.016</v>
      </c>
      <c r="AC431" s="154" t="n">
        <f aca="false">U431-Z431-AA431</f>
        <v>-0.004</v>
      </c>
      <c r="AD431" s="155" t="n">
        <v>0.0155</v>
      </c>
      <c r="AE431" s="153" t="n">
        <f aca="false">IF(Y431="","",Y431)</f>
        <v>0.012361</v>
      </c>
      <c r="AF431" s="153" t="n">
        <f aca="false">AG431-AE431</f>
        <v>0.003139</v>
      </c>
      <c r="AG431" s="184" t="n">
        <v>0.0155</v>
      </c>
      <c r="AH431" s="185" t="n">
        <v>43825</v>
      </c>
      <c r="AI431" s="35" t="n">
        <v>4</v>
      </c>
      <c r="AJ431" s="19" t="str">
        <f aca="false">IF(AG431="","N","Y")</f>
        <v>Y</v>
      </c>
      <c r="AK431" s="238" t="s">
        <v>552</v>
      </c>
    </row>
    <row r="432" s="291" customFormat="true" ht="27" hidden="false" customHeight="true" outlineLevel="0" collapsed="false">
      <c r="A432" s="271" t="n">
        <f aca="false">IF(B432="","",IF((YEAR(B432)-YEAR(B431))=0,A431+1,1))</f>
        <v>1</v>
      </c>
      <c r="B432" s="270" t="n">
        <v>43836</v>
      </c>
      <c r="C432" s="271" t="s">
        <v>96</v>
      </c>
      <c r="D432" s="272"/>
      <c r="E432" s="271" t="s">
        <v>373</v>
      </c>
      <c r="F432" s="271" t="s">
        <v>360</v>
      </c>
      <c r="G432" s="273" t="n">
        <v>43836</v>
      </c>
      <c r="H432" s="273" t="n">
        <v>43867</v>
      </c>
      <c r="I432" s="271" t="n">
        <f aca="false">H432-G432</f>
        <v>31</v>
      </c>
      <c r="J432" s="274" t="n">
        <f aca="false">TRUNC(I432/30,0)</f>
        <v>1</v>
      </c>
      <c r="K432" s="275" t="s">
        <v>95</v>
      </c>
      <c r="L432" s="276" t="n">
        <v>20</v>
      </c>
      <c r="M432" s="277" t="n">
        <v>1.27</v>
      </c>
      <c r="N432" s="278" t="s">
        <v>553</v>
      </c>
      <c r="O432" s="274" t="s">
        <v>303</v>
      </c>
      <c r="P432" s="274"/>
      <c r="Q432" s="279" t="n">
        <v>0.0171425</v>
      </c>
      <c r="R432" s="280" t="s">
        <v>303</v>
      </c>
      <c r="S432" s="281" t="n">
        <v>0.0172</v>
      </c>
      <c r="T432" s="280" t="s">
        <v>303</v>
      </c>
      <c r="U432" s="281" t="n">
        <v>0.022</v>
      </c>
      <c r="V432" s="281" t="n">
        <v>0.01987</v>
      </c>
      <c r="W432" s="281" t="n">
        <v>0.000397</v>
      </c>
      <c r="X432" s="281" t="n">
        <v>0.002473</v>
      </c>
      <c r="Y432" s="281" t="n">
        <v>0.011474</v>
      </c>
      <c r="Z432" s="281" t="n">
        <v>0.002</v>
      </c>
      <c r="AA432" s="281" t="n">
        <v>0.002</v>
      </c>
      <c r="AB432" s="282" t="n">
        <f aca="false">S432-Z432</f>
        <v>0.0152</v>
      </c>
      <c r="AC432" s="282" t="n">
        <f aca="false">U432-Z432-AA432</f>
        <v>0.018</v>
      </c>
      <c r="AD432" s="283" t="n">
        <v>0.017</v>
      </c>
      <c r="AE432" s="284" t="n">
        <f aca="false">IF(Y432="","",Y432)</f>
        <v>0.011474</v>
      </c>
      <c r="AF432" s="284" t="n">
        <v>0.005526</v>
      </c>
      <c r="AG432" s="285" t="n">
        <f aca="false">IF(AF432="","",AE432+AF432)</f>
        <v>0.017</v>
      </c>
      <c r="AH432" s="286" t="n">
        <v>43836</v>
      </c>
      <c r="AI432" s="287" t="n">
        <v>1</v>
      </c>
      <c r="AJ432" s="19" t="str">
        <f aca="false">IF(AG432="","N","Y")</f>
        <v>Y</v>
      </c>
      <c r="AK432" s="289" t="s">
        <v>554</v>
      </c>
      <c r="AL432" s="290"/>
    </row>
    <row r="433" s="220" customFormat="true" ht="20.25" hidden="false" customHeight="true" outlineLevel="0" collapsed="false">
      <c r="A433" s="200" t="n">
        <f aca="false">IF(B433="","",IF((YEAR(B433)-YEAR(B432))=0,A432+1,1))</f>
        <v>2</v>
      </c>
      <c r="B433" s="199" t="n">
        <v>43840</v>
      </c>
      <c r="C433" s="200" t="s">
        <v>103</v>
      </c>
      <c r="D433" s="200"/>
      <c r="E433" s="200" t="s">
        <v>555</v>
      </c>
      <c r="F433" s="200" t="s">
        <v>389</v>
      </c>
      <c r="G433" s="201" t="n">
        <v>43840</v>
      </c>
      <c r="H433" s="201" t="n">
        <v>43871</v>
      </c>
      <c r="I433" s="200" t="n">
        <v>30</v>
      </c>
      <c r="J433" s="228" t="n">
        <v>1</v>
      </c>
      <c r="K433" s="203" t="s">
        <v>99</v>
      </c>
      <c r="L433" s="204" t="n">
        <v>2.28</v>
      </c>
      <c r="M433" s="205" t="n">
        <v>0.85</v>
      </c>
      <c r="N433" s="227" t="s">
        <v>556</v>
      </c>
      <c r="O433" s="228" t="s">
        <v>305</v>
      </c>
      <c r="P433" s="228"/>
      <c r="Q433" s="208" t="n">
        <v>0.01562</v>
      </c>
      <c r="R433" s="207" t="s">
        <v>305</v>
      </c>
      <c r="S433" s="209" t="n">
        <v>0.015</v>
      </c>
      <c r="T433" s="207"/>
      <c r="U433" s="209"/>
      <c r="V433" s="209" t="n">
        <v>0.019271</v>
      </c>
      <c r="W433" s="209" t="n">
        <v>0.001349</v>
      </c>
      <c r="X433" s="209" t="n">
        <v>0.008922</v>
      </c>
      <c r="Y433" s="209" t="n">
        <v>0.006464</v>
      </c>
      <c r="Z433" s="209" t="n">
        <v>0.0033</v>
      </c>
      <c r="AA433" s="209" t="n">
        <v>0.002</v>
      </c>
      <c r="AB433" s="211" t="n">
        <f aca="false">S433-Z433</f>
        <v>0.0117</v>
      </c>
      <c r="AC433" s="211" t="n">
        <f aca="false">U433-Z433-AA433</f>
        <v>-0.0053</v>
      </c>
      <c r="AD433" s="212" t="n">
        <v>0.009</v>
      </c>
      <c r="AE433" s="210" t="n">
        <f aca="false">IF(Y433="","",Y433)</f>
        <v>0.006464</v>
      </c>
      <c r="AF433" s="210" t="n">
        <v>0.002536</v>
      </c>
      <c r="AG433" s="214" t="n">
        <f aca="false">IF(AF433="","",AE433+AF433)</f>
        <v>0.009</v>
      </c>
      <c r="AH433" s="215" t="n">
        <v>43840</v>
      </c>
      <c r="AI433" s="216" t="n">
        <v>1</v>
      </c>
      <c r="AJ433" s="217" t="str">
        <f aca="false">IF(AG433="","N","Y")</f>
        <v>Y</v>
      </c>
      <c r="AK433" s="239" t="s">
        <v>557</v>
      </c>
      <c r="AL433" s="229"/>
    </row>
    <row r="434" s="38" customFormat="true" ht="23.25" hidden="false" customHeight="true" outlineLevel="0" collapsed="false">
      <c r="A434" s="19" t="n">
        <f aca="false">IF(B434="","",IF((YEAR(B434)-YEAR(B433))=0,A433+1,1))</f>
        <v>3</v>
      </c>
      <c r="B434" s="141" t="n">
        <v>43845</v>
      </c>
      <c r="C434" s="63" t="s">
        <v>103</v>
      </c>
      <c r="D434" s="19"/>
      <c r="E434" s="63" t="s">
        <v>330</v>
      </c>
      <c r="F434" s="19" t="s">
        <v>455</v>
      </c>
      <c r="G434" s="142" t="n">
        <v>43845</v>
      </c>
      <c r="H434" s="142" t="n">
        <v>43937</v>
      </c>
      <c r="I434" s="19" t="n">
        <f aca="false">H434-G434</f>
        <v>92</v>
      </c>
      <c r="J434" s="149" t="n">
        <f aca="false">TRUNC(I434/30,0)</f>
        <v>3</v>
      </c>
      <c r="K434" s="183" t="s">
        <v>95</v>
      </c>
      <c r="L434" s="146" t="n">
        <v>10</v>
      </c>
      <c r="M434" s="147" t="n">
        <v>1.43</v>
      </c>
      <c r="N434" s="148" t="s">
        <v>507</v>
      </c>
      <c r="O434" s="149" t="s">
        <v>300</v>
      </c>
      <c r="P434" s="149"/>
      <c r="Q434" s="150" t="n">
        <v>0.0184263</v>
      </c>
      <c r="R434" s="151" t="s">
        <v>300</v>
      </c>
      <c r="S434" s="152" t="n">
        <v>0.0195</v>
      </c>
      <c r="T434" s="151"/>
      <c r="U434" s="152"/>
      <c r="V434" s="152" t="n">
        <v>0.02181</v>
      </c>
      <c r="W434" s="152" t="n">
        <v>0.000436</v>
      </c>
      <c r="X434" s="152" t="n">
        <v>0.003873</v>
      </c>
      <c r="Y434" s="152" t="n">
        <v>0.013932</v>
      </c>
      <c r="Z434" s="152" t="n">
        <v>0.002</v>
      </c>
      <c r="AA434" s="152" t="n">
        <v>0.002</v>
      </c>
      <c r="AB434" s="154" t="n">
        <f aca="false">S434-Z434</f>
        <v>0.0175</v>
      </c>
      <c r="AC434" s="154" t="n">
        <f aca="false">U434-Z434-AA434</f>
        <v>-0.004</v>
      </c>
      <c r="AD434" s="155" t="n">
        <v>0.0175</v>
      </c>
      <c r="AE434" s="153" t="n">
        <f aca="false">IF(Y434="","",Y434)</f>
        <v>0.013932</v>
      </c>
      <c r="AF434" s="153" t="n">
        <f aca="false">AD434-AE434</f>
        <v>0.003568</v>
      </c>
      <c r="AG434" s="184" t="n">
        <f aca="false">IF(AF434="","",AE434+AF434)</f>
        <v>0.0175</v>
      </c>
      <c r="AH434" s="185" t="n">
        <v>43845</v>
      </c>
      <c r="AI434" s="35" t="n">
        <v>1</v>
      </c>
      <c r="AJ434" s="19" t="str">
        <f aca="false">IF(AG434="","N","Y")</f>
        <v>Y</v>
      </c>
      <c r="AK434" s="238" t="s">
        <v>558</v>
      </c>
      <c r="AL434" s="36"/>
    </row>
    <row r="435" s="38" customFormat="true" ht="23.25" hidden="false" customHeight="true" outlineLevel="0" collapsed="false">
      <c r="A435" s="19" t="n">
        <f aca="false">IF(B435="","",IF((YEAR(B435)-YEAR(B434))=0,A434+1,1))</f>
        <v>4</v>
      </c>
      <c r="B435" s="141" t="n">
        <v>43853</v>
      </c>
      <c r="C435" s="63" t="s">
        <v>124</v>
      </c>
      <c r="D435" s="19"/>
      <c r="E435" s="63" t="s">
        <v>484</v>
      </c>
      <c r="F435" s="63" t="s">
        <v>431</v>
      </c>
      <c r="G435" s="142" t="n">
        <v>43853</v>
      </c>
      <c r="H435" s="142" t="n">
        <v>43885</v>
      </c>
      <c r="I435" s="19" t="n">
        <f aca="false">H435-G435</f>
        <v>32</v>
      </c>
      <c r="J435" s="149" t="n">
        <f aca="false">TRUNC(I435/30,0)</f>
        <v>1</v>
      </c>
      <c r="K435" s="183" t="s">
        <v>95</v>
      </c>
      <c r="L435" s="146" t="n">
        <v>1.00738927</v>
      </c>
      <c r="M435" s="147" t="n">
        <v>1.21</v>
      </c>
      <c r="N435" s="148" t="s">
        <v>559</v>
      </c>
      <c r="O435" s="149" t="s">
        <v>303</v>
      </c>
      <c r="P435" s="149"/>
      <c r="Q435" s="150" t="n">
        <v>0.0165938</v>
      </c>
      <c r="R435" s="151" t="s">
        <v>303</v>
      </c>
      <c r="S435" s="152" t="n">
        <v>0.0164</v>
      </c>
      <c r="T435" s="151"/>
      <c r="U435" s="152"/>
      <c r="V435" s="152" t="n">
        <v>0.019128</v>
      </c>
      <c r="W435" s="152" t="n">
        <v>0.000383</v>
      </c>
      <c r="X435" s="152" t="n">
        <v>0.004746</v>
      </c>
      <c r="Y435" s="152" t="n">
        <v>0.010936</v>
      </c>
      <c r="Z435" s="152" t="n">
        <v>0.002</v>
      </c>
      <c r="AA435" s="152" t="n">
        <v>0.002</v>
      </c>
      <c r="AB435" s="154" t="n">
        <f aca="false">S435-Z435</f>
        <v>0.0144</v>
      </c>
      <c r="AC435" s="154" t="n">
        <f aca="false">U435-Z435-AA435</f>
        <v>-0.004</v>
      </c>
      <c r="AD435" s="155" t="n">
        <v>0.014</v>
      </c>
      <c r="AE435" s="153" t="n">
        <f aca="false">IF(Y435="","",Y435)</f>
        <v>0.010936</v>
      </c>
      <c r="AF435" s="153" t="n">
        <f aca="false">AD435-AE435</f>
        <v>0.003064</v>
      </c>
      <c r="AG435" s="184" t="n">
        <f aca="false">IF(AF435="","",AE435+AF435)</f>
        <v>0.014</v>
      </c>
      <c r="AH435" s="185" t="n">
        <v>43853</v>
      </c>
      <c r="AI435" s="35" t="n">
        <v>1</v>
      </c>
      <c r="AJ435" s="19" t="str">
        <f aca="false">IF(AG435="","N","Y")</f>
        <v>Y</v>
      </c>
      <c r="AK435" s="238" t="s">
        <v>560</v>
      </c>
      <c r="AL435" s="36"/>
    </row>
    <row r="436" customFormat="false" ht="20.25" hidden="false" customHeight="true" outlineLevel="0" collapsed="false">
      <c r="A436" s="19" t="n">
        <f aca="false">IF(B436="","",IF((YEAR(B436)-YEAR(B435))=0,A435+1,1))</f>
        <v>5</v>
      </c>
      <c r="B436" s="141" t="n">
        <v>43858</v>
      </c>
      <c r="C436" s="63" t="s">
        <v>440</v>
      </c>
      <c r="D436" s="19"/>
      <c r="E436" s="63" t="s">
        <v>452</v>
      </c>
      <c r="F436" s="63" t="s">
        <v>442</v>
      </c>
      <c r="G436" s="142" t="n">
        <v>43858</v>
      </c>
      <c r="H436" s="142" t="n">
        <v>43889</v>
      </c>
      <c r="I436" s="19" t="n">
        <f aca="false">H436-G436</f>
        <v>31</v>
      </c>
      <c r="J436" s="149" t="n">
        <f aca="false">TRUNC(I436/30,0)</f>
        <v>1</v>
      </c>
      <c r="K436" s="183" t="s">
        <v>95</v>
      </c>
      <c r="L436" s="146" t="n">
        <v>2</v>
      </c>
      <c r="M436" s="147" t="n">
        <v>1.2</v>
      </c>
      <c r="N436" s="148" t="s">
        <v>559</v>
      </c>
      <c r="O436" s="149" t="s">
        <v>303</v>
      </c>
      <c r="P436" s="149"/>
      <c r="Q436" s="150" t="n">
        <v>0.0164925</v>
      </c>
      <c r="R436" s="151" t="s">
        <v>303</v>
      </c>
      <c r="S436" s="152" t="n">
        <v>0.0164</v>
      </c>
      <c r="T436" s="151"/>
      <c r="U436" s="152"/>
      <c r="V436" s="152" t="n">
        <v>0.019125</v>
      </c>
      <c r="W436" s="152" t="n">
        <v>0.000382</v>
      </c>
      <c r="X436" s="152" t="n">
        <v>0.004742</v>
      </c>
      <c r="Y436" s="152" t="n">
        <v>0.010837</v>
      </c>
      <c r="Z436" s="152" t="n">
        <v>0.002</v>
      </c>
      <c r="AA436" s="152" t="n">
        <v>0.002</v>
      </c>
      <c r="AB436" s="154" t="n">
        <f aca="false">S436-Z436</f>
        <v>0.0144</v>
      </c>
      <c r="AC436" s="154" t="n">
        <f aca="false">U436-Z436-AA436</f>
        <v>-0.004</v>
      </c>
      <c r="AD436" s="155" t="n">
        <v>0.014</v>
      </c>
      <c r="AE436" s="153" t="n">
        <f aca="false">IF(Y436="","",Y436)</f>
        <v>0.010837</v>
      </c>
      <c r="AF436" s="153" t="n">
        <f aca="false">AD436-AE436</f>
        <v>0.003163</v>
      </c>
      <c r="AG436" s="184" t="n">
        <f aca="false">IF(AF436="","",AE436+AF436)</f>
        <v>0.014</v>
      </c>
      <c r="AH436" s="185" t="n">
        <v>43858</v>
      </c>
      <c r="AI436" s="35" t="n">
        <v>1</v>
      </c>
      <c r="AJ436" s="19" t="str">
        <f aca="false">IF(AG436="","N","Y")</f>
        <v>Y</v>
      </c>
      <c r="AK436" s="238" t="s">
        <v>560</v>
      </c>
    </row>
    <row r="437" customFormat="false" ht="20.25" hidden="false" customHeight="true" outlineLevel="0" collapsed="false">
      <c r="A437" s="19" t="n">
        <f aca="false">IF(B437="","",IF((YEAR(B437)-YEAR(B436))=0,A436+1,1))</f>
        <v>6</v>
      </c>
      <c r="B437" s="141" t="n">
        <v>43858</v>
      </c>
      <c r="C437" s="63" t="s">
        <v>440</v>
      </c>
      <c r="D437" s="19"/>
      <c r="E437" s="63" t="s">
        <v>452</v>
      </c>
      <c r="F437" s="63" t="s">
        <v>442</v>
      </c>
      <c r="G437" s="142" t="n">
        <v>43858</v>
      </c>
      <c r="H437" s="142" t="n">
        <v>43889</v>
      </c>
      <c r="I437" s="19" t="n">
        <f aca="false">H437-G437</f>
        <v>31</v>
      </c>
      <c r="J437" s="149" t="n">
        <f aca="false">TRUNC(I437/30,0)</f>
        <v>1</v>
      </c>
      <c r="K437" s="183" t="s">
        <v>95</v>
      </c>
      <c r="L437" s="146" t="n">
        <v>4</v>
      </c>
      <c r="M437" s="147" t="n">
        <v>1.2</v>
      </c>
      <c r="N437" s="148" t="s">
        <v>559</v>
      </c>
      <c r="O437" s="149" t="s">
        <v>303</v>
      </c>
      <c r="P437" s="149"/>
      <c r="Q437" s="150" t="n">
        <v>0.0164925</v>
      </c>
      <c r="R437" s="151" t="s">
        <v>303</v>
      </c>
      <c r="S437" s="152" t="n">
        <v>0.0164</v>
      </c>
      <c r="T437" s="151"/>
      <c r="U437" s="152"/>
      <c r="V437" s="152" t="n">
        <v>0.019125</v>
      </c>
      <c r="W437" s="152" t="n">
        <v>0.000382</v>
      </c>
      <c r="X437" s="152" t="n">
        <v>0.004742</v>
      </c>
      <c r="Y437" s="152" t="n">
        <v>0.010837</v>
      </c>
      <c r="Z437" s="152" t="n">
        <v>0.002</v>
      </c>
      <c r="AA437" s="152" t="n">
        <v>0.002</v>
      </c>
      <c r="AB437" s="154" t="n">
        <f aca="false">S437-Z437</f>
        <v>0.0144</v>
      </c>
      <c r="AC437" s="154" t="n">
        <f aca="false">U437-Z437-AA437</f>
        <v>-0.004</v>
      </c>
      <c r="AD437" s="155" t="n">
        <v>0.014</v>
      </c>
      <c r="AE437" s="153" t="n">
        <f aca="false">IF(Y437="","",Y437)</f>
        <v>0.010837</v>
      </c>
      <c r="AF437" s="153" t="n">
        <f aca="false">AD437-AE437</f>
        <v>0.003163</v>
      </c>
      <c r="AG437" s="184" t="n">
        <f aca="false">IF(AF437="","",AE437+AF437)</f>
        <v>0.014</v>
      </c>
      <c r="AH437" s="185" t="n">
        <v>43858</v>
      </c>
      <c r="AI437" s="35" t="n">
        <v>2</v>
      </c>
      <c r="AJ437" s="19" t="str">
        <f aca="false">IF(AG437="","N","Y")</f>
        <v>Y</v>
      </c>
      <c r="AK437" s="238" t="s">
        <v>560</v>
      </c>
    </row>
    <row r="438" s="310" customFormat="true" ht="24" hidden="false" customHeight="true" outlineLevel="0" collapsed="false">
      <c r="A438" s="293" t="n">
        <f aca="false">IF(B438="","",IF((YEAR(B438)-YEAR(B437))=0,A437+1,1))</f>
        <v>7</v>
      </c>
      <c r="B438" s="294" t="n">
        <v>43866</v>
      </c>
      <c r="C438" s="295" t="s">
        <v>96</v>
      </c>
      <c r="D438" s="296"/>
      <c r="E438" s="295" t="s">
        <v>373</v>
      </c>
      <c r="F438" s="295" t="s">
        <v>360</v>
      </c>
      <c r="G438" s="297" t="n">
        <v>43867</v>
      </c>
      <c r="H438" s="297" t="n">
        <v>43896</v>
      </c>
      <c r="I438" s="295" t="n">
        <f aca="false">H438-G438</f>
        <v>29</v>
      </c>
      <c r="J438" s="298" t="n">
        <f aca="false">TRUNC(I438/30,0)</f>
        <v>0</v>
      </c>
      <c r="K438" s="299" t="s">
        <v>95</v>
      </c>
      <c r="L438" s="300" t="n">
        <v>10</v>
      </c>
      <c r="M438" s="301" t="n">
        <v>1.22</v>
      </c>
      <c r="N438" s="302" t="s">
        <v>561</v>
      </c>
      <c r="O438" s="298" t="s">
        <v>303</v>
      </c>
      <c r="P438" s="298"/>
      <c r="Q438" s="303" t="n">
        <v>0.0166963</v>
      </c>
      <c r="R438" s="304" t="s">
        <v>303</v>
      </c>
      <c r="S438" s="305" t="n">
        <v>0.017</v>
      </c>
      <c r="T438" s="304" t="s">
        <v>303</v>
      </c>
      <c r="U438" s="305" t="n">
        <v>0.021488</v>
      </c>
      <c r="V438" s="305" t="n">
        <v>0.019051</v>
      </c>
      <c r="W438" s="305" t="n">
        <v>0.000381</v>
      </c>
      <c r="X438" s="305" t="n">
        <v>0.00267</v>
      </c>
      <c r="Y438" s="305" t="n">
        <v>0.011037</v>
      </c>
      <c r="Z438" s="305" t="n">
        <v>0.002</v>
      </c>
      <c r="AA438" s="305" t="n">
        <v>0.002</v>
      </c>
      <c r="AB438" s="305" t="n">
        <f aca="false">S438-Z438</f>
        <v>0.015</v>
      </c>
      <c r="AC438" s="305" t="n">
        <f aca="false">U438-Z438-AA438</f>
        <v>0.017488</v>
      </c>
      <c r="AD438" s="306" t="n">
        <v>0.016</v>
      </c>
      <c r="AE438" s="305" t="n">
        <f aca="false">IF(Y438="","",Y438)</f>
        <v>0.011037</v>
      </c>
      <c r="AF438" s="305" t="n">
        <f aca="false">AD438-AE438</f>
        <v>0.004963</v>
      </c>
      <c r="AG438" s="305" t="n">
        <f aca="false">IF(AF438="","",AE438+AF438)</f>
        <v>0.016</v>
      </c>
      <c r="AH438" s="286" t="n">
        <v>43867</v>
      </c>
      <c r="AI438" s="307" t="n">
        <v>4</v>
      </c>
      <c r="AJ438" s="296" t="str">
        <f aca="false">IF(AG438="","N","Y")</f>
        <v>Y</v>
      </c>
      <c r="AK438" s="308" t="s">
        <v>562</v>
      </c>
      <c r="AL438" s="309"/>
    </row>
    <row r="439" s="220" customFormat="true" ht="20.25" hidden="false" customHeight="true" outlineLevel="0" collapsed="false">
      <c r="A439" s="200" t="n">
        <f aca="false">IF(B439="","",IF((YEAR(B439)-YEAR(B438))=0,A438+1,1))</f>
        <v>8</v>
      </c>
      <c r="B439" s="199" t="n">
        <v>43871</v>
      </c>
      <c r="C439" s="200" t="s">
        <v>103</v>
      </c>
      <c r="D439" s="200"/>
      <c r="E439" s="200" t="s">
        <v>555</v>
      </c>
      <c r="F439" s="200" t="s">
        <v>389</v>
      </c>
      <c r="G439" s="201" t="n">
        <v>43871</v>
      </c>
      <c r="H439" s="201" t="n">
        <v>43900</v>
      </c>
      <c r="I439" s="200" t="n">
        <f aca="false">H439-G439</f>
        <v>29</v>
      </c>
      <c r="J439" s="228" t="n">
        <f aca="false">TRUNC(I439/30,0)</f>
        <v>0</v>
      </c>
      <c r="K439" s="203" t="s">
        <v>99</v>
      </c>
      <c r="L439" s="204" t="n">
        <v>1.78</v>
      </c>
      <c r="M439" s="205" t="n">
        <v>0.87</v>
      </c>
      <c r="N439" s="227" t="s">
        <v>563</v>
      </c>
      <c r="O439" s="228" t="s">
        <v>305</v>
      </c>
      <c r="P439" s="228"/>
      <c r="Q439" s="208" t="n">
        <v>0.0158013</v>
      </c>
      <c r="R439" s="207" t="s">
        <v>305</v>
      </c>
      <c r="S439" s="209" t="n">
        <v>0.0157</v>
      </c>
      <c r="T439" s="207"/>
      <c r="U439" s="209"/>
      <c r="V439" s="209" t="n">
        <v>0.019209</v>
      </c>
      <c r="W439" s="209" t="n">
        <v>0.001345</v>
      </c>
      <c r="X439" s="209" t="n">
        <v>0.008864</v>
      </c>
      <c r="Y439" s="209" t="n">
        <v>0.006632</v>
      </c>
      <c r="Z439" s="209" t="n">
        <v>0.0033</v>
      </c>
      <c r="AA439" s="209" t="n">
        <v>0.002</v>
      </c>
      <c r="AB439" s="211" t="n">
        <f aca="false">S439-Z439</f>
        <v>0.0124</v>
      </c>
      <c r="AC439" s="211" t="n">
        <f aca="false">U439-Z439-AA439</f>
        <v>-0.0053</v>
      </c>
      <c r="AD439" s="212" t="n">
        <v>0.009</v>
      </c>
      <c r="AE439" s="210" t="n">
        <f aca="false">IF(Y439="","",Y439)</f>
        <v>0.006632</v>
      </c>
      <c r="AF439" s="210" t="n">
        <f aca="false">AD439-AE439</f>
        <v>0.002368</v>
      </c>
      <c r="AG439" s="214" t="n">
        <f aca="false">IF(AF439="","",AE439+AF439)</f>
        <v>0.009</v>
      </c>
      <c r="AH439" s="215" t="n">
        <v>43871</v>
      </c>
      <c r="AI439" s="216" t="n">
        <v>1</v>
      </c>
      <c r="AJ439" s="217" t="str">
        <f aca="false">IF(AG439="","N","Y")</f>
        <v>Y</v>
      </c>
      <c r="AK439" s="239" t="s">
        <v>557</v>
      </c>
      <c r="AL439" s="229"/>
    </row>
    <row r="440" s="38" customFormat="true" ht="23.25" hidden="false" customHeight="true" outlineLevel="0" collapsed="false">
      <c r="A440" s="19" t="n">
        <f aca="false">IF(B440="","",IF((YEAR(B440)-YEAR(B439))=0,A439+1,1))</f>
        <v>9</v>
      </c>
      <c r="B440" s="141" t="n">
        <v>43875</v>
      </c>
      <c r="C440" s="63" t="s">
        <v>209</v>
      </c>
      <c r="D440" s="19"/>
      <c r="E440" s="63" t="s">
        <v>523</v>
      </c>
      <c r="F440" s="63" t="s">
        <v>524</v>
      </c>
      <c r="G440" s="142" t="n">
        <v>43875</v>
      </c>
      <c r="H440" s="142" t="n">
        <v>43965</v>
      </c>
      <c r="I440" s="19" t="n">
        <f aca="false">H440-G440</f>
        <v>90</v>
      </c>
      <c r="J440" s="149" t="n">
        <f aca="false">TRUNC(I440/30,0)</f>
        <v>3</v>
      </c>
      <c r="K440" s="183" t="s">
        <v>95</v>
      </c>
      <c r="L440" s="146" t="n">
        <v>1</v>
      </c>
      <c r="M440" s="147" t="n">
        <v>1.29</v>
      </c>
      <c r="N440" s="148" t="s">
        <v>564</v>
      </c>
      <c r="O440" s="149" t="n">
        <v>3</v>
      </c>
      <c r="P440" s="149"/>
      <c r="Q440" s="150" t="n">
        <v>0.0169163</v>
      </c>
      <c r="R440" s="151" t="n">
        <v>3</v>
      </c>
      <c r="S440" s="152" t="n">
        <v>0.018</v>
      </c>
      <c r="T440" s="151"/>
      <c r="U440" s="152"/>
      <c r="V440" s="152" t="n">
        <v>0.020527</v>
      </c>
      <c r="W440" s="152" t="n">
        <v>0.000411</v>
      </c>
      <c r="X440" s="152" t="n">
        <v>0.004616</v>
      </c>
      <c r="Y440" s="152" t="n">
        <v>0.012452</v>
      </c>
      <c r="Z440" s="152" t="n">
        <v>0.002</v>
      </c>
      <c r="AA440" s="152" t="n">
        <v>0.002</v>
      </c>
      <c r="AB440" s="154" t="n">
        <f aca="false">S440-Z440</f>
        <v>0.016</v>
      </c>
      <c r="AC440" s="154" t="n">
        <f aca="false">U440-Z440-AA440</f>
        <v>-0.004</v>
      </c>
      <c r="AD440" s="155" t="n">
        <v>0.0155</v>
      </c>
      <c r="AE440" s="153" t="n">
        <f aca="false">IF(Y440="","",Y440)</f>
        <v>0.012452</v>
      </c>
      <c r="AF440" s="153" t="n">
        <f aca="false">AD440-AE440</f>
        <v>0.003048</v>
      </c>
      <c r="AG440" s="184" t="n">
        <f aca="false">IF(AF440="","",AE440+AF440)</f>
        <v>0.0155</v>
      </c>
      <c r="AH440" s="185" t="n">
        <v>43875</v>
      </c>
      <c r="AI440" s="35" t="n">
        <v>1</v>
      </c>
      <c r="AJ440" s="19" t="str">
        <f aca="false">IF(AG440="","N","Y")</f>
        <v>Y</v>
      </c>
      <c r="AK440" s="238" t="s">
        <v>565</v>
      </c>
      <c r="AL440" s="36"/>
    </row>
    <row r="441" s="332" customFormat="true" ht="20.25" hidden="false" customHeight="true" outlineLevel="0" collapsed="false">
      <c r="A441" s="311" t="n">
        <f aca="false">IF(B441="","",IF((YEAR(B441)-YEAR(B440))=0,A440+1,1))</f>
        <v>10</v>
      </c>
      <c r="B441" s="312" t="n">
        <v>43885</v>
      </c>
      <c r="C441" s="313" t="s">
        <v>96</v>
      </c>
      <c r="D441" s="311"/>
      <c r="E441" s="313" t="s">
        <v>566</v>
      </c>
      <c r="F441" s="313" t="s">
        <v>567</v>
      </c>
      <c r="G441" s="314" t="n">
        <v>43885</v>
      </c>
      <c r="H441" s="314" t="n">
        <v>43915</v>
      </c>
      <c r="I441" s="313" t="n">
        <f aca="false">H441-G441</f>
        <v>30</v>
      </c>
      <c r="J441" s="315" t="n">
        <f aca="false">TRUNC(I441/30,0)</f>
        <v>1</v>
      </c>
      <c r="K441" s="316" t="s">
        <v>95</v>
      </c>
      <c r="L441" s="317" t="n">
        <v>27</v>
      </c>
      <c r="M441" s="318" t="n">
        <v>1.17926</v>
      </c>
      <c r="N441" s="319" t="s">
        <v>568</v>
      </c>
      <c r="O441" s="315" t="s">
        <v>255</v>
      </c>
      <c r="P441" s="315"/>
      <c r="Q441" s="320" t="n">
        <v>0.0162675</v>
      </c>
      <c r="R441" s="321" t="s">
        <v>255</v>
      </c>
      <c r="S441" s="322"/>
      <c r="T441" s="321"/>
      <c r="U441" s="322"/>
      <c r="V441" s="322"/>
      <c r="W441" s="322"/>
      <c r="X441" s="322"/>
      <c r="Y441" s="322" t="n">
        <v>0.010616</v>
      </c>
      <c r="Z441" s="322"/>
      <c r="AA441" s="322"/>
      <c r="AB441" s="323"/>
      <c r="AC441" s="323"/>
      <c r="AD441" s="324" t="n">
        <v>0.0143</v>
      </c>
      <c r="AE441" s="325" t="n">
        <f aca="false">IF(Y441="","",Y441)</f>
        <v>0.010616</v>
      </c>
      <c r="AF441" s="325" t="n">
        <f aca="false">AD441-AE441</f>
        <v>0.003684</v>
      </c>
      <c r="AG441" s="326"/>
      <c r="AH441" s="327"/>
      <c r="AI441" s="328"/>
      <c r="AJ441" s="329" t="str">
        <f aca="false">IF(AG441="","N","Y")</f>
        <v>N</v>
      </c>
      <c r="AK441" s="330" t="s">
        <v>569</v>
      </c>
      <c r="AL441" s="331"/>
    </row>
    <row r="442" customFormat="false" ht="20.25" hidden="false" customHeight="true" outlineLevel="0" collapsed="false">
      <c r="A442" s="19" t="n">
        <f aca="false">IF(B442="","",IF((YEAR(B442)-YEAR(B441))=0,A441+1,1))</f>
        <v>11</v>
      </c>
      <c r="B442" s="141" t="n">
        <v>43885</v>
      </c>
      <c r="C442" s="63" t="s">
        <v>124</v>
      </c>
      <c r="D442" s="19"/>
      <c r="E442" s="63" t="s">
        <v>484</v>
      </c>
      <c r="F442" s="63" t="s">
        <v>431</v>
      </c>
      <c r="G442" s="142" t="n">
        <v>43885</v>
      </c>
      <c r="H442" s="142" t="n">
        <v>43914</v>
      </c>
      <c r="I442" s="19" t="n">
        <f aca="false">H442-G442</f>
        <v>29</v>
      </c>
      <c r="J442" s="149" t="s">
        <v>255</v>
      </c>
      <c r="K442" s="183" t="s">
        <v>95</v>
      </c>
      <c r="L442" s="146" t="n">
        <v>1</v>
      </c>
      <c r="M442" s="147" t="n">
        <v>1.17926</v>
      </c>
      <c r="N442" s="148" t="s">
        <v>568</v>
      </c>
      <c r="O442" s="149" t="s">
        <v>255</v>
      </c>
      <c r="P442" s="149"/>
      <c r="Q442" s="150" t="n">
        <v>0.0162675</v>
      </c>
      <c r="R442" s="151" t="s">
        <v>255</v>
      </c>
      <c r="S442" s="152" t="n">
        <v>0.0163</v>
      </c>
      <c r="T442" s="151"/>
      <c r="U442" s="152"/>
      <c r="V442" s="152" t="n">
        <v>0.018698</v>
      </c>
      <c r="W442" s="152" t="n">
        <v>0.000374</v>
      </c>
      <c r="X442" s="152" t="n">
        <v>0.004324</v>
      </c>
      <c r="Y442" s="152" t="n">
        <v>0.010617</v>
      </c>
      <c r="Z442" s="152" t="n">
        <v>0.002</v>
      </c>
      <c r="AA442" s="152" t="n">
        <v>0.002</v>
      </c>
      <c r="AB442" s="154" t="n">
        <f aca="false">S442-Z442</f>
        <v>0.0143</v>
      </c>
      <c r="AC442" s="154" t="n">
        <f aca="false">U442-Z442-AA442</f>
        <v>-0.004</v>
      </c>
      <c r="AD442" s="155" t="n">
        <v>0.014</v>
      </c>
      <c r="AE442" s="153" t="n">
        <f aca="false">IF(Y442="","",Y442)</f>
        <v>0.010617</v>
      </c>
      <c r="AF442" s="153" t="n">
        <f aca="false">AD442-AE442</f>
        <v>0.003383</v>
      </c>
      <c r="AG442" s="184" t="n">
        <v>0.014</v>
      </c>
      <c r="AH442" s="185" t="n">
        <v>43885</v>
      </c>
      <c r="AI442" s="35" t="n">
        <v>1</v>
      </c>
      <c r="AJ442" s="19" t="str">
        <f aca="false">IF(AG442="","N","Y")</f>
        <v>Y</v>
      </c>
      <c r="AK442" s="238" t="s">
        <v>570</v>
      </c>
    </row>
    <row r="443" s="38" customFormat="true" ht="23.25" hidden="false" customHeight="true" outlineLevel="0" collapsed="false">
      <c r="A443" s="19" t="n">
        <f aca="false">IF(B443="","",IF((YEAR(B443)-YEAR(B442))=0,A442+1,1))</f>
        <v>12</v>
      </c>
      <c r="B443" s="141" t="n">
        <v>43889</v>
      </c>
      <c r="C443" s="63" t="s">
        <v>187</v>
      </c>
      <c r="D443" s="19"/>
      <c r="E443" s="63" t="s">
        <v>188</v>
      </c>
      <c r="F443" s="63" t="s">
        <v>544</v>
      </c>
      <c r="G443" s="142" t="n">
        <v>43889</v>
      </c>
      <c r="H443" s="142" t="n">
        <v>43979</v>
      </c>
      <c r="I443" s="19" t="n">
        <f aca="false">H443-G443</f>
        <v>90</v>
      </c>
      <c r="J443" s="149" t="n">
        <f aca="false">TRUNC(I443/30,0)</f>
        <v>3</v>
      </c>
      <c r="K443" s="183" t="s">
        <v>95</v>
      </c>
      <c r="L443" s="146" t="n">
        <v>1.01</v>
      </c>
      <c r="M443" s="147" t="n">
        <v>1.19</v>
      </c>
      <c r="N443" s="148" t="s">
        <v>571</v>
      </c>
      <c r="O443" s="149" t="s">
        <v>265</v>
      </c>
      <c r="P443" s="149"/>
      <c r="Q443" s="150" t="n">
        <v>0.0146275</v>
      </c>
      <c r="R443" s="151" t="s">
        <v>265</v>
      </c>
      <c r="S443" s="152" t="n">
        <v>0.0175</v>
      </c>
      <c r="T443" s="151"/>
      <c r="U443" s="152"/>
      <c r="V443" s="152" t="n">
        <v>0.019635</v>
      </c>
      <c r="W443" s="152" t="n">
        <v>0.000393</v>
      </c>
      <c r="X443" s="152" t="n">
        <v>0.004942</v>
      </c>
      <c r="Y443" s="152" t="n">
        <v>0.011362</v>
      </c>
      <c r="Z443" s="152" t="n">
        <v>0.002</v>
      </c>
      <c r="AA443" s="152" t="n">
        <v>0.002</v>
      </c>
      <c r="AB443" s="154" t="n">
        <f aca="false">S443-Z443</f>
        <v>0.0155</v>
      </c>
      <c r="AC443" s="154" t="n">
        <f aca="false">U443-Z443-AA443</f>
        <v>-0.004</v>
      </c>
      <c r="AD443" s="155" t="n">
        <v>0.0143</v>
      </c>
      <c r="AE443" s="153" t="n">
        <f aca="false">IF(Y443="","",Y443)</f>
        <v>0.011362</v>
      </c>
      <c r="AF443" s="153" t="n">
        <f aca="false">AD443-AE443</f>
        <v>0.002938</v>
      </c>
      <c r="AG443" s="184" t="n">
        <f aca="false">IF(AF443="","",AE443+AF443)</f>
        <v>0.0143</v>
      </c>
      <c r="AH443" s="185" t="n">
        <v>43889</v>
      </c>
      <c r="AI443" s="35" t="n">
        <v>3</v>
      </c>
      <c r="AJ443" s="19" t="str">
        <f aca="false">IF(AG443="","N","Y")</f>
        <v>Y</v>
      </c>
      <c r="AK443" s="238" t="s">
        <v>572</v>
      </c>
      <c r="AL443" s="36"/>
    </row>
    <row r="444" customFormat="false" ht="20.25" hidden="false" customHeight="true" outlineLevel="0" collapsed="false">
      <c r="A444" s="19" t="n">
        <f aca="false">IF(B444="","",IF((YEAR(B444)-YEAR(B443))=0,A443+1,1))</f>
        <v>13</v>
      </c>
      <c r="B444" s="141" t="n">
        <v>43889</v>
      </c>
      <c r="C444" s="63" t="s">
        <v>440</v>
      </c>
      <c r="D444" s="19"/>
      <c r="E444" s="63" t="s">
        <v>452</v>
      </c>
      <c r="F444" s="63" t="s">
        <v>442</v>
      </c>
      <c r="G444" s="142" t="n">
        <v>43889</v>
      </c>
      <c r="H444" s="142" t="n">
        <v>43979</v>
      </c>
      <c r="I444" s="19" t="n">
        <f aca="false">H444-G444</f>
        <v>90</v>
      </c>
      <c r="J444" s="149" t="n">
        <f aca="false">TRUNC(I444/30,0)</f>
        <v>3</v>
      </c>
      <c r="K444" s="183" t="s">
        <v>95</v>
      </c>
      <c r="L444" s="146" t="n">
        <v>2.01</v>
      </c>
      <c r="M444" s="147" t="n">
        <v>1.19</v>
      </c>
      <c r="N444" s="148" t="s">
        <v>571</v>
      </c>
      <c r="O444" s="149" t="s">
        <v>265</v>
      </c>
      <c r="P444" s="149"/>
      <c r="Q444" s="150" t="n">
        <v>0.0146275</v>
      </c>
      <c r="R444" s="151" t="s">
        <v>265</v>
      </c>
      <c r="S444" s="152" t="n">
        <v>0.0175</v>
      </c>
      <c r="T444" s="151"/>
      <c r="U444" s="152"/>
      <c r="V444" s="152" t="n">
        <v>0.019635</v>
      </c>
      <c r="W444" s="152" t="n">
        <v>0.000393</v>
      </c>
      <c r="X444" s="152" t="n">
        <v>0.004942</v>
      </c>
      <c r="Y444" s="152" t="n">
        <v>0.011362</v>
      </c>
      <c r="Z444" s="152" t="n">
        <v>0.002</v>
      </c>
      <c r="AA444" s="152" t="n">
        <v>0.002</v>
      </c>
      <c r="AB444" s="154" t="n">
        <f aca="false">S444-Z444</f>
        <v>0.0155</v>
      </c>
      <c r="AC444" s="154" t="n">
        <f aca="false">U444-Z444-AA444</f>
        <v>-0.004</v>
      </c>
      <c r="AD444" s="155" t="n">
        <v>0.0143</v>
      </c>
      <c r="AE444" s="153" t="n">
        <f aca="false">IF(Y444="","",Y444)</f>
        <v>0.011362</v>
      </c>
      <c r="AF444" s="153" t="n">
        <f aca="false">AD444-AE444</f>
        <v>0.002938</v>
      </c>
      <c r="AG444" s="184" t="n">
        <f aca="false">IF(AF444="","",AE444+AF444)</f>
        <v>0.0143</v>
      </c>
      <c r="AH444" s="185" t="n">
        <v>43889</v>
      </c>
      <c r="AI444" s="35" t="n">
        <v>2</v>
      </c>
      <c r="AJ444" s="19" t="str">
        <f aca="false">IF(AG444="","N","Y")</f>
        <v>Y</v>
      </c>
      <c r="AK444" s="238" t="s">
        <v>572</v>
      </c>
    </row>
    <row r="445" customFormat="false" ht="20.25" hidden="false" customHeight="true" outlineLevel="0" collapsed="false">
      <c r="A445" s="19" t="n">
        <f aca="false">IF(B445="","",IF((YEAR(B445)-YEAR(B444))=0,A444+1,1))</f>
        <v>14</v>
      </c>
      <c r="B445" s="141" t="n">
        <v>43889</v>
      </c>
      <c r="C445" s="63" t="s">
        <v>440</v>
      </c>
      <c r="D445" s="19"/>
      <c r="E445" s="63" t="s">
        <v>452</v>
      </c>
      <c r="F445" s="63" t="s">
        <v>442</v>
      </c>
      <c r="G445" s="142" t="n">
        <v>43889</v>
      </c>
      <c r="H445" s="142" t="n">
        <v>43979</v>
      </c>
      <c r="I445" s="19" t="n">
        <f aca="false">H445-G445</f>
        <v>90</v>
      </c>
      <c r="J445" s="149" t="n">
        <f aca="false">TRUNC(I445/30,0)</f>
        <v>3</v>
      </c>
      <c r="K445" s="183" t="s">
        <v>95</v>
      </c>
      <c r="L445" s="146" t="n">
        <v>4.03</v>
      </c>
      <c r="M445" s="147" t="n">
        <v>1.19</v>
      </c>
      <c r="N445" s="148" t="s">
        <v>571</v>
      </c>
      <c r="O445" s="149" t="s">
        <v>265</v>
      </c>
      <c r="P445" s="149"/>
      <c r="Q445" s="150" t="n">
        <v>0.0146275</v>
      </c>
      <c r="R445" s="151" t="s">
        <v>265</v>
      </c>
      <c r="S445" s="152" t="n">
        <v>0.0175</v>
      </c>
      <c r="T445" s="151"/>
      <c r="U445" s="152"/>
      <c r="V445" s="152" t="n">
        <v>0.019635</v>
      </c>
      <c r="W445" s="152" t="n">
        <v>0.000393</v>
      </c>
      <c r="X445" s="152" t="n">
        <v>0.004942</v>
      </c>
      <c r="Y445" s="152" t="n">
        <v>0.011362</v>
      </c>
      <c r="Z445" s="152" t="n">
        <v>0.002</v>
      </c>
      <c r="AA445" s="152" t="n">
        <v>0.002</v>
      </c>
      <c r="AB445" s="154" t="n">
        <f aca="false">S445-Z445</f>
        <v>0.0155</v>
      </c>
      <c r="AC445" s="154" t="n">
        <f aca="false">U445-Z445-AA445</f>
        <v>-0.004</v>
      </c>
      <c r="AD445" s="155" t="n">
        <v>0.0143</v>
      </c>
      <c r="AE445" s="153" t="n">
        <f aca="false">IF(Y445="","",Y445)</f>
        <v>0.011362</v>
      </c>
      <c r="AF445" s="153" t="n">
        <f aca="false">AD445-AE445</f>
        <v>0.002938</v>
      </c>
      <c r="AG445" s="184" t="n">
        <f aca="false">IF(AF445="","",AE445+AF445)</f>
        <v>0.0143</v>
      </c>
      <c r="AH445" s="185" t="n">
        <v>43889</v>
      </c>
      <c r="AI445" s="35" t="n">
        <v>1</v>
      </c>
      <c r="AJ445" s="19" t="str">
        <f aca="false">IF(AG445="","N","Y")</f>
        <v>Y</v>
      </c>
      <c r="AK445" s="238" t="s">
        <v>572</v>
      </c>
    </row>
    <row r="446" s="220" customFormat="true" ht="20.25" hidden="false" customHeight="true" outlineLevel="0" collapsed="false">
      <c r="A446" s="200" t="n">
        <f aca="false">IF(B446="","",IF((YEAR(B446)-YEAR(B445))=0,A445+1,1))</f>
        <v>15</v>
      </c>
      <c r="B446" s="199" t="n">
        <v>43900</v>
      </c>
      <c r="C446" s="200" t="s">
        <v>103</v>
      </c>
      <c r="D446" s="200"/>
      <c r="E446" s="200" t="s">
        <v>555</v>
      </c>
      <c r="F446" s="200" t="s">
        <v>389</v>
      </c>
      <c r="G446" s="201" t="n">
        <v>43900</v>
      </c>
      <c r="H446" s="201" t="n">
        <v>43931</v>
      </c>
      <c r="I446" s="200" t="n">
        <f aca="false">H446-G446</f>
        <v>31</v>
      </c>
      <c r="J446" s="228" t="n">
        <f aca="false">TRUNC(I446/30,0)</f>
        <v>1</v>
      </c>
      <c r="K446" s="203" t="s">
        <v>99</v>
      </c>
      <c r="L446" s="204" t="n">
        <v>3.59</v>
      </c>
      <c r="M446" s="205" t="n">
        <v>0.46</v>
      </c>
      <c r="N446" s="227" t="s">
        <v>573</v>
      </c>
      <c r="O446" s="228" t="s">
        <v>305</v>
      </c>
      <c r="P446" s="228"/>
      <c r="Q446" s="208" t="n">
        <v>0.0106838</v>
      </c>
      <c r="R446" s="207" t="s">
        <v>305</v>
      </c>
      <c r="S446" s="209" t="n">
        <v>0.011</v>
      </c>
      <c r="T446" s="207"/>
      <c r="U446" s="209"/>
      <c r="V446" s="209" t="n">
        <v>0.011126</v>
      </c>
      <c r="W446" s="209" t="n">
        <v>0.000779</v>
      </c>
      <c r="X446" s="209" t="n">
        <v>0.006347</v>
      </c>
      <c r="Y446" s="209" t="n">
        <v>0.001873</v>
      </c>
      <c r="Z446" s="209" t="n">
        <v>0.0033</v>
      </c>
      <c r="AA446" s="209" t="n">
        <v>0.002</v>
      </c>
      <c r="AB446" s="211" t="n">
        <f aca="false">S446-Z446</f>
        <v>0.0077</v>
      </c>
      <c r="AC446" s="211" t="n">
        <f aca="false">U446-Z446-AA446</f>
        <v>-0.0053</v>
      </c>
      <c r="AD446" s="212" t="n">
        <v>0.004</v>
      </c>
      <c r="AE446" s="210" t="n">
        <f aca="false">IF(Y446="","",Y446)</f>
        <v>0.001873</v>
      </c>
      <c r="AF446" s="210" t="n">
        <f aca="false">AD446-AE446</f>
        <v>0.002127</v>
      </c>
      <c r="AG446" s="214" t="n">
        <f aca="false">IF(AF446="","",AE446+AF446)</f>
        <v>0.004</v>
      </c>
      <c r="AH446" s="215" t="n">
        <v>43900</v>
      </c>
      <c r="AI446" s="216" t="n">
        <v>2</v>
      </c>
      <c r="AJ446" s="217" t="str">
        <f aca="false">IF(AG446="","N","Y")</f>
        <v>Y</v>
      </c>
      <c r="AK446" s="239" t="s">
        <v>574</v>
      </c>
      <c r="AL446" s="229"/>
    </row>
    <row r="447" s="38" customFormat="true" ht="21" hidden="false" customHeight="true" outlineLevel="0" collapsed="false">
      <c r="A447" s="19" t="n">
        <f aca="false">IF(B447="","",IF((YEAR(B447)-YEAR(B446))=0,A446+1,1))</f>
        <v>16</v>
      </c>
      <c r="B447" s="141" t="n">
        <v>43909</v>
      </c>
      <c r="C447" s="63" t="s">
        <v>103</v>
      </c>
      <c r="D447" s="19"/>
      <c r="E447" s="63" t="s">
        <v>330</v>
      </c>
      <c r="F447" s="63" t="s">
        <v>575</v>
      </c>
      <c r="G447" s="142" t="n">
        <v>43909</v>
      </c>
      <c r="H447" s="142" t="n">
        <v>43941</v>
      </c>
      <c r="I447" s="19" t="n">
        <f aca="false">H447-G447</f>
        <v>32</v>
      </c>
      <c r="J447" s="149" t="n">
        <f aca="false">TRUNC(I447/30,0)</f>
        <v>1</v>
      </c>
      <c r="K447" s="183" t="s">
        <v>95</v>
      </c>
      <c r="L447" s="146" t="n">
        <v>25</v>
      </c>
      <c r="M447" s="147" t="n">
        <v>0.54</v>
      </c>
      <c r="N447" s="148" t="s">
        <v>576</v>
      </c>
      <c r="O447" s="149" t="s">
        <v>303</v>
      </c>
      <c r="P447" s="149"/>
      <c r="Q447" s="150" t="n">
        <v>0.0077288</v>
      </c>
      <c r="R447" s="151" t="s">
        <v>303</v>
      </c>
      <c r="S447" s="152" t="n">
        <v>0.009</v>
      </c>
      <c r="T447" s="151"/>
      <c r="U447" s="152"/>
      <c r="V447" s="152" t="n">
        <v>0.010039</v>
      </c>
      <c r="W447" s="152" t="n">
        <v>0.000201</v>
      </c>
      <c r="X447" s="152" t="n">
        <v>0.003338</v>
      </c>
      <c r="Y447" s="152" t="n">
        <v>0.002249</v>
      </c>
      <c r="Z447" s="152" t="n">
        <v>0.002</v>
      </c>
      <c r="AA447" s="152" t="n">
        <v>0.002</v>
      </c>
      <c r="AB447" s="154" t="n">
        <f aca="false">S447-Z447</f>
        <v>0.007</v>
      </c>
      <c r="AC447" s="154" t="n">
        <f aca="false">U447-Z447-AA447</f>
        <v>-0.004</v>
      </c>
      <c r="AD447" s="155" t="n">
        <v>0.0065</v>
      </c>
      <c r="AE447" s="153" t="n">
        <f aca="false">IF(Y447="","",Y447)</f>
        <v>0.002249</v>
      </c>
      <c r="AF447" s="153" t="n">
        <f aca="false">AD447-AE447</f>
        <v>0.004251</v>
      </c>
      <c r="AG447" s="184" t="n">
        <f aca="false">IF(AF447="","",AE447+AF447)</f>
        <v>0.0065</v>
      </c>
      <c r="AH447" s="185" t="n">
        <v>43909</v>
      </c>
      <c r="AI447" s="35" t="n">
        <v>1</v>
      </c>
      <c r="AJ447" s="19" t="str">
        <f aca="false">IF(AG447="","N","Y")</f>
        <v>Y</v>
      </c>
      <c r="AK447" s="238" t="s">
        <v>577</v>
      </c>
      <c r="AL447" s="36"/>
    </row>
    <row r="448" customFormat="false" ht="20.25" hidden="false" customHeight="true" outlineLevel="0" collapsed="false">
      <c r="A448" s="19" t="n">
        <f aca="false">IF(B448="","",IF((YEAR(B448)-YEAR(B447))=0,A447+1,1))</f>
        <v>17</v>
      </c>
      <c r="B448" s="141" t="n">
        <v>43914</v>
      </c>
      <c r="C448" s="63" t="s">
        <v>124</v>
      </c>
      <c r="D448" s="19"/>
      <c r="E448" s="63" t="s">
        <v>484</v>
      </c>
      <c r="F448" s="63" t="s">
        <v>431</v>
      </c>
      <c r="G448" s="142" t="n">
        <v>43914</v>
      </c>
      <c r="H448" s="142" t="n">
        <v>43945</v>
      </c>
      <c r="I448" s="19" t="n">
        <f aca="false">H448-G448</f>
        <v>31</v>
      </c>
      <c r="J448" s="149" t="n">
        <f aca="false">TRUNC(I448/30,0)</f>
        <v>1</v>
      </c>
      <c r="K448" s="183" t="s">
        <v>95</v>
      </c>
      <c r="L448" s="146" t="n">
        <v>1</v>
      </c>
      <c r="M448" s="147" t="n">
        <v>0.94</v>
      </c>
      <c r="N448" s="148" t="s">
        <v>578</v>
      </c>
      <c r="O448" s="149" t="s">
        <v>255</v>
      </c>
      <c r="P448" s="149"/>
      <c r="Q448" s="150" t="n">
        <v>0.0094663</v>
      </c>
      <c r="R448" s="151" t="s">
        <v>255</v>
      </c>
      <c r="S448" s="152" t="n">
        <v>0.011</v>
      </c>
      <c r="T448" s="151"/>
      <c r="U448" s="152"/>
      <c r="V448" s="152" t="n">
        <v>0.011828</v>
      </c>
      <c r="W448" s="152" t="n">
        <v>0.000237</v>
      </c>
      <c r="X448" s="152" t="n">
        <v>0.003591</v>
      </c>
      <c r="Y448" s="152" t="n">
        <v>0.003951</v>
      </c>
      <c r="Z448" s="152" t="n">
        <v>0.002</v>
      </c>
      <c r="AA448" s="152" t="n">
        <v>0.002</v>
      </c>
      <c r="AB448" s="154" t="n">
        <f aca="false">S448-Z448</f>
        <v>0.009</v>
      </c>
      <c r="AC448" s="154" t="n">
        <f aca="false">U448-Z448-AA448</f>
        <v>-0.004</v>
      </c>
      <c r="AD448" s="155" t="n">
        <v>0.008</v>
      </c>
      <c r="AE448" s="153" t="n">
        <f aca="false">IF(Y448="","",Y448)</f>
        <v>0.003951</v>
      </c>
      <c r="AF448" s="153" t="n">
        <f aca="false">AD448-AE448</f>
        <v>0.004049</v>
      </c>
      <c r="AG448" s="184" t="n">
        <f aca="false">IF(AF448="","",AE448+AF448)</f>
        <v>0.008</v>
      </c>
      <c r="AH448" s="185" t="n">
        <v>43914</v>
      </c>
      <c r="AI448" s="35" t="n">
        <v>1</v>
      </c>
      <c r="AJ448" s="19" t="str">
        <f aca="false">IF(AG448="","N","Y")</f>
        <v>Y</v>
      </c>
      <c r="AK448" s="238" t="s">
        <v>579</v>
      </c>
    </row>
    <row r="449" customFormat="false" ht="20.25" hidden="false" customHeight="true" outlineLevel="0" collapsed="false">
      <c r="A449" s="19" t="n">
        <f aca="false">IF(B449="","",IF((YEAR(B449)-YEAR(B448))=0,A448+1,1))</f>
        <v>18</v>
      </c>
      <c r="B449" s="141" t="n">
        <v>43929</v>
      </c>
      <c r="C449" s="63" t="s">
        <v>209</v>
      </c>
      <c r="D449" s="19"/>
      <c r="E449" s="63" t="s">
        <v>580</v>
      </c>
      <c r="F449" s="63" t="s">
        <v>581</v>
      </c>
      <c r="G449" s="142" t="n">
        <v>43929</v>
      </c>
      <c r="H449" s="142" t="n">
        <v>44020</v>
      </c>
      <c r="I449" s="19" t="n">
        <f aca="false">H449-G449</f>
        <v>91</v>
      </c>
      <c r="J449" s="149" t="n">
        <f aca="false">TRUNC(I449/30,0)</f>
        <v>3</v>
      </c>
      <c r="K449" s="183" t="s">
        <v>95</v>
      </c>
      <c r="L449" s="146" t="n">
        <v>2</v>
      </c>
      <c r="M449" s="147" t="n">
        <v>1.19</v>
      </c>
      <c r="N449" s="148" t="s">
        <v>582</v>
      </c>
      <c r="O449" s="149" t="s">
        <v>265</v>
      </c>
      <c r="P449" s="149"/>
      <c r="Q449" s="150" t="n">
        <v>0.0131988</v>
      </c>
      <c r="R449" s="151" t="s">
        <v>265</v>
      </c>
      <c r="S449" s="152" t="n">
        <v>0.012</v>
      </c>
      <c r="T449" s="151"/>
      <c r="U449" s="152"/>
      <c r="V449" s="152" t="n">
        <v>0.018004</v>
      </c>
      <c r="W449" s="152" t="n">
        <v>0.00036</v>
      </c>
      <c r="X449" s="152" t="n">
        <v>0.008644</v>
      </c>
      <c r="Y449" s="152" t="n">
        <v>0.008809</v>
      </c>
      <c r="Z449" s="152" t="n">
        <v>0.002</v>
      </c>
      <c r="AA449" s="152" t="n">
        <v>0.002</v>
      </c>
      <c r="AB449" s="154" t="n">
        <f aca="false">S449-Z449</f>
        <v>0.01</v>
      </c>
      <c r="AC449" s="154" t="n">
        <f aca="false">U449-Z449-AA449</f>
        <v>-0.004</v>
      </c>
      <c r="AD449" s="155" t="n">
        <v>0.009</v>
      </c>
      <c r="AE449" s="153" t="n">
        <f aca="false">IF(Y449="","",Y449)</f>
        <v>0.008809</v>
      </c>
      <c r="AF449" s="153" t="n">
        <f aca="false">AD449-AE449</f>
        <v>0.000190999999999998</v>
      </c>
      <c r="AG449" s="184" t="n">
        <f aca="false">IF(AF449="","",AE449+AF449)</f>
        <v>0.009</v>
      </c>
      <c r="AH449" s="185" t="n">
        <v>43929</v>
      </c>
      <c r="AI449" s="35" t="n">
        <v>4</v>
      </c>
      <c r="AJ449" s="19" t="str">
        <f aca="false">IF(AG449="","N","Y")</f>
        <v>Y</v>
      </c>
      <c r="AK449" s="238" t="s">
        <v>583</v>
      </c>
    </row>
    <row r="450" s="38" customFormat="true" ht="23.25" hidden="false" customHeight="true" outlineLevel="0" collapsed="false">
      <c r="A450" s="19" t="n">
        <f aca="false">IF(B450="","",IF((YEAR(B450)-YEAR(B449))=0,A449+1,1))</f>
        <v>19</v>
      </c>
      <c r="B450" s="141" t="n">
        <v>43937</v>
      </c>
      <c r="C450" s="63" t="s">
        <v>103</v>
      </c>
      <c r="D450" s="19"/>
      <c r="E450" s="63" t="s">
        <v>330</v>
      </c>
      <c r="F450" s="19" t="s">
        <v>455</v>
      </c>
      <c r="G450" s="142" t="n">
        <v>43937</v>
      </c>
      <c r="H450" s="142" t="n">
        <v>44028</v>
      </c>
      <c r="I450" s="19" t="n">
        <f aca="false">H450-G450</f>
        <v>91</v>
      </c>
      <c r="J450" s="149" t="n">
        <f aca="false">TRUNC(I450/30,0)</f>
        <v>3</v>
      </c>
      <c r="K450" s="183" t="s">
        <v>95</v>
      </c>
      <c r="L450" s="146" t="n">
        <v>10</v>
      </c>
      <c r="M450" s="147" t="n">
        <v>0.92</v>
      </c>
      <c r="N450" s="148" t="s">
        <v>584</v>
      </c>
      <c r="O450" s="149" t="s">
        <v>300</v>
      </c>
      <c r="P450" s="149"/>
      <c r="Q450" s="150" t="n">
        <v>0.0113488</v>
      </c>
      <c r="R450" s="151" t="s">
        <v>300</v>
      </c>
      <c r="S450" s="152" t="n">
        <v>0.0121</v>
      </c>
      <c r="T450" s="151"/>
      <c r="U450" s="152"/>
      <c r="V450" s="152" t="n">
        <v>0.016676</v>
      </c>
      <c r="W450" s="152" t="n">
        <v>0.000334</v>
      </c>
      <c r="X450" s="152" t="n">
        <v>0.006343</v>
      </c>
      <c r="Y450" s="152" t="n">
        <v>0.006996</v>
      </c>
      <c r="Z450" s="152" t="n">
        <v>0.002</v>
      </c>
      <c r="AA450" s="152" t="n">
        <v>0.002</v>
      </c>
      <c r="AB450" s="154" t="n">
        <f aca="false">S450-Z450</f>
        <v>0.0101</v>
      </c>
      <c r="AC450" s="154" t="n">
        <f aca="false">U450-Z450-AA450</f>
        <v>-0.004</v>
      </c>
      <c r="AD450" s="155" t="n">
        <v>0.01</v>
      </c>
      <c r="AE450" s="153" t="n">
        <f aca="false">IF(Y450="","",Y450)</f>
        <v>0.006996</v>
      </c>
      <c r="AF450" s="153" t="n">
        <f aca="false">AD450-AE450</f>
        <v>0.003004</v>
      </c>
      <c r="AG450" s="184" t="n">
        <f aca="false">IF(AF450="","",AE450+AF450)</f>
        <v>0.01</v>
      </c>
      <c r="AH450" s="185" t="n">
        <v>43937</v>
      </c>
      <c r="AI450" s="35" t="n">
        <v>1</v>
      </c>
      <c r="AJ450" s="19" t="str">
        <f aca="false">IF(AG450="","N","Y")</f>
        <v>Y</v>
      </c>
      <c r="AK450" s="238" t="s">
        <v>585</v>
      </c>
      <c r="AL450" s="36"/>
    </row>
    <row r="451" customFormat="false" ht="20.25" hidden="false" customHeight="true" outlineLevel="0" collapsed="false">
      <c r="A451" s="19" t="n">
        <f aca="false">IF(B451="","",IF((YEAR(B451)-YEAR(B450))=0,A450+1,1))</f>
        <v>20</v>
      </c>
      <c r="B451" s="141" t="n">
        <v>43945</v>
      </c>
      <c r="C451" s="63" t="s">
        <v>124</v>
      </c>
      <c r="D451" s="19"/>
      <c r="E451" s="63" t="s">
        <v>484</v>
      </c>
      <c r="F451" s="249" t="s">
        <v>431</v>
      </c>
      <c r="G451" s="142" t="n">
        <v>43945</v>
      </c>
      <c r="H451" s="142" t="n">
        <v>43977</v>
      </c>
      <c r="I451" s="19" t="n">
        <f aca="false">H451-G451</f>
        <v>32</v>
      </c>
      <c r="J451" s="149" t="n">
        <f aca="false">TRUNC(I451/30,0)</f>
        <v>1</v>
      </c>
      <c r="K451" s="183" t="s">
        <v>95</v>
      </c>
      <c r="L451" s="146" t="n">
        <v>1</v>
      </c>
      <c r="M451" s="147" t="n">
        <v>0.3</v>
      </c>
      <c r="N451" s="148" t="s">
        <v>586</v>
      </c>
      <c r="O451" s="149" t="s">
        <v>255</v>
      </c>
      <c r="P451" s="149"/>
      <c r="Q451" s="150" t="n">
        <v>0.0048725</v>
      </c>
      <c r="R451" s="151" t="s">
        <v>255</v>
      </c>
      <c r="S451" s="152" t="n">
        <v>0.0065</v>
      </c>
      <c r="T451" s="151"/>
      <c r="U451" s="152"/>
      <c r="V451" s="152" t="n">
        <v>0.008116</v>
      </c>
      <c r="W451" s="152" t="n">
        <v>0.000162</v>
      </c>
      <c r="X451" s="152" t="n">
        <v>0.003954</v>
      </c>
      <c r="Y451" s="152" t="n">
        <v>0</v>
      </c>
      <c r="Z451" s="152" t="n">
        <v>0.002</v>
      </c>
      <c r="AA451" s="152" t="n">
        <v>0.002</v>
      </c>
      <c r="AB451" s="154" t="n">
        <f aca="false">S451-Z451</f>
        <v>0.0045</v>
      </c>
      <c r="AC451" s="154" t="n">
        <f aca="false">U451-Z451-AA451</f>
        <v>-0.004</v>
      </c>
      <c r="AD451" s="155" t="n">
        <v>0.004</v>
      </c>
      <c r="AE451" s="153" t="n">
        <f aca="false">IF(Y451="","",Y451)</f>
        <v>0</v>
      </c>
      <c r="AF451" s="153" t="n">
        <f aca="false">AD451-AE451</f>
        <v>0.004</v>
      </c>
      <c r="AG451" s="184" t="n">
        <f aca="false">IF(AF451="","",AE451+AF451)</f>
        <v>0.004</v>
      </c>
      <c r="AH451" s="185" t="n">
        <v>43945</v>
      </c>
      <c r="AI451" s="35" t="n">
        <v>1</v>
      </c>
      <c r="AJ451" s="19" t="str">
        <f aca="false">IF(AG451="","N","Y")</f>
        <v>Y</v>
      </c>
      <c r="AK451" s="238" t="s">
        <v>587</v>
      </c>
    </row>
    <row r="452" s="268" customFormat="true" ht="23.25" hidden="false" customHeight="true" outlineLevel="0" collapsed="false">
      <c r="A452" s="249" t="n">
        <f aca="false">IF(B452="","",IF((YEAR(B452)-YEAR(B451))=0,A451+1,1))</f>
        <v>21</v>
      </c>
      <c r="B452" s="248" t="n">
        <v>43948</v>
      </c>
      <c r="C452" s="249" t="s">
        <v>392</v>
      </c>
      <c r="D452" s="249" t="s">
        <v>278</v>
      </c>
      <c r="E452" s="249" t="s">
        <v>393</v>
      </c>
      <c r="F452" s="249" t="s">
        <v>394</v>
      </c>
      <c r="G452" s="250" t="n">
        <v>43948</v>
      </c>
      <c r="H452" s="250" t="n">
        <v>44313</v>
      </c>
      <c r="I452" s="249" t="n">
        <f aca="false">H452-G452</f>
        <v>365</v>
      </c>
      <c r="J452" s="251" t="n">
        <f aca="false">TRUNC(I452/30,0)</f>
        <v>12</v>
      </c>
      <c r="K452" s="252" t="s">
        <v>95</v>
      </c>
      <c r="L452" s="253" t="n">
        <v>3</v>
      </c>
      <c r="M452" s="254" t="n">
        <v>0.85</v>
      </c>
      <c r="N452" s="255" t="s">
        <v>588</v>
      </c>
      <c r="O452" s="251" t="s">
        <v>396</v>
      </c>
      <c r="P452" s="251"/>
      <c r="Q452" s="256" t="n">
        <v>0.009395</v>
      </c>
      <c r="R452" s="257" t="s">
        <v>396</v>
      </c>
      <c r="S452" s="258" t="n">
        <v>0.017</v>
      </c>
      <c r="T452" s="257"/>
      <c r="U452" s="258"/>
      <c r="V452" s="258" t="n">
        <v>0.018603</v>
      </c>
      <c r="W452" s="258" t="n">
        <v>0.000372</v>
      </c>
      <c r="X452" s="258" t="n">
        <v>0.00623</v>
      </c>
      <c r="Y452" s="258" t="n">
        <v>0.005413</v>
      </c>
      <c r="Z452" s="258" t="n">
        <v>0.002</v>
      </c>
      <c r="AA452" s="258" t="n">
        <v>0.002</v>
      </c>
      <c r="AB452" s="259" t="n">
        <f aca="false">S452-Z452</f>
        <v>0.015</v>
      </c>
      <c r="AC452" s="259" t="n">
        <f aca="false">U452-Z452-AA452</f>
        <v>-0.004</v>
      </c>
      <c r="AD452" s="155" t="n">
        <v>0.012</v>
      </c>
      <c r="AE452" s="153" t="n">
        <f aca="false">IF(Y452="","",Y452)</f>
        <v>0.005413</v>
      </c>
      <c r="AF452" s="153" t="n">
        <f aca="false">AD452-AE452</f>
        <v>0.006587</v>
      </c>
      <c r="AG452" s="184" t="n">
        <f aca="false">IF(AF452="","",AE452+AF452)</f>
        <v>0.012</v>
      </c>
      <c r="AH452" s="263" t="n">
        <v>43948</v>
      </c>
      <c r="AI452" s="264" t="n">
        <v>4</v>
      </c>
      <c r="AJ452" s="265" t="str">
        <f aca="false">IF(AG452="","N","Y")</f>
        <v>Y</v>
      </c>
      <c r="AK452" s="266" t="s">
        <v>589</v>
      </c>
      <c r="AL452" s="267"/>
    </row>
    <row r="453" customFormat="false" ht="20.25" hidden="false" customHeight="true" outlineLevel="0" collapsed="false">
      <c r="A453" s="19" t="n">
        <f aca="false">IF(B453="","",IF((YEAR(B453)-YEAR(B452))=0,A452+1,1))</f>
        <v>22</v>
      </c>
      <c r="B453" s="141" t="n">
        <v>43977</v>
      </c>
      <c r="C453" s="63" t="s">
        <v>124</v>
      </c>
      <c r="D453" s="19"/>
      <c r="E453" s="63" t="s">
        <v>484</v>
      </c>
      <c r="F453" s="63" t="s">
        <v>431</v>
      </c>
      <c r="G453" s="142" t="n">
        <v>43977</v>
      </c>
      <c r="H453" s="142" t="n">
        <v>44069</v>
      </c>
      <c r="I453" s="19" t="n">
        <f aca="false">H453-G453</f>
        <v>92</v>
      </c>
      <c r="J453" s="149" t="n">
        <f aca="false">TRUNC(I453/30,0)</f>
        <v>3</v>
      </c>
      <c r="K453" s="183" t="s">
        <v>95</v>
      </c>
      <c r="L453" s="146" t="n">
        <v>1</v>
      </c>
      <c r="M453" s="147" t="n">
        <v>0.15</v>
      </c>
      <c r="N453" s="148" t="s">
        <v>590</v>
      </c>
      <c r="O453" s="149" t="s">
        <v>265</v>
      </c>
      <c r="P453" s="149"/>
      <c r="Q453" s="150" t="n">
        <v>0.0036925</v>
      </c>
      <c r="R453" s="151" t="s">
        <v>265</v>
      </c>
      <c r="S453" s="152" t="n">
        <v>0.003</v>
      </c>
      <c r="T453" s="151"/>
      <c r="U453" s="152"/>
      <c r="V453" s="152" t="n">
        <v>0.008213</v>
      </c>
      <c r="W453" s="152" t="n">
        <v>0.000164</v>
      </c>
      <c r="X453" s="152" t="n">
        <v>0.007049</v>
      </c>
      <c r="Y453" s="152" t="n">
        <v>0</v>
      </c>
      <c r="Z453" s="152" t="n">
        <v>0.002</v>
      </c>
      <c r="AA453" s="152" t="n">
        <v>0.002</v>
      </c>
      <c r="AB453" s="154" t="n">
        <f aca="false">S453-Z453</f>
        <v>0.001</v>
      </c>
      <c r="AC453" s="154" t="n">
        <f aca="false">U453-Z453-AA453</f>
        <v>-0.004</v>
      </c>
      <c r="AD453" s="155" t="n">
        <v>0.001</v>
      </c>
      <c r="AE453" s="153" t="n">
        <f aca="false">IF(Y453="","",Y453)</f>
        <v>0</v>
      </c>
      <c r="AF453" s="153" t="n">
        <f aca="false">AD453-AE453</f>
        <v>0.001</v>
      </c>
      <c r="AG453" s="184" t="n">
        <f aca="false">IF(AF453="","",AE453+AF453)</f>
        <v>0.001</v>
      </c>
      <c r="AH453" s="185" t="n">
        <v>43977</v>
      </c>
      <c r="AI453" s="35" t="n">
        <v>1</v>
      </c>
      <c r="AJ453" s="19" t="str">
        <f aca="false">IF(AG453="","N","Y")</f>
        <v>Y</v>
      </c>
      <c r="AK453" s="238" t="s">
        <v>591</v>
      </c>
    </row>
    <row r="454" s="38" customFormat="true" ht="23.25" hidden="false" customHeight="true" outlineLevel="0" collapsed="false">
      <c r="A454" s="19" t="n">
        <f aca="false">IF(B454="","",IF((YEAR(B454)-YEAR(B453))=0,A453+1,1))</f>
        <v>23</v>
      </c>
      <c r="B454" s="141" t="n">
        <v>43979</v>
      </c>
      <c r="C454" s="63" t="s">
        <v>187</v>
      </c>
      <c r="D454" s="19"/>
      <c r="E454" s="63" t="s">
        <v>188</v>
      </c>
      <c r="F454" s="63" t="s">
        <v>377</v>
      </c>
      <c r="G454" s="142" t="n">
        <v>43979</v>
      </c>
      <c r="H454" s="142" t="n">
        <v>44071</v>
      </c>
      <c r="I454" s="19" t="n">
        <f aca="false">H454-G454</f>
        <v>92</v>
      </c>
      <c r="J454" s="149" t="n">
        <f aca="false">TRUNC(I454/30,0)</f>
        <v>3</v>
      </c>
      <c r="K454" s="183" t="s">
        <v>95</v>
      </c>
      <c r="L454" s="146" t="n">
        <v>1.01</v>
      </c>
      <c r="M454" s="147" t="n">
        <v>0.16</v>
      </c>
      <c r="N454" s="148" t="s">
        <v>590</v>
      </c>
      <c r="O454" s="149" t="s">
        <v>265</v>
      </c>
      <c r="P454" s="149"/>
      <c r="Q454" s="150" t="n">
        <v>0.003625</v>
      </c>
      <c r="R454" s="151" t="s">
        <v>265</v>
      </c>
      <c r="S454" s="152" t="n">
        <v>0.003</v>
      </c>
      <c r="T454" s="151"/>
      <c r="U454" s="152"/>
      <c r="V454" s="152" t="n">
        <v>0.008233</v>
      </c>
      <c r="W454" s="152" t="n">
        <v>0.000165</v>
      </c>
      <c r="X454" s="152" t="n">
        <v>0.007068</v>
      </c>
      <c r="Y454" s="152" t="n">
        <v>0</v>
      </c>
      <c r="Z454" s="152" t="n">
        <v>0.002</v>
      </c>
      <c r="AA454" s="152" t="n">
        <v>0.002</v>
      </c>
      <c r="AB454" s="154" t="n">
        <f aca="false">S454-Z454</f>
        <v>0.001</v>
      </c>
      <c r="AC454" s="154" t="n">
        <f aca="false">U454-Z454-AA454</f>
        <v>-0.004</v>
      </c>
      <c r="AD454" s="155" t="n">
        <v>0.001</v>
      </c>
      <c r="AE454" s="153" t="n">
        <f aca="false">IF(Y454="","",Y454)</f>
        <v>0</v>
      </c>
      <c r="AF454" s="153" t="n">
        <f aca="false">AD454-AE454</f>
        <v>0.001</v>
      </c>
      <c r="AG454" s="184" t="n">
        <f aca="false">IF(AF454="","",AE454+AF454)</f>
        <v>0.001</v>
      </c>
      <c r="AH454" s="185" t="n">
        <v>43979</v>
      </c>
      <c r="AI454" s="35" t="n">
        <v>1</v>
      </c>
      <c r="AJ454" s="19" t="str">
        <f aca="false">IF(AG454="","N","Y")</f>
        <v>Y</v>
      </c>
      <c r="AK454" s="238" t="s">
        <v>591</v>
      </c>
      <c r="AL454" s="36"/>
    </row>
    <row r="455" s="38" customFormat="true" ht="23.25" hidden="false" customHeight="true" outlineLevel="0" collapsed="false">
      <c r="A455" s="19" t="n">
        <f aca="false">IF(B455="","",IF((YEAR(B455)-YEAR(B454))=0,A454+1,1))</f>
        <v>24</v>
      </c>
      <c r="B455" s="141" t="n">
        <v>43993</v>
      </c>
      <c r="C455" s="63" t="s">
        <v>307</v>
      </c>
      <c r="D455" s="19"/>
      <c r="E455" s="63" t="s">
        <v>202</v>
      </c>
      <c r="F455" s="63" t="s">
        <v>592</v>
      </c>
      <c r="G455" s="142" t="n">
        <v>43993</v>
      </c>
      <c r="H455" s="142" t="n">
        <v>44085</v>
      </c>
      <c r="I455" s="19" t="n">
        <f aca="false">H455-G455</f>
        <v>92</v>
      </c>
      <c r="J455" s="149" t="n">
        <f aca="false">TRUNC(I455/30,0)</f>
        <v>3</v>
      </c>
      <c r="K455" s="183" t="s">
        <v>95</v>
      </c>
      <c r="L455" s="146" t="n">
        <v>1</v>
      </c>
      <c r="M455" s="147" t="n">
        <v>0.13</v>
      </c>
      <c r="N455" s="148" t="s">
        <v>593</v>
      </c>
      <c r="O455" s="149" t="s">
        <v>300</v>
      </c>
      <c r="P455" s="149"/>
      <c r="Q455" s="150" t="n">
        <v>0.0031838</v>
      </c>
      <c r="R455" s="151" t="s">
        <v>300</v>
      </c>
      <c r="S455" s="152" t="n">
        <v>0.0046</v>
      </c>
      <c r="T455" s="151"/>
      <c r="U455" s="152"/>
      <c r="V455" s="152" t="n">
        <v>0.007662</v>
      </c>
      <c r="W455" s="152" t="n">
        <v>0.000153</v>
      </c>
      <c r="X455" s="152" t="n">
        <v>0.004909</v>
      </c>
      <c r="Y455" s="152" t="n">
        <v>0</v>
      </c>
      <c r="Z455" s="152" t="n">
        <v>0.002</v>
      </c>
      <c r="AA455" s="152" t="n">
        <v>0.002</v>
      </c>
      <c r="AB455" s="154" t="n">
        <f aca="false">S455-Z455</f>
        <v>0.0026</v>
      </c>
      <c r="AC455" s="154" t="n">
        <f aca="false">U455-Z455-AA455</f>
        <v>-0.004</v>
      </c>
      <c r="AD455" s="155" t="n">
        <v>0.0026</v>
      </c>
      <c r="AE455" s="153" t="n">
        <f aca="false">IF(Y455="","",Y455)</f>
        <v>0</v>
      </c>
      <c r="AF455" s="153" t="n">
        <f aca="false">AD455-AE455</f>
        <v>0.0026</v>
      </c>
      <c r="AG455" s="184" t="n">
        <f aca="false">IF(AF455="","",AE455+AF455)</f>
        <v>0.0026</v>
      </c>
      <c r="AH455" s="185" t="n">
        <v>43993</v>
      </c>
      <c r="AI455" s="35" t="n">
        <v>2</v>
      </c>
      <c r="AJ455" s="19" t="str">
        <f aca="false">IF(AG455="","N","Y")</f>
        <v>Y</v>
      </c>
      <c r="AK455" s="238" t="s">
        <v>594</v>
      </c>
      <c r="AL455" s="36"/>
    </row>
    <row r="456" customFormat="false" ht="20.25" hidden="false" customHeight="true" outlineLevel="0" collapsed="false">
      <c r="A456" s="19" t="n">
        <f aca="false">IF(B456="","",IF((YEAR(B456)-YEAR(B455))=0,A455+1,1))</f>
        <v>25</v>
      </c>
      <c r="B456" s="141" t="n">
        <v>43993</v>
      </c>
      <c r="C456" s="63" t="s">
        <v>440</v>
      </c>
      <c r="D456" s="19"/>
      <c r="E456" s="63" t="s">
        <v>452</v>
      </c>
      <c r="F456" s="63" t="s">
        <v>442</v>
      </c>
      <c r="G456" s="142" t="n">
        <v>43993</v>
      </c>
      <c r="H456" s="142" t="n">
        <v>44025</v>
      </c>
      <c r="I456" s="19" t="n">
        <f aca="false">H456-G456</f>
        <v>32</v>
      </c>
      <c r="J456" s="149" t="n">
        <f aca="false">TRUNC(I456/30,0)</f>
        <v>1</v>
      </c>
      <c r="K456" s="183" t="s">
        <v>95</v>
      </c>
      <c r="L456" s="146" t="n">
        <v>4.04</v>
      </c>
      <c r="M456" s="147" t="n">
        <v>0.06</v>
      </c>
      <c r="N456" s="148" t="s">
        <v>595</v>
      </c>
      <c r="O456" s="149" t="s">
        <v>303</v>
      </c>
      <c r="P456" s="149"/>
      <c r="Q456" s="150" t="n">
        <v>0.001905</v>
      </c>
      <c r="R456" s="151" t="s">
        <v>303</v>
      </c>
      <c r="S456" s="152" t="n">
        <v>0.004</v>
      </c>
      <c r="T456" s="151"/>
      <c r="U456" s="152"/>
      <c r="V456" s="152" t="n">
        <v>0.004363</v>
      </c>
      <c r="W456" s="152" t="n">
        <v>8.7E-005</v>
      </c>
      <c r="X456" s="152" t="n">
        <v>0.002776</v>
      </c>
      <c r="Y456" s="152" t="n">
        <v>0</v>
      </c>
      <c r="Z456" s="152" t="n">
        <v>0.002</v>
      </c>
      <c r="AA456" s="152" t="n">
        <v>0.002</v>
      </c>
      <c r="AB456" s="154" t="n">
        <f aca="false">S456-Z456</f>
        <v>0.002</v>
      </c>
      <c r="AC456" s="154" t="n">
        <f aca="false">U456-Z456-AA456</f>
        <v>-0.004</v>
      </c>
      <c r="AD456" s="155" t="n">
        <v>0.0015</v>
      </c>
      <c r="AE456" s="153" t="n">
        <f aca="false">IF(Y456="","",Y456)</f>
        <v>0</v>
      </c>
      <c r="AF456" s="153" t="n">
        <f aca="false">AD456-AE456</f>
        <v>0.0015</v>
      </c>
      <c r="AG456" s="184" t="n">
        <f aca="false">IF(AF456="","",AE456+AF456)</f>
        <v>0.0015</v>
      </c>
      <c r="AH456" s="185" t="n">
        <v>43993</v>
      </c>
      <c r="AI456" s="35" t="n">
        <v>3</v>
      </c>
      <c r="AJ456" s="19" t="str">
        <f aca="false">IF(AG456="","N","Y")</f>
        <v>Y</v>
      </c>
      <c r="AK456" s="238" t="s">
        <v>596</v>
      </c>
    </row>
    <row r="457" customFormat="false" ht="20.25" hidden="false" customHeight="true" outlineLevel="0" collapsed="false">
      <c r="A457" s="19" t="n">
        <f aca="false">IF(B457="","",IF((YEAR(B457)-YEAR(B456))=0,A456+1,1))</f>
        <v>26</v>
      </c>
      <c r="B457" s="141" t="n">
        <v>43997</v>
      </c>
      <c r="C457" s="63" t="s">
        <v>597</v>
      </c>
      <c r="D457" s="19"/>
      <c r="E457" s="63" t="s">
        <v>598</v>
      </c>
      <c r="F457" s="63" t="s">
        <v>115</v>
      </c>
      <c r="G457" s="142" t="n">
        <v>43997</v>
      </c>
      <c r="H457" s="142" t="n">
        <v>44089</v>
      </c>
      <c r="I457" s="19" t="n">
        <f aca="false">H457-G457</f>
        <v>92</v>
      </c>
      <c r="J457" s="149" t="n">
        <f aca="false">TRUNC(I457/30,0)</f>
        <v>3</v>
      </c>
      <c r="K457" s="183" t="s">
        <v>95</v>
      </c>
      <c r="L457" s="146" t="n">
        <v>1.04</v>
      </c>
      <c r="M457" s="147" t="n">
        <v>0.13</v>
      </c>
      <c r="N457" s="148" t="s">
        <v>593</v>
      </c>
      <c r="O457" s="149" t="s">
        <v>300</v>
      </c>
      <c r="P457" s="149"/>
      <c r="Q457" s="150" t="n">
        <v>0.0032088</v>
      </c>
      <c r="R457" s="151" t="s">
        <v>300</v>
      </c>
      <c r="S457" s="152" t="n">
        <v>0.0029</v>
      </c>
      <c r="T457" s="151"/>
      <c r="U457" s="152"/>
      <c r="V457" s="152" t="n">
        <v>0.007647</v>
      </c>
      <c r="W457" s="152" t="n">
        <v>0.000153</v>
      </c>
      <c r="X457" s="152" t="n">
        <v>0.006594</v>
      </c>
      <c r="Y457" s="152" t="n">
        <v>0</v>
      </c>
      <c r="Z457" s="152" t="n">
        <v>0.002</v>
      </c>
      <c r="AA457" s="152" t="n">
        <v>0.002</v>
      </c>
      <c r="AB457" s="154" t="n">
        <f aca="false">S457-Z457</f>
        <v>0.0009</v>
      </c>
      <c r="AC457" s="154" t="n">
        <f aca="false">U457-Z457-AA457</f>
        <v>-0.004</v>
      </c>
      <c r="AD457" s="155" t="n">
        <v>0.0009</v>
      </c>
      <c r="AE457" s="153" t="n">
        <f aca="false">IF(Y457="","",Y457)</f>
        <v>0</v>
      </c>
      <c r="AF457" s="153" t="n">
        <f aca="false">AD457-AE457</f>
        <v>0.0009</v>
      </c>
      <c r="AG457" s="184" t="n">
        <f aca="false">IF(AF457="","",AE457+AF457)</f>
        <v>0.0009</v>
      </c>
      <c r="AH457" s="185" t="n">
        <v>43997</v>
      </c>
      <c r="AI457" s="35" t="n">
        <v>1</v>
      </c>
      <c r="AJ457" s="19" t="str">
        <f aca="false">IF(AG457="","N","Y")</f>
        <v>Y</v>
      </c>
      <c r="AK457" s="238" t="s">
        <v>599</v>
      </c>
    </row>
    <row r="458" customFormat="false" ht="20.25" hidden="false" customHeight="true" outlineLevel="0" collapsed="false">
      <c r="A458" s="19" t="n">
        <f aca="false">IF(B458="","",IF((YEAR(B458)-YEAR(B457))=0,A457+1,1))</f>
        <v>27</v>
      </c>
      <c r="B458" s="141" t="n">
        <v>43999</v>
      </c>
      <c r="C458" s="63" t="s">
        <v>209</v>
      </c>
      <c r="D458" s="19"/>
      <c r="E458" s="63" t="s">
        <v>580</v>
      </c>
      <c r="F458" s="63" t="s">
        <v>600</v>
      </c>
      <c r="G458" s="142" t="n">
        <v>43999</v>
      </c>
      <c r="H458" s="142" t="n">
        <v>44091</v>
      </c>
      <c r="I458" s="19" t="n">
        <f aca="false">H458-G458</f>
        <v>92</v>
      </c>
      <c r="J458" s="149" t="n">
        <f aca="false">TRUNC(I458/30,0)</f>
        <v>3</v>
      </c>
      <c r="K458" s="183" t="s">
        <v>95</v>
      </c>
      <c r="L458" s="146" t="n">
        <v>2.5</v>
      </c>
      <c r="M458" s="147" t="n">
        <v>0.13</v>
      </c>
      <c r="N458" s="148" t="s">
        <v>601</v>
      </c>
      <c r="O458" s="149" t="s">
        <v>300</v>
      </c>
      <c r="P458" s="149"/>
      <c r="Q458" s="150" t="n">
        <v>0.0030788</v>
      </c>
      <c r="R458" s="151" t="s">
        <v>300</v>
      </c>
      <c r="S458" s="152" t="n">
        <v>0.004</v>
      </c>
      <c r="T458" s="151"/>
      <c r="U458" s="152"/>
      <c r="V458" s="152" t="n">
        <v>0.007505</v>
      </c>
      <c r="W458" s="152" t="n">
        <v>0.00015</v>
      </c>
      <c r="X458" s="152" t="n">
        <v>0.005355</v>
      </c>
      <c r="Y458" s="152" t="n">
        <v>0</v>
      </c>
      <c r="Z458" s="152" t="n">
        <v>0.002</v>
      </c>
      <c r="AA458" s="152" t="n">
        <v>0.002</v>
      </c>
      <c r="AB458" s="154" t="n">
        <f aca="false">S458-Z458</f>
        <v>0.002</v>
      </c>
      <c r="AC458" s="154" t="n">
        <f aca="false">U458-Z458-AA458</f>
        <v>-0.004</v>
      </c>
      <c r="AD458" s="155" t="n">
        <v>0.002</v>
      </c>
      <c r="AE458" s="153" t="n">
        <f aca="false">IF(Y458="","",Y458)</f>
        <v>0</v>
      </c>
      <c r="AF458" s="153" t="n">
        <f aca="false">AD458-AE458</f>
        <v>0.002</v>
      </c>
      <c r="AG458" s="184" t="n">
        <f aca="false">IF(AF458="","",AE458+AF458)</f>
        <v>0.002</v>
      </c>
      <c r="AH458" s="185" t="n">
        <v>43999</v>
      </c>
      <c r="AI458" s="35" t="n">
        <v>2</v>
      </c>
      <c r="AJ458" s="19" t="str">
        <f aca="false">IF(AG458="","N","Y")</f>
        <v>Y</v>
      </c>
      <c r="AK458" s="238" t="s">
        <v>602</v>
      </c>
    </row>
    <row r="459" customFormat="false" ht="20.25" hidden="false" customHeight="true" outlineLevel="0" collapsed="false">
      <c r="A459" s="19" t="n">
        <f aca="false">IF(B459="","",IF((YEAR(B459)-YEAR(B458))=0,A458+1,1))</f>
        <v>28</v>
      </c>
      <c r="B459" s="141" t="n">
        <v>44020</v>
      </c>
      <c r="C459" s="63" t="s">
        <v>209</v>
      </c>
      <c r="D459" s="19"/>
      <c r="E459" s="63" t="s">
        <v>580</v>
      </c>
      <c r="F459" s="63" t="s">
        <v>581</v>
      </c>
      <c r="G459" s="142" t="n">
        <v>44020</v>
      </c>
      <c r="H459" s="250" t="n">
        <v>44112</v>
      </c>
      <c r="I459" s="19" t="n">
        <f aca="false">H459-G459</f>
        <v>92</v>
      </c>
      <c r="J459" s="149" t="n">
        <f aca="false">TRUNC(I459/30,0)</f>
        <v>3</v>
      </c>
      <c r="K459" s="183" t="s">
        <v>95</v>
      </c>
      <c r="L459" s="146" t="n">
        <v>2</v>
      </c>
      <c r="M459" s="147" t="n">
        <v>0.13</v>
      </c>
      <c r="N459" s="148" t="s">
        <v>603</v>
      </c>
      <c r="O459" s="149" t="s">
        <v>265</v>
      </c>
      <c r="P459" s="149"/>
      <c r="Q459" s="150" t="n">
        <v>0.0026838</v>
      </c>
      <c r="R459" s="151" t="s">
        <v>265</v>
      </c>
      <c r="S459" s="152" t="n">
        <v>0.0025</v>
      </c>
      <c r="T459" s="151"/>
      <c r="U459" s="152"/>
      <c r="V459" s="152" t="n">
        <v>0.007276</v>
      </c>
      <c r="W459" s="152" t="n">
        <v>0.000146</v>
      </c>
      <c r="X459" s="152" t="n">
        <v>0.006631</v>
      </c>
      <c r="Y459" s="152" t="n">
        <v>0</v>
      </c>
      <c r="Z459" s="152" t="n">
        <v>0.002</v>
      </c>
      <c r="AA459" s="152" t="n">
        <v>0.002</v>
      </c>
      <c r="AB459" s="154" t="n">
        <f aca="false">S459-Z459</f>
        <v>0.0005</v>
      </c>
      <c r="AC459" s="154" t="n">
        <f aca="false">U459-Z459-AA459</f>
        <v>-0.004</v>
      </c>
      <c r="AD459" s="155" t="n">
        <v>0.0005</v>
      </c>
      <c r="AE459" s="153" t="n">
        <f aca="false">IF(Y459="","",Y459)</f>
        <v>0</v>
      </c>
      <c r="AF459" s="153" t="n">
        <f aca="false">AD459-AE459</f>
        <v>0.0005</v>
      </c>
      <c r="AG459" s="184" t="n">
        <f aca="false">IF(AF459="","",AE459+AF459)</f>
        <v>0.0005</v>
      </c>
      <c r="AH459" s="185" t="n">
        <v>44020</v>
      </c>
      <c r="AI459" s="35" t="n">
        <v>1</v>
      </c>
      <c r="AJ459" s="19" t="str">
        <f aca="false">IF(AG459="","N","Y")</f>
        <v>Y</v>
      </c>
      <c r="AK459" s="238" t="s">
        <v>604</v>
      </c>
    </row>
    <row r="460" customFormat="false" ht="20.25" hidden="false" customHeight="true" outlineLevel="0" collapsed="false">
      <c r="A460" s="19" t="n">
        <f aca="false">IF(B460="","",IF((YEAR(B460)-YEAR(B459))=0,A459+1,1))</f>
        <v>29</v>
      </c>
      <c r="B460" s="141" t="n">
        <v>44025</v>
      </c>
      <c r="C460" s="63" t="s">
        <v>440</v>
      </c>
      <c r="D460" s="19"/>
      <c r="E460" s="63" t="s">
        <v>452</v>
      </c>
      <c r="F460" s="63" t="s">
        <v>442</v>
      </c>
      <c r="G460" s="142" t="n">
        <v>44025</v>
      </c>
      <c r="H460" s="142" t="n">
        <v>44056</v>
      </c>
      <c r="I460" s="19" t="n">
        <f aca="false">H460-G460</f>
        <v>31</v>
      </c>
      <c r="J460" s="149" t="n">
        <f aca="false">TRUNC(I460/30,0)</f>
        <v>1</v>
      </c>
      <c r="K460" s="183" t="s">
        <v>95</v>
      </c>
      <c r="L460" s="146" t="n">
        <v>4.05</v>
      </c>
      <c r="M460" s="147" t="n">
        <v>0.06</v>
      </c>
      <c r="N460" s="148" t="s">
        <v>595</v>
      </c>
      <c r="O460" s="149" t="s">
        <v>303</v>
      </c>
      <c r="P460" s="149"/>
      <c r="Q460" s="150" t="n">
        <v>0.0017538</v>
      </c>
      <c r="R460" s="151" t="s">
        <v>303</v>
      </c>
      <c r="S460" s="152" t="n">
        <v>0.0025</v>
      </c>
      <c r="T460" s="151"/>
      <c r="U460" s="152"/>
      <c r="V460" s="152" t="n">
        <v>0.004313</v>
      </c>
      <c r="W460" s="152" t="n">
        <v>8.6E-005</v>
      </c>
      <c r="X460" s="152" t="n">
        <v>0.003726</v>
      </c>
      <c r="Y460" s="152" t="n">
        <v>0</v>
      </c>
      <c r="Z460" s="152" t="n">
        <v>0.002</v>
      </c>
      <c r="AA460" s="152" t="n">
        <v>0.002</v>
      </c>
      <c r="AB460" s="154" t="n">
        <f aca="false">S460-Z460</f>
        <v>0.0005</v>
      </c>
      <c r="AC460" s="154" t="n">
        <f aca="false">U460-Z460-AA460</f>
        <v>-0.004</v>
      </c>
      <c r="AD460" s="155" t="n">
        <v>0.0005</v>
      </c>
      <c r="AE460" s="153" t="n">
        <f aca="false">IF(Y460="","",Y460)</f>
        <v>0</v>
      </c>
      <c r="AF460" s="153" t="n">
        <f aca="false">AD460-AE460</f>
        <v>0.0005</v>
      </c>
      <c r="AG460" s="184" t="n">
        <f aca="false">IF(AF460="","",AE460+AF460)</f>
        <v>0.0005</v>
      </c>
      <c r="AH460" s="185" t="n">
        <v>44025</v>
      </c>
      <c r="AI460" s="35" t="n">
        <v>1</v>
      </c>
      <c r="AJ460" s="19" t="str">
        <f aca="false">IF(AG460="","N","Y")</f>
        <v>Y</v>
      </c>
      <c r="AK460" s="238" t="s">
        <v>605</v>
      </c>
    </row>
    <row r="461" customFormat="false" ht="20.25" hidden="false" customHeight="true" outlineLevel="0" collapsed="false">
      <c r="A461" s="19" t="n">
        <f aca="false">IF(B461="","",IF((YEAR(B461)-YEAR(B460))=0,A460+1,1))</f>
        <v>30</v>
      </c>
      <c r="B461" s="141" t="n">
        <v>44034</v>
      </c>
      <c r="C461" s="63" t="s">
        <v>165</v>
      </c>
      <c r="D461" s="19"/>
      <c r="E461" s="63" t="s">
        <v>606</v>
      </c>
      <c r="F461" s="63" t="s">
        <v>219</v>
      </c>
      <c r="G461" s="142" t="n">
        <v>44034</v>
      </c>
      <c r="H461" s="142" t="n">
        <v>44126</v>
      </c>
      <c r="I461" s="19" t="n">
        <f aca="false">H461-G461</f>
        <v>92</v>
      </c>
      <c r="J461" s="149" t="n">
        <f aca="false">TRUNC(I461/30,0)</f>
        <v>3</v>
      </c>
      <c r="K461" s="183" t="s">
        <v>95</v>
      </c>
      <c r="L461" s="146" t="n">
        <v>1.11</v>
      </c>
      <c r="M461" s="147" t="n">
        <v>0.09</v>
      </c>
      <c r="N461" s="148" t="s">
        <v>607</v>
      </c>
      <c r="O461" s="149" t="s">
        <v>265</v>
      </c>
      <c r="P461" s="149"/>
      <c r="Q461" s="150" t="n">
        <v>0.002555</v>
      </c>
      <c r="R461" s="151" t="s">
        <v>265</v>
      </c>
      <c r="S461" s="152" t="n">
        <v>0.003</v>
      </c>
      <c r="T461" s="151"/>
      <c r="U461" s="152"/>
      <c r="V461" s="152" t="n">
        <v>0.007089</v>
      </c>
      <c r="W461" s="152" t="n">
        <v>0.000142</v>
      </c>
      <c r="X461" s="152" t="n">
        <v>0.005947</v>
      </c>
      <c r="Y461" s="152" t="n">
        <v>0</v>
      </c>
      <c r="Z461" s="152" t="n">
        <v>0.002</v>
      </c>
      <c r="AA461" s="152" t="n">
        <v>0.002</v>
      </c>
      <c r="AB461" s="154" t="n">
        <f aca="false">S461-Z461</f>
        <v>0.001</v>
      </c>
      <c r="AC461" s="154" t="n">
        <f aca="false">U461-Z461-AA461</f>
        <v>-0.004</v>
      </c>
      <c r="AD461" s="155" t="n">
        <v>0.001</v>
      </c>
      <c r="AE461" s="153" t="n">
        <f aca="false">IF(Y461="","",Y461)</f>
        <v>0</v>
      </c>
      <c r="AF461" s="153" t="n">
        <f aca="false">AD461-AE461</f>
        <v>0.001</v>
      </c>
      <c r="AG461" s="184" t="n">
        <f aca="false">IF(AF461="","",AE461+AF461)</f>
        <v>0.001</v>
      </c>
      <c r="AH461" s="185" t="n">
        <v>44034</v>
      </c>
      <c r="AI461" s="35" t="n">
        <v>2</v>
      </c>
      <c r="AJ461" s="19" t="str">
        <f aca="false">IF(AG461="","N","Y")</f>
        <v>Y</v>
      </c>
      <c r="AK461" s="238" t="s">
        <v>608</v>
      </c>
    </row>
    <row r="462" customFormat="false" ht="20.25" hidden="false" customHeight="true" outlineLevel="0" collapsed="false">
      <c r="A462" s="19" t="n">
        <f aca="false">IF(B462="","",IF((YEAR(B462)-YEAR(B461))=0,A461+1,1))</f>
        <v>31</v>
      </c>
      <c r="B462" s="141" t="n">
        <v>44069</v>
      </c>
      <c r="C462" s="63" t="s">
        <v>124</v>
      </c>
      <c r="D462" s="19"/>
      <c r="E462" s="63" t="s">
        <v>484</v>
      </c>
      <c r="F462" s="63" t="s">
        <v>431</v>
      </c>
      <c r="G462" s="142" t="n">
        <v>44069</v>
      </c>
      <c r="H462" s="142" t="n">
        <v>44161</v>
      </c>
      <c r="I462" s="19" t="n">
        <f aca="false">H462-G462</f>
        <v>92</v>
      </c>
      <c r="J462" s="149" t="n">
        <f aca="false">TRUNC(I462/30,0)</f>
        <v>3</v>
      </c>
      <c r="K462" s="183" t="s">
        <v>95</v>
      </c>
      <c r="L462" s="146" t="n">
        <v>1</v>
      </c>
      <c r="M462" s="147"/>
      <c r="N462" s="148"/>
      <c r="O462" s="149" t="s">
        <v>265</v>
      </c>
      <c r="P462" s="149"/>
      <c r="Q462" s="150"/>
      <c r="R462" s="151" t="s">
        <v>265</v>
      </c>
      <c r="S462" s="152" t="n">
        <v>0.0028</v>
      </c>
      <c r="T462" s="151"/>
      <c r="U462" s="152"/>
      <c r="V462" s="152" t="n">
        <v>0.006847</v>
      </c>
      <c r="W462" s="152" t="n">
        <v>0.000137</v>
      </c>
      <c r="X462" s="152" t="n">
        <v>0.00591</v>
      </c>
      <c r="Y462" s="152" t="n">
        <v>0</v>
      </c>
      <c r="Z462" s="152" t="n">
        <v>0.002</v>
      </c>
      <c r="AA462" s="152" t="n">
        <v>0.002</v>
      </c>
      <c r="AB462" s="154" t="n">
        <f aca="false">S462-Z462</f>
        <v>0.0008</v>
      </c>
      <c r="AC462" s="154" t="n">
        <f aca="false">U462-Z462-AA462</f>
        <v>-0.004</v>
      </c>
      <c r="AD462" s="155" t="n">
        <v>0.0008</v>
      </c>
      <c r="AE462" s="153" t="n">
        <f aca="false">IF(Y462="","",Y462)</f>
        <v>0</v>
      </c>
      <c r="AF462" s="153" t="n">
        <f aca="false">AD462-AE462</f>
        <v>0.0008</v>
      </c>
      <c r="AG462" s="184" t="n">
        <f aca="false">IF(AF462="","",AE462+AF462)</f>
        <v>0.0008</v>
      </c>
      <c r="AH462" s="185" t="n">
        <v>44069</v>
      </c>
      <c r="AI462" s="35" t="n">
        <v>1</v>
      </c>
      <c r="AJ462" s="19" t="str">
        <f aca="false">IF(AG462="","N","Y")</f>
        <v>Y</v>
      </c>
      <c r="AK462" s="238" t="s">
        <v>609</v>
      </c>
    </row>
    <row r="463" customFormat="false" ht="20.25" hidden="false" customHeight="true" outlineLevel="0" collapsed="false">
      <c r="A463" s="19" t="n">
        <f aca="false">IF(B463="","",IF((YEAR(B463)-YEAR(B462))=0,A462+1,1))</f>
        <v>32</v>
      </c>
      <c r="B463" s="141" t="n">
        <v>44112</v>
      </c>
      <c r="C463" s="63" t="s">
        <v>209</v>
      </c>
      <c r="D463" s="19"/>
      <c r="E463" s="63" t="s">
        <v>580</v>
      </c>
      <c r="F463" s="63" t="s">
        <v>581</v>
      </c>
      <c r="G463" s="142" t="n">
        <v>44112</v>
      </c>
      <c r="H463" s="142" t="n">
        <v>44204</v>
      </c>
      <c r="I463" s="19" t="n">
        <f aca="false">H463-G463</f>
        <v>92</v>
      </c>
      <c r="J463" s="149" t="n">
        <f aca="false">TRUNC(I463/30,0)</f>
        <v>3</v>
      </c>
      <c r="K463" s="183" t="s">
        <v>95</v>
      </c>
      <c r="L463" s="146" t="n">
        <v>2</v>
      </c>
      <c r="M463" s="147"/>
      <c r="N463" s="148"/>
      <c r="O463" s="149" t="s">
        <v>265</v>
      </c>
      <c r="P463" s="149"/>
      <c r="Q463" s="150"/>
      <c r="R463" s="151" t="s">
        <v>265</v>
      </c>
      <c r="S463" s="152" t="n">
        <v>0.003</v>
      </c>
      <c r="T463" s="151"/>
      <c r="U463" s="152"/>
      <c r="V463" s="152" t="n">
        <v>0.006802</v>
      </c>
      <c r="W463" s="152" t="n">
        <v>0.000136</v>
      </c>
      <c r="X463" s="152" t="n">
        <v>0.005666</v>
      </c>
      <c r="Y463" s="152" t="n">
        <v>0</v>
      </c>
      <c r="Z463" s="152" t="n">
        <v>0.002</v>
      </c>
      <c r="AA463" s="152" t="n">
        <v>0.002</v>
      </c>
      <c r="AB463" s="154" t="n">
        <f aca="false">S463-Z463</f>
        <v>0.001</v>
      </c>
      <c r="AC463" s="154" t="n">
        <f aca="false">U463-Z463-AA463</f>
        <v>-0.004</v>
      </c>
      <c r="AD463" s="155" t="n">
        <v>0.001</v>
      </c>
      <c r="AE463" s="153" t="n">
        <f aca="false">IF(Y463="","",Y463)</f>
        <v>0</v>
      </c>
      <c r="AF463" s="153" t="n">
        <f aca="false">AD463-AE463</f>
        <v>0.001</v>
      </c>
      <c r="AG463" s="184" t="n">
        <f aca="false">IF(AF463="","",AE463+AF463)</f>
        <v>0.001</v>
      </c>
      <c r="AH463" s="185" t="n">
        <v>44112</v>
      </c>
      <c r="AI463" s="35" t="n">
        <v>1</v>
      </c>
      <c r="AJ463" s="19" t="str">
        <f aca="false">IF(AG463="","N","Y")</f>
        <v>Y</v>
      </c>
      <c r="AK463" s="238" t="s">
        <v>610</v>
      </c>
    </row>
    <row r="464" customFormat="false" ht="20.25" hidden="false" customHeight="true" outlineLevel="0" collapsed="false">
      <c r="A464" s="19" t="n">
        <f aca="false">IF(B464="","",IF((YEAR(B464)-YEAR(B463))=0,A463+1,1))</f>
        <v>33</v>
      </c>
      <c r="B464" s="141" t="n">
        <v>44126</v>
      </c>
      <c r="C464" s="63" t="s">
        <v>165</v>
      </c>
      <c r="D464" s="19"/>
      <c r="E464" s="63" t="s">
        <v>611</v>
      </c>
      <c r="F464" s="63" t="s">
        <v>219</v>
      </c>
      <c r="G464" s="142" t="n">
        <v>44126</v>
      </c>
      <c r="H464" s="142" t="n">
        <v>44218</v>
      </c>
      <c r="I464" s="19" t="n">
        <f aca="false">H464-G464</f>
        <v>92</v>
      </c>
      <c r="J464" s="149" t="n">
        <f aca="false">TRUNC(I464/30,0)</f>
        <v>3</v>
      </c>
      <c r="K464" s="183" t="s">
        <v>95</v>
      </c>
      <c r="L464" s="146" t="n">
        <v>1.11</v>
      </c>
      <c r="M464" s="147"/>
      <c r="N464" s="148"/>
      <c r="O464" s="149" t="s">
        <v>265</v>
      </c>
      <c r="P464" s="149"/>
      <c r="Q464" s="150"/>
      <c r="R464" s="151" t="s">
        <v>265</v>
      </c>
      <c r="S464" s="152" t="n">
        <v>0.0033</v>
      </c>
      <c r="T464" s="151"/>
      <c r="U464" s="152"/>
      <c r="V464" s="152" t="n">
        <v>0.006665</v>
      </c>
      <c r="W464" s="152" t="n">
        <v>0.000133</v>
      </c>
      <c r="X464" s="152" t="n">
        <v>0.005231</v>
      </c>
      <c r="Y464" s="152" t="n">
        <v>0</v>
      </c>
      <c r="Z464" s="152" t="n">
        <v>0.002</v>
      </c>
      <c r="AA464" s="152" t="n">
        <v>0.002</v>
      </c>
      <c r="AB464" s="154" t="n">
        <f aca="false">S464-Z464</f>
        <v>0.0013</v>
      </c>
      <c r="AC464" s="154" t="n">
        <f aca="false">U464-Z464-AA464</f>
        <v>-0.004</v>
      </c>
      <c r="AD464" s="155" t="n">
        <v>0.0013</v>
      </c>
      <c r="AE464" s="153" t="n">
        <f aca="false">IF(Y464="","",Y464)</f>
        <v>0</v>
      </c>
      <c r="AF464" s="153" t="n">
        <f aca="false">AD464-AE464</f>
        <v>0.0013</v>
      </c>
      <c r="AG464" s="184" t="n">
        <f aca="false">IF(AF464="","",AE464+AF464)</f>
        <v>0.0013</v>
      </c>
      <c r="AH464" s="185" t="n">
        <v>44126</v>
      </c>
      <c r="AI464" s="35" t="n">
        <v>1</v>
      </c>
      <c r="AJ464" s="19" t="str">
        <f aca="false">IF(AG464="","N","Y")</f>
        <v>Y</v>
      </c>
      <c r="AK464" s="238" t="s">
        <v>612</v>
      </c>
    </row>
    <row r="465" customFormat="false" ht="20.25" hidden="false" customHeight="true" outlineLevel="0" collapsed="false">
      <c r="A465" s="19" t="n">
        <v>34</v>
      </c>
      <c r="B465" s="141" t="n">
        <v>44182</v>
      </c>
      <c r="C465" s="63" t="s">
        <v>209</v>
      </c>
      <c r="D465" s="19"/>
      <c r="E465" s="63" t="s">
        <v>580</v>
      </c>
      <c r="F465" s="63" t="s">
        <v>600</v>
      </c>
      <c r="G465" s="142" t="n">
        <v>44182</v>
      </c>
      <c r="H465" s="142" t="n">
        <v>44272</v>
      </c>
      <c r="I465" s="19" t="n">
        <f aca="false">H465-G465</f>
        <v>90</v>
      </c>
      <c r="J465" s="149" t="n">
        <f aca="false">TRUNC(I465/30,0)</f>
        <v>3</v>
      </c>
      <c r="K465" s="183" t="s">
        <v>95</v>
      </c>
      <c r="L465" s="146" t="n">
        <v>2.5</v>
      </c>
      <c r="M465" s="147"/>
      <c r="N465" s="148"/>
      <c r="O465" s="149" t="s">
        <v>265</v>
      </c>
      <c r="P465" s="149"/>
      <c r="Q465" s="150"/>
      <c r="R465" s="151" t="s">
        <v>265</v>
      </c>
      <c r="S465" s="152" t="n">
        <v>0.0025</v>
      </c>
      <c r="T465" s="151"/>
      <c r="U465" s="152"/>
      <c r="V465" s="152" t="n">
        <v>0.006767</v>
      </c>
      <c r="W465" s="152" t="n">
        <v>0.000135</v>
      </c>
      <c r="X465" s="152" t="n">
        <v>0.006132</v>
      </c>
      <c r="Y465" s="152" t="n">
        <v>0</v>
      </c>
      <c r="Z465" s="152" t="n">
        <v>0.002</v>
      </c>
      <c r="AA465" s="152" t="n">
        <v>0.002</v>
      </c>
      <c r="AB465" s="154" t="n">
        <f aca="false">S465-Z465</f>
        <v>0.0005</v>
      </c>
      <c r="AC465" s="154" t="n">
        <f aca="false">U465-Z465-AA465</f>
        <v>-0.004</v>
      </c>
      <c r="AD465" s="155" t="n">
        <v>0.0005</v>
      </c>
      <c r="AE465" s="153" t="n">
        <f aca="false">IF(Y465="","",Y465)</f>
        <v>0</v>
      </c>
      <c r="AF465" s="153" t="n">
        <f aca="false">AD465-AE465</f>
        <v>0.0005</v>
      </c>
      <c r="AG465" s="184" t="n">
        <f aca="false">IF(AF465="","",AE465+AF465)</f>
        <v>0.0005</v>
      </c>
      <c r="AH465" s="185" t="n">
        <v>44182</v>
      </c>
      <c r="AI465" s="35" t="n">
        <v>1</v>
      </c>
      <c r="AJ465" s="19" t="str">
        <f aca="false">IF(AG465="","N","Y")</f>
        <v>Y</v>
      </c>
      <c r="AK465" s="238" t="s">
        <v>604</v>
      </c>
    </row>
    <row r="466" customFormat="false" ht="20.25" hidden="false" customHeight="true" outlineLevel="0" collapsed="false">
      <c r="A466" s="19" t="n">
        <f aca="false">IF(B466="","",IF((YEAR(B466)-YEAR(B465))=0,A465+1,1))</f>
        <v>1</v>
      </c>
      <c r="B466" s="141" t="n">
        <v>44204</v>
      </c>
      <c r="C466" s="63" t="s">
        <v>209</v>
      </c>
      <c r="D466" s="19"/>
      <c r="E466" s="63" t="s">
        <v>580</v>
      </c>
      <c r="F466" s="63" t="s">
        <v>581</v>
      </c>
      <c r="G466" s="142" t="n">
        <v>44204</v>
      </c>
      <c r="H466" s="142" t="n">
        <v>44294</v>
      </c>
      <c r="I466" s="19" t="n">
        <f aca="false">H466-G466</f>
        <v>90</v>
      </c>
      <c r="J466" s="149" t="n">
        <f aca="false">TRUNC(I466/30,0)</f>
        <v>3</v>
      </c>
      <c r="K466" s="183" t="s">
        <v>95</v>
      </c>
      <c r="L466" s="146" t="n">
        <v>2</v>
      </c>
      <c r="M466" s="147" t="n">
        <v>0.05</v>
      </c>
      <c r="N466" s="148" t="s">
        <v>613</v>
      </c>
      <c r="O466" s="149" t="s">
        <v>265</v>
      </c>
      <c r="P466" s="149"/>
      <c r="Q466" s="150" t="n">
        <v>0.0022475</v>
      </c>
      <c r="R466" s="151" t="s">
        <v>265</v>
      </c>
      <c r="S466" s="152" t="n">
        <v>0.0025</v>
      </c>
      <c r="T466" s="151"/>
      <c r="U466" s="152"/>
      <c r="V466" s="152" t="n">
        <v>0.00582</v>
      </c>
      <c r="W466" s="152" t="n">
        <v>0.000116</v>
      </c>
      <c r="X466" s="152" t="n">
        <v>0.005203</v>
      </c>
      <c r="Y466" s="152" t="n">
        <v>0</v>
      </c>
      <c r="Z466" s="152" t="n">
        <v>0.002</v>
      </c>
      <c r="AA466" s="152" t="n">
        <v>0.002</v>
      </c>
      <c r="AB466" s="154" t="n">
        <f aca="false">S466-Z466</f>
        <v>0.0005</v>
      </c>
      <c r="AC466" s="154" t="n">
        <f aca="false">U466-Z466-AA466</f>
        <v>-0.004</v>
      </c>
      <c r="AD466" s="155" t="n">
        <v>0.0005</v>
      </c>
      <c r="AE466" s="153" t="n">
        <f aca="false">IF(Y466="","",Y466)</f>
        <v>0</v>
      </c>
      <c r="AF466" s="153" t="n">
        <f aca="false">AD466-AE466</f>
        <v>0.0005</v>
      </c>
      <c r="AG466" s="184" t="n">
        <f aca="false">IF(AF466="","",AE466+AF466)</f>
        <v>0.0005</v>
      </c>
      <c r="AH466" s="185" t="n">
        <v>43838</v>
      </c>
      <c r="AI466" s="35" t="n">
        <v>1</v>
      </c>
      <c r="AJ466" s="19" t="str">
        <f aca="false">IF(AG466="","N","Y")</f>
        <v>Y</v>
      </c>
      <c r="AK466" s="238" t="s">
        <v>604</v>
      </c>
    </row>
    <row r="467" customFormat="false" ht="20.25" hidden="false" customHeight="true" outlineLevel="0" collapsed="false">
      <c r="A467" s="19" t="n">
        <f aca="false">IF(B467="","",IF((YEAR(B467)-YEAR(B466))=0,A466+1,1))</f>
        <v>2</v>
      </c>
      <c r="B467" s="141" t="n">
        <v>44221</v>
      </c>
      <c r="C467" s="63" t="s">
        <v>165</v>
      </c>
      <c r="D467" s="19"/>
      <c r="E467" s="63" t="s">
        <v>611</v>
      </c>
      <c r="F467" s="63" t="s">
        <v>219</v>
      </c>
      <c r="G467" s="142" t="n">
        <v>44221</v>
      </c>
      <c r="H467" s="142" t="n">
        <v>44312</v>
      </c>
      <c r="I467" s="19" t="n">
        <f aca="false">H467-G467</f>
        <v>91</v>
      </c>
      <c r="J467" s="149" t="n">
        <f aca="false">TRUNC(I467/30,0)</f>
        <v>3</v>
      </c>
      <c r="K467" s="183" t="s">
        <v>95</v>
      </c>
      <c r="L467" s="146" t="n">
        <v>1.11</v>
      </c>
      <c r="M467" s="147"/>
      <c r="N467" s="148"/>
      <c r="O467" s="149" t="s">
        <v>265</v>
      </c>
      <c r="P467" s="149"/>
      <c r="Q467" s="150"/>
      <c r="R467" s="151" t="s">
        <v>265</v>
      </c>
      <c r="S467" s="152" t="n">
        <v>0.0028</v>
      </c>
      <c r="T467" s="151"/>
      <c r="U467" s="152"/>
      <c r="V467" s="152" t="n">
        <v>0.005568</v>
      </c>
      <c r="W467" s="152" t="n">
        <v>0.000111</v>
      </c>
      <c r="X467" s="152" t="n">
        <v>0.004657</v>
      </c>
      <c r="Y467" s="152" t="n">
        <v>0</v>
      </c>
      <c r="Z467" s="152" t="n">
        <v>0.002</v>
      </c>
      <c r="AA467" s="152" t="n">
        <v>0.002</v>
      </c>
      <c r="AB467" s="154" t="n">
        <f aca="false">S467-Z467</f>
        <v>0.0008</v>
      </c>
      <c r="AC467" s="154" t="n">
        <f aca="false">U467-Z467-AA467</f>
        <v>-0.004</v>
      </c>
      <c r="AD467" s="155" t="n">
        <v>0.0008</v>
      </c>
      <c r="AE467" s="153" t="n">
        <f aca="false">IF(Y467="","",Y467)</f>
        <v>0</v>
      </c>
      <c r="AF467" s="153" t="n">
        <f aca="false">AD467-AE467</f>
        <v>0.0008</v>
      </c>
      <c r="AG467" s="184" t="n">
        <f aca="false">IF(AF467="","",AE467+AF467)</f>
        <v>0.0008</v>
      </c>
      <c r="AH467" s="185" t="n">
        <v>44221</v>
      </c>
      <c r="AI467" s="35" t="n">
        <v>1</v>
      </c>
      <c r="AJ467" s="19" t="str">
        <f aca="false">IF(AG467="","N","Y")</f>
        <v>Y</v>
      </c>
      <c r="AK467" s="238" t="s">
        <v>609</v>
      </c>
    </row>
    <row r="468" s="354" customFormat="true" ht="20.25" hidden="false" customHeight="true" outlineLevel="0" collapsed="false">
      <c r="A468" s="333" t="n">
        <f aca="false">IF(B468="","",IF((YEAR(B468)-YEAR(B467))=0,A467+1,1))</f>
        <v>3</v>
      </c>
      <c r="B468" s="334" t="n">
        <v>44272</v>
      </c>
      <c r="C468" s="335" t="s">
        <v>209</v>
      </c>
      <c r="D468" s="333"/>
      <c r="E468" s="335" t="s">
        <v>580</v>
      </c>
      <c r="F468" s="335" t="s">
        <v>600</v>
      </c>
      <c r="G468" s="336" t="n">
        <v>44272</v>
      </c>
      <c r="H468" s="336" t="n">
        <v>44364</v>
      </c>
      <c r="I468" s="335" t="n">
        <f aca="false">H468-G468</f>
        <v>92</v>
      </c>
      <c r="J468" s="337" t="n">
        <f aca="false">TRUNC(I468/30,0)</f>
        <v>3</v>
      </c>
      <c r="K468" s="338" t="s">
        <v>95</v>
      </c>
      <c r="L468" s="339" t="n">
        <v>2.5</v>
      </c>
      <c r="M468" s="340"/>
      <c r="N468" s="341"/>
      <c r="O468" s="337" t="s">
        <v>265</v>
      </c>
      <c r="P468" s="337"/>
      <c r="Q468" s="342"/>
      <c r="R468" s="343" t="s">
        <v>265</v>
      </c>
      <c r="S468" s="344" t="n">
        <v>0.0025</v>
      </c>
      <c r="T468" s="343"/>
      <c r="U468" s="344"/>
      <c r="V468" s="344" t="n">
        <v>0.005325</v>
      </c>
      <c r="W468" s="344" t="n">
        <v>0.000107</v>
      </c>
      <c r="X468" s="344" t="n">
        <v>0.004719</v>
      </c>
      <c r="Y468" s="344" t="n">
        <v>0</v>
      </c>
      <c r="Z468" s="344" t="n">
        <v>0.002</v>
      </c>
      <c r="AA468" s="344" t="n">
        <v>0.002</v>
      </c>
      <c r="AB468" s="345" t="n">
        <f aca="false">S468-Z468</f>
        <v>0.0005</v>
      </c>
      <c r="AC468" s="345" t="n">
        <f aca="false">U468-Z468-AA468</f>
        <v>-0.004</v>
      </c>
      <c r="AD468" s="346" t="n">
        <v>0.0005</v>
      </c>
      <c r="AE468" s="347" t="n">
        <f aca="false">IF(Y468="","",Y468)</f>
        <v>0</v>
      </c>
      <c r="AF468" s="347" t="n">
        <f aca="false">AD468-AE468</f>
        <v>0.0005</v>
      </c>
      <c r="AG468" s="348" t="n">
        <f aca="false">IF(AF468="","",AE468+AF468)</f>
        <v>0.0005</v>
      </c>
      <c r="AH468" s="349" t="n">
        <v>44272</v>
      </c>
      <c r="AI468" s="350" t="n">
        <v>2</v>
      </c>
      <c r="AJ468" s="351" t="str">
        <f aca="false">IF(AG468="","N","Y")</f>
        <v>Y</v>
      </c>
      <c r="AK468" s="352" t="s">
        <v>604</v>
      </c>
      <c r="AL468" s="353"/>
    </row>
    <row r="469" s="354" customFormat="true" ht="20.25" hidden="false" customHeight="true" outlineLevel="0" collapsed="false">
      <c r="A469" s="335" t="n">
        <f aca="false">IF(B469="","",IF((YEAR(B469)-YEAR(B468))=0,A468+1,1))</f>
        <v>4</v>
      </c>
      <c r="B469" s="334" t="n">
        <v>44294</v>
      </c>
      <c r="C469" s="335" t="s">
        <v>209</v>
      </c>
      <c r="D469" s="335"/>
      <c r="E469" s="335" t="s">
        <v>580</v>
      </c>
      <c r="F469" s="335" t="s">
        <v>581</v>
      </c>
      <c r="G469" s="336" t="n">
        <v>44294</v>
      </c>
      <c r="H469" s="336" t="n">
        <v>44385</v>
      </c>
      <c r="I469" s="335" t="n">
        <f aca="false">H469-G469</f>
        <v>91</v>
      </c>
      <c r="J469" s="337" t="n">
        <f aca="false">TRUNC(I469/30,0)</f>
        <v>3</v>
      </c>
      <c r="K469" s="338" t="s">
        <v>95</v>
      </c>
      <c r="L469" s="339" t="n">
        <v>2</v>
      </c>
      <c r="M469" s="340"/>
      <c r="N469" s="341"/>
      <c r="O469" s="337" t="s">
        <v>265</v>
      </c>
      <c r="P469" s="337"/>
      <c r="Q469" s="342" t="n">
        <v>0.0019363</v>
      </c>
      <c r="R469" s="343" t="s">
        <v>265</v>
      </c>
      <c r="S469" s="344" t="n">
        <v>0.0028</v>
      </c>
      <c r="T469" s="343"/>
      <c r="U469" s="344"/>
      <c r="V469" s="344" t="n">
        <v>0.005469</v>
      </c>
      <c r="W469" s="344" t="n">
        <v>0.000109</v>
      </c>
      <c r="X469" s="344" t="n">
        <v>0.00486</v>
      </c>
      <c r="Y469" s="344" t="n">
        <v>0</v>
      </c>
      <c r="Z469" s="344" t="n">
        <v>0.002</v>
      </c>
      <c r="AA469" s="344" t="n">
        <v>0.002</v>
      </c>
      <c r="AB469" s="345" t="n">
        <f aca="false">S469-Z469</f>
        <v>0.0008</v>
      </c>
      <c r="AC469" s="345" t="n">
        <f aca="false">U469-Z469-AA469</f>
        <v>-0.004</v>
      </c>
      <c r="AD469" s="346" t="n">
        <v>0.0005</v>
      </c>
      <c r="AE469" s="347" t="n">
        <f aca="false">IF(Y469="","",Y469)</f>
        <v>0</v>
      </c>
      <c r="AF469" s="347" t="n">
        <f aca="false">AD469-AE469</f>
        <v>0.0005</v>
      </c>
      <c r="AG469" s="348" t="n">
        <f aca="false">IF(AF469="","",AE469+AF469)</f>
        <v>0.0005</v>
      </c>
      <c r="AH469" s="349" t="n">
        <v>43929</v>
      </c>
      <c r="AI469" s="350" t="n">
        <v>1</v>
      </c>
      <c r="AJ469" s="351" t="str">
        <f aca="false">IF(AG469="","N","Y")</f>
        <v>Y</v>
      </c>
      <c r="AK469" s="352" t="s">
        <v>609</v>
      </c>
      <c r="AL469" s="353"/>
    </row>
    <row r="470" s="354" customFormat="true" ht="20.25" hidden="false" customHeight="true" outlineLevel="0" collapsed="false">
      <c r="A470" s="335" t="n">
        <f aca="false">IF(B470="","",IF((YEAR(B470)-YEAR(B469))=0,A469+1,1))</f>
        <v>5</v>
      </c>
      <c r="B470" s="334" t="n">
        <v>44312</v>
      </c>
      <c r="C470" s="335" t="s">
        <v>165</v>
      </c>
      <c r="D470" s="335"/>
      <c r="E470" s="335" t="s">
        <v>611</v>
      </c>
      <c r="F470" s="335" t="s">
        <v>219</v>
      </c>
      <c r="G470" s="336" t="n">
        <v>44312</v>
      </c>
      <c r="H470" s="336" t="n">
        <v>44403</v>
      </c>
      <c r="I470" s="335" t="n">
        <f aca="false">H470-G470</f>
        <v>91</v>
      </c>
      <c r="J470" s="337" t="n">
        <f aca="false">TRUNC(I470/30,0)</f>
        <v>3</v>
      </c>
      <c r="K470" s="338" t="s">
        <v>95</v>
      </c>
      <c r="L470" s="339" t="n">
        <v>1.11</v>
      </c>
      <c r="M470" s="340"/>
      <c r="N470" s="341"/>
      <c r="O470" s="337" t="s">
        <v>265</v>
      </c>
      <c r="P470" s="337"/>
      <c r="Q470" s="342"/>
      <c r="R470" s="343" t="s">
        <v>265</v>
      </c>
      <c r="S470" s="344" t="n">
        <v>0.0025</v>
      </c>
      <c r="T470" s="343"/>
      <c r="U470" s="344"/>
      <c r="V470" s="344" t="n">
        <v>0.005255</v>
      </c>
      <c r="W470" s="344" t="n">
        <v>0.000105</v>
      </c>
      <c r="X470" s="344" t="n">
        <v>0.00465</v>
      </c>
      <c r="Y470" s="344" t="n">
        <v>0</v>
      </c>
      <c r="Z470" s="344" t="n">
        <v>0.002</v>
      </c>
      <c r="AA470" s="344" t="n">
        <v>0.002</v>
      </c>
      <c r="AB470" s="345" t="n">
        <f aca="false">S470-Z470</f>
        <v>0.0005</v>
      </c>
      <c r="AC470" s="345" t="n">
        <f aca="false">U470-Z470-AA470</f>
        <v>-0.004</v>
      </c>
      <c r="AD470" s="346" t="n">
        <v>0.0005</v>
      </c>
      <c r="AE470" s="347" t="n">
        <f aca="false">IF(Y470="","",Y470)</f>
        <v>0</v>
      </c>
      <c r="AF470" s="347" t="n">
        <f aca="false">AD470-AE470</f>
        <v>0.0005</v>
      </c>
      <c r="AG470" s="348" t="n">
        <f aca="false">IF(AF470="","",AE470+AF470)</f>
        <v>0.0005</v>
      </c>
      <c r="AH470" s="349" t="n">
        <v>44312</v>
      </c>
      <c r="AI470" s="350" t="n">
        <v>1</v>
      </c>
      <c r="AJ470" s="351" t="str">
        <f aca="false">IF(AG470="","N","Y")</f>
        <v>Y</v>
      </c>
      <c r="AK470" s="352" t="s">
        <v>604</v>
      </c>
      <c r="AL470" s="353"/>
    </row>
    <row r="471" s="354" customFormat="true" ht="20.25" hidden="false" customHeight="true" outlineLevel="0" collapsed="false">
      <c r="A471" s="335" t="n">
        <f aca="false">IF(B471="","",IF((YEAR(B471)-YEAR(B470))=0,A470+1,1))</f>
        <v>6</v>
      </c>
      <c r="B471" s="334" t="n">
        <v>44364</v>
      </c>
      <c r="C471" s="335" t="s">
        <v>209</v>
      </c>
      <c r="D471" s="335"/>
      <c r="E471" s="335" t="s">
        <v>614</v>
      </c>
      <c r="F471" s="335" t="s">
        <v>600</v>
      </c>
      <c r="G471" s="336" t="n">
        <v>44364</v>
      </c>
      <c r="H471" s="336" t="n">
        <v>44456</v>
      </c>
      <c r="I471" s="335" t="n">
        <f aca="false">H471-G471</f>
        <v>92</v>
      </c>
      <c r="J471" s="337" t="n">
        <f aca="false">TRUNC(I471/30,0)</f>
        <v>3</v>
      </c>
      <c r="K471" s="338" t="s">
        <v>95</v>
      </c>
      <c r="L471" s="339" t="n">
        <v>2.5</v>
      </c>
      <c r="M471" s="340"/>
      <c r="N471" s="341"/>
      <c r="O471" s="337" t="s">
        <v>265</v>
      </c>
      <c r="P471" s="337"/>
      <c r="Q471" s="342"/>
      <c r="R471" s="343" t="s">
        <v>265</v>
      </c>
      <c r="S471" s="344" t="n">
        <v>0.002</v>
      </c>
      <c r="T471" s="355" t="s">
        <v>300</v>
      </c>
      <c r="U471" s="356" t="n">
        <v>0.007</v>
      </c>
      <c r="V471" s="344" t="n">
        <v>0.004754</v>
      </c>
      <c r="W471" s="344" t="n">
        <v>9.5E-005</v>
      </c>
      <c r="X471" s="344" t="n">
        <v>0.004359</v>
      </c>
      <c r="Y471" s="344" t="n">
        <v>0</v>
      </c>
      <c r="Z471" s="344" t="n">
        <v>0.002</v>
      </c>
      <c r="AA471" s="344" t="n">
        <v>0.002</v>
      </c>
      <c r="AB471" s="345" t="n">
        <f aca="false">S471-Z471</f>
        <v>0</v>
      </c>
      <c r="AC471" s="345" t="n">
        <f aca="false">U471-Z471-AA471</f>
        <v>0.003</v>
      </c>
      <c r="AD471" s="346" t="n">
        <v>0.0003</v>
      </c>
      <c r="AE471" s="347" t="n">
        <f aca="false">IF(Y471="","",Y471)</f>
        <v>0</v>
      </c>
      <c r="AF471" s="347" t="n">
        <f aca="false">AD471-AE471</f>
        <v>0.0003</v>
      </c>
      <c r="AG471" s="348" t="n">
        <f aca="false">IF(AF471="","",AE471+AF471)</f>
        <v>0.0003</v>
      </c>
      <c r="AH471" s="349" t="n">
        <v>44364</v>
      </c>
      <c r="AI471" s="350" t="n">
        <v>1</v>
      </c>
      <c r="AJ471" s="351" t="str">
        <f aca="false">IF(AG471="","N","Y")</f>
        <v>Y</v>
      </c>
      <c r="AK471" s="352" t="s">
        <v>615</v>
      </c>
      <c r="AL471" s="353"/>
    </row>
    <row r="472" s="354" customFormat="true" ht="23.25" hidden="false" customHeight="true" outlineLevel="0" collapsed="false">
      <c r="A472" s="335" t="n">
        <f aca="false">IF(B472="","",IF((YEAR(B472)-YEAR(B471))=0,A471+1,1))</f>
        <v>7</v>
      </c>
      <c r="B472" s="334" t="n">
        <v>44399</v>
      </c>
      <c r="C472" s="335" t="s">
        <v>616</v>
      </c>
      <c r="D472" s="335"/>
      <c r="E472" s="335" t="s">
        <v>611</v>
      </c>
      <c r="F472" s="335" t="s">
        <v>219</v>
      </c>
      <c r="G472" s="336" t="n">
        <v>44403</v>
      </c>
      <c r="H472" s="336" t="n">
        <v>44495</v>
      </c>
      <c r="I472" s="335" t="n">
        <f aca="false">H472-G472</f>
        <v>92</v>
      </c>
      <c r="J472" s="337" t="n">
        <f aca="false">TRUNC(I472/30,0)</f>
        <v>3</v>
      </c>
      <c r="K472" s="338" t="s">
        <v>95</v>
      </c>
      <c r="L472" s="339" t="n">
        <v>1.11</v>
      </c>
      <c r="M472" s="340" t="n">
        <v>0.03313</v>
      </c>
      <c r="N472" s="341"/>
      <c r="O472" s="337" t="s">
        <v>265</v>
      </c>
      <c r="P472" s="337"/>
      <c r="Q472" s="342"/>
      <c r="R472" s="343" t="s">
        <v>265</v>
      </c>
      <c r="S472" s="344" t="n">
        <v>0.002</v>
      </c>
      <c r="T472" s="343" t="s">
        <v>300</v>
      </c>
      <c r="U472" s="344" t="n">
        <v>0.007</v>
      </c>
      <c r="V472" s="344" t="n">
        <v>0.004759</v>
      </c>
      <c r="W472" s="344" t="n">
        <v>9.5E-005</v>
      </c>
      <c r="X472" s="344" t="n">
        <v>0.004364</v>
      </c>
      <c r="Y472" s="344" t="n">
        <v>0</v>
      </c>
      <c r="Z472" s="344" t="n">
        <v>0.002</v>
      </c>
      <c r="AA472" s="344" t="n">
        <v>0.002</v>
      </c>
      <c r="AB472" s="345" t="n">
        <f aca="false">S472-Z472</f>
        <v>0</v>
      </c>
      <c r="AC472" s="345" t="n">
        <f aca="false">U472-Z472-AA472</f>
        <v>0.003</v>
      </c>
      <c r="AD472" s="346" t="n">
        <v>0.0003</v>
      </c>
      <c r="AE472" s="347" t="n">
        <f aca="false">IF(Y472="","",Y472)</f>
        <v>0</v>
      </c>
      <c r="AF472" s="347" t="n">
        <f aca="false">AD472-AE472</f>
        <v>0.0003</v>
      </c>
      <c r="AG472" s="348" t="n">
        <f aca="false">IF(AF472="","",AE472+AF472)</f>
        <v>0.0003</v>
      </c>
      <c r="AH472" s="349" t="n">
        <v>44403</v>
      </c>
      <c r="AI472" s="350" t="n">
        <v>3</v>
      </c>
      <c r="AJ472" s="351" t="str">
        <f aca="false">IF(AG472="","N","Y")</f>
        <v>Y</v>
      </c>
      <c r="AK472" s="352" t="s">
        <v>617</v>
      </c>
      <c r="AL472" s="353"/>
    </row>
    <row r="473" s="354" customFormat="true" ht="23.25" hidden="false" customHeight="true" outlineLevel="0" collapsed="false">
      <c r="A473" s="335" t="n">
        <f aca="false">IF(B473="","",IF((YEAR(B473)-YEAR(B472))=0,A472+1,1))</f>
        <v>8</v>
      </c>
      <c r="B473" s="334" t="n">
        <v>44445</v>
      </c>
      <c r="C473" s="335" t="s">
        <v>100</v>
      </c>
      <c r="D473" s="335"/>
      <c r="E473" s="335" t="s">
        <v>618</v>
      </c>
      <c r="F473" s="335" t="s">
        <v>619</v>
      </c>
      <c r="G473" s="336" t="n">
        <v>44445</v>
      </c>
      <c r="H473" s="336" t="n">
        <v>44536</v>
      </c>
      <c r="I473" s="335" t="n">
        <f aca="false">H473-G473</f>
        <v>91</v>
      </c>
      <c r="J473" s="337" t="n">
        <f aca="false">TRUNC(I473/30,0)</f>
        <v>3</v>
      </c>
      <c r="K473" s="338" t="s">
        <v>95</v>
      </c>
      <c r="L473" s="339" t="n">
        <v>1.2</v>
      </c>
      <c r="M473" s="340" t="n">
        <v>0.03313</v>
      </c>
      <c r="N473" s="341"/>
      <c r="O473" s="337" t="s">
        <v>265</v>
      </c>
      <c r="P473" s="337"/>
      <c r="Q473" s="342" t="n">
        <v>0.001155</v>
      </c>
      <c r="R473" s="343" t="s">
        <v>265</v>
      </c>
      <c r="S473" s="344" t="n">
        <v>0.0018</v>
      </c>
      <c r="T473" s="343" t="s">
        <v>300</v>
      </c>
      <c r="U473" s="356" t="n">
        <v>0.0069</v>
      </c>
      <c r="V473" s="344" t="n">
        <v>0.004674</v>
      </c>
      <c r="W473" s="344" t="n">
        <v>9.3E-005</v>
      </c>
      <c r="X473" s="344" t="n">
        <v>0.004281</v>
      </c>
      <c r="Y473" s="344" t="n">
        <v>0</v>
      </c>
      <c r="Z473" s="344" t="n">
        <v>0.002</v>
      </c>
      <c r="AA473" s="344" t="n">
        <v>0.002</v>
      </c>
      <c r="AB473" s="345" t="n">
        <f aca="false">S473-Z473</f>
        <v>-0.0002</v>
      </c>
      <c r="AC473" s="345" t="n">
        <f aca="false">U473-Z473-AA473</f>
        <v>0.0029</v>
      </c>
      <c r="AD473" s="346" t="n">
        <v>0.0003</v>
      </c>
      <c r="AE473" s="347" t="n">
        <f aca="false">IF(Y473="","",Y473)</f>
        <v>0</v>
      </c>
      <c r="AF473" s="347" t="n">
        <f aca="false">AD473-AE473</f>
        <v>0.0003</v>
      </c>
      <c r="AG473" s="348" t="n">
        <f aca="false">IF(AF473="","",AE473+AF473)</f>
        <v>0.0003</v>
      </c>
      <c r="AH473" s="349" t="n">
        <v>44445</v>
      </c>
      <c r="AI473" s="350" t="n">
        <v>1</v>
      </c>
      <c r="AJ473" s="351" t="str">
        <f aca="false">IF(AG473="","N","Y")</f>
        <v>Y</v>
      </c>
      <c r="AK473" s="352" t="s">
        <v>620</v>
      </c>
      <c r="AL473" s="353"/>
    </row>
    <row r="474" s="354" customFormat="true" ht="20.25" hidden="false" customHeight="true" outlineLevel="0" collapsed="false">
      <c r="A474" s="335" t="n">
        <f aca="false">IF(B474="","",IF((YEAR(B474)-YEAR(B473))=0,A473+1,1))</f>
        <v>9</v>
      </c>
      <c r="B474" s="334" t="n">
        <v>44456</v>
      </c>
      <c r="C474" s="335" t="s">
        <v>209</v>
      </c>
      <c r="D474" s="335"/>
      <c r="E474" s="335" t="s">
        <v>580</v>
      </c>
      <c r="F474" s="335" t="s">
        <v>600</v>
      </c>
      <c r="G474" s="336" t="n">
        <v>44456</v>
      </c>
      <c r="H474" s="336" t="n">
        <v>44547</v>
      </c>
      <c r="I474" s="335" t="n">
        <f aca="false">H474-G474</f>
        <v>91</v>
      </c>
      <c r="J474" s="337" t="n">
        <f aca="false">TRUNC(I474/30,0)</f>
        <v>3</v>
      </c>
      <c r="K474" s="338" t="s">
        <v>95</v>
      </c>
      <c r="L474" s="339" t="n">
        <v>2.5</v>
      </c>
      <c r="M474" s="340"/>
      <c r="N474" s="341"/>
      <c r="O474" s="337" t="s">
        <v>265</v>
      </c>
      <c r="P474" s="337"/>
      <c r="Q474" s="342"/>
      <c r="R474" s="343" t="s">
        <v>265</v>
      </c>
      <c r="S474" s="344" t="n">
        <v>0.002</v>
      </c>
      <c r="T474" s="355" t="s">
        <v>300</v>
      </c>
      <c r="U474" s="356" t="n">
        <v>0.0069</v>
      </c>
      <c r="V474" s="344" t="n">
        <v>0.004698</v>
      </c>
      <c r="W474" s="344" t="n">
        <v>9.4E-005</v>
      </c>
      <c r="X474" s="344" t="n">
        <v>0.004304</v>
      </c>
      <c r="Y474" s="344" t="n">
        <v>0</v>
      </c>
      <c r="Z474" s="344" t="n">
        <v>0.002</v>
      </c>
      <c r="AA474" s="344" t="n">
        <v>0.002</v>
      </c>
      <c r="AB474" s="345" t="n">
        <f aca="false">S474-Z474</f>
        <v>0</v>
      </c>
      <c r="AC474" s="345" t="n">
        <f aca="false">U474-Z474-AA474</f>
        <v>0.0029</v>
      </c>
      <c r="AD474" s="346" t="n">
        <v>0.0003</v>
      </c>
      <c r="AE474" s="347" t="n">
        <f aca="false">IF(Y474="","",Y474)</f>
        <v>0</v>
      </c>
      <c r="AF474" s="347" t="n">
        <f aca="false">AD474-AE474</f>
        <v>0.0003</v>
      </c>
      <c r="AG474" s="348" t="n">
        <f aca="false">IF(AF474="","",AE474+AF474)</f>
        <v>0.0003</v>
      </c>
      <c r="AH474" s="349" t="n">
        <v>44456</v>
      </c>
      <c r="AI474" s="350" t="n">
        <v>1</v>
      </c>
      <c r="AJ474" s="351" t="str">
        <f aca="false">IF(AG474="","N","Y")</f>
        <v>Y</v>
      </c>
      <c r="AK474" s="352" t="s">
        <v>621</v>
      </c>
      <c r="AL474" s="353"/>
    </row>
    <row r="475" s="354" customFormat="true" ht="23.25" hidden="false" customHeight="true" outlineLevel="0" collapsed="false">
      <c r="A475" s="335" t="n">
        <f aca="false">IF(B475="","",IF((YEAR(B475)-YEAR(B474))=0,A474+1,1))</f>
        <v>10</v>
      </c>
      <c r="B475" s="334" t="n">
        <v>44495</v>
      </c>
      <c r="C475" s="335" t="s">
        <v>616</v>
      </c>
      <c r="D475" s="335"/>
      <c r="E475" s="335" t="s">
        <v>611</v>
      </c>
      <c r="F475" s="335" t="s">
        <v>219</v>
      </c>
      <c r="G475" s="336" t="n">
        <v>44495</v>
      </c>
      <c r="H475" s="336" t="n">
        <v>44587</v>
      </c>
      <c r="I475" s="335" t="n">
        <f aca="false">H475-G475</f>
        <v>92</v>
      </c>
      <c r="J475" s="337" t="n">
        <f aca="false">TRUNC(I475/30,0)</f>
        <v>3</v>
      </c>
      <c r="K475" s="338" t="s">
        <v>95</v>
      </c>
      <c r="L475" s="339" t="n">
        <v>1.11</v>
      </c>
      <c r="M475" s="340" t="n">
        <v>0.03313</v>
      </c>
      <c r="N475" s="341"/>
      <c r="O475" s="337" t="s">
        <v>265</v>
      </c>
      <c r="P475" s="337"/>
      <c r="Q475" s="342"/>
      <c r="R475" s="343" t="s">
        <v>265</v>
      </c>
      <c r="S475" s="344" t="n">
        <v>0.002</v>
      </c>
      <c r="T475" s="343" t="s">
        <v>300</v>
      </c>
      <c r="U475" s="356" t="n">
        <v>0.0069</v>
      </c>
      <c r="V475" s="344" t="n">
        <v>0.004757</v>
      </c>
      <c r="W475" s="344" t="n">
        <v>9.5E-005</v>
      </c>
      <c r="X475" s="344" t="n">
        <v>0.004362</v>
      </c>
      <c r="Y475" s="344" t="n">
        <v>0</v>
      </c>
      <c r="Z475" s="344" t="n">
        <v>0.002</v>
      </c>
      <c r="AA475" s="344" t="n">
        <v>0.002</v>
      </c>
      <c r="AB475" s="345" t="n">
        <f aca="false">S475-Z475</f>
        <v>0</v>
      </c>
      <c r="AC475" s="345" t="n">
        <f aca="false">U475-Z475-AA475</f>
        <v>0.0029</v>
      </c>
      <c r="AD475" s="346" t="n">
        <v>0.0003</v>
      </c>
      <c r="AE475" s="347" t="n">
        <f aca="false">IF(Y475="","",Y475)</f>
        <v>0</v>
      </c>
      <c r="AF475" s="347" t="n">
        <f aca="false">AD475-AE475</f>
        <v>0.0003</v>
      </c>
      <c r="AG475" s="348" t="n">
        <f aca="false">IF(AF475="","",AE475+AF475)</f>
        <v>0.0003</v>
      </c>
      <c r="AH475" s="349" t="n">
        <v>44495</v>
      </c>
      <c r="AI475" s="350" t="n">
        <v>1</v>
      </c>
      <c r="AJ475" s="351" t="str">
        <f aca="false">IF(AG475="","N","Y")</f>
        <v>Y</v>
      </c>
      <c r="AK475" s="352" t="s">
        <v>622</v>
      </c>
      <c r="AL475" s="353"/>
    </row>
    <row r="476" s="354" customFormat="true" ht="20.25" hidden="false" customHeight="true" outlineLevel="0" collapsed="false">
      <c r="A476" s="335" t="n">
        <f aca="false">IF(B476="","",IF((YEAR(B476)-YEAR(B475))=0,A475+1,1))</f>
        <v>11</v>
      </c>
      <c r="B476" s="334" t="n">
        <v>44547</v>
      </c>
      <c r="C476" s="335" t="s">
        <v>209</v>
      </c>
      <c r="D476" s="335"/>
      <c r="E476" s="335" t="s">
        <v>614</v>
      </c>
      <c r="F476" s="335" t="s">
        <v>600</v>
      </c>
      <c r="G476" s="336" t="n">
        <v>44547</v>
      </c>
      <c r="H476" s="336" t="n">
        <v>44637</v>
      </c>
      <c r="I476" s="335" t="n">
        <f aca="false">H476-G476</f>
        <v>90</v>
      </c>
      <c r="J476" s="337" t="n">
        <f aca="false">TRUNC(I476/30,0)</f>
        <v>3</v>
      </c>
      <c r="K476" s="338" t="s">
        <v>95</v>
      </c>
      <c r="L476" s="339" t="n">
        <v>2.5</v>
      </c>
      <c r="M476" s="340"/>
      <c r="N476" s="341"/>
      <c r="O476" s="337" t="s">
        <v>265</v>
      </c>
      <c r="P476" s="337"/>
      <c r="Q476" s="342"/>
      <c r="R476" s="343" t="s">
        <v>265</v>
      </c>
      <c r="S476" s="344" t="n">
        <v>0.002</v>
      </c>
      <c r="T476" s="355" t="s">
        <v>300</v>
      </c>
      <c r="U476" s="356" t="n">
        <v>0.0069</v>
      </c>
      <c r="V476" s="344" t="n">
        <v>0.005633</v>
      </c>
      <c r="W476" s="344" t="n">
        <v>0.000113</v>
      </c>
      <c r="X476" s="344" t="n">
        <v>0.00522</v>
      </c>
      <c r="Y476" s="344" t="n">
        <v>0</v>
      </c>
      <c r="Z476" s="344" t="n">
        <v>0.002</v>
      </c>
      <c r="AA476" s="344" t="n">
        <v>0.002</v>
      </c>
      <c r="AB476" s="345" t="n">
        <f aca="false">S476-Z476</f>
        <v>0</v>
      </c>
      <c r="AC476" s="345" t="n">
        <f aca="false">U476-Z476-AA476</f>
        <v>0.0029</v>
      </c>
      <c r="AD476" s="346" t="n">
        <v>0.0003</v>
      </c>
      <c r="AE476" s="347" t="n">
        <f aca="false">IF(Y476="","",Y476)</f>
        <v>0</v>
      </c>
      <c r="AF476" s="347" t="n">
        <f aca="false">AD476-AE476</f>
        <v>0.0003</v>
      </c>
      <c r="AG476" s="348" t="n">
        <f aca="false">IF(AF476="","",AE476+AF476)</f>
        <v>0.0003</v>
      </c>
      <c r="AH476" s="349" t="n">
        <v>44547</v>
      </c>
      <c r="AI476" s="350" t="n">
        <v>1</v>
      </c>
      <c r="AJ476" s="351" t="str">
        <f aca="false">IF(AG476="","N","Y")</f>
        <v>Y</v>
      </c>
      <c r="AK476" s="352" t="s">
        <v>623</v>
      </c>
      <c r="AL476" s="353"/>
    </row>
    <row r="477" s="354" customFormat="true" ht="23.25" hidden="false" customHeight="true" outlineLevel="0" collapsed="false">
      <c r="A477" s="335" t="n">
        <f aca="false">IF(B477="","",IF((YEAR(B477)-YEAR(B476))=0,A476+1,1))</f>
        <v>1</v>
      </c>
      <c r="B477" s="334" t="n">
        <v>44587</v>
      </c>
      <c r="C477" s="335" t="s">
        <v>616</v>
      </c>
      <c r="D477" s="335"/>
      <c r="E477" s="335" t="s">
        <v>611</v>
      </c>
      <c r="F477" s="335" t="s">
        <v>219</v>
      </c>
      <c r="G477" s="336" t="n">
        <v>44587</v>
      </c>
      <c r="H477" s="336" t="n">
        <v>44677</v>
      </c>
      <c r="I477" s="335" t="n">
        <f aca="false">H477-G477</f>
        <v>90</v>
      </c>
      <c r="J477" s="337" t="n">
        <f aca="false">TRUNC(I477/30,0)</f>
        <v>3</v>
      </c>
      <c r="K477" s="338" t="s">
        <v>95</v>
      </c>
      <c r="L477" s="339" t="n">
        <v>1.11</v>
      </c>
      <c r="M477" s="340" t="n">
        <v>0.16</v>
      </c>
      <c r="N477" s="341" t="s">
        <v>624</v>
      </c>
      <c r="O477" s="337" t="s">
        <v>265</v>
      </c>
      <c r="P477" s="342" t="n">
        <v>0.0016527</v>
      </c>
      <c r="Q477" s="342" t="n">
        <v>0.0026757</v>
      </c>
      <c r="R477" s="343" t="s">
        <v>265</v>
      </c>
      <c r="S477" s="344" t="n">
        <v>0.003</v>
      </c>
      <c r="T477" s="343" t="s">
        <v>300</v>
      </c>
      <c r="U477" s="356"/>
      <c r="V477" s="344" t="n">
        <v>0.005149</v>
      </c>
      <c r="W477" s="344" t="n">
        <v>0.000103</v>
      </c>
      <c r="X477" s="344" t="n">
        <v>0.004046</v>
      </c>
      <c r="Y477" s="344" t="n">
        <v>0</v>
      </c>
      <c r="Z477" s="344" t="n">
        <v>0.002</v>
      </c>
      <c r="AA477" s="344" t="n">
        <v>0.002</v>
      </c>
      <c r="AB477" s="345" t="n">
        <f aca="false">S477-Z477</f>
        <v>0.001</v>
      </c>
      <c r="AC477" s="345" t="n">
        <f aca="false">U477-Z477-AA477</f>
        <v>-0.004</v>
      </c>
      <c r="AD477" s="346" t="n">
        <v>0.001</v>
      </c>
      <c r="AE477" s="347" t="n">
        <f aca="false">IF(Y477="","",Y477)</f>
        <v>0</v>
      </c>
      <c r="AF477" s="347" t="n">
        <f aca="false">AD477-AE477</f>
        <v>0.001</v>
      </c>
      <c r="AG477" s="348" t="n">
        <f aca="false">IF(AF477="","",AE477+AF477)</f>
        <v>0.001</v>
      </c>
      <c r="AH477" s="349" t="n">
        <v>44587</v>
      </c>
      <c r="AI477" s="350" t="n">
        <v>1</v>
      </c>
      <c r="AJ477" s="351" t="str">
        <f aca="false">IF(AG477="","N","Y")</f>
        <v>Y</v>
      </c>
      <c r="AK477" s="352" t="s">
        <v>610</v>
      </c>
      <c r="AL477" s="353"/>
    </row>
    <row r="478" s="354" customFormat="true" ht="23.25" hidden="false" customHeight="true" outlineLevel="0" collapsed="false">
      <c r="A478" s="335" t="n">
        <f aca="false">IF(B478="","",IF((YEAR(B478)-YEAR(B477))=0,A477+1,1))</f>
        <v>2</v>
      </c>
      <c r="B478" s="334" t="n">
        <v>44627</v>
      </c>
      <c r="C478" s="335" t="s">
        <v>100</v>
      </c>
      <c r="D478" s="335"/>
      <c r="E478" s="335" t="s">
        <v>625</v>
      </c>
      <c r="F478" s="335" t="s">
        <v>619</v>
      </c>
      <c r="G478" s="336" t="n">
        <v>44627</v>
      </c>
      <c r="H478" s="336" t="n">
        <v>44719</v>
      </c>
      <c r="I478" s="335" t="n">
        <f aca="false">H478-G478</f>
        <v>92</v>
      </c>
      <c r="J478" s="337" t="n">
        <f aca="false">TRUNC(I478/30,0)</f>
        <v>3</v>
      </c>
      <c r="K478" s="338" t="s">
        <v>95</v>
      </c>
      <c r="L478" s="339" t="n">
        <v>1.2</v>
      </c>
      <c r="M478" s="340" t="n">
        <v>0.34</v>
      </c>
      <c r="N478" s="341" t="s">
        <v>626</v>
      </c>
      <c r="O478" s="337" t="s">
        <v>265</v>
      </c>
      <c r="P478" s="342" t="n">
        <v>0.0040935</v>
      </c>
      <c r="Q478" s="342" t="n">
        <v>0.0061014</v>
      </c>
      <c r="R478" s="343" t="s">
        <v>265</v>
      </c>
      <c r="S478" s="344" t="n">
        <v>0.0055</v>
      </c>
      <c r="T478" s="343" t="s">
        <v>300</v>
      </c>
      <c r="U478" s="356"/>
      <c r="V478" s="344" t="n">
        <v>0.00762</v>
      </c>
      <c r="W478" s="344" t="n">
        <v>0.000152</v>
      </c>
      <c r="X478" s="344" t="n">
        <v>0.005468</v>
      </c>
      <c r="Y478" s="344" t="n">
        <v>0.001111</v>
      </c>
      <c r="Z478" s="344" t="n">
        <v>0.002</v>
      </c>
      <c r="AA478" s="344" t="n">
        <v>0.002</v>
      </c>
      <c r="AB478" s="345" t="n">
        <f aca="false">S478-Z478</f>
        <v>0.0035</v>
      </c>
      <c r="AC478" s="345" t="n">
        <f aca="false">U478-Z478-AA478</f>
        <v>-0.004</v>
      </c>
      <c r="AD478" s="346" t="n">
        <v>0.002</v>
      </c>
      <c r="AE478" s="347" t="n">
        <f aca="false">IF(Y478="","",Y478)</f>
        <v>0.001111</v>
      </c>
      <c r="AF478" s="347" t="n">
        <f aca="false">AD478-AE478</f>
        <v>0.000889</v>
      </c>
      <c r="AG478" s="348" t="n">
        <f aca="false">IF(AF478="","",AE478+AF478)</f>
        <v>0.002</v>
      </c>
      <c r="AH478" s="349" t="n">
        <v>44627</v>
      </c>
      <c r="AI478" s="350" t="n">
        <v>2</v>
      </c>
      <c r="AJ478" s="351" t="str">
        <f aca="false">IF(AG478="","N","Y")</f>
        <v>Y</v>
      </c>
      <c r="AK478" s="352" t="s">
        <v>627</v>
      </c>
      <c r="AL478" s="353"/>
    </row>
    <row r="479" s="354" customFormat="true" ht="20.25" hidden="false" customHeight="true" outlineLevel="0" collapsed="false">
      <c r="A479" s="335" t="n">
        <f aca="false">IF(B479="","",IF((YEAR(B479)-YEAR(B478))=0,A478+1,1))</f>
        <v>3</v>
      </c>
      <c r="B479" s="334" t="n">
        <v>44637</v>
      </c>
      <c r="C479" s="335" t="s">
        <v>209</v>
      </c>
      <c r="D479" s="335"/>
      <c r="E479" s="335" t="s">
        <v>614</v>
      </c>
      <c r="F479" s="335" t="s">
        <v>600</v>
      </c>
      <c r="G479" s="336" t="n">
        <v>44637</v>
      </c>
      <c r="H479" s="336" t="n">
        <v>44719</v>
      </c>
      <c r="I479" s="335" t="n">
        <f aca="false">H479-G479</f>
        <v>82</v>
      </c>
      <c r="J479" s="337" t="n">
        <f aca="false">TRUNC(I479/30,0)</f>
        <v>2</v>
      </c>
      <c r="K479" s="338" t="s">
        <v>95</v>
      </c>
      <c r="L479" s="339" t="n">
        <v>2.5</v>
      </c>
      <c r="M479" s="340" t="n">
        <v>0.57</v>
      </c>
      <c r="N479" s="341" t="s">
        <v>628</v>
      </c>
      <c r="O479" s="337" t="s">
        <v>265</v>
      </c>
      <c r="P479" s="342" t="n">
        <v>0.0053975</v>
      </c>
      <c r="Q479" s="342" t="n">
        <v>0.0094814</v>
      </c>
      <c r="R479" s="343" t="s">
        <v>265</v>
      </c>
      <c r="S479" s="344" t="n">
        <v>0.0085</v>
      </c>
      <c r="T479" s="355" t="s">
        <v>300</v>
      </c>
      <c r="U479" s="356"/>
      <c r="V479" s="344" t="n">
        <v>0.008681</v>
      </c>
      <c r="W479" s="344" t="n">
        <v>0.000174</v>
      </c>
      <c r="X479" s="344" t="n">
        <v>0.003507</v>
      </c>
      <c r="Y479" s="344" t="n">
        <v>0.002389</v>
      </c>
      <c r="Z479" s="344" t="n">
        <v>0.002</v>
      </c>
      <c r="AA479" s="344" t="n">
        <v>0.002</v>
      </c>
      <c r="AB479" s="345" t="n">
        <f aca="false">S479-Z479</f>
        <v>0.0065</v>
      </c>
      <c r="AC479" s="345" t="n">
        <f aca="false">U479-Z479-AA479</f>
        <v>-0.004</v>
      </c>
      <c r="AD479" s="346" t="n">
        <v>0.005</v>
      </c>
      <c r="AE479" s="347" t="n">
        <f aca="false">IF(Y479="","",Y479)</f>
        <v>0.002389</v>
      </c>
      <c r="AF479" s="347" t="n">
        <f aca="false">AD479-AE479</f>
        <v>0.002611</v>
      </c>
      <c r="AG479" s="348" t="n">
        <f aca="false">IF(AF479="","",AE479+AF479)</f>
        <v>0.005</v>
      </c>
      <c r="AH479" s="349" t="n">
        <v>44637</v>
      </c>
      <c r="AI479" s="350" t="n">
        <v>1</v>
      </c>
      <c r="AJ479" s="351" t="str">
        <f aca="false">IF(AG479="","N","Y")</f>
        <v>Y</v>
      </c>
      <c r="AK479" s="352" t="s">
        <v>629</v>
      </c>
      <c r="AL479" s="353"/>
    </row>
    <row r="480" s="354" customFormat="true" ht="23.25" hidden="false" customHeight="true" outlineLevel="0" collapsed="false">
      <c r="A480" s="335" t="n">
        <f aca="false">IF(B480="","",IF((YEAR(B480)-YEAR(B479))=0,A479+1,1))</f>
        <v>4</v>
      </c>
      <c r="B480" s="334" t="n">
        <v>44638</v>
      </c>
      <c r="C480" s="335" t="s">
        <v>616</v>
      </c>
      <c r="D480" s="335"/>
      <c r="E480" s="335" t="s">
        <v>630</v>
      </c>
      <c r="F480" s="335" t="s">
        <v>631</v>
      </c>
      <c r="G480" s="336" t="n">
        <v>44638</v>
      </c>
      <c r="H480" s="336" t="n">
        <v>44673</v>
      </c>
      <c r="I480" s="335" t="n">
        <f aca="false">H480-G480</f>
        <v>35</v>
      </c>
      <c r="J480" s="337" t="n">
        <f aca="false">TRUNC(I480/30,0)</f>
        <v>1</v>
      </c>
      <c r="K480" s="338" t="s">
        <v>95</v>
      </c>
      <c r="L480" s="339" t="n">
        <v>1.5</v>
      </c>
      <c r="M480" s="340" t="n">
        <v>0.27</v>
      </c>
      <c r="N480" s="341" t="s">
        <v>632</v>
      </c>
      <c r="O480" s="337" t="s">
        <v>255</v>
      </c>
      <c r="P480" s="342" t="n">
        <v>0.0032979</v>
      </c>
      <c r="Q480" s="342" t="n">
        <v>0.0044857</v>
      </c>
      <c r="R480" s="343" t="s">
        <v>255</v>
      </c>
      <c r="S480" s="344" t="n">
        <v>0.006</v>
      </c>
      <c r="T480" s="343" t="s">
        <v>255</v>
      </c>
      <c r="U480" s="344"/>
      <c r="V480" s="344" t="n">
        <v>0.006079</v>
      </c>
      <c r="W480" s="344" t="n">
        <v>0.000122</v>
      </c>
      <c r="X480" s="344" t="n">
        <v>0.002958</v>
      </c>
      <c r="Y480" s="344" t="n">
        <v>0</v>
      </c>
      <c r="Z480" s="344" t="n">
        <v>0.002</v>
      </c>
      <c r="AA480" s="344" t="n">
        <v>0.002</v>
      </c>
      <c r="AB480" s="345" t="n">
        <f aca="false">S480-Z480</f>
        <v>0.004</v>
      </c>
      <c r="AC480" s="345" t="n">
        <f aca="false">U480-Z480-AA480</f>
        <v>-0.004</v>
      </c>
      <c r="AD480" s="346" t="n">
        <v>0.003</v>
      </c>
      <c r="AE480" s="347" t="n">
        <f aca="false">IF(Y480="","",Y480)</f>
        <v>0</v>
      </c>
      <c r="AF480" s="347" t="n">
        <f aca="false">AD480-AE480</f>
        <v>0.003</v>
      </c>
      <c r="AG480" s="348" t="n">
        <f aca="false">IF(AF480="","",AE480+AF480)</f>
        <v>0.003</v>
      </c>
      <c r="AH480" s="349" t="n">
        <v>44638</v>
      </c>
      <c r="AI480" s="350" t="n">
        <v>1</v>
      </c>
      <c r="AJ480" s="351" t="str">
        <f aca="false">IF(AG480="","N","Y")</f>
        <v>Y</v>
      </c>
      <c r="AK480" s="352" t="s">
        <v>633</v>
      </c>
      <c r="AL480" s="353"/>
    </row>
    <row r="481" s="354" customFormat="true" ht="20.25" hidden="false" customHeight="true" outlineLevel="0" collapsed="false">
      <c r="A481" s="335" t="n">
        <f aca="false">IF(B481="","",IF((YEAR(B481)-YEAR(B480))=0,A480+1,1))</f>
        <v>5</v>
      </c>
      <c r="B481" s="334" t="n">
        <v>44641</v>
      </c>
      <c r="C481" s="335" t="s">
        <v>597</v>
      </c>
      <c r="D481" s="335" t="s">
        <v>634</v>
      </c>
      <c r="E481" s="335" t="s">
        <v>635</v>
      </c>
      <c r="F481" s="335" t="s">
        <v>115</v>
      </c>
      <c r="G481" s="336" t="n">
        <v>44641</v>
      </c>
      <c r="H481" s="336" t="n">
        <v>44733</v>
      </c>
      <c r="I481" s="335" t="n">
        <f aca="false">H481-G481</f>
        <v>92</v>
      </c>
      <c r="J481" s="337" t="n">
        <f aca="false">TRUNC(I481/30,0)</f>
        <v>3</v>
      </c>
      <c r="K481" s="338" t="s">
        <v>95</v>
      </c>
      <c r="L481" s="339" t="n">
        <v>1.04</v>
      </c>
      <c r="M481" s="340" t="n">
        <v>0.5</v>
      </c>
      <c r="N481" s="341" t="s">
        <v>636</v>
      </c>
      <c r="O481" s="337" t="s">
        <v>265</v>
      </c>
      <c r="P481" s="342" t="n">
        <v>0.0051604</v>
      </c>
      <c r="Q481" s="342" t="n">
        <v>0.00934</v>
      </c>
      <c r="R481" s="343" t="s">
        <v>255</v>
      </c>
      <c r="S481" s="344" t="n">
        <v>0.008</v>
      </c>
      <c r="T481" s="343" t="s">
        <v>255</v>
      </c>
      <c r="U481" s="344"/>
      <c r="V481" s="344" t="n">
        <v>0.009025</v>
      </c>
      <c r="W481" s="344" t="n">
        <v>0.000181</v>
      </c>
      <c r="X481" s="344" t="n">
        <v>0.003845</v>
      </c>
      <c r="Y481" s="344" t="n">
        <v>0.002157</v>
      </c>
      <c r="Z481" s="344" t="n">
        <v>0.002</v>
      </c>
      <c r="AA481" s="344" t="n">
        <v>0.002</v>
      </c>
      <c r="AB481" s="345" t="n">
        <f aca="false">S481-Z481</f>
        <v>0.006</v>
      </c>
      <c r="AC481" s="345" t="n">
        <f aca="false">U481-Z481-AA481</f>
        <v>-0.004</v>
      </c>
      <c r="AD481" s="346" t="n">
        <v>0.005</v>
      </c>
      <c r="AE481" s="347" t="n">
        <f aca="false">IF(Y481="","",Y481)</f>
        <v>0.002157</v>
      </c>
      <c r="AF481" s="347" t="n">
        <f aca="false">AD481-AE481</f>
        <v>0.002843</v>
      </c>
      <c r="AG481" s="348" t="n">
        <f aca="false">IF(AF481="","",AE481+AF481)</f>
        <v>0.005</v>
      </c>
      <c r="AH481" s="349" t="n">
        <v>44641</v>
      </c>
      <c r="AI481" s="350" t="n">
        <v>1</v>
      </c>
      <c r="AJ481" s="351" t="str">
        <f aca="false">IF(AG481="","N","Y")</f>
        <v>Y</v>
      </c>
      <c r="AK481" s="352" t="s">
        <v>637</v>
      </c>
      <c r="AL481" s="353"/>
    </row>
    <row r="482" s="354" customFormat="true" ht="20.25" hidden="false" customHeight="true" outlineLevel="0" collapsed="false">
      <c r="A482" s="335" t="n">
        <f aca="false">IF(B482="","",IF((YEAR(B482)-YEAR(B481))=0,A481+1,1))</f>
        <v>6</v>
      </c>
      <c r="B482" s="334" t="n">
        <v>44643</v>
      </c>
      <c r="C482" s="335" t="s">
        <v>440</v>
      </c>
      <c r="D482" s="335"/>
      <c r="E482" s="335" t="s">
        <v>638</v>
      </c>
      <c r="F482" s="335" t="s">
        <v>639</v>
      </c>
      <c r="G482" s="336" t="n">
        <v>44643</v>
      </c>
      <c r="H482" s="336" t="n">
        <v>44827</v>
      </c>
      <c r="I482" s="335" t="n">
        <f aca="false">H482-G482</f>
        <v>184</v>
      </c>
      <c r="J482" s="337" t="n">
        <f aca="false">TRUNC(I482/30,0)</f>
        <v>6</v>
      </c>
      <c r="K482" s="338" t="s">
        <v>95</v>
      </c>
      <c r="L482" s="339" t="n">
        <v>1.26</v>
      </c>
      <c r="M482" s="340" t="n">
        <v>0.88</v>
      </c>
      <c r="N482" s="341" t="s">
        <v>640</v>
      </c>
      <c r="O482" s="337" t="s">
        <v>641</v>
      </c>
      <c r="P482" s="342" t="n">
        <v>0.0092879</v>
      </c>
      <c r="Q482" s="342" t="n">
        <v>0.0138457</v>
      </c>
      <c r="R482" s="343" t="s">
        <v>641</v>
      </c>
      <c r="S482" s="344" t="n">
        <v>0.0145</v>
      </c>
      <c r="T482" s="343" t="s">
        <v>641</v>
      </c>
      <c r="U482" s="344"/>
      <c r="V482" s="344" t="n">
        <v>0.012747</v>
      </c>
      <c r="W482" s="344" t="n">
        <v>0.000255</v>
      </c>
      <c r="X482" s="344" t="n">
        <v>0.004992</v>
      </c>
      <c r="Y482" s="344" t="n">
        <v>0.006702</v>
      </c>
      <c r="Z482" s="344" t="n">
        <v>0.002</v>
      </c>
      <c r="AA482" s="344" t="n">
        <v>0.002</v>
      </c>
      <c r="AB482" s="345" t="n">
        <f aca="false">S482-Z482</f>
        <v>0.0125</v>
      </c>
      <c r="AC482" s="345" t="n">
        <f aca="false">U482-Z482-AA482</f>
        <v>-0.004</v>
      </c>
      <c r="AD482" s="346" t="n">
        <v>0.0075</v>
      </c>
      <c r="AE482" s="347" t="n">
        <f aca="false">IF(Y482="","",Y482)</f>
        <v>0.006702</v>
      </c>
      <c r="AF482" s="347" t="n">
        <f aca="false">AD482-AE482</f>
        <v>0.000798</v>
      </c>
      <c r="AG482" s="348" t="n">
        <f aca="false">IF(AF482="","",AE482+AF482)</f>
        <v>0.0075</v>
      </c>
      <c r="AH482" s="349" t="n">
        <v>44643</v>
      </c>
      <c r="AI482" s="350" t="n">
        <v>1</v>
      </c>
      <c r="AJ482" s="351" t="str">
        <f aca="false">IF(AG482="","N","Y")</f>
        <v>Y</v>
      </c>
      <c r="AK482" s="352" t="s">
        <v>642</v>
      </c>
      <c r="AL482" s="353"/>
    </row>
    <row r="483" s="38" customFormat="true" ht="23.25" hidden="false" customHeight="true" outlineLevel="0" collapsed="false">
      <c r="A483" s="19" t="n">
        <f aca="false">IF(B483="","",IF((YEAR(B483)-YEAR(B482))=0,A482+1,1))</f>
        <v>7</v>
      </c>
      <c r="B483" s="141" t="n">
        <v>44677</v>
      </c>
      <c r="C483" s="63" t="s">
        <v>616</v>
      </c>
      <c r="D483" s="19"/>
      <c r="E483" s="63" t="s">
        <v>611</v>
      </c>
      <c r="F483" s="63" t="s">
        <v>219</v>
      </c>
      <c r="G483" s="142" t="n">
        <v>44677</v>
      </c>
      <c r="H483" s="142" t="n">
        <v>44860</v>
      </c>
      <c r="I483" s="19" t="n">
        <f aca="false">H483-G483</f>
        <v>183</v>
      </c>
      <c r="J483" s="149" t="n">
        <f aca="false">TRUNC(I483/30,0)</f>
        <v>6</v>
      </c>
      <c r="K483" s="183" t="s">
        <v>95</v>
      </c>
      <c r="L483" s="146" t="n">
        <v>1.11</v>
      </c>
      <c r="M483" s="147" t="n">
        <v>1.38</v>
      </c>
      <c r="N483" s="148" t="s">
        <v>507</v>
      </c>
      <c r="O483" s="149" t="s">
        <v>641</v>
      </c>
      <c r="P483" s="150" t="n">
        <v>0.015307</v>
      </c>
      <c r="Q483" s="150" t="n">
        <v>0.0181871</v>
      </c>
      <c r="R483" s="151" t="s">
        <v>641</v>
      </c>
      <c r="S483" s="152" t="n">
        <v>0.018</v>
      </c>
      <c r="T483" s="151" t="s">
        <v>300</v>
      </c>
      <c r="U483" s="357"/>
      <c r="V483" s="152" t="n">
        <v>0.018529</v>
      </c>
      <c r="W483" s="152" t="n">
        <v>0.000371</v>
      </c>
      <c r="X483" s="152" t="n">
        <v>0.005159</v>
      </c>
      <c r="Y483" s="152" t="n">
        <v>0.0126</v>
      </c>
      <c r="Z483" s="152" t="n">
        <v>0.002</v>
      </c>
      <c r="AA483" s="152" t="n">
        <v>0.002</v>
      </c>
      <c r="AB483" s="154" t="n">
        <f aca="false">S483-Z483</f>
        <v>0.016</v>
      </c>
      <c r="AC483" s="154" t="n">
        <f aca="false">U483-Z483-AA483</f>
        <v>-0.004</v>
      </c>
      <c r="AD483" s="155" t="n">
        <v>0.013</v>
      </c>
      <c r="AE483" s="153" t="n">
        <f aca="false">IF(Y483="","",Y483)</f>
        <v>0.0126</v>
      </c>
      <c r="AF483" s="153" t="n">
        <f aca="false">AD483-AE483</f>
        <v>0.000399999999999999</v>
      </c>
      <c r="AG483" s="184" t="n">
        <f aca="false">IF(AF483="","",AE483+AF483)</f>
        <v>0.013</v>
      </c>
      <c r="AH483" s="185" t="n">
        <v>44677</v>
      </c>
      <c r="AI483" s="35" t="n">
        <v>1</v>
      </c>
      <c r="AJ483" s="19" t="str">
        <f aca="false">IF(AG483="","N","Y")</f>
        <v>Y</v>
      </c>
      <c r="AK483" s="238" t="s">
        <v>643</v>
      </c>
      <c r="AL483" s="36"/>
    </row>
    <row r="484" s="38" customFormat="true" ht="23.25" hidden="false" customHeight="true" outlineLevel="0" collapsed="false">
      <c r="A484" s="19" t="n">
        <f aca="false">IF(B484="","",IF((YEAR(B484)-YEAR(B483))=0,A483+1,1))</f>
        <v>8</v>
      </c>
      <c r="B484" s="141" t="n">
        <v>44725</v>
      </c>
      <c r="C484" s="63" t="s">
        <v>644</v>
      </c>
      <c r="D484" s="63" t="s">
        <v>645</v>
      </c>
      <c r="E484" s="63" t="s">
        <v>646</v>
      </c>
      <c r="F484" s="63" t="s">
        <v>647</v>
      </c>
      <c r="G484" s="142" t="n">
        <v>44725</v>
      </c>
      <c r="H484" s="142" t="n">
        <v>44817</v>
      </c>
      <c r="I484" s="19" t="n">
        <f aca="false">H484-G484</f>
        <v>92</v>
      </c>
      <c r="J484" s="149" t="n">
        <f aca="false">TRUNC(I484/30,0)</f>
        <v>3</v>
      </c>
      <c r="K484" s="183" t="s">
        <v>95</v>
      </c>
      <c r="L484" s="146" t="n">
        <v>1</v>
      </c>
      <c r="M484" s="147" t="n">
        <v>1.51</v>
      </c>
      <c r="N484" s="148" t="s">
        <v>648</v>
      </c>
      <c r="O484" s="149" t="s">
        <v>265</v>
      </c>
      <c r="P484" s="150" t="n">
        <v>0.0155469</v>
      </c>
      <c r="Q484" s="150" t="n">
        <v>0.0174471</v>
      </c>
      <c r="R484" s="151" t="s">
        <v>265</v>
      </c>
      <c r="S484" s="152" t="n">
        <v>0.018</v>
      </c>
      <c r="T484" s="151" t="s">
        <v>265</v>
      </c>
      <c r="U484" s="357" t="n">
        <v>0.022</v>
      </c>
      <c r="V484" s="152" t="n">
        <v>0.019448</v>
      </c>
      <c r="W484" s="152" t="n">
        <v>0.000389</v>
      </c>
      <c r="X484" s="152" t="n">
        <v>0.003059</v>
      </c>
      <c r="Y484" s="152" t="n">
        <v>0.012335</v>
      </c>
      <c r="Z484" s="152" t="n">
        <v>0.002</v>
      </c>
      <c r="AA484" s="152" t="n">
        <v>0.002</v>
      </c>
      <c r="AB484" s="154" t="n">
        <f aca="false">S484-Z484</f>
        <v>0.016</v>
      </c>
      <c r="AC484" s="154" t="n">
        <f aca="false">U484-Z484-AA484</f>
        <v>0.018</v>
      </c>
      <c r="AD484" s="155" t="n">
        <v>0.016</v>
      </c>
      <c r="AE484" s="153" t="n">
        <f aca="false">IF(Y484="","",Y484)</f>
        <v>0.012335</v>
      </c>
      <c r="AF484" s="153" t="n">
        <f aca="false">AD484-AE484</f>
        <v>0.003665</v>
      </c>
      <c r="AG484" s="184" t="n">
        <f aca="false">IF(AF484="","",AE484+AF484)</f>
        <v>0.016</v>
      </c>
      <c r="AH484" s="185" t="n">
        <v>44725</v>
      </c>
      <c r="AI484" s="35" t="n">
        <v>1</v>
      </c>
      <c r="AJ484" s="19" t="str">
        <f aca="false">IF(AG484="","N","Y")</f>
        <v>Y</v>
      </c>
      <c r="AK484" s="238" t="s">
        <v>649</v>
      </c>
      <c r="AL484" s="36"/>
    </row>
    <row r="485" customFormat="false" ht="20.25" hidden="false" customHeight="true" outlineLevel="0" collapsed="false">
      <c r="A485" s="19" t="n">
        <f aca="false">IF(B485="","",IF((YEAR(B485)-YEAR(B484))=0,A484+1,1))</f>
        <v>9</v>
      </c>
      <c r="B485" s="141" t="n">
        <v>44725</v>
      </c>
      <c r="C485" s="63" t="s">
        <v>644</v>
      </c>
      <c r="D485" s="63" t="s">
        <v>645</v>
      </c>
      <c r="E485" s="63" t="s">
        <v>646</v>
      </c>
      <c r="F485" s="63" t="s">
        <v>647</v>
      </c>
      <c r="G485" s="142" t="n">
        <v>44725</v>
      </c>
      <c r="H485" s="142" t="n">
        <v>44817</v>
      </c>
      <c r="I485" s="19" t="n">
        <f aca="false">H485-G485</f>
        <v>92</v>
      </c>
      <c r="J485" s="149" t="n">
        <f aca="false">TRUNC(I485/30,0)</f>
        <v>3</v>
      </c>
      <c r="K485" s="183" t="s">
        <v>95</v>
      </c>
      <c r="L485" s="146" t="n">
        <v>1</v>
      </c>
      <c r="M485" s="147" t="n">
        <v>1.51</v>
      </c>
      <c r="N485" s="148" t="s">
        <v>648</v>
      </c>
      <c r="O485" s="149" t="s">
        <v>265</v>
      </c>
      <c r="P485" s="150" t="n">
        <v>0.0155469</v>
      </c>
      <c r="Q485" s="150" t="n">
        <v>0.0174471</v>
      </c>
      <c r="R485" s="151" t="s">
        <v>265</v>
      </c>
      <c r="S485" s="152" t="n">
        <v>0.018</v>
      </c>
      <c r="T485" s="151" t="s">
        <v>265</v>
      </c>
      <c r="U485" s="357" t="n">
        <v>0.022</v>
      </c>
      <c r="V485" s="152" t="n">
        <v>0.019448</v>
      </c>
      <c r="W485" s="152" t="n">
        <v>0.000389</v>
      </c>
      <c r="X485" s="152" t="n">
        <v>0.003059</v>
      </c>
      <c r="Y485" s="152" t="n">
        <v>0.012335</v>
      </c>
      <c r="Z485" s="152" t="n">
        <v>0.002</v>
      </c>
      <c r="AA485" s="152" t="n">
        <v>0.002</v>
      </c>
      <c r="AB485" s="154" t="n">
        <f aca="false">S485-Z485</f>
        <v>0.016</v>
      </c>
      <c r="AC485" s="154" t="n">
        <f aca="false">U485-Z485-AA485</f>
        <v>0.018</v>
      </c>
      <c r="AD485" s="155" t="n">
        <v>0.016</v>
      </c>
      <c r="AE485" s="153" t="n">
        <f aca="false">IF(Y485="","",Y485)</f>
        <v>0.012335</v>
      </c>
      <c r="AF485" s="153" t="n">
        <f aca="false">AD485-AE485</f>
        <v>0.003665</v>
      </c>
      <c r="AG485" s="184" t="n">
        <f aca="false">IF(AF485="","",AE485+AF485)</f>
        <v>0.016</v>
      </c>
      <c r="AH485" s="185" t="n">
        <v>44725</v>
      </c>
      <c r="AI485" s="35" t="n">
        <v>2</v>
      </c>
      <c r="AJ485" s="19" t="str">
        <f aca="false">IF(AG485="","N","Y")</f>
        <v>Y</v>
      </c>
      <c r="AK485" s="238" t="s">
        <v>649</v>
      </c>
    </row>
    <row r="486" customFormat="false" ht="20.25" hidden="false" customHeight="true" outlineLevel="0" collapsed="false">
      <c r="A486" s="19" t="n">
        <f aca="false">IF(B486="","",IF((YEAR(B486)-YEAR(B485))=0,A485+1,1))</f>
        <v>10</v>
      </c>
      <c r="B486" s="141" t="n">
        <v>44727</v>
      </c>
      <c r="C486" s="63" t="s">
        <v>616</v>
      </c>
      <c r="D486" s="63" t="s">
        <v>630</v>
      </c>
      <c r="E486" s="63" t="s">
        <v>650</v>
      </c>
      <c r="F486" s="63" t="s">
        <v>631</v>
      </c>
      <c r="G486" s="142" t="n">
        <v>44727</v>
      </c>
      <c r="H486" s="142" t="n">
        <v>44910</v>
      </c>
      <c r="I486" s="19" t="n">
        <f aca="false">H486-G486</f>
        <v>183</v>
      </c>
      <c r="J486" s="149" t="n">
        <f aca="false">TRUNC(I486/30,0)</f>
        <v>6</v>
      </c>
      <c r="K486" s="183" t="s">
        <v>95</v>
      </c>
      <c r="L486" s="146" t="n">
        <v>2.79</v>
      </c>
      <c r="M486" s="147" t="n">
        <v>2.22</v>
      </c>
      <c r="N486" s="148" t="s">
        <v>651</v>
      </c>
      <c r="O486" s="149" t="s">
        <v>641</v>
      </c>
      <c r="P486" s="150" t="n">
        <v>0.0219657</v>
      </c>
      <c r="Q486" s="150" t="n">
        <v>0.02668</v>
      </c>
      <c r="R486" s="151" t="s">
        <v>641</v>
      </c>
      <c r="S486" s="152" t="n">
        <v>0.0268</v>
      </c>
      <c r="T486" s="151" t="s">
        <v>641</v>
      </c>
      <c r="U486" s="152"/>
      <c r="V486" s="152" t="n">
        <v>0.025071</v>
      </c>
      <c r="W486" s="152" t="n">
        <v>0.000501</v>
      </c>
      <c r="X486" s="152" t="n">
        <v>0.00457</v>
      </c>
      <c r="Y486" s="152" t="n">
        <v>0.019126</v>
      </c>
      <c r="Z486" s="152" t="n">
        <v>0.002</v>
      </c>
      <c r="AA486" s="152" t="n">
        <v>0.002</v>
      </c>
      <c r="AB486" s="154" t="n">
        <f aca="false">S486-Z486</f>
        <v>0.0248</v>
      </c>
      <c r="AC486" s="154" t="n">
        <f aca="false">U486-Z486-AA486</f>
        <v>-0.004</v>
      </c>
      <c r="AD486" s="155" t="n">
        <v>0.02</v>
      </c>
      <c r="AE486" s="153" t="n">
        <f aca="false">IF(Y486="","",Y486)</f>
        <v>0.019126</v>
      </c>
      <c r="AF486" s="153" t="n">
        <f aca="false">AD486-AE486</f>
        <v>0.000874</v>
      </c>
      <c r="AG486" s="184" t="n">
        <f aca="false">IF(AF486="","",AE486+AF486)</f>
        <v>0.02</v>
      </c>
      <c r="AH486" s="185" t="n">
        <v>44727</v>
      </c>
      <c r="AI486" s="35" t="n">
        <v>1</v>
      </c>
      <c r="AJ486" s="19" t="str">
        <f aca="false">IF(AG486="","N","Y")</f>
        <v>Y</v>
      </c>
      <c r="AK486" s="238" t="s">
        <v>652</v>
      </c>
    </row>
    <row r="487" s="220" customFormat="true" ht="85.5" hidden="false" customHeight="true" outlineLevel="0" collapsed="false">
      <c r="A487" s="200" t="n">
        <f aca="false">IF(B487="","",IF((YEAR(B487)-YEAR(B486))=0,A486+1,1))</f>
        <v>11</v>
      </c>
      <c r="B487" s="199" t="n">
        <v>44756</v>
      </c>
      <c r="C487" s="200" t="s">
        <v>89</v>
      </c>
      <c r="D487" s="200" t="s">
        <v>653</v>
      </c>
      <c r="E487" s="200"/>
      <c r="F487" s="200" t="s">
        <v>654</v>
      </c>
      <c r="G487" s="201" t="n">
        <v>44756</v>
      </c>
      <c r="H487" s="201" t="n">
        <v>44785</v>
      </c>
      <c r="I487" s="200" t="n">
        <f aca="false">H487-G487</f>
        <v>29</v>
      </c>
      <c r="J487" s="228" t="n">
        <f aca="false">TRUNC(I487/30,0)</f>
        <v>0</v>
      </c>
      <c r="K487" s="203" t="s">
        <v>99</v>
      </c>
      <c r="L487" s="204" t="n">
        <v>12.3</v>
      </c>
      <c r="M487" s="205" t="n">
        <f aca="false">(1.13+1.3)/2</f>
        <v>1.215</v>
      </c>
      <c r="N487" s="227" t="s">
        <v>655</v>
      </c>
      <c r="O487" s="228" t="s">
        <v>305</v>
      </c>
      <c r="P487" s="208" t="n">
        <v>0.016266</v>
      </c>
      <c r="Q487" s="208"/>
      <c r="R487" s="207" t="s">
        <v>305</v>
      </c>
      <c r="S487" s="209" t="n">
        <v>0.0165</v>
      </c>
      <c r="T487" s="207"/>
      <c r="U487" s="209"/>
      <c r="V487" s="209" t="n">
        <v>0.022439</v>
      </c>
      <c r="W487" s="209" t="n">
        <v>0.001571</v>
      </c>
      <c r="X487" s="209" t="n">
        <v>0.011869</v>
      </c>
      <c r="Y487" s="209" t="n">
        <v>0.006827</v>
      </c>
      <c r="Z487" s="209" t="n">
        <v>0.002</v>
      </c>
      <c r="AA487" s="209" t="n">
        <v>0.002</v>
      </c>
      <c r="AB487" s="211" t="n">
        <f aca="false">S487-Z487</f>
        <v>0.0145</v>
      </c>
      <c r="AC487" s="211" t="n">
        <f aca="false">U487-Z487-AA487</f>
        <v>-0.004</v>
      </c>
      <c r="AD487" s="212" t="n">
        <v>0.009</v>
      </c>
      <c r="AE487" s="210" t="n">
        <f aca="false">IF(Y487="","",Y487)</f>
        <v>0.006827</v>
      </c>
      <c r="AF487" s="210" t="n">
        <f aca="false">AD487-AE487</f>
        <v>0.002173</v>
      </c>
      <c r="AG487" s="214" t="n">
        <f aca="false">IF(AF487="","",AE487+AF487)</f>
        <v>0.009</v>
      </c>
      <c r="AH487" s="215" t="n">
        <v>44756</v>
      </c>
      <c r="AI487" s="216" t="n">
        <v>1</v>
      </c>
      <c r="AJ487" s="217" t="str">
        <f aca="false">IF(AG487="","N","Y")</f>
        <v>Y</v>
      </c>
      <c r="AK487" s="358" t="s">
        <v>656</v>
      </c>
      <c r="AL487" s="229"/>
    </row>
    <row r="488" customFormat="false" ht="112.5" hidden="false" customHeight="true" outlineLevel="0" collapsed="false">
      <c r="A488" s="19" t="n">
        <v>12</v>
      </c>
      <c r="B488" s="141" t="n">
        <v>44774</v>
      </c>
      <c r="C488" s="63" t="s">
        <v>165</v>
      </c>
      <c r="D488" s="63" t="s">
        <v>630</v>
      </c>
      <c r="E488" s="19"/>
      <c r="F488" s="63" t="s">
        <v>631</v>
      </c>
      <c r="G488" s="142" t="n">
        <v>44774</v>
      </c>
      <c r="H488" s="142" t="n">
        <v>44866</v>
      </c>
      <c r="I488" s="19" t="n">
        <f aca="false">H488-G488</f>
        <v>92</v>
      </c>
      <c r="J488" s="149" t="n">
        <f aca="false">TRUNC(I488/30,0)</f>
        <v>3</v>
      </c>
      <c r="K488" s="183" t="s">
        <v>95</v>
      </c>
      <c r="L488" s="146" t="n">
        <v>1.9</v>
      </c>
      <c r="M488" s="147" t="n">
        <v>2.55</v>
      </c>
      <c r="N488" s="148" t="s">
        <v>657</v>
      </c>
      <c r="O488" s="149" t="s">
        <v>265</v>
      </c>
      <c r="P488" s="150" t="n">
        <v>0.0254334</v>
      </c>
      <c r="Q488" s="150" t="n">
        <v>0.0278829</v>
      </c>
      <c r="R488" s="151" t="s">
        <v>265</v>
      </c>
      <c r="S488" s="152" t="n">
        <v>0.028</v>
      </c>
      <c r="T488" s="151" t="s">
        <v>265</v>
      </c>
      <c r="U488" s="258" t="n">
        <v>0.028</v>
      </c>
      <c r="V488" s="152" t="n">
        <v>0.029785</v>
      </c>
      <c r="W488" s="152" t="n">
        <v>0.000596</v>
      </c>
      <c r="X488" s="152" t="n">
        <v>0.003189</v>
      </c>
      <c r="Y488" s="152" t="n">
        <v>0.022</v>
      </c>
      <c r="Z488" s="152" t="n">
        <v>0.002</v>
      </c>
      <c r="AA488" s="152" t="n">
        <v>0.002</v>
      </c>
      <c r="AB488" s="154" t="n">
        <f aca="false">S488-Z488</f>
        <v>0.026</v>
      </c>
      <c r="AC488" s="154" t="n">
        <f aca="false">U488-Z488-AA488</f>
        <v>0.024</v>
      </c>
      <c r="AD488" s="155" t="n">
        <v>0.026</v>
      </c>
      <c r="AE488" s="153" t="n">
        <v>0.022024</v>
      </c>
      <c r="AF488" s="153" t="n">
        <f aca="false">AD488-AE488</f>
        <v>0.003976</v>
      </c>
      <c r="AG488" s="184" t="n">
        <f aca="false">IF(AF488="","",AE488+AF488)</f>
        <v>0.026</v>
      </c>
      <c r="AH488" s="185" t="n">
        <v>44774</v>
      </c>
      <c r="AI488" s="35" t="n">
        <v>1</v>
      </c>
      <c r="AJ488" s="19" t="str">
        <f aca="false">IF(AG488="","N","Y")</f>
        <v>Y</v>
      </c>
      <c r="AK488" s="359" t="s">
        <v>658</v>
      </c>
    </row>
    <row r="489" s="38" customFormat="true" ht="88.5" hidden="false" customHeight="true" outlineLevel="0" collapsed="false">
      <c r="A489" s="19" t="n">
        <f aca="false">IF(B489="","",IF((YEAR(B489)-YEAR(B488))=0,A488+1,1))</f>
        <v>13</v>
      </c>
      <c r="B489" s="141" t="n">
        <v>44774</v>
      </c>
      <c r="C489" s="63" t="s">
        <v>165</v>
      </c>
      <c r="D489" s="63" t="s">
        <v>630</v>
      </c>
      <c r="E489" s="19"/>
      <c r="F489" s="63" t="s">
        <v>631</v>
      </c>
      <c r="G489" s="142" t="n">
        <v>44774</v>
      </c>
      <c r="H489" s="142" t="n">
        <v>44866</v>
      </c>
      <c r="I489" s="19" t="n">
        <f aca="false">H489-G489</f>
        <v>92</v>
      </c>
      <c r="J489" s="149" t="n">
        <f aca="false">TRUNC(I489/30,0)</f>
        <v>3</v>
      </c>
      <c r="K489" s="183" t="s">
        <v>95</v>
      </c>
      <c r="L489" s="146" t="n">
        <v>2</v>
      </c>
      <c r="M489" s="147" t="n">
        <v>2.55</v>
      </c>
      <c r="N489" s="148" t="s">
        <v>657</v>
      </c>
      <c r="O489" s="149" t="s">
        <v>265</v>
      </c>
      <c r="P489" s="150" t="n">
        <v>0.0254334</v>
      </c>
      <c r="Q489" s="150" t="n">
        <v>0.0278829</v>
      </c>
      <c r="R489" s="151" t="s">
        <v>265</v>
      </c>
      <c r="S489" s="152" t="n">
        <v>0.028</v>
      </c>
      <c r="T489" s="151" t="s">
        <v>265</v>
      </c>
      <c r="U489" s="258" t="n">
        <v>0.028</v>
      </c>
      <c r="V489" s="152" t="n">
        <v>0.029785</v>
      </c>
      <c r="W489" s="152" t="n">
        <v>0.000596</v>
      </c>
      <c r="X489" s="152" t="n">
        <v>0.003189</v>
      </c>
      <c r="Y489" s="152" t="n">
        <v>0.022</v>
      </c>
      <c r="Z489" s="152" t="n">
        <v>0.002</v>
      </c>
      <c r="AA489" s="152" t="n">
        <v>0.002</v>
      </c>
      <c r="AB489" s="154" t="n">
        <f aca="false">S489-Z489</f>
        <v>0.026</v>
      </c>
      <c r="AC489" s="154" t="n">
        <f aca="false">U489-Z489-AA489</f>
        <v>0.024</v>
      </c>
      <c r="AD489" s="155" t="n">
        <v>0.026</v>
      </c>
      <c r="AE489" s="153" t="n">
        <v>0.022024</v>
      </c>
      <c r="AF489" s="153" t="n">
        <f aca="false">AD489-AE489</f>
        <v>0.003976</v>
      </c>
      <c r="AG489" s="184" t="n">
        <f aca="false">IF(AF489="","",AE489+AF489)</f>
        <v>0.026</v>
      </c>
      <c r="AH489" s="185" t="n">
        <v>44774</v>
      </c>
      <c r="AI489" s="35" t="n">
        <v>4</v>
      </c>
      <c r="AJ489" s="19" t="str">
        <f aca="false">IF(AG489="","N","Y")</f>
        <v>Y</v>
      </c>
      <c r="AK489" s="359" t="s">
        <v>658</v>
      </c>
      <c r="AL489" s="36"/>
    </row>
    <row r="490" s="38" customFormat="true" ht="82.5" hidden="false" customHeight="true" outlineLevel="0" collapsed="false">
      <c r="A490" s="19" t="n">
        <f aca="false">IF(B490="","",IF((YEAR(B490)-YEAR(B489))=0,A489+1,1))</f>
        <v>14</v>
      </c>
      <c r="B490" s="141" t="n">
        <v>44774</v>
      </c>
      <c r="C490" s="63" t="s">
        <v>165</v>
      </c>
      <c r="D490" s="63" t="s">
        <v>630</v>
      </c>
      <c r="E490" s="19"/>
      <c r="F490" s="63" t="s">
        <v>631</v>
      </c>
      <c r="G490" s="142" t="n">
        <v>44774</v>
      </c>
      <c r="H490" s="142" t="n">
        <v>44866</v>
      </c>
      <c r="I490" s="19" t="n">
        <f aca="false">H490-G490</f>
        <v>92</v>
      </c>
      <c r="J490" s="149" t="n">
        <f aca="false">TRUNC(I490/30,0)</f>
        <v>3</v>
      </c>
      <c r="K490" s="183" t="s">
        <v>95</v>
      </c>
      <c r="L490" s="146" t="n">
        <v>2.1</v>
      </c>
      <c r="M490" s="147" t="n">
        <v>2.55</v>
      </c>
      <c r="N490" s="148" t="s">
        <v>657</v>
      </c>
      <c r="O490" s="149" t="s">
        <v>265</v>
      </c>
      <c r="P490" s="150" t="n">
        <v>0.0254334</v>
      </c>
      <c r="Q490" s="150" t="n">
        <v>0.0278829</v>
      </c>
      <c r="R490" s="151" t="s">
        <v>265</v>
      </c>
      <c r="S490" s="152" t="n">
        <v>0.028</v>
      </c>
      <c r="T490" s="151" t="s">
        <v>265</v>
      </c>
      <c r="U490" s="258" t="n">
        <v>0.028</v>
      </c>
      <c r="V490" s="152" t="n">
        <v>0.029785</v>
      </c>
      <c r="W490" s="152" t="n">
        <v>0.000596</v>
      </c>
      <c r="X490" s="152" t="n">
        <v>0.003189</v>
      </c>
      <c r="Y490" s="152" t="n">
        <v>0.022</v>
      </c>
      <c r="Z490" s="152" t="n">
        <v>0.002</v>
      </c>
      <c r="AA490" s="152" t="n">
        <v>0.002</v>
      </c>
      <c r="AB490" s="154" t="n">
        <f aca="false">S490-Z490</f>
        <v>0.026</v>
      </c>
      <c r="AC490" s="154" t="n">
        <f aca="false">U490-Z490-AA490</f>
        <v>0.024</v>
      </c>
      <c r="AD490" s="155" t="n">
        <v>0.026</v>
      </c>
      <c r="AE490" s="153" t="n">
        <v>0.022024</v>
      </c>
      <c r="AF490" s="153" t="n">
        <f aca="false">AD490-AE490</f>
        <v>0.003976</v>
      </c>
      <c r="AG490" s="184" t="n">
        <f aca="false">IF(AF490="","",AE490+AF490)</f>
        <v>0.026</v>
      </c>
      <c r="AH490" s="185" t="n">
        <v>44774</v>
      </c>
      <c r="AI490" s="35" t="n">
        <v>3</v>
      </c>
      <c r="AJ490" s="19" t="str">
        <f aca="false">IF(AG490="","N","Y")</f>
        <v>Y</v>
      </c>
      <c r="AK490" s="359" t="s">
        <v>658</v>
      </c>
      <c r="AL490" s="36"/>
    </row>
    <row r="491" customFormat="false" ht="82.5" hidden="false" customHeight="true" outlineLevel="0" collapsed="false">
      <c r="A491" s="19" t="n">
        <f aca="false">IF(B491="","",IF((YEAR(B491)-YEAR(B490))=0,A490+1,1))</f>
        <v>15</v>
      </c>
      <c r="B491" s="141" t="n">
        <v>44774</v>
      </c>
      <c r="C491" s="63" t="s">
        <v>165</v>
      </c>
      <c r="D491" s="63" t="s">
        <v>630</v>
      </c>
      <c r="E491" s="19"/>
      <c r="F491" s="63" t="s">
        <v>631</v>
      </c>
      <c r="G491" s="142" t="n">
        <v>44774</v>
      </c>
      <c r="H491" s="142" t="n">
        <v>44866</v>
      </c>
      <c r="I491" s="19" t="n">
        <f aca="false">H491-G491</f>
        <v>92</v>
      </c>
      <c r="J491" s="149" t="n">
        <f aca="false">TRUNC(I491/30,0)</f>
        <v>3</v>
      </c>
      <c r="K491" s="183" t="s">
        <v>95</v>
      </c>
      <c r="L491" s="146" t="n">
        <v>2.2</v>
      </c>
      <c r="M491" s="147" t="n">
        <v>2.55</v>
      </c>
      <c r="N491" s="148" t="s">
        <v>657</v>
      </c>
      <c r="O491" s="149" t="s">
        <v>265</v>
      </c>
      <c r="P491" s="150" t="n">
        <v>0.0254334</v>
      </c>
      <c r="Q491" s="150" t="n">
        <v>0.0278829</v>
      </c>
      <c r="R491" s="151" t="s">
        <v>265</v>
      </c>
      <c r="S491" s="152" t="n">
        <v>0.028</v>
      </c>
      <c r="T491" s="151" t="s">
        <v>265</v>
      </c>
      <c r="U491" s="258" t="n">
        <v>0.028</v>
      </c>
      <c r="V491" s="152" t="n">
        <v>0.029785</v>
      </c>
      <c r="W491" s="152" t="n">
        <v>0.000596</v>
      </c>
      <c r="X491" s="152" t="n">
        <v>0.003189</v>
      </c>
      <c r="Y491" s="152" t="n">
        <v>0.022</v>
      </c>
      <c r="Z491" s="152" t="n">
        <v>0.002</v>
      </c>
      <c r="AA491" s="152" t="n">
        <v>0.002</v>
      </c>
      <c r="AB491" s="154" t="n">
        <f aca="false">S491-Z491</f>
        <v>0.026</v>
      </c>
      <c r="AC491" s="154" t="n">
        <f aca="false">U491-Z491-AA491</f>
        <v>0.024</v>
      </c>
      <c r="AD491" s="155" t="n">
        <v>0.026</v>
      </c>
      <c r="AE491" s="153" t="n">
        <v>0.022024</v>
      </c>
      <c r="AF491" s="153" t="n">
        <f aca="false">AD491-AE491</f>
        <v>0.003976</v>
      </c>
      <c r="AG491" s="184" t="n">
        <f aca="false">IF(AF491="","",AE491+AF491)</f>
        <v>0.026</v>
      </c>
      <c r="AH491" s="185" t="n">
        <v>44774</v>
      </c>
      <c r="AI491" s="35" t="n">
        <v>5</v>
      </c>
      <c r="AJ491" s="19" t="str">
        <f aca="false">IF(AG491="","N","Y")</f>
        <v>Y</v>
      </c>
      <c r="AK491" s="359" t="s">
        <v>658</v>
      </c>
    </row>
    <row r="492" customFormat="false" ht="82.5" hidden="false" customHeight="true" outlineLevel="0" collapsed="false">
      <c r="A492" s="19" t="n">
        <f aca="false">IF(B492="","",IF((YEAR(B492)-YEAR(B491))=0,A491+1,1))</f>
        <v>16</v>
      </c>
      <c r="B492" s="141" t="n">
        <v>44774</v>
      </c>
      <c r="C492" s="63" t="s">
        <v>165</v>
      </c>
      <c r="D492" s="63" t="s">
        <v>630</v>
      </c>
      <c r="E492" s="19"/>
      <c r="F492" s="63" t="s">
        <v>631</v>
      </c>
      <c r="G492" s="142" t="n">
        <v>44774</v>
      </c>
      <c r="H492" s="142" t="n">
        <v>44866</v>
      </c>
      <c r="I492" s="19" t="n">
        <f aca="false">H492-G492</f>
        <v>92</v>
      </c>
      <c r="J492" s="149" t="n">
        <f aca="false">TRUNC(I492/30,0)</f>
        <v>3</v>
      </c>
      <c r="K492" s="183" t="s">
        <v>95</v>
      </c>
      <c r="L492" s="146" t="n">
        <v>2.3</v>
      </c>
      <c r="M492" s="147" t="n">
        <v>2.55</v>
      </c>
      <c r="N492" s="148" t="s">
        <v>657</v>
      </c>
      <c r="O492" s="149" t="s">
        <v>265</v>
      </c>
      <c r="P492" s="150" t="n">
        <v>0.0254334</v>
      </c>
      <c r="Q492" s="150" t="n">
        <v>0.0278829</v>
      </c>
      <c r="R492" s="151" t="s">
        <v>265</v>
      </c>
      <c r="S492" s="152" t="n">
        <v>0.028</v>
      </c>
      <c r="T492" s="151" t="s">
        <v>265</v>
      </c>
      <c r="U492" s="258" t="n">
        <v>0.028</v>
      </c>
      <c r="V492" s="152" t="n">
        <v>0.029785</v>
      </c>
      <c r="W492" s="152" t="n">
        <v>0.000596</v>
      </c>
      <c r="X492" s="152" t="n">
        <v>0.003189</v>
      </c>
      <c r="Y492" s="152" t="n">
        <v>0.022</v>
      </c>
      <c r="Z492" s="152" t="n">
        <v>0.002</v>
      </c>
      <c r="AA492" s="152" t="n">
        <v>0.002</v>
      </c>
      <c r="AB492" s="154" t="n">
        <f aca="false">S492-Z492</f>
        <v>0.026</v>
      </c>
      <c r="AC492" s="154" t="n">
        <f aca="false">U492-Z492-AA492</f>
        <v>0.024</v>
      </c>
      <c r="AD492" s="155" t="n">
        <v>0.026</v>
      </c>
      <c r="AE492" s="153" t="n">
        <v>0.022024</v>
      </c>
      <c r="AF492" s="153" t="n">
        <f aca="false">AD492-AE492</f>
        <v>0.003976</v>
      </c>
      <c r="AG492" s="184" t="n">
        <f aca="false">IF(AF492="","",AE492+AF492)</f>
        <v>0.026</v>
      </c>
      <c r="AH492" s="185" t="n">
        <v>44774</v>
      </c>
      <c r="AI492" s="35" t="n">
        <v>6</v>
      </c>
      <c r="AJ492" s="19" t="str">
        <f aca="false">IF(AG492="","N","Y")</f>
        <v>Y</v>
      </c>
      <c r="AK492" s="359" t="s">
        <v>658</v>
      </c>
    </row>
    <row r="493" customFormat="false" ht="20.25" hidden="false" customHeight="true" outlineLevel="0" collapsed="false">
      <c r="A493" s="19" t="n">
        <f aca="false">IF(B493="","",IF((YEAR(B493)-YEAR(B492))=0,A492+1,1))</f>
        <v>17</v>
      </c>
      <c r="B493" s="141" t="n">
        <v>44781</v>
      </c>
      <c r="C493" s="63" t="s">
        <v>100</v>
      </c>
      <c r="D493" s="19"/>
      <c r="E493" s="63" t="s">
        <v>625</v>
      </c>
      <c r="F493" s="63" t="s">
        <v>619</v>
      </c>
      <c r="G493" s="142" t="n">
        <v>44781</v>
      </c>
      <c r="H493" s="142" t="n">
        <v>45146</v>
      </c>
      <c r="I493" s="19" t="n">
        <f aca="false">H493-G493</f>
        <v>365</v>
      </c>
      <c r="J493" s="149" t="n">
        <f aca="false">TRUNC(I493/30,0)</f>
        <v>12</v>
      </c>
      <c r="K493" s="183" t="s">
        <v>324</v>
      </c>
      <c r="L493" s="146" t="n">
        <v>2</v>
      </c>
      <c r="M493" s="147" t="n">
        <v>3.33</v>
      </c>
      <c r="N493" s="148" t="s">
        <v>659</v>
      </c>
      <c r="O493" s="149" t="s">
        <v>340</v>
      </c>
      <c r="P493" s="150" t="n">
        <v>0.0319089</v>
      </c>
      <c r="Q493" s="150" t="n">
        <v>0.0385986</v>
      </c>
      <c r="R493" s="151" t="s">
        <v>340</v>
      </c>
      <c r="S493" s="152" t="n">
        <v>0.0375</v>
      </c>
      <c r="T493" s="151"/>
      <c r="U493" s="152"/>
      <c r="V493" s="152" t="n">
        <v>0.04087</v>
      </c>
      <c r="W493" s="152" t="n">
        <v>0.000817</v>
      </c>
      <c r="X493" s="152" t="n">
        <v>0.010052</v>
      </c>
      <c r="Y493" s="152" t="n">
        <v>0.02787</v>
      </c>
      <c r="Z493" s="152" t="n">
        <v>0.002</v>
      </c>
      <c r="AA493" s="152" t="n">
        <v>0.002</v>
      </c>
      <c r="AB493" s="154" t="n">
        <f aca="false">S493-Z493</f>
        <v>0.0355</v>
      </c>
      <c r="AC493" s="154" t="n">
        <f aca="false">U493-Z493-AA493</f>
        <v>-0.004</v>
      </c>
      <c r="AD493" s="155" t="n">
        <v>0.03</v>
      </c>
      <c r="AE493" s="153" t="n">
        <f aca="false">IF(Y493="","",Y493)</f>
        <v>0.02787</v>
      </c>
      <c r="AF493" s="153" t="n">
        <f aca="false">AD493-AE493</f>
        <v>0.00213</v>
      </c>
      <c r="AG493" s="184" t="n">
        <f aca="false">IF(AF493="","",AE493+AF493)</f>
        <v>0.03</v>
      </c>
      <c r="AH493" s="185" t="n">
        <v>44781</v>
      </c>
      <c r="AI493" s="35" t="n">
        <v>4</v>
      </c>
      <c r="AJ493" s="19" t="str">
        <f aca="false">IF(AG493="","N","Y")</f>
        <v>Y</v>
      </c>
      <c r="AK493" s="238" t="s">
        <v>660</v>
      </c>
    </row>
    <row r="494" customFormat="false" ht="52.5" hidden="false" customHeight="true" outlineLevel="0" collapsed="false">
      <c r="A494" s="19" t="n">
        <v>18</v>
      </c>
      <c r="B494" s="141" t="n">
        <v>44791</v>
      </c>
      <c r="C494" s="63" t="s">
        <v>96</v>
      </c>
      <c r="D494" s="63" t="s">
        <v>661</v>
      </c>
      <c r="E494" s="19"/>
      <c r="F494" s="63" t="s">
        <v>662</v>
      </c>
      <c r="G494" s="142" t="n">
        <v>44791</v>
      </c>
      <c r="H494" s="142" t="n">
        <v>44977</v>
      </c>
      <c r="I494" s="19" t="n">
        <f aca="false">H494-G494</f>
        <v>186</v>
      </c>
      <c r="J494" s="149" t="n">
        <f aca="false">TRUNC(I494/30,0)</f>
        <v>6</v>
      </c>
      <c r="K494" s="183" t="s">
        <v>95</v>
      </c>
      <c r="L494" s="146" t="n">
        <v>10</v>
      </c>
      <c r="M494" s="147" t="n">
        <v>3.211</v>
      </c>
      <c r="N494" s="148" t="s">
        <v>663</v>
      </c>
      <c r="O494" s="149" t="s">
        <v>337</v>
      </c>
      <c r="P494" s="150" t="n">
        <v>0.0312125</v>
      </c>
      <c r="Q494" s="150"/>
      <c r="R494" s="151" t="s">
        <v>337</v>
      </c>
      <c r="S494" s="152" t="n">
        <v>0.036</v>
      </c>
      <c r="T494" s="151"/>
      <c r="U494" s="152"/>
      <c r="V494" s="152" t="n">
        <v>0.035619</v>
      </c>
      <c r="W494" s="152" t="n">
        <v>0.000712</v>
      </c>
      <c r="X494" s="152" t="n">
        <v>0.002906</v>
      </c>
      <c r="Y494" s="152" t="n">
        <v>0.028188</v>
      </c>
      <c r="Z494" s="152" t="n">
        <v>0.002</v>
      </c>
      <c r="AA494" s="152" t="n">
        <v>0.002</v>
      </c>
      <c r="AB494" s="154" t="n">
        <f aca="false">S494-Z494</f>
        <v>0.034</v>
      </c>
      <c r="AC494" s="154" t="n">
        <f aca="false">U494-Z494-AA494</f>
        <v>-0.004</v>
      </c>
      <c r="AD494" s="155" t="n">
        <v>0.032</v>
      </c>
      <c r="AE494" s="153" t="n">
        <f aca="false">IF(Y494="","",Y494)</f>
        <v>0.028188</v>
      </c>
      <c r="AF494" s="153" t="n">
        <f aca="false">AD494-AE494</f>
        <v>0.003812</v>
      </c>
      <c r="AG494" s="184" t="n">
        <f aca="false">IF(AF494="","",AE494+AF494)</f>
        <v>0.032</v>
      </c>
      <c r="AH494" s="185" t="n">
        <v>44791</v>
      </c>
      <c r="AI494" s="35" t="n">
        <v>2</v>
      </c>
      <c r="AJ494" s="19" t="str">
        <f aca="false">IF(AG494="","N","Y")</f>
        <v>Y</v>
      </c>
      <c r="AK494" s="360" t="s">
        <v>664</v>
      </c>
      <c r="AL494" s="360"/>
      <c r="AM494" s="360"/>
      <c r="AN494" s="360"/>
      <c r="AO494" s="360"/>
      <c r="AP494" s="360"/>
      <c r="AQ494" s="360"/>
      <c r="AR494" s="360"/>
    </row>
    <row r="495" s="38" customFormat="true" ht="55.5" hidden="false" customHeight="true" outlineLevel="0" collapsed="false">
      <c r="A495" s="19" t="n">
        <v>19</v>
      </c>
      <c r="B495" s="141" t="n">
        <v>44791</v>
      </c>
      <c r="C495" s="63" t="s">
        <v>89</v>
      </c>
      <c r="D495" s="63" t="s">
        <v>665</v>
      </c>
      <c r="E495" s="19"/>
      <c r="F495" s="63" t="s">
        <v>654</v>
      </c>
      <c r="G495" s="142" t="n">
        <v>44785</v>
      </c>
      <c r="H495" s="142" t="n">
        <v>44812</v>
      </c>
      <c r="I495" s="19" t="n">
        <f aca="false">H495-G495</f>
        <v>27</v>
      </c>
      <c r="J495" s="149" t="n">
        <f aca="false">TRUNC(I495/30,0)</f>
        <v>0</v>
      </c>
      <c r="K495" s="189" t="s">
        <v>99</v>
      </c>
      <c r="L495" s="146" t="n">
        <v>12.3</v>
      </c>
      <c r="M495" s="147" t="n">
        <v>1.95</v>
      </c>
      <c r="N495" s="148" t="s">
        <v>464</v>
      </c>
      <c r="O495" s="149" t="s">
        <v>305</v>
      </c>
      <c r="P495" s="150" t="n">
        <v>0.0228567</v>
      </c>
      <c r="Q495" s="150"/>
      <c r="R495" s="151" t="s">
        <v>305</v>
      </c>
      <c r="S495" s="152" t="n">
        <v>0.0235</v>
      </c>
      <c r="T495" s="151"/>
      <c r="U495" s="152"/>
      <c r="V495" s="152" t="n">
        <v>0.026199</v>
      </c>
      <c r="W495" s="152" t="n">
        <v>0.001834</v>
      </c>
      <c r="X495" s="152" t="n">
        <v>0.009365</v>
      </c>
      <c r="Y495" s="152" t="n">
        <v>0.012956</v>
      </c>
      <c r="Z495" s="152" t="n">
        <v>0.002</v>
      </c>
      <c r="AA495" s="152" t="n">
        <v>0.002</v>
      </c>
      <c r="AB495" s="154" t="n">
        <f aca="false">S495-Z495</f>
        <v>0.0215</v>
      </c>
      <c r="AC495" s="154" t="n">
        <f aca="false">U495-Z495-AA495</f>
        <v>-0.004</v>
      </c>
      <c r="AD495" s="155" t="n">
        <v>0.015</v>
      </c>
      <c r="AE495" s="153" t="n">
        <f aca="false">IF(Y495="","",Y495)</f>
        <v>0.012956</v>
      </c>
      <c r="AF495" s="153" t="n">
        <f aca="false">AD495-AE495</f>
        <v>0.002044</v>
      </c>
      <c r="AG495" s="184" t="n">
        <f aca="false">IF(AF495="","",AE495+AF495)</f>
        <v>0.015</v>
      </c>
      <c r="AH495" s="185" t="n">
        <v>44791</v>
      </c>
      <c r="AI495" s="35" t="n">
        <v>3</v>
      </c>
      <c r="AJ495" s="19" t="str">
        <f aca="false">IF(AG495="","N","Y")</f>
        <v>Y</v>
      </c>
      <c r="AK495" s="359" t="s">
        <v>666</v>
      </c>
      <c r="AL495" s="36"/>
    </row>
    <row r="496" s="38" customFormat="true" ht="49.5" hidden="false" customHeight="true" outlineLevel="0" collapsed="false">
      <c r="A496" s="19" t="n">
        <v>20</v>
      </c>
      <c r="B496" s="141" t="n">
        <v>44812</v>
      </c>
      <c r="C496" s="63" t="s">
        <v>89</v>
      </c>
      <c r="D496" s="63" t="s">
        <v>653</v>
      </c>
      <c r="E496" s="19"/>
      <c r="F496" s="63" t="s">
        <v>654</v>
      </c>
      <c r="G496" s="142" t="n">
        <v>44812</v>
      </c>
      <c r="H496" s="142" t="n">
        <v>44841</v>
      </c>
      <c r="I496" s="19" t="n">
        <f aca="false">H496-G496</f>
        <v>29</v>
      </c>
      <c r="J496" s="149" t="n">
        <f aca="false">TRUNC(I496/30,0)</f>
        <v>0</v>
      </c>
      <c r="K496" s="189" t="s">
        <v>99</v>
      </c>
      <c r="L496" s="146" t="n">
        <v>12.3</v>
      </c>
      <c r="M496" s="147" t="n">
        <v>1.95</v>
      </c>
      <c r="N496" s="148" t="s">
        <v>667</v>
      </c>
      <c r="O496" s="149" t="s">
        <v>305</v>
      </c>
      <c r="P496" s="150"/>
      <c r="Q496" s="150"/>
      <c r="R496" s="151" t="s">
        <v>305</v>
      </c>
      <c r="S496" s="152" t="n">
        <v>0.0235</v>
      </c>
      <c r="T496" s="151"/>
      <c r="U496" s="152"/>
      <c r="V496" s="152" t="n">
        <v>0.029537</v>
      </c>
      <c r="W496" s="152" t="n">
        <v>0.002068</v>
      </c>
      <c r="X496" s="152" t="n">
        <v>0.011969</v>
      </c>
      <c r="Y496" s="152" t="n">
        <v>0.013753</v>
      </c>
      <c r="Z496" s="152" t="n">
        <v>0.002</v>
      </c>
      <c r="AA496" s="152" t="n">
        <v>0.002</v>
      </c>
      <c r="AB496" s="154" t="n">
        <f aca="false">S496-Z496</f>
        <v>0.0215</v>
      </c>
      <c r="AC496" s="154" t="n">
        <f aca="false">U496-Z496-AA496</f>
        <v>-0.004</v>
      </c>
      <c r="AD496" s="155" t="n">
        <v>0.0155</v>
      </c>
      <c r="AE496" s="153" t="n">
        <f aca="false">IF(Y496="","",Y496)</f>
        <v>0.013753</v>
      </c>
      <c r="AF496" s="153" t="n">
        <f aca="false">AD496-AE496</f>
        <v>0.001747</v>
      </c>
      <c r="AG496" s="184" t="n">
        <f aca="false">IF(AF496="","",AE496+AF496)</f>
        <v>0.0155</v>
      </c>
      <c r="AH496" s="185" t="n">
        <v>44812</v>
      </c>
      <c r="AI496" s="35" t="n">
        <v>1</v>
      </c>
      <c r="AJ496" s="19" t="str">
        <f aca="false">IF(AG496="","N","Y")</f>
        <v>Y</v>
      </c>
      <c r="AK496" s="359" t="s">
        <v>668</v>
      </c>
      <c r="AL496" s="36"/>
    </row>
    <row r="497" s="38" customFormat="true" ht="23.25" hidden="false" customHeight="true" outlineLevel="0" collapsed="false">
      <c r="A497" s="19" t="n">
        <f aca="false">IF(B497="","",IF((YEAR(B497)-YEAR(B496))=0,A496+1,1))</f>
        <v>21</v>
      </c>
      <c r="B497" s="141" t="n">
        <v>44817</v>
      </c>
      <c r="C497" s="63" t="s">
        <v>644</v>
      </c>
      <c r="D497" s="63" t="s">
        <v>645</v>
      </c>
      <c r="E497" s="63" t="s">
        <v>646</v>
      </c>
      <c r="F497" s="63" t="s">
        <v>647</v>
      </c>
      <c r="G497" s="142" t="n">
        <v>44817</v>
      </c>
      <c r="H497" s="142" t="n">
        <v>44847</v>
      </c>
      <c r="I497" s="19" t="n">
        <f aca="false">H497-G497</f>
        <v>30</v>
      </c>
      <c r="J497" s="149" t="n">
        <f aca="false">TRUNC(I497/30,0)</f>
        <v>1</v>
      </c>
      <c r="K497" s="183" t="s">
        <v>95</v>
      </c>
      <c r="L497" s="146" t="n">
        <v>1</v>
      </c>
      <c r="M497" s="147" t="n">
        <v>2.55</v>
      </c>
      <c r="N497" s="148" t="s">
        <v>669</v>
      </c>
      <c r="O497" s="149" t="s">
        <v>255</v>
      </c>
      <c r="P497" s="150" t="n">
        <v>0.0280624</v>
      </c>
      <c r="Q497" s="150" t="n">
        <v>0.0278343</v>
      </c>
      <c r="R497" s="151" t="s">
        <v>255</v>
      </c>
      <c r="S497" s="152" t="n">
        <v>0.0285</v>
      </c>
      <c r="T497" s="151"/>
      <c r="U497" s="357"/>
      <c r="V497" s="152" t="n">
        <v>0.029776</v>
      </c>
      <c r="W497" s="152" t="n">
        <v>0.000596</v>
      </c>
      <c r="X497" s="152" t="n">
        <v>0.00368</v>
      </c>
      <c r="Y497" s="152" t="n">
        <v>0.022801</v>
      </c>
      <c r="Z497" s="152" t="n">
        <v>0.002</v>
      </c>
      <c r="AA497" s="152" t="n">
        <v>0.002</v>
      </c>
      <c r="AB497" s="154" t="n">
        <f aca="false">S497-Z497</f>
        <v>0.0265</v>
      </c>
      <c r="AC497" s="154" t="n">
        <f aca="false">U497-Z497-AA497</f>
        <v>-0.004</v>
      </c>
      <c r="AD497" s="155" t="n">
        <v>0.0255</v>
      </c>
      <c r="AE497" s="153" t="n">
        <f aca="false">IF(Y497="","",Y497)</f>
        <v>0.022801</v>
      </c>
      <c r="AF497" s="153" t="n">
        <f aca="false">AD497-AE497</f>
        <v>0.002699</v>
      </c>
      <c r="AG497" s="184" t="n">
        <f aca="false">IF(AF497="","",AE497+AF497)</f>
        <v>0.0255</v>
      </c>
      <c r="AH497" s="185" t="n">
        <v>44817</v>
      </c>
      <c r="AI497" s="35" t="n">
        <v>1</v>
      </c>
      <c r="AJ497" s="19" t="str">
        <f aca="false">IF(AG497="","N","Y")</f>
        <v>Y</v>
      </c>
      <c r="AK497" s="238" t="s">
        <v>670</v>
      </c>
      <c r="AL497" s="36"/>
    </row>
    <row r="498" s="38" customFormat="true" ht="23.25" hidden="false" customHeight="true" outlineLevel="0" collapsed="false">
      <c r="A498" s="19" t="n">
        <f aca="false">IF(B498="","",IF((YEAR(B498)-YEAR(B497))=0,A497+1,1))</f>
        <v>22</v>
      </c>
      <c r="B498" s="141" t="n">
        <v>44817</v>
      </c>
      <c r="C498" s="63" t="s">
        <v>644</v>
      </c>
      <c r="D498" s="63" t="s">
        <v>645</v>
      </c>
      <c r="E498" s="63" t="s">
        <v>646</v>
      </c>
      <c r="F498" s="63" t="s">
        <v>647</v>
      </c>
      <c r="G498" s="142" t="n">
        <v>44817</v>
      </c>
      <c r="H498" s="142" t="n">
        <v>44847</v>
      </c>
      <c r="I498" s="19" t="n">
        <f aca="false">H498-G498</f>
        <v>30</v>
      </c>
      <c r="J498" s="149" t="n">
        <f aca="false">TRUNC(I498/30,0)</f>
        <v>1</v>
      </c>
      <c r="K498" s="183" t="s">
        <v>95</v>
      </c>
      <c r="L498" s="146" t="n">
        <v>1</v>
      </c>
      <c r="M498" s="147" t="n">
        <v>2.55</v>
      </c>
      <c r="N498" s="148" t="s">
        <v>669</v>
      </c>
      <c r="O498" s="149" t="s">
        <v>255</v>
      </c>
      <c r="P498" s="150" t="n">
        <v>0.0280624</v>
      </c>
      <c r="Q498" s="150" t="n">
        <v>0.0278343</v>
      </c>
      <c r="R498" s="151" t="s">
        <v>255</v>
      </c>
      <c r="S498" s="152" t="n">
        <v>0.0285</v>
      </c>
      <c r="T498" s="151"/>
      <c r="U498" s="357"/>
      <c r="V498" s="152" t="n">
        <v>0.029776</v>
      </c>
      <c r="W498" s="152" t="n">
        <v>0.000596</v>
      </c>
      <c r="X498" s="152" t="n">
        <v>0.00368</v>
      </c>
      <c r="Y498" s="152" t="n">
        <v>0.022801</v>
      </c>
      <c r="Z498" s="152" t="n">
        <v>0.002</v>
      </c>
      <c r="AA498" s="152" t="n">
        <v>0.002</v>
      </c>
      <c r="AB498" s="154" t="n">
        <f aca="false">S498-Z498</f>
        <v>0.0265</v>
      </c>
      <c r="AC498" s="154" t="n">
        <f aca="false">U498-Z498-AA498</f>
        <v>-0.004</v>
      </c>
      <c r="AD498" s="155" t="n">
        <v>0.0255</v>
      </c>
      <c r="AE498" s="153" t="n">
        <f aca="false">IF(Y498="","",Y498)</f>
        <v>0.022801</v>
      </c>
      <c r="AF498" s="153" t="n">
        <f aca="false">AD498-AE498</f>
        <v>0.002699</v>
      </c>
      <c r="AG498" s="184" t="n">
        <f aca="false">IF(AF498="","",AE498+AF498)</f>
        <v>0.0255</v>
      </c>
      <c r="AH498" s="185" t="n">
        <v>44817</v>
      </c>
      <c r="AI498" s="35" t="n">
        <v>2</v>
      </c>
      <c r="AJ498" s="19" t="str">
        <f aca="false">IF(AG498="","N","Y")</f>
        <v>Y</v>
      </c>
      <c r="AK498" s="238" t="s">
        <v>670</v>
      </c>
      <c r="AL498" s="36"/>
    </row>
    <row r="499" s="38" customFormat="true" ht="49.5" hidden="false" customHeight="true" outlineLevel="0" collapsed="false">
      <c r="A499" s="19" t="n">
        <f aca="false">IF(B499="","",IF((YEAR(B499)-YEAR(B498))=0,A498+1,1))</f>
        <v>23</v>
      </c>
      <c r="B499" s="141" t="n">
        <v>44841</v>
      </c>
      <c r="C499" s="63" t="s">
        <v>89</v>
      </c>
      <c r="D499" s="63" t="s">
        <v>665</v>
      </c>
      <c r="E499" s="19"/>
      <c r="F499" s="63" t="s">
        <v>654</v>
      </c>
      <c r="G499" s="142" t="n">
        <v>44841</v>
      </c>
      <c r="H499" s="142" t="n">
        <v>44872</v>
      </c>
      <c r="I499" s="19" t="n">
        <f aca="false">H499-G499</f>
        <v>31</v>
      </c>
      <c r="J499" s="149" t="n">
        <f aca="false">TRUNC(I499/30,0)</f>
        <v>1</v>
      </c>
      <c r="K499" s="189" t="s">
        <v>99</v>
      </c>
      <c r="L499" s="146" t="n">
        <v>12.3</v>
      </c>
      <c r="M499" s="147" t="n">
        <v>2.38</v>
      </c>
      <c r="N499" s="148" t="s">
        <v>671</v>
      </c>
      <c r="O499" s="149" t="s">
        <v>305</v>
      </c>
      <c r="P499" s="150"/>
      <c r="Q499" s="150"/>
      <c r="R499" s="151" t="s">
        <v>305</v>
      </c>
      <c r="S499" s="152" t="n">
        <v>0.031</v>
      </c>
      <c r="T499" s="151"/>
      <c r="U499" s="152"/>
      <c r="V499" s="152" t="n">
        <v>0.034757</v>
      </c>
      <c r="W499" s="152" t="n">
        <v>0.002433</v>
      </c>
      <c r="X499" s="152" t="n">
        <v>0.010324</v>
      </c>
      <c r="Y499" s="152" t="n">
        <v>0.020411</v>
      </c>
      <c r="Z499" s="152" t="n">
        <v>0.002</v>
      </c>
      <c r="AA499" s="152" t="n">
        <v>0.002</v>
      </c>
      <c r="AB499" s="154" t="n">
        <f aca="false">S499-Z499</f>
        <v>0.029</v>
      </c>
      <c r="AC499" s="154" t="n">
        <f aca="false">U499-Z499-AA499</f>
        <v>-0.004</v>
      </c>
      <c r="AD499" s="155" t="n">
        <v>0.022</v>
      </c>
      <c r="AE499" s="153" t="n">
        <f aca="false">IF(Y499="","",Y499)</f>
        <v>0.020411</v>
      </c>
      <c r="AF499" s="153" t="n">
        <f aca="false">AD499-AE499</f>
        <v>0.001589</v>
      </c>
      <c r="AG499" s="184" t="n">
        <f aca="false">IF(AF499="","",AE499+AF499)</f>
        <v>0.022</v>
      </c>
      <c r="AH499" s="185" t="n">
        <v>44841</v>
      </c>
      <c r="AI499" s="35" t="n">
        <v>2</v>
      </c>
      <c r="AJ499" s="19" t="str">
        <f aca="false">IF(AG499="","N","Y")</f>
        <v>Y</v>
      </c>
      <c r="AK499" s="359" t="s">
        <v>672</v>
      </c>
      <c r="AL499" s="36"/>
    </row>
    <row r="500" customFormat="false" ht="20.25" hidden="false" customHeight="true" outlineLevel="0" collapsed="false">
      <c r="A500" s="19" t="n">
        <f aca="false">IF(B500="","",IF((YEAR(B500)-YEAR(B499))=0,A499+1,1))</f>
        <v>24</v>
      </c>
      <c r="B500" s="141" t="n">
        <v>44845</v>
      </c>
      <c r="C500" s="19" t="s">
        <v>673</v>
      </c>
      <c r="D500" s="63" t="s">
        <v>674</v>
      </c>
      <c r="E500" s="19"/>
      <c r="F500" s="63" t="s">
        <v>675</v>
      </c>
      <c r="G500" s="142" t="n">
        <v>44845</v>
      </c>
      <c r="H500" s="142" t="n">
        <v>44876</v>
      </c>
      <c r="I500" s="19" t="n">
        <f aca="false">H500-G500</f>
        <v>31</v>
      </c>
      <c r="J500" s="149" t="n">
        <f aca="false">TRUNC(I500/30,0)</f>
        <v>1</v>
      </c>
      <c r="K500" s="183" t="s">
        <v>95</v>
      </c>
      <c r="L500" s="146" t="n">
        <v>3</v>
      </c>
      <c r="M500" s="147" t="n">
        <v>3.14</v>
      </c>
      <c r="N500" s="148" t="s">
        <v>676</v>
      </c>
      <c r="O500" s="149" t="s">
        <v>303</v>
      </c>
      <c r="P500" s="150" t="n">
        <v>0.0327413</v>
      </c>
      <c r="Q500" s="150" t="n">
        <v>0.0331671</v>
      </c>
      <c r="R500" s="151" t="s">
        <v>303</v>
      </c>
      <c r="S500" s="152" t="n">
        <v>0.033</v>
      </c>
      <c r="T500" s="151"/>
      <c r="U500" s="152"/>
      <c r="V500" s="152" t="n">
        <v>0.036236</v>
      </c>
      <c r="W500" s="152" t="n">
        <v>0.000725</v>
      </c>
      <c r="X500" s="152" t="n">
        <v>0.004511</v>
      </c>
      <c r="Y500" s="152" t="n">
        <v>0.027386</v>
      </c>
      <c r="Z500" s="152" t="n">
        <v>0.002</v>
      </c>
      <c r="AA500" s="152" t="n">
        <v>0.002</v>
      </c>
      <c r="AB500" s="154" t="n">
        <f aca="false">S500-Z500</f>
        <v>0.031</v>
      </c>
      <c r="AC500" s="154" t="n">
        <f aca="false">U500-Z500-AA500</f>
        <v>-0.004</v>
      </c>
      <c r="AD500" s="155" t="n">
        <v>0.031</v>
      </c>
      <c r="AE500" s="153" t="n">
        <f aca="false">IF(Y500="","",Y500)</f>
        <v>0.027386</v>
      </c>
      <c r="AF500" s="153" t="n">
        <f aca="false">AD500-AE500</f>
        <v>0.003614</v>
      </c>
      <c r="AG500" s="184" t="n">
        <f aca="false">IF(AF500="","",AE500+AF500)</f>
        <v>0.031</v>
      </c>
      <c r="AH500" s="185" t="n">
        <v>44845</v>
      </c>
      <c r="AI500" s="35" t="n">
        <v>1</v>
      </c>
      <c r="AJ500" s="19" t="str">
        <f aca="false">IF(AG500="","N","Y")</f>
        <v>Y</v>
      </c>
      <c r="AK500" s="238" t="s">
        <v>677</v>
      </c>
    </row>
    <row r="501" s="38" customFormat="true" ht="16.5" hidden="false" customHeight="true" outlineLevel="0" collapsed="false">
      <c r="A501" s="19" t="n">
        <f aca="false">IF(B501="","",IF((YEAR(B501)-YEAR(B500))=0,A500+1,1))</f>
        <v>25</v>
      </c>
      <c r="B501" s="141" t="n">
        <v>44847</v>
      </c>
      <c r="C501" s="63" t="s">
        <v>644</v>
      </c>
      <c r="D501" s="63" t="s">
        <v>645</v>
      </c>
      <c r="E501" s="63" t="s">
        <v>646</v>
      </c>
      <c r="F501" s="63" t="s">
        <v>647</v>
      </c>
      <c r="G501" s="142" t="n">
        <v>44847</v>
      </c>
      <c r="H501" s="142" t="n">
        <v>44879</v>
      </c>
      <c r="I501" s="19" t="n">
        <f aca="false">H501-G501</f>
        <v>32</v>
      </c>
      <c r="J501" s="149" t="n">
        <f aca="false">TRUNC(I501/30,0)</f>
        <v>1</v>
      </c>
      <c r="K501" s="183" t="s">
        <v>95</v>
      </c>
      <c r="L501" s="146" t="n">
        <v>1</v>
      </c>
      <c r="M501" s="147" t="n">
        <v>3.14</v>
      </c>
      <c r="N501" s="148" t="s">
        <v>678</v>
      </c>
      <c r="O501" s="149" t="s">
        <v>255</v>
      </c>
      <c r="P501" s="150" t="n">
        <v>0.0330238</v>
      </c>
      <c r="Q501" s="150" t="n">
        <v>0.0333871</v>
      </c>
      <c r="R501" s="151" t="s">
        <v>255</v>
      </c>
      <c r="S501" s="152" t="n">
        <v>0.036</v>
      </c>
      <c r="T501" s="151"/>
      <c r="U501" s="357"/>
      <c r="V501" s="152" t="n">
        <v>0.036451</v>
      </c>
      <c r="W501" s="152" t="n">
        <v>0.000729</v>
      </c>
      <c r="X501" s="152" t="n">
        <v>0.002722</v>
      </c>
      <c r="Y501" s="152" t="n">
        <v>0.027663</v>
      </c>
      <c r="Z501" s="152" t="n">
        <v>0.002</v>
      </c>
      <c r="AA501" s="152" t="n">
        <v>0.002</v>
      </c>
      <c r="AB501" s="154" t="n">
        <f aca="false">S501-Z501</f>
        <v>0.034</v>
      </c>
      <c r="AC501" s="154" t="n">
        <f aca="false">U501-Z501-AA501</f>
        <v>-0.004</v>
      </c>
      <c r="AD501" s="155" t="n">
        <v>0.033</v>
      </c>
      <c r="AE501" s="153" t="n">
        <f aca="false">IF(Y501="","",Y501)</f>
        <v>0.027663</v>
      </c>
      <c r="AF501" s="153" t="n">
        <f aca="false">AD501-AE501</f>
        <v>0.005337</v>
      </c>
      <c r="AG501" s="184" t="n">
        <f aca="false">IF(AF501="","",AE501+AF501)</f>
        <v>0.033</v>
      </c>
      <c r="AH501" s="185" t="n">
        <v>44847</v>
      </c>
      <c r="AI501" s="35" t="n">
        <v>1</v>
      </c>
      <c r="AJ501" s="19" t="str">
        <f aca="false">IF(AG501="","N","Y")</f>
        <v>Y</v>
      </c>
      <c r="AK501" s="238" t="s">
        <v>679</v>
      </c>
      <c r="AL501" s="36"/>
    </row>
    <row r="502" s="38" customFormat="true" ht="16.5" hidden="false" customHeight="true" outlineLevel="0" collapsed="false">
      <c r="A502" s="19" t="n">
        <f aca="false">IF(B502="","",IF((YEAR(B502)-YEAR(B501))=0,A501+1,1))</f>
        <v>26</v>
      </c>
      <c r="B502" s="141" t="n">
        <v>44860</v>
      </c>
      <c r="C502" s="63" t="s">
        <v>616</v>
      </c>
      <c r="D502" s="19"/>
      <c r="E502" s="63" t="s">
        <v>611</v>
      </c>
      <c r="F502" s="63" t="s">
        <v>219</v>
      </c>
      <c r="G502" s="142" t="n">
        <v>44860</v>
      </c>
      <c r="H502" s="142" t="n">
        <v>44952</v>
      </c>
      <c r="I502" s="19" t="n">
        <f aca="false">H502-G502</f>
        <v>92</v>
      </c>
      <c r="J502" s="149" t="n">
        <f aca="false">TRUNC(I502/30,0)</f>
        <v>3</v>
      </c>
      <c r="K502" s="183" t="s">
        <v>95</v>
      </c>
      <c r="L502" s="146" t="n">
        <v>1.11</v>
      </c>
      <c r="M502" s="147" t="n">
        <v>4.15</v>
      </c>
      <c r="N502" s="148" t="s">
        <v>680</v>
      </c>
      <c r="O502" s="149" t="s">
        <v>265</v>
      </c>
      <c r="P502" s="150" t="n">
        <v>0.0405391</v>
      </c>
      <c r="Q502" s="150" t="n">
        <v>0.04358</v>
      </c>
      <c r="R502" s="151" t="s">
        <v>265</v>
      </c>
      <c r="S502" s="152" t="n">
        <v>0.047</v>
      </c>
      <c r="T502" s="151"/>
      <c r="U502" s="357"/>
      <c r="V502" s="152" t="n">
        <v>0.044993</v>
      </c>
      <c r="W502" s="152" t="n">
        <v>0.0009</v>
      </c>
      <c r="X502" s="152" t="n">
        <v>0.002093</v>
      </c>
      <c r="Y502" s="152" t="n">
        <v>0.036828</v>
      </c>
      <c r="Z502" s="152" t="n">
        <v>0.002</v>
      </c>
      <c r="AA502" s="152" t="n">
        <v>0.002</v>
      </c>
      <c r="AB502" s="154" t="n">
        <f aca="false">S502-Z502</f>
        <v>0.045</v>
      </c>
      <c r="AC502" s="154" t="n">
        <f aca="false">U502-Z502-AA502</f>
        <v>-0.004</v>
      </c>
      <c r="AD502" s="155" t="n">
        <v>0.042</v>
      </c>
      <c r="AE502" s="153" t="n">
        <f aca="false">IF(Y502="","",Y502)</f>
        <v>0.036828</v>
      </c>
      <c r="AF502" s="153" t="n">
        <f aca="false">AD502-AE502</f>
        <v>0.005172</v>
      </c>
      <c r="AG502" s="184" t="n">
        <f aca="false">IF(AF502="","",AE502+AF502)</f>
        <v>0.042</v>
      </c>
      <c r="AH502" s="185" t="n">
        <v>44860</v>
      </c>
      <c r="AI502" s="35" t="n">
        <v>2</v>
      </c>
      <c r="AJ502" s="19" t="str">
        <f aca="false">IF(AG502="","N","Y")</f>
        <v>Y</v>
      </c>
      <c r="AK502" s="238" t="s">
        <v>681</v>
      </c>
      <c r="AL502" s="36"/>
    </row>
    <row r="503" customFormat="false" ht="16.5" hidden="false" customHeight="true" outlineLevel="0" collapsed="false">
      <c r="A503" s="19" t="n">
        <f aca="false">IF(B503="","",IF((YEAR(B503)-YEAR(B502))=0,A502+1,1))</f>
        <v>27</v>
      </c>
      <c r="B503" s="141" t="n">
        <v>44862</v>
      </c>
      <c r="C503" s="63" t="s">
        <v>96</v>
      </c>
      <c r="D503" s="19"/>
      <c r="E503" s="63" t="s">
        <v>682</v>
      </c>
      <c r="F503" s="63" t="s">
        <v>683</v>
      </c>
      <c r="G503" s="142" t="n">
        <v>44862</v>
      </c>
      <c r="H503" s="142" t="n">
        <v>44956</v>
      </c>
      <c r="I503" s="19" t="n">
        <f aca="false">H503-G503</f>
        <v>94</v>
      </c>
      <c r="J503" s="149" t="n">
        <f aca="false">TRUNC(I503/30,0)</f>
        <v>3</v>
      </c>
      <c r="K503" s="183" t="s">
        <v>95</v>
      </c>
      <c r="L503" s="146" t="n">
        <v>3.9</v>
      </c>
      <c r="M503" s="147" t="n">
        <v>4.19</v>
      </c>
      <c r="N503" s="148" t="s">
        <v>684</v>
      </c>
      <c r="O503" s="149" t="s">
        <v>265</v>
      </c>
      <c r="P503" s="150" t="n">
        <v>0.037223</v>
      </c>
      <c r="Q503" s="150" t="n">
        <v>0.0441471</v>
      </c>
      <c r="R503" s="151" t="s">
        <v>265</v>
      </c>
      <c r="S503" s="152" t="n">
        <v>0.046</v>
      </c>
      <c r="T503" s="151"/>
      <c r="U503" s="152"/>
      <c r="V503" s="152" t="n">
        <v>0.045308</v>
      </c>
      <c r="W503" s="152" t="n">
        <v>0.000906</v>
      </c>
      <c r="X503" s="152" t="n">
        <v>0.002402</v>
      </c>
      <c r="Y503" s="152" t="n">
        <v>0.037223</v>
      </c>
      <c r="Z503" s="152" t="n">
        <v>0.002</v>
      </c>
      <c r="AA503" s="152" t="n">
        <v>0.002</v>
      </c>
      <c r="AB503" s="154" t="n">
        <f aca="false">S503-Z503</f>
        <v>0.044</v>
      </c>
      <c r="AC503" s="154" t="n">
        <f aca="false">U503-Z503-AA503</f>
        <v>-0.004</v>
      </c>
      <c r="AD503" s="155" t="n">
        <v>0.042</v>
      </c>
      <c r="AE503" s="153" t="n">
        <f aca="false">IF(Y503="","",Y503)</f>
        <v>0.037223</v>
      </c>
      <c r="AF503" s="153" t="n">
        <f aca="false">AD503-AE503</f>
        <v>0.004777</v>
      </c>
      <c r="AG503" s="184" t="n">
        <f aca="false">IF(AF503="","",AE503+AF503)</f>
        <v>0.042</v>
      </c>
      <c r="AH503" s="185" t="n">
        <v>44862</v>
      </c>
      <c r="AI503" s="35" t="n">
        <v>1</v>
      </c>
      <c r="AJ503" s="19" t="str">
        <f aca="false">IF(AG503="","N","Y")</f>
        <v>Y</v>
      </c>
      <c r="AK503" s="238" t="s">
        <v>685</v>
      </c>
    </row>
    <row r="504" customFormat="false" ht="16.5" hidden="false" customHeight="true" outlineLevel="0" collapsed="false">
      <c r="A504" s="335" t="n">
        <f aca="false">IF(B504="","",IF((YEAR(B504)-YEAR(B503))=0,A503+1,1))</f>
        <v>28</v>
      </c>
      <c r="B504" s="334" t="n">
        <v>44866</v>
      </c>
      <c r="C504" s="335" t="s">
        <v>165</v>
      </c>
      <c r="D504" s="335" t="s">
        <v>686</v>
      </c>
      <c r="E504" s="335"/>
      <c r="F504" s="335" t="s">
        <v>631</v>
      </c>
      <c r="G504" s="336" t="n">
        <v>44866</v>
      </c>
      <c r="H504" s="336" t="n">
        <v>44896</v>
      </c>
      <c r="I504" s="335" t="n">
        <f aca="false">H504-G504</f>
        <v>30</v>
      </c>
      <c r="J504" s="337" t="n">
        <f aca="false">TRUNC(I504/30,0)</f>
        <v>1</v>
      </c>
      <c r="K504" s="338" t="s">
        <v>95</v>
      </c>
      <c r="L504" s="339" t="n">
        <v>1.9</v>
      </c>
      <c r="M504" s="340" t="n">
        <v>3.56</v>
      </c>
      <c r="N504" s="341" t="s">
        <v>687</v>
      </c>
      <c r="O504" s="337" t="s">
        <v>255</v>
      </c>
      <c r="P504" s="342" t="n">
        <v>0.0376059</v>
      </c>
      <c r="Q504" s="342" t="n">
        <v>0.0380486</v>
      </c>
      <c r="R504" s="343" t="s">
        <v>255</v>
      </c>
      <c r="S504" s="344" t="n">
        <v>0.039</v>
      </c>
      <c r="T504" s="343"/>
      <c r="U504" s="344"/>
      <c r="V504" s="344" t="n">
        <v>0.041336</v>
      </c>
      <c r="W504" s="344" t="n">
        <v>0.000827</v>
      </c>
      <c r="X504" s="344" t="n">
        <v>0.00551</v>
      </c>
      <c r="Y504" s="344" t="n">
        <v>0.032153</v>
      </c>
      <c r="Z504" s="344" t="n">
        <v>0.002</v>
      </c>
      <c r="AA504" s="344" t="n">
        <v>0.002</v>
      </c>
      <c r="AB504" s="345" t="n">
        <f aca="false">S504-Z504</f>
        <v>0.037</v>
      </c>
      <c r="AC504" s="345" t="n">
        <f aca="false">U504-Z504-AA504</f>
        <v>-0.004</v>
      </c>
      <c r="AD504" s="346" t="n">
        <v>0.035</v>
      </c>
      <c r="AE504" s="347" t="n">
        <f aca="false">IF(Y504="","",Y504)</f>
        <v>0.032153</v>
      </c>
      <c r="AF504" s="347" t="n">
        <f aca="false">AD504-AE504</f>
        <v>0.002847</v>
      </c>
      <c r="AG504" s="348" t="n">
        <f aca="false">IF(AF504="","",AE504+AF504)</f>
        <v>0.035</v>
      </c>
      <c r="AH504" s="349" t="n">
        <v>44866</v>
      </c>
      <c r="AI504" s="350" t="n">
        <v>11</v>
      </c>
      <c r="AJ504" s="351" t="str">
        <f aca="false">IF(AG504="","N","Y")</f>
        <v>Y</v>
      </c>
      <c r="AK504" s="352" t="s">
        <v>688</v>
      </c>
    </row>
    <row r="505" s="38" customFormat="true" ht="16.5" hidden="false" customHeight="true" outlineLevel="0" collapsed="false">
      <c r="A505" s="335" t="n">
        <f aca="false">IF(B505="","",IF((YEAR(B505)-YEAR(B504))=0,A504+1,1))</f>
        <v>29</v>
      </c>
      <c r="B505" s="334" t="n">
        <v>44866</v>
      </c>
      <c r="C505" s="335" t="s">
        <v>165</v>
      </c>
      <c r="D505" s="335" t="s">
        <v>686</v>
      </c>
      <c r="E505" s="335"/>
      <c r="F505" s="335" t="s">
        <v>631</v>
      </c>
      <c r="G505" s="336" t="n">
        <v>44866</v>
      </c>
      <c r="H505" s="336" t="n">
        <v>44896</v>
      </c>
      <c r="I505" s="335" t="n">
        <f aca="false">H505-G505</f>
        <v>30</v>
      </c>
      <c r="J505" s="337" t="n">
        <f aca="false">TRUNC(I505/30,0)</f>
        <v>1</v>
      </c>
      <c r="K505" s="338" t="s">
        <v>95</v>
      </c>
      <c r="L505" s="339" t="n">
        <v>2</v>
      </c>
      <c r="M505" s="340" t="n">
        <v>3.56</v>
      </c>
      <c r="N505" s="341" t="s">
        <v>687</v>
      </c>
      <c r="O505" s="337" t="s">
        <v>255</v>
      </c>
      <c r="P505" s="342" t="n">
        <v>0.0376059</v>
      </c>
      <c r="Q505" s="342" t="n">
        <v>0.0380486</v>
      </c>
      <c r="R505" s="343" t="s">
        <v>255</v>
      </c>
      <c r="S505" s="344" t="n">
        <v>0.039</v>
      </c>
      <c r="T505" s="343"/>
      <c r="U505" s="344"/>
      <c r="V505" s="344" t="n">
        <v>0.041336</v>
      </c>
      <c r="W505" s="344" t="n">
        <v>0.000827</v>
      </c>
      <c r="X505" s="344" t="n">
        <v>0.00551</v>
      </c>
      <c r="Y505" s="344" t="n">
        <v>0.032153</v>
      </c>
      <c r="Z505" s="344" t="n">
        <v>0.002</v>
      </c>
      <c r="AA505" s="344" t="n">
        <v>0.002</v>
      </c>
      <c r="AB505" s="345" t="n">
        <f aca="false">S505-Z505</f>
        <v>0.037</v>
      </c>
      <c r="AC505" s="345" t="n">
        <f aca="false">U505-Z505-AA505</f>
        <v>-0.004</v>
      </c>
      <c r="AD505" s="346" t="n">
        <v>0.035</v>
      </c>
      <c r="AE505" s="347" t="n">
        <f aca="false">IF(Y505="","",Y505)</f>
        <v>0.032153</v>
      </c>
      <c r="AF505" s="347" t="n">
        <f aca="false">AD505-AE505</f>
        <v>0.002847</v>
      </c>
      <c r="AG505" s="348" t="n">
        <f aca="false">IF(AF505="","",AE505+AF505)</f>
        <v>0.035</v>
      </c>
      <c r="AH505" s="349" t="n">
        <v>44866</v>
      </c>
      <c r="AI505" s="350" t="n">
        <v>10</v>
      </c>
      <c r="AJ505" s="351" t="str">
        <f aca="false">IF(AG505="","N","Y")</f>
        <v>Y</v>
      </c>
      <c r="AK505" s="352" t="s">
        <v>688</v>
      </c>
      <c r="AL505" s="36"/>
    </row>
    <row r="506" s="38" customFormat="true" ht="16.5" hidden="false" customHeight="true" outlineLevel="0" collapsed="false">
      <c r="A506" s="335" t="n">
        <f aca="false">IF(B506="","",IF((YEAR(B506)-YEAR(B505))=0,A505+1,1))</f>
        <v>30</v>
      </c>
      <c r="B506" s="334" t="n">
        <v>44866</v>
      </c>
      <c r="C506" s="335" t="s">
        <v>165</v>
      </c>
      <c r="D506" s="335" t="s">
        <v>686</v>
      </c>
      <c r="E506" s="335"/>
      <c r="F506" s="335" t="s">
        <v>631</v>
      </c>
      <c r="G506" s="336" t="n">
        <v>44866</v>
      </c>
      <c r="H506" s="336" t="n">
        <v>44896</v>
      </c>
      <c r="I506" s="335" t="n">
        <f aca="false">H506-G506</f>
        <v>30</v>
      </c>
      <c r="J506" s="337" t="n">
        <f aca="false">TRUNC(I506/30,0)</f>
        <v>1</v>
      </c>
      <c r="K506" s="338" t="s">
        <v>95</v>
      </c>
      <c r="L506" s="339" t="n">
        <v>2.1</v>
      </c>
      <c r="M506" s="340" t="n">
        <v>3.56</v>
      </c>
      <c r="N506" s="341" t="s">
        <v>687</v>
      </c>
      <c r="O506" s="337" t="s">
        <v>255</v>
      </c>
      <c r="P506" s="342" t="n">
        <v>0.0376059</v>
      </c>
      <c r="Q506" s="342" t="n">
        <v>0.0380486</v>
      </c>
      <c r="R506" s="343" t="s">
        <v>255</v>
      </c>
      <c r="S506" s="344" t="n">
        <v>0.039</v>
      </c>
      <c r="T506" s="343"/>
      <c r="U506" s="344"/>
      <c r="V506" s="344" t="n">
        <v>0.041336</v>
      </c>
      <c r="W506" s="344" t="n">
        <v>0.000827</v>
      </c>
      <c r="X506" s="344" t="n">
        <v>0.00551</v>
      </c>
      <c r="Y506" s="344" t="n">
        <v>0.032153</v>
      </c>
      <c r="Z506" s="344" t="n">
        <v>0.002</v>
      </c>
      <c r="AA506" s="344" t="n">
        <v>0.002</v>
      </c>
      <c r="AB506" s="345" t="n">
        <f aca="false">S506-Z506</f>
        <v>0.037</v>
      </c>
      <c r="AC506" s="345" t="n">
        <f aca="false">U506-Z506-AA506</f>
        <v>-0.004</v>
      </c>
      <c r="AD506" s="346" t="n">
        <v>0.035</v>
      </c>
      <c r="AE506" s="347" t="n">
        <f aca="false">IF(Y506="","",Y506)</f>
        <v>0.032153</v>
      </c>
      <c r="AF506" s="347" t="n">
        <f aca="false">AD506-AE506</f>
        <v>0.002847</v>
      </c>
      <c r="AG506" s="348" t="n">
        <f aca="false">IF(AF506="","",AE506+AF506)</f>
        <v>0.035</v>
      </c>
      <c r="AH506" s="349" t="n">
        <v>44866</v>
      </c>
      <c r="AI506" s="350" t="n">
        <v>9</v>
      </c>
      <c r="AJ506" s="351" t="str">
        <f aca="false">IF(AG506="","N","Y")</f>
        <v>Y</v>
      </c>
      <c r="AK506" s="352" t="s">
        <v>688</v>
      </c>
      <c r="AL506" s="36"/>
    </row>
    <row r="507" customFormat="false" ht="16.5" hidden="false" customHeight="true" outlineLevel="0" collapsed="false">
      <c r="A507" s="335" t="n">
        <f aca="false">IF(B507="","",IF((YEAR(B507)-YEAR(B506))=0,A506+1,1))</f>
        <v>31</v>
      </c>
      <c r="B507" s="334" t="n">
        <v>44866</v>
      </c>
      <c r="C507" s="335" t="s">
        <v>165</v>
      </c>
      <c r="D507" s="335" t="s">
        <v>686</v>
      </c>
      <c r="E507" s="335"/>
      <c r="F507" s="335" t="s">
        <v>631</v>
      </c>
      <c r="G507" s="336" t="n">
        <v>44866</v>
      </c>
      <c r="H507" s="336" t="n">
        <v>44896</v>
      </c>
      <c r="I507" s="335" t="n">
        <f aca="false">H507-G507</f>
        <v>30</v>
      </c>
      <c r="J507" s="337" t="n">
        <f aca="false">TRUNC(I507/30,0)</f>
        <v>1</v>
      </c>
      <c r="K507" s="338" t="s">
        <v>95</v>
      </c>
      <c r="L507" s="339" t="n">
        <v>2.2</v>
      </c>
      <c r="M507" s="340" t="n">
        <v>3.56</v>
      </c>
      <c r="N507" s="341" t="s">
        <v>687</v>
      </c>
      <c r="O507" s="337" t="s">
        <v>255</v>
      </c>
      <c r="P507" s="342" t="n">
        <v>0.0376059</v>
      </c>
      <c r="Q507" s="342" t="n">
        <v>0.0380486</v>
      </c>
      <c r="R507" s="343" t="s">
        <v>255</v>
      </c>
      <c r="S507" s="344" t="n">
        <v>0.039</v>
      </c>
      <c r="T507" s="343"/>
      <c r="U507" s="344"/>
      <c r="V507" s="344" t="n">
        <v>0.041336</v>
      </c>
      <c r="W507" s="344" t="n">
        <v>0.000827</v>
      </c>
      <c r="X507" s="344" t="n">
        <v>0.00551</v>
      </c>
      <c r="Y507" s="344" t="n">
        <v>0.032153</v>
      </c>
      <c r="Z507" s="344" t="n">
        <v>0.002</v>
      </c>
      <c r="AA507" s="344" t="n">
        <v>0.002</v>
      </c>
      <c r="AB507" s="345" t="n">
        <f aca="false">S507-Z507</f>
        <v>0.037</v>
      </c>
      <c r="AC507" s="345" t="n">
        <f aca="false">U507-Z507-AA507</f>
        <v>-0.004</v>
      </c>
      <c r="AD507" s="346" t="n">
        <v>0.035</v>
      </c>
      <c r="AE507" s="347" t="n">
        <f aca="false">IF(Y507="","",Y507)</f>
        <v>0.032153</v>
      </c>
      <c r="AF507" s="347" t="n">
        <f aca="false">AD507-AE507</f>
        <v>0.002847</v>
      </c>
      <c r="AG507" s="348" t="n">
        <f aca="false">IF(AF507="","",AE507+AF507)</f>
        <v>0.035</v>
      </c>
      <c r="AH507" s="349" t="n">
        <v>44866</v>
      </c>
      <c r="AI507" s="350" t="n">
        <v>8</v>
      </c>
      <c r="AJ507" s="351" t="str">
        <f aca="false">IF(AG507="","N","Y")</f>
        <v>Y</v>
      </c>
      <c r="AK507" s="352" t="s">
        <v>688</v>
      </c>
    </row>
    <row r="508" customFormat="false" ht="16.5" hidden="false" customHeight="true" outlineLevel="0" collapsed="false">
      <c r="A508" s="335" t="n">
        <f aca="false">IF(B508="","",IF((YEAR(B508)-YEAR(B507))=0,A507+1,1))</f>
        <v>32</v>
      </c>
      <c r="B508" s="334" t="n">
        <v>44866</v>
      </c>
      <c r="C508" s="335" t="s">
        <v>165</v>
      </c>
      <c r="D508" s="335" t="s">
        <v>686</v>
      </c>
      <c r="E508" s="335"/>
      <c r="F508" s="335" t="s">
        <v>631</v>
      </c>
      <c r="G508" s="336" t="n">
        <v>44866</v>
      </c>
      <c r="H508" s="336" t="n">
        <v>44896</v>
      </c>
      <c r="I508" s="335" t="n">
        <f aca="false">H508-G508</f>
        <v>30</v>
      </c>
      <c r="J508" s="337" t="n">
        <f aca="false">TRUNC(I508/30,0)</f>
        <v>1</v>
      </c>
      <c r="K508" s="338" t="s">
        <v>95</v>
      </c>
      <c r="L508" s="339" t="n">
        <v>2.3</v>
      </c>
      <c r="M508" s="340" t="n">
        <v>3.56</v>
      </c>
      <c r="N508" s="341" t="s">
        <v>687</v>
      </c>
      <c r="O508" s="337" t="s">
        <v>255</v>
      </c>
      <c r="P508" s="342" t="n">
        <v>0.0376059</v>
      </c>
      <c r="Q508" s="342" t="n">
        <v>0.0380486</v>
      </c>
      <c r="R508" s="343" t="s">
        <v>255</v>
      </c>
      <c r="S508" s="344" t="n">
        <v>0.039</v>
      </c>
      <c r="T508" s="343"/>
      <c r="U508" s="344"/>
      <c r="V508" s="344" t="n">
        <v>0.041336</v>
      </c>
      <c r="W508" s="344" t="n">
        <v>0.000827</v>
      </c>
      <c r="X508" s="344" t="n">
        <v>0.00551</v>
      </c>
      <c r="Y508" s="344" t="n">
        <v>0.032153</v>
      </c>
      <c r="Z508" s="344" t="n">
        <v>0.002</v>
      </c>
      <c r="AA508" s="344" t="n">
        <v>0.002</v>
      </c>
      <c r="AB508" s="345" t="n">
        <f aca="false">S508-Z508</f>
        <v>0.037</v>
      </c>
      <c r="AC508" s="345" t="n">
        <f aca="false">U508-Z508-AA508</f>
        <v>-0.004</v>
      </c>
      <c r="AD508" s="346" t="n">
        <v>0.035</v>
      </c>
      <c r="AE508" s="347" t="n">
        <f aca="false">IF(Y508="","",Y508)</f>
        <v>0.032153</v>
      </c>
      <c r="AF508" s="347" t="n">
        <f aca="false">AD508-AE508</f>
        <v>0.002847</v>
      </c>
      <c r="AG508" s="348" t="n">
        <f aca="false">IF(AF508="","",AE508+AF508)</f>
        <v>0.035</v>
      </c>
      <c r="AH508" s="349" t="n">
        <v>44866</v>
      </c>
      <c r="AI508" s="350" t="n">
        <v>7</v>
      </c>
      <c r="AJ508" s="351" t="str">
        <f aca="false">IF(AG508="","N","Y")</f>
        <v>Y</v>
      </c>
      <c r="AK508" s="352" t="s">
        <v>688</v>
      </c>
    </row>
    <row r="509" s="38" customFormat="true" ht="16.5" hidden="false" customHeight="true" outlineLevel="0" collapsed="false">
      <c r="A509" s="19" t="n">
        <f aca="false">IF(B509="","",IF((YEAR(B509)-YEAR(B508))=0,A508+1,1))</f>
        <v>33</v>
      </c>
      <c r="B509" s="141" t="n">
        <v>44872</v>
      </c>
      <c r="C509" s="63" t="s">
        <v>89</v>
      </c>
      <c r="D509" s="63" t="s">
        <v>665</v>
      </c>
      <c r="E509" s="19"/>
      <c r="F509" s="63" t="s">
        <v>654</v>
      </c>
      <c r="G509" s="142" t="n">
        <v>44873</v>
      </c>
      <c r="H509" s="142" t="n">
        <v>44902</v>
      </c>
      <c r="I509" s="19" t="n">
        <f aca="false">H509-G509</f>
        <v>29</v>
      </c>
      <c r="J509" s="149" t="n">
        <f aca="false">TRUNC(I509/30,0)</f>
        <v>0</v>
      </c>
      <c r="K509" s="189" t="s">
        <v>99</v>
      </c>
      <c r="L509" s="146" t="n">
        <v>12.3</v>
      </c>
      <c r="M509" s="147" t="n">
        <v>2.85</v>
      </c>
      <c r="N509" s="148" t="s">
        <v>689</v>
      </c>
      <c r="O509" s="149" t="s">
        <v>305</v>
      </c>
      <c r="P509" s="150"/>
      <c r="Q509" s="150"/>
      <c r="R509" s="151" t="s">
        <v>305</v>
      </c>
      <c r="S509" s="152" t="n">
        <v>0.0382</v>
      </c>
      <c r="T509" s="151"/>
      <c r="U509" s="152"/>
      <c r="V509" s="152" t="n">
        <v>0.041939</v>
      </c>
      <c r="W509" s="152" t="n">
        <v>0.002936</v>
      </c>
      <c r="X509" s="152" t="n">
        <v>0.010003</v>
      </c>
      <c r="Y509" s="152" t="n">
        <v>0.027052</v>
      </c>
      <c r="Z509" s="152" t="n">
        <v>0.002</v>
      </c>
      <c r="AA509" s="152" t="n">
        <v>0.002</v>
      </c>
      <c r="AB509" s="154" t="n">
        <f aca="false">S509-Z509</f>
        <v>0.0362</v>
      </c>
      <c r="AC509" s="154" t="n">
        <f aca="false">U509-Z509-AA509</f>
        <v>-0.004</v>
      </c>
      <c r="AD509" s="155" t="n">
        <v>0.029</v>
      </c>
      <c r="AE509" s="153" t="n">
        <f aca="false">IF(Y509="","",Y509)</f>
        <v>0.027052</v>
      </c>
      <c r="AF509" s="153" t="n">
        <f aca="false">AD509-AE509</f>
        <v>0.001948</v>
      </c>
      <c r="AG509" s="184" t="n">
        <f aca="false">IF(AF509="","",AE509+AF509)</f>
        <v>0.029</v>
      </c>
      <c r="AH509" s="185" t="n">
        <v>44872</v>
      </c>
      <c r="AI509" s="35" t="n">
        <v>1</v>
      </c>
      <c r="AJ509" s="19" t="str">
        <f aca="false">IF(AG509="","N","Y")</f>
        <v>Y</v>
      </c>
      <c r="AK509" s="359" t="s">
        <v>690</v>
      </c>
      <c r="AL509" s="36"/>
    </row>
    <row r="510" customFormat="false" ht="21" hidden="false" customHeight="true" outlineLevel="0" collapsed="false">
      <c r="A510" s="19" t="n">
        <f aca="false">IF(B510="","",IF((YEAR(B510)-YEAR(B509))=0,A509+1,1))</f>
        <v>34</v>
      </c>
      <c r="B510" s="141" t="n">
        <v>44874</v>
      </c>
      <c r="C510" s="63" t="s">
        <v>691</v>
      </c>
      <c r="D510" s="63" t="s">
        <v>598</v>
      </c>
      <c r="E510" s="19"/>
      <c r="F510" s="63" t="s">
        <v>692</v>
      </c>
      <c r="G510" s="142" t="n">
        <v>44874</v>
      </c>
      <c r="H510" s="142" t="n">
        <v>44904</v>
      </c>
      <c r="I510" s="19" t="n">
        <f aca="false">H510-G510</f>
        <v>30</v>
      </c>
      <c r="J510" s="149" t="n">
        <f aca="false">TRUNC(I510/30,0)</f>
        <v>1</v>
      </c>
      <c r="K510" s="183" t="s">
        <v>95</v>
      </c>
      <c r="L510" s="146" t="n">
        <v>1.5</v>
      </c>
      <c r="M510" s="147" t="n">
        <v>3.65</v>
      </c>
      <c r="N510" s="148" t="s">
        <v>693</v>
      </c>
      <c r="O510" s="149" t="s">
        <v>255</v>
      </c>
      <c r="P510" s="150" t="n">
        <v>0.0379885</v>
      </c>
      <c r="Q510" s="150" t="n">
        <v>0.0385871</v>
      </c>
      <c r="R510" s="151" t="s">
        <v>255</v>
      </c>
      <c r="S510" s="152" t="n">
        <v>0.0393</v>
      </c>
      <c r="T510" s="151"/>
      <c r="U510" s="152"/>
      <c r="V510" s="152" t="n">
        <v>0.042013</v>
      </c>
      <c r="W510" s="152" t="n">
        <v>0.00084</v>
      </c>
      <c r="X510" s="152" t="n">
        <v>0.004173</v>
      </c>
      <c r="Y510" s="152" t="n">
        <v>0.032528</v>
      </c>
      <c r="Z510" s="152" t="n">
        <v>0.002</v>
      </c>
      <c r="AA510" s="152" t="n">
        <v>0.002</v>
      </c>
      <c r="AB510" s="154" t="n">
        <f aca="false">S510-Z510</f>
        <v>0.0373</v>
      </c>
      <c r="AC510" s="154" t="n">
        <f aca="false">U510-Z510-AA510</f>
        <v>-0.004</v>
      </c>
      <c r="AD510" s="155" t="n">
        <v>0.037</v>
      </c>
      <c r="AE510" s="153" t="n">
        <f aca="false">IF(Y510="","",Y510)</f>
        <v>0.032528</v>
      </c>
      <c r="AF510" s="153" t="n">
        <f aca="false">AD510-AE510</f>
        <v>0.004472</v>
      </c>
      <c r="AG510" s="184" t="n">
        <f aca="false">IF(AF510="","",AE510+AF510)</f>
        <v>0.037</v>
      </c>
      <c r="AH510" s="185" t="n">
        <v>44874</v>
      </c>
      <c r="AI510" s="35" t="n">
        <v>1</v>
      </c>
      <c r="AJ510" s="19" t="str">
        <f aca="false">IF(AG510="","N","Y")</f>
        <v>Y</v>
      </c>
      <c r="AK510" s="238" t="s">
        <v>694</v>
      </c>
    </row>
    <row r="511" customFormat="false" ht="49.5" hidden="false" customHeight="true" outlineLevel="0" collapsed="false">
      <c r="A511" s="19" t="n">
        <f aca="false">IF(B511="","",IF((YEAR(B511)-YEAR(B510))=0,A510+1,1))</f>
        <v>35</v>
      </c>
      <c r="B511" s="141" t="n">
        <v>44874</v>
      </c>
      <c r="C511" s="63" t="s">
        <v>209</v>
      </c>
      <c r="D511" s="63" t="s">
        <v>695</v>
      </c>
      <c r="E511" s="63" t="s">
        <v>696</v>
      </c>
      <c r="F511" s="63" t="s">
        <v>697</v>
      </c>
      <c r="G511" s="142" t="n">
        <v>44874</v>
      </c>
      <c r="H511" s="142" t="n">
        <v>44904</v>
      </c>
      <c r="I511" s="19" t="n">
        <f aca="false">H511-G511</f>
        <v>30</v>
      </c>
      <c r="J511" s="149" t="n">
        <f aca="false">TRUNC(I511/30,0)</f>
        <v>1</v>
      </c>
      <c r="K511" s="183" t="s">
        <v>95</v>
      </c>
      <c r="L511" s="146" t="n">
        <v>4</v>
      </c>
      <c r="M511" s="147" t="n">
        <v>3.65</v>
      </c>
      <c r="N511" s="148" t="s">
        <v>693</v>
      </c>
      <c r="O511" s="149" t="s">
        <v>255</v>
      </c>
      <c r="P511" s="150" t="n">
        <v>0.0379885</v>
      </c>
      <c r="Q511" s="150" t="n">
        <v>0.0385871</v>
      </c>
      <c r="R511" s="151" t="s">
        <v>255</v>
      </c>
      <c r="S511" s="152" t="n">
        <v>0.0393</v>
      </c>
      <c r="T511" s="151"/>
      <c r="U511" s="152"/>
      <c r="V511" s="152" t="n">
        <v>0.042013</v>
      </c>
      <c r="W511" s="152" t="n">
        <v>0.00084</v>
      </c>
      <c r="X511" s="152" t="n">
        <v>0.002173</v>
      </c>
      <c r="Y511" s="152" t="n">
        <v>0.032528</v>
      </c>
      <c r="Z511" s="152" t="n">
        <v>0.002</v>
      </c>
      <c r="AA511" s="152" t="n">
        <v>0.002</v>
      </c>
      <c r="AB511" s="154" t="n">
        <f aca="false">S511-Z511</f>
        <v>0.0373</v>
      </c>
      <c r="AC511" s="154" t="n">
        <f aca="false">U511-Z511-AA511</f>
        <v>-0.004</v>
      </c>
      <c r="AD511" s="155" t="n">
        <v>0.039</v>
      </c>
      <c r="AE511" s="153" t="n">
        <f aca="false">IF(Y511="","",Y511)</f>
        <v>0.032528</v>
      </c>
      <c r="AF511" s="153" t="n">
        <f aca="false">AD511-AE511</f>
        <v>0.006472</v>
      </c>
      <c r="AG511" s="184" t="n">
        <f aca="false">IF(AF511="","",AE511+AF511)</f>
        <v>0.039</v>
      </c>
      <c r="AH511" s="185" t="n">
        <v>44874</v>
      </c>
      <c r="AI511" s="35" t="n">
        <v>1</v>
      </c>
      <c r="AJ511" s="19" t="str">
        <f aca="false">IF(AG511="","N","Y")</f>
        <v>Y</v>
      </c>
      <c r="AK511" s="359" t="s">
        <v>698</v>
      </c>
    </row>
    <row r="512" customFormat="false" ht="20.25" hidden="false" customHeight="true" outlineLevel="0" collapsed="false">
      <c r="A512" s="19" t="n">
        <f aca="false">IF(B512="","",IF((YEAR(B512)-YEAR(B511))=0,A511+1,1))</f>
        <v>36</v>
      </c>
      <c r="B512" s="141" t="n">
        <v>44876</v>
      </c>
      <c r="C512" s="19" t="s">
        <v>673</v>
      </c>
      <c r="D512" s="63" t="s">
        <v>699</v>
      </c>
      <c r="E512" s="19"/>
      <c r="F512" s="63" t="s">
        <v>675</v>
      </c>
      <c r="G512" s="142" t="n">
        <v>44876</v>
      </c>
      <c r="H512" s="142" t="n">
        <v>44907</v>
      </c>
      <c r="I512" s="19" t="n">
        <f aca="false">H512-G512</f>
        <v>31</v>
      </c>
      <c r="J512" s="149" t="n">
        <f aca="false">TRUNC(I512/30,0)</f>
        <v>1</v>
      </c>
      <c r="K512" s="183" t="s">
        <v>95</v>
      </c>
      <c r="L512" s="146" t="n">
        <v>3</v>
      </c>
      <c r="M512" s="147" t="n">
        <v>3.65</v>
      </c>
      <c r="N512" s="148" t="s">
        <v>700</v>
      </c>
      <c r="O512" s="149" t="s">
        <v>255</v>
      </c>
      <c r="P512" s="150" t="n">
        <v>0.0379425</v>
      </c>
      <c r="Q512" s="150" t="n">
        <v>0.0387314</v>
      </c>
      <c r="R512" s="151" t="s">
        <v>255</v>
      </c>
      <c r="S512" s="152" t="n">
        <v>0.0393</v>
      </c>
      <c r="T512" s="151"/>
      <c r="U512" s="152"/>
      <c r="V512" s="152" t="n">
        <v>0.041956</v>
      </c>
      <c r="W512" s="152" t="n">
        <v>0.000839</v>
      </c>
      <c r="X512" s="152" t="n">
        <v>0.004117</v>
      </c>
      <c r="Y512" s="152" t="n">
        <v>0.032483</v>
      </c>
      <c r="Z512" s="152" t="n">
        <v>0.002</v>
      </c>
      <c r="AA512" s="152" t="n">
        <v>0.002</v>
      </c>
      <c r="AB512" s="154" t="n">
        <f aca="false">S512-Z512</f>
        <v>0.0373</v>
      </c>
      <c r="AC512" s="154" t="n">
        <f aca="false">U512-Z512-AA512</f>
        <v>-0.004</v>
      </c>
      <c r="AD512" s="155" t="n">
        <v>0.037</v>
      </c>
      <c r="AE512" s="153" t="n">
        <f aca="false">IF(Y512="","",Y512)</f>
        <v>0.032483</v>
      </c>
      <c r="AF512" s="153" t="n">
        <f aca="false">AD512-AE512</f>
        <v>0.004517</v>
      </c>
      <c r="AG512" s="184" t="n">
        <f aca="false">IF(AF512="","",AE512+AF512)</f>
        <v>0.037</v>
      </c>
      <c r="AH512" s="185" t="n">
        <v>44876</v>
      </c>
      <c r="AI512" s="35" t="n">
        <v>3</v>
      </c>
      <c r="AJ512" s="19" t="str">
        <f aca="false">IF(AG512="","N","Y")</f>
        <v>Y</v>
      </c>
      <c r="AK512" s="360" t="s">
        <v>701</v>
      </c>
      <c r="AL512" s="360"/>
      <c r="AM512" s="360"/>
      <c r="AN512" s="360"/>
      <c r="AO512" s="360"/>
      <c r="AP512" s="360"/>
      <c r="AQ512" s="360"/>
      <c r="AR512" s="360"/>
    </row>
    <row r="513" s="38" customFormat="true" ht="21" hidden="false" customHeight="true" outlineLevel="0" collapsed="false">
      <c r="A513" s="19" t="n">
        <f aca="false">IF(B513="","",IF((YEAR(B513)-YEAR(B512))=0,A512+1,1))</f>
        <v>37</v>
      </c>
      <c r="B513" s="141" t="n">
        <v>44879</v>
      </c>
      <c r="C513" s="63" t="s">
        <v>644</v>
      </c>
      <c r="D513" s="63" t="s">
        <v>645</v>
      </c>
      <c r="E513" s="19"/>
      <c r="F513" s="63" t="s">
        <v>647</v>
      </c>
      <c r="G513" s="142" t="n">
        <v>44879</v>
      </c>
      <c r="H513" s="142" t="n">
        <v>44909</v>
      </c>
      <c r="I513" s="19" t="n">
        <f aca="false">H513-G513</f>
        <v>30</v>
      </c>
      <c r="J513" s="149" t="n">
        <f aca="false">TRUNC(I513/30,0)</f>
        <v>1</v>
      </c>
      <c r="K513" s="183" t="s">
        <v>95</v>
      </c>
      <c r="L513" s="146" t="n">
        <v>1</v>
      </c>
      <c r="M513" s="147" t="n">
        <v>3.64</v>
      </c>
      <c r="N513" s="148" t="s">
        <v>702</v>
      </c>
      <c r="O513" s="149" t="s">
        <v>255</v>
      </c>
      <c r="P513" s="150" t="n">
        <v>0.0379425</v>
      </c>
      <c r="Q513" s="150" t="n">
        <v>0.0387529</v>
      </c>
      <c r="R513" s="151" t="s">
        <v>255</v>
      </c>
      <c r="S513" s="152" t="n">
        <v>0.0391</v>
      </c>
      <c r="T513" s="151"/>
      <c r="U513" s="357"/>
      <c r="V513" s="152" t="n">
        <v>0.04194</v>
      </c>
      <c r="W513" s="152" t="n">
        <v>0.000839</v>
      </c>
      <c r="X513" s="152" t="n">
        <v>0.002602</v>
      </c>
      <c r="Y513" s="152" t="n">
        <v>0.032483</v>
      </c>
      <c r="Z513" s="152" t="n">
        <v>0.002</v>
      </c>
      <c r="AA513" s="152" t="n">
        <v>0.002</v>
      </c>
      <c r="AB513" s="154" t="n">
        <f aca="false">S513-Z513</f>
        <v>0.0371</v>
      </c>
      <c r="AC513" s="154" t="n">
        <f aca="false">U513-Z513-AA513</f>
        <v>-0.004</v>
      </c>
      <c r="AD513" s="155" t="n">
        <v>0.0385</v>
      </c>
      <c r="AE513" s="153" t="n">
        <f aca="false">IF(Y513="","",Y513)</f>
        <v>0.032483</v>
      </c>
      <c r="AF513" s="153" t="n">
        <f aca="false">AD513-AE513</f>
        <v>0.006017</v>
      </c>
      <c r="AG513" s="184" t="n">
        <f aca="false">IF(AF513="","",AE513+AF513)</f>
        <v>0.0385</v>
      </c>
      <c r="AH513" s="185" t="n">
        <v>44879</v>
      </c>
      <c r="AI513" s="35" t="n">
        <v>1</v>
      </c>
      <c r="AJ513" s="19" t="str">
        <f aca="false">IF(AG513="","N","Y")</f>
        <v>Y</v>
      </c>
      <c r="AK513" s="360" t="s">
        <v>703</v>
      </c>
      <c r="AL513" s="360"/>
      <c r="AM513" s="360"/>
      <c r="AN513" s="360"/>
      <c r="AO513" s="360"/>
      <c r="AP513" s="360"/>
      <c r="AQ513" s="360"/>
      <c r="AR513" s="360"/>
    </row>
    <row r="514" customFormat="false" ht="21" hidden="false" customHeight="true" outlineLevel="0" collapsed="false">
      <c r="A514" s="19" t="n">
        <f aca="false">IF(B514="","",IF((YEAR(B514)-YEAR(B513))=0,A513+1,1))</f>
        <v>38</v>
      </c>
      <c r="B514" s="141" t="n">
        <v>44882</v>
      </c>
      <c r="C514" s="63" t="s">
        <v>691</v>
      </c>
      <c r="D514" s="63" t="s">
        <v>598</v>
      </c>
      <c r="E514" s="19"/>
      <c r="F514" s="63" t="s">
        <v>704</v>
      </c>
      <c r="G514" s="142" t="n">
        <v>44882</v>
      </c>
      <c r="H514" s="142" t="n">
        <v>44914</v>
      </c>
      <c r="I514" s="19" t="n">
        <f aca="false">H514-G514</f>
        <v>32</v>
      </c>
      <c r="J514" s="149" t="n">
        <f aca="false">TRUNC(I514/30,0)</f>
        <v>1</v>
      </c>
      <c r="K514" s="183" t="s">
        <v>95</v>
      </c>
      <c r="L514" s="146" t="n">
        <v>1.2</v>
      </c>
      <c r="M514" s="147" t="n">
        <v>3.7</v>
      </c>
      <c r="N514" s="148" t="s">
        <v>705</v>
      </c>
      <c r="O514" s="149" t="s">
        <v>255</v>
      </c>
      <c r="P514" s="150" t="n">
        <v>0.0387447</v>
      </c>
      <c r="Q514" s="150" t="n">
        <v>0.0391071</v>
      </c>
      <c r="R514" s="151" t="s">
        <v>255</v>
      </c>
      <c r="S514" s="152" t="n">
        <v>0.0395</v>
      </c>
      <c r="T514" s="151"/>
      <c r="U514" s="152"/>
      <c r="V514" s="152" t="n">
        <v>0.042628</v>
      </c>
      <c r="W514" s="152" t="n">
        <v>0.000853</v>
      </c>
      <c r="X514" s="152" t="n">
        <v>0.004775</v>
      </c>
      <c r="Y514" s="152" t="n">
        <v>0.033269</v>
      </c>
      <c r="Z514" s="152" t="n">
        <v>0.002</v>
      </c>
      <c r="AA514" s="152" t="n">
        <v>0.002</v>
      </c>
      <c r="AB514" s="154" t="n">
        <f aca="false">S514-Z514</f>
        <v>0.0375</v>
      </c>
      <c r="AC514" s="154" t="n">
        <f aca="false">U514-Z514-AA514</f>
        <v>-0.004</v>
      </c>
      <c r="AD514" s="155" t="n">
        <v>0.037</v>
      </c>
      <c r="AE514" s="153" t="n">
        <f aca="false">IF(Y514="","",Y514)</f>
        <v>0.033269</v>
      </c>
      <c r="AF514" s="153" t="n">
        <f aca="false">AD514-AE514</f>
        <v>0.003731</v>
      </c>
      <c r="AG514" s="184" t="n">
        <f aca="false">IF(AF514="","",AE514+AF514)</f>
        <v>0.037</v>
      </c>
      <c r="AH514" s="185" t="n">
        <v>44882</v>
      </c>
      <c r="AI514" s="35" t="n">
        <v>1</v>
      </c>
      <c r="AJ514" s="19" t="str">
        <f aca="false">IF(AG514="","N","Y")</f>
        <v>Y</v>
      </c>
      <c r="AK514" s="238" t="s">
        <v>706</v>
      </c>
    </row>
    <row r="515" customFormat="false" ht="21" hidden="false" customHeight="true" outlineLevel="0" collapsed="false">
      <c r="A515" s="19" t="n">
        <f aca="false">IF(B515="","",IF((YEAR(B515)-YEAR(B514))=0,A514+1,1))</f>
        <v>39</v>
      </c>
      <c r="B515" s="141" t="n">
        <v>44882</v>
      </c>
      <c r="C515" s="63" t="s">
        <v>691</v>
      </c>
      <c r="D515" s="63" t="s">
        <v>598</v>
      </c>
      <c r="E515" s="19"/>
      <c r="F515" s="63" t="s">
        <v>704</v>
      </c>
      <c r="G515" s="142" t="n">
        <v>44882</v>
      </c>
      <c r="H515" s="142" t="n">
        <v>44914</v>
      </c>
      <c r="I515" s="19" t="n">
        <f aca="false">H515-G515</f>
        <v>32</v>
      </c>
      <c r="J515" s="149" t="n">
        <f aca="false">TRUNC(I515/30,0)</f>
        <v>1</v>
      </c>
      <c r="K515" s="183" t="s">
        <v>95</v>
      </c>
      <c r="L515" s="146" t="n">
        <v>1.2</v>
      </c>
      <c r="M515" s="147" t="n">
        <v>3.7</v>
      </c>
      <c r="N515" s="148" t="s">
        <v>705</v>
      </c>
      <c r="O515" s="149" t="s">
        <v>255</v>
      </c>
      <c r="P515" s="150" t="n">
        <v>0.0387447</v>
      </c>
      <c r="Q515" s="150" t="n">
        <v>0.0391071</v>
      </c>
      <c r="R515" s="151" t="s">
        <v>255</v>
      </c>
      <c r="S515" s="152" t="n">
        <v>0.0395</v>
      </c>
      <c r="T515" s="151"/>
      <c r="U515" s="152"/>
      <c r="V515" s="152" t="n">
        <v>0.042628</v>
      </c>
      <c r="W515" s="152" t="n">
        <v>0.000853</v>
      </c>
      <c r="X515" s="152" t="n">
        <v>0.004775</v>
      </c>
      <c r="Y515" s="152" t="n">
        <v>0.033269</v>
      </c>
      <c r="Z515" s="152" t="n">
        <v>0.002</v>
      </c>
      <c r="AA515" s="152" t="n">
        <v>0.002</v>
      </c>
      <c r="AB515" s="154" t="n">
        <f aca="false">S515-Z515</f>
        <v>0.0375</v>
      </c>
      <c r="AC515" s="154" t="n">
        <f aca="false">U515-Z515-AA515</f>
        <v>-0.004</v>
      </c>
      <c r="AD515" s="155" t="n">
        <v>0.037</v>
      </c>
      <c r="AE515" s="153" t="n">
        <f aca="false">IF(Y515="","",Y515)</f>
        <v>0.033269</v>
      </c>
      <c r="AF515" s="153" t="n">
        <f aca="false">AD515-AE515</f>
        <v>0.003731</v>
      </c>
      <c r="AG515" s="184" t="n">
        <f aca="false">IF(AF515="","",AE515+AF515)</f>
        <v>0.037</v>
      </c>
      <c r="AH515" s="185" t="n">
        <v>44882</v>
      </c>
      <c r="AI515" s="35" t="n">
        <v>2</v>
      </c>
      <c r="AJ515" s="19" t="str">
        <f aca="false">IF(AG515="","N","Y")</f>
        <v>Y</v>
      </c>
      <c r="AK515" s="238" t="s">
        <v>706</v>
      </c>
    </row>
    <row r="516" customFormat="false" ht="20.25" hidden="false" customHeight="true" outlineLevel="0" collapsed="false">
      <c r="A516" s="19" t="n">
        <f aca="false">IF(B516="","",IF((YEAR(B516)-YEAR(B515))=0,A515+1,1))</f>
        <v>40</v>
      </c>
      <c r="B516" s="141" t="n">
        <v>44890</v>
      </c>
      <c r="C516" s="63" t="s">
        <v>707</v>
      </c>
      <c r="D516" s="63" t="s">
        <v>445</v>
      </c>
      <c r="E516" s="19"/>
      <c r="F516" s="63" t="s">
        <v>708</v>
      </c>
      <c r="G516" s="142" t="n">
        <v>44890</v>
      </c>
      <c r="H516" s="142" t="n">
        <v>44921</v>
      </c>
      <c r="I516" s="19" t="n">
        <f aca="false">H516-G516</f>
        <v>31</v>
      </c>
      <c r="J516" s="149" t="n">
        <f aca="false">TRUNC(I516/30,0)</f>
        <v>1</v>
      </c>
      <c r="K516" s="183" t="s">
        <v>95</v>
      </c>
      <c r="L516" s="146" t="n">
        <v>3</v>
      </c>
      <c r="M516" s="147" t="n">
        <v>3.82</v>
      </c>
      <c r="N516" s="148" t="s">
        <v>709</v>
      </c>
      <c r="O516" s="149" t="s">
        <v>255</v>
      </c>
      <c r="P516" s="150" t="n">
        <v>0.0405533</v>
      </c>
      <c r="Q516" s="150" t="n">
        <v>0.0402914</v>
      </c>
      <c r="R516" s="151" t="s">
        <v>255</v>
      </c>
      <c r="S516" s="152" t="n">
        <v>0.0402</v>
      </c>
      <c r="T516" s="151"/>
      <c r="U516" s="152"/>
      <c r="V516" s="152" t="n">
        <v>0.044516</v>
      </c>
      <c r="W516" s="152" t="n">
        <v>0.00089</v>
      </c>
      <c r="X516" s="152" t="n">
        <v>0.004625</v>
      </c>
      <c r="Y516" s="152" t="n">
        <v>0.035042</v>
      </c>
      <c r="Z516" s="152" t="n">
        <v>0.002</v>
      </c>
      <c r="AA516" s="152" t="n">
        <v>0.002</v>
      </c>
      <c r="AB516" s="154" t="n">
        <f aca="false">S516-Z516</f>
        <v>0.0382</v>
      </c>
      <c r="AC516" s="154" t="n">
        <f aca="false">U516-Z516-AA516</f>
        <v>-0.004</v>
      </c>
      <c r="AD516" s="155" t="n">
        <v>0.039</v>
      </c>
      <c r="AE516" s="153" t="n">
        <f aca="false">IF(Y516="","",Y516)</f>
        <v>0.035042</v>
      </c>
      <c r="AF516" s="153" t="n">
        <f aca="false">AD516-AE516</f>
        <v>0.003958</v>
      </c>
      <c r="AG516" s="184" t="n">
        <f aca="false">IF(AF516="","",AE516+AF516)</f>
        <v>0.039</v>
      </c>
      <c r="AH516" s="185" t="n">
        <v>44890</v>
      </c>
      <c r="AI516" s="35" t="n">
        <v>1</v>
      </c>
      <c r="AJ516" s="19" t="str">
        <f aca="false">IF(AG516="","N","Y")</f>
        <v>Y</v>
      </c>
      <c r="AK516" s="238" t="s">
        <v>710</v>
      </c>
    </row>
    <row r="517" s="38" customFormat="true" ht="16.5" hidden="false" customHeight="true" outlineLevel="0" collapsed="false">
      <c r="A517" s="19" t="n">
        <f aca="false">IF(B517="","",IF((YEAR(B517)-YEAR(B516))=0,A516+1,1))</f>
        <v>41</v>
      </c>
      <c r="B517" s="141" t="n">
        <v>44903</v>
      </c>
      <c r="C517" s="63" t="s">
        <v>89</v>
      </c>
      <c r="D517" s="63" t="s">
        <v>665</v>
      </c>
      <c r="E517" s="19"/>
      <c r="F517" s="63" t="s">
        <v>654</v>
      </c>
      <c r="G517" s="142" t="n">
        <v>44903</v>
      </c>
      <c r="H517" s="142" t="n">
        <v>44932</v>
      </c>
      <c r="I517" s="19" t="n">
        <f aca="false">H517-G517</f>
        <v>29</v>
      </c>
      <c r="J517" s="149" t="n">
        <f aca="false">TRUNC(I517/30,0)</f>
        <v>0</v>
      </c>
      <c r="K517" s="189" t="s">
        <v>99</v>
      </c>
      <c r="L517" s="146" t="n">
        <v>12.3</v>
      </c>
      <c r="M517" s="147" t="n">
        <v>3</v>
      </c>
      <c r="N517" s="148" t="s">
        <v>711</v>
      </c>
      <c r="O517" s="149" t="s">
        <v>305</v>
      </c>
      <c r="P517" s="150" t="n">
        <v>0.0388971</v>
      </c>
      <c r="Q517" s="150"/>
      <c r="R517" s="151" t="s">
        <v>305</v>
      </c>
      <c r="S517" s="152" t="n">
        <v>0.0375</v>
      </c>
      <c r="T517" s="151"/>
      <c r="U517" s="152"/>
      <c r="V517" s="152" t="n">
        <v>0.046254</v>
      </c>
      <c r="W517" s="152" t="n">
        <v>0.003238</v>
      </c>
      <c r="X517" s="152" t="n">
        <v>0.013016</v>
      </c>
      <c r="Y517" s="152" t="n">
        <v>0.027874</v>
      </c>
      <c r="Z517" s="152" t="n">
        <v>0.002</v>
      </c>
      <c r="AA517" s="152" t="n">
        <v>0.002</v>
      </c>
      <c r="AB517" s="154" t="n">
        <f aca="false">S517-Z517</f>
        <v>0.0355</v>
      </c>
      <c r="AC517" s="154" t="n">
        <f aca="false">U517-Z517-AA517</f>
        <v>-0.004</v>
      </c>
      <c r="AD517" s="155" t="n">
        <v>0.03</v>
      </c>
      <c r="AE517" s="153" t="n">
        <f aca="false">IF(Y517="","",Y517)</f>
        <v>0.027874</v>
      </c>
      <c r="AF517" s="153" t="n">
        <f aca="false">AD517-AE517</f>
        <v>0.002126</v>
      </c>
      <c r="AG517" s="184" t="n">
        <f aca="false">IF(AF517="","",AE517+AF517)</f>
        <v>0.03</v>
      </c>
      <c r="AH517" s="185" t="n">
        <v>44903</v>
      </c>
      <c r="AI517" s="35" t="n">
        <v>1</v>
      </c>
      <c r="AJ517" s="19" t="str">
        <f aca="false">IF(AG517="","N","Y")</f>
        <v>Y</v>
      </c>
      <c r="AK517" s="360" t="s">
        <v>712</v>
      </c>
      <c r="AL517" s="360"/>
      <c r="AM517" s="360"/>
      <c r="AN517" s="360"/>
      <c r="AO517" s="360"/>
      <c r="AP517" s="360"/>
      <c r="AQ517" s="360"/>
      <c r="AR517" s="360"/>
    </row>
    <row r="518" customFormat="false" ht="21" hidden="false" customHeight="true" outlineLevel="0" collapsed="false">
      <c r="A518" s="19" t="n">
        <f aca="false">IF(B518="","",IF((YEAR(B518)-YEAR(B517))=0,A517+1,1))</f>
        <v>42</v>
      </c>
      <c r="B518" s="141" t="n">
        <v>44904</v>
      </c>
      <c r="C518" s="63" t="s">
        <v>691</v>
      </c>
      <c r="D518" s="63" t="s">
        <v>598</v>
      </c>
      <c r="E518" s="19"/>
      <c r="F518" s="63" t="s">
        <v>692</v>
      </c>
      <c r="G518" s="142" t="n">
        <v>44904</v>
      </c>
      <c r="H518" s="142" t="n">
        <v>44935</v>
      </c>
      <c r="I518" s="19" t="n">
        <f aca="false">H518-G518</f>
        <v>31</v>
      </c>
      <c r="J518" s="149" t="n">
        <f aca="false">TRUNC(I518/30,0)</f>
        <v>1</v>
      </c>
      <c r="K518" s="183" t="s">
        <v>95</v>
      </c>
      <c r="L518" s="146" t="n">
        <v>1.5</v>
      </c>
      <c r="M518" s="147" t="n">
        <v>3.96</v>
      </c>
      <c r="N518" s="148" t="s">
        <v>713</v>
      </c>
      <c r="O518" s="149" t="s">
        <v>255</v>
      </c>
      <c r="P518" s="150" t="n">
        <v>0.0428291</v>
      </c>
      <c r="Q518" s="150" t="n">
        <v>0.0427429</v>
      </c>
      <c r="R518" s="151" t="s">
        <v>255</v>
      </c>
      <c r="S518" s="152" t="n">
        <v>0.0463</v>
      </c>
      <c r="T518" s="151"/>
      <c r="U518" s="152"/>
      <c r="V518" s="152" t="n">
        <v>0.046373</v>
      </c>
      <c r="W518" s="152" t="n">
        <v>0.000927</v>
      </c>
      <c r="X518" s="152" t="n">
        <v>0.005946</v>
      </c>
      <c r="Y518" s="152" t="n">
        <v>0.037272</v>
      </c>
      <c r="Z518" s="152" t="n">
        <v>0.002</v>
      </c>
      <c r="AA518" s="152" t="n">
        <v>0.002</v>
      </c>
      <c r="AB518" s="154" t="n">
        <f aca="false">S518-Z518</f>
        <v>0.0443</v>
      </c>
      <c r="AC518" s="154" t="n">
        <f aca="false">U518-Z518-AA518</f>
        <v>-0.004</v>
      </c>
      <c r="AD518" s="155" t="n">
        <v>0.0395</v>
      </c>
      <c r="AE518" s="153" t="n">
        <f aca="false">IF(Y518="","",Y518)</f>
        <v>0.037272</v>
      </c>
      <c r="AF518" s="153" t="n">
        <f aca="false">AD518-AE518</f>
        <v>0.002228</v>
      </c>
      <c r="AG518" s="184" t="n">
        <f aca="false">IF(AF518="","",AE518+AF518)</f>
        <v>0.0395</v>
      </c>
      <c r="AH518" s="185" t="n">
        <v>44904</v>
      </c>
      <c r="AI518" s="35" t="n">
        <v>2</v>
      </c>
      <c r="AJ518" s="19" t="str">
        <f aca="false">IF(AG518="","N","Y")</f>
        <v>Y</v>
      </c>
      <c r="AK518" s="238" t="s">
        <v>714</v>
      </c>
    </row>
    <row r="519" customFormat="false" ht="21" hidden="false" customHeight="true" outlineLevel="0" collapsed="false">
      <c r="A519" s="19" t="n">
        <f aca="false">IF(B519="","",IF((YEAR(B519)-YEAR(B518))=0,A518+1,1))</f>
        <v>43</v>
      </c>
      <c r="B519" s="141" t="n">
        <v>44904</v>
      </c>
      <c r="C519" s="63" t="s">
        <v>209</v>
      </c>
      <c r="D519" s="63" t="s">
        <v>695</v>
      </c>
      <c r="E519" s="63" t="s">
        <v>696</v>
      </c>
      <c r="F519" s="63" t="s">
        <v>697</v>
      </c>
      <c r="G519" s="142" t="n">
        <v>44904</v>
      </c>
      <c r="H519" s="142" t="n">
        <v>44935</v>
      </c>
      <c r="I519" s="19" t="n">
        <f aca="false">H519-G519</f>
        <v>31</v>
      </c>
      <c r="J519" s="149" t="n">
        <f aca="false">TRUNC(I519/30,0)</f>
        <v>1</v>
      </c>
      <c r="K519" s="183" t="s">
        <v>95</v>
      </c>
      <c r="L519" s="146" t="n">
        <v>4</v>
      </c>
      <c r="M519" s="147" t="n">
        <v>3.96</v>
      </c>
      <c r="N519" s="148" t="s">
        <v>713</v>
      </c>
      <c r="O519" s="149" t="s">
        <v>255</v>
      </c>
      <c r="P519" s="150" t="n">
        <v>0.0428291</v>
      </c>
      <c r="Q519" s="150" t="n">
        <v>0.0427429</v>
      </c>
      <c r="R519" s="151" t="s">
        <v>255</v>
      </c>
      <c r="S519" s="152" t="n">
        <v>0.0463</v>
      </c>
      <c r="T519" s="151"/>
      <c r="U519" s="152"/>
      <c r="V519" s="152" t="n">
        <v>0.046373</v>
      </c>
      <c r="W519" s="152" t="n">
        <v>0.000927</v>
      </c>
      <c r="X519" s="152" t="n">
        <v>0.005946</v>
      </c>
      <c r="Y519" s="152" t="n">
        <v>0.037272</v>
      </c>
      <c r="Z519" s="152" t="n">
        <v>0.002</v>
      </c>
      <c r="AA519" s="152" t="n">
        <v>0.002</v>
      </c>
      <c r="AB519" s="154" t="n">
        <f aca="false">S519-Z519</f>
        <v>0.0443</v>
      </c>
      <c r="AC519" s="154" t="n">
        <f aca="false">U519-Z519-AA519</f>
        <v>-0.004</v>
      </c>
      <c r="AD519" s="155" t="n">
        <v>0.0395</v>
      </c>
      <c r="AE519" s="153" t="n">
        <f aca="false">IF(Y519="","",Y519)</f>
        <v>0.037272</v>
      </c>
      <c r="AF519" s="153" t="n">
        <f aca="false">AD519-AE519</f>
        <v>0.002228</v>
      </c>
      <c r="AG519" s="184" t="n">
        <f aca="false">IF(AF519="","",AE519+AF519)</f>
        <v>0.0395</v>
      </c>
      <c r="AH519" s="185" t="n">
        <v>44904</v>
      </c>
      <c r="AI519" s="35" t="n">
        <v>5</v>
      </c>
      <c r="AJ519" s="19" t="str">
        <f aca="false">IF(AG519="","N","Y")</f>
        <v>Y</v>
      </c>
      <c r="AK519" s="238" t="s">
        <v>714</v>
      </c>
    </row>
    <row r="520" customFormat="false" ht="20.25" hidden="false" customHeight="true" outlineLevel="0" collapsed="false">
      <c r="A520" s="19" t="n">
        <f aca="false">IF(B520="","",IF((YEAR(B520)-YEAR(B519))=0,A519+1,1))</f>
        <v>44</v>
      </c>
      <c r="B520" s="141" t="n">
        <v>44907</v>
      </c>
      <c r="C520" s="19" t="s">
        <v>673</v>
      </c>
      <c r="D520" s="63" t="s">
        <v>699</v>
      </c>
      <c r="E520" s="19"/>
      <c r="F520" s="63" t="s">
        <v>675</v>
      </c>
      <c r="G520" s="142" t="n">
        <v>44907</v>
      </c>
      <c r="H520" s="142" t="n">
        <v>44938</v>
      </c>
      <c r="I520" s="19" t="n">
        <f aca="false">H520-G520</f>
        <v>31</v>
      </c>
      <c r="J520" s="149" t="n">
        <f aca="false">TRUNC(I520/30,0)</f>
        <v>1</v>
      </c>
      <c r="K520" s="183" t="s">
        <v>95</v>
      </c>
      <c r="L520" s="146" t="n">
        <v>3</v>
      </c>
      <c r="M520" s="147" t="n">
        <v>3.98</v>
      </c>
      <c r="N520" s="148" t="s">
        <v>715</v>
      </c>
      <c r="O520" s="149" t="s">
        <v>255</v>
      </c>
      <c r="P520" s="150" t="n">
        <v>0.0429771</v>
      </c>
      <c r="Q520" s="150" t="n">
        <v>0.0427029</v>
      </c>
      <c r="R520" s="151" t="s">
        <v>255</v>
      </c>
      <c r="S520" s="152" t="n">
        <v>0.0455</v>
      </c>
      <c r="T520" s="151"/>
      <c r="U520" s="152"/>
      <c r="V520" s="152" t="n">
        <v>0.046864</v>
      </c>
      <c r="W520" s="152" t="n">
        <v>0.000937</v>
      </c>
      <c r="X520" s="152" t="n">
        <v>0.006426</v>
      </c>
      <c r="Y520" s="152" t="n">
        <v>0.037417</v>
      </c>
      <c r="Z520" s="152" t="n">
        <v>0.002</v>
      </c>
      <c r="AA520" s="152" t="n">
        <v>0.002</v>
      </c>
      <c r="AB520" s="154" t="n">
        <f aca="false">S520-Z520</f>
        <v>0.0435</v>
      </c>
      <c r="AC520" s="154" t="n">
        <f aca="false">U520-Z520-AA520</f>
        <v>-0.004</v>
      </c>
      <c r="AD520" s="155" t="n">
        <v>0.0395</v>
      </c>
      <c r="AE520" s="153" t="n">
        <f aca="false">IF(Y520="","",Y520)</f>
        <v>0.037417</v>
      </c>
      <c r="AF520" s="153" t="n">
        <f aca="false">AD520-AE520</f>
        <v>0.002083</v>
      </c>
      <c r="AG520" s="184" t="n">
        <f aca="false">IF(AF520="","",AE520+AF520)</f>
        <v>0.0395</v>
      </c>
      <c r="AH520" s="185" t="n">
        <v>44907</v>
      </c>
      <c r="AI520" s="35" t="n">
        <v>2</v>
      </c>
      <c r="AJ520" s="19" t="str">
        <f aca="false">IF(AG520="","N","Y")</f>
        <v>Y</v>
      </c>
      <c r="AK520" s="238" t="s">
        <v>716</v>
      </c>
      <c r="AL520" s="159"/>
      <c r="AM520" s="159"/>
      <c r="AN520" s="159"/>
      <c r="AO520" s="159"/>
      <c r="AP520" s="159"/>
      <c r="AQ520" s="159"/>
      <c r="AR520" s="159"/>
    </row>
    <row r="521" s="38" customFormat="true" ht="21.75" hidden="false" customHeight="true" outlineLevel="0" collapsed="false">
      <c r="A521" s="19" t="n">
        <f aca="false">IF(B521="","",IF((YEAR(B521)-YEAR(B520))=0,A520+1,1))</f>
        <v>45</v>
      </c>
      <c r="B521" s="141" t="n">
        <v>44909</v>
      </c>
      <c r="C521" s="63" t="s">
        <v>644</v>
      </c>
      <c r="D521" s="63" t="s">
        <v>645</v>
      </c>
      <c r="E521" s="19"/>
      <c r="F521" s="63" t="s">
        <v>647</v>
      </c>
      <c r="G521" s="142" t="n">
        <v>44909</v>
      </c>
      <c r="H521" s="142" t="n">
        <v>44942</v>
      </c>
      <c r="I521" s="19" t="n">
        <f aca="false">H521-G521</f>
        <v>33</v>
      </c>
      <c r="J521" s="149" t="n">
        <f aca="false">TRUNC(I521/30,0)</f>
        <v>1</v>
      </c>
      <c r="K521" s="183" t="s">
        <v>95</v>
      </c>
      <c r="L521" s="146" t="n">
        <v>1</v>
      </c>
      <c r="M521" s="147" t="n">
        <v>4.02</v>
      </c>
      <c r="N521" s="148" t="s">
        <v>717</v>
      </c>
      <c r="O521" s="149" t="s">
        <v>255</v>
      </c>
      <c r="P521" s="150" t="n">
        <v>0.0433561</v>
      </c>
      <c r="Q521" s="150" t="n">
        <v>0.0431786</v>
      </c>
      <c r="R521" s="151" t="s">
        <v>255</v>
      </c>
      <c r="S521" s="152" t="n">
        <v>0.0482</v>
      </c>
      <c r="T521" s="151"/>
      <c r="U521" s="357"/>
      <c r="V521" s="152" t="n">
        <v>0.047204</v>
      </c>
      <c r="W521" s="152" t="n">
        <v>0.000944</v>
      </c>
      <c r="X521" s="152" t="n">
        <v>0.003559</v>
      </c>
      <c r="Y521" s="152" t="n">
        <v>0.037788</v>
      </c>
      <c r="Z521" s="152" t="n">
        <v>0.002</v>
      </c>
      <c r="AA521" s="152" t="n">
        <v>0.002</v>
      </c>
      <c r="AB521" s="154" t="n">
        <f aca="false">S521-Z521</f>
        <v>0.0462</v>
      </c>
      <c r="AC521" s="154" t="n">
        <f aca="false">U521-Z521-AA521</f>
        <v>-0.004</v>
      </c>
      <c r="AD521" s="155" t="n">
        <v>0.0427</v>
      </c>
      <c r="AE521" s="153" t="n">
        <f aca="false">IF(Y521="","",Y521)</f>
        <v>0.037788</v>
      </c>
      <c r="AF521" s="153" t="n">
        <f aca="false">AD521-AE521</f>
        <v>0.004912</v>
      </c>
      <c r="AG521" s="184" t="n">
        <f aca="false">IF(AF521="","",AE521+AF521)</f>
        <v>0.0427</v>
      </c>
      <c r="AH521" s="185" t="n">
        <v>44909</v>
      </c>
      <c r="AI521" s="35" t="n">
        <v>1</v>
      </c>
      <c r="AJ521" s="19" t="str">
        <f aca="false">IF(AG521="","N","Y")</f>
        <v>Y</v>
      </c>
      <c r="AK521" s="361" t="s">
        <v>718</v>
      </c>
      <c r="AL521" s="361"/>
      <c r="AM521" s="361"/>
      <c r="AN521" s="361"/>
      <c r="AO521" s="361"/>
      <c r="AP521" s="361"/>
      <c r="AQ521" s="361"/>
      <c r="AR521" s="361"/>
    </row>
    <row r="522" customFormat="false" ht="20.25" hidden="false" customHeight="true" outlineLevel="0" collapsed="false">
      <c r="A522" s="19" t="n">
        <f aca="false">IF(B522="","",IF((YEAR(B522)-YEAR(B521))=0,A521+1,1))</f>
        <v>46</v>
      </c>
      <c r="B522" s="141" t="n">
        <v>44910</v>
      </c>
      <c r="C522" s="63" t="s">
        <v>616</v>
      </c>
      <c r="D522" s="63" t="s">
        <v>719</v>
      </c>
      <c r="E522" s="19"/>
      <c r="F522" s="63" t="s">
        <v>631</v>
      </c>
      <c r="G522" s="142" t="n">
        <v>44910</v>
      </c>
      <c r="H522" s="142" t="n">
        <v>45000</v>
      </c>
      <c r="I522" s="19" t="n">
        <f aca="false">H522-G522</f>
        <v>90</v>
      </c>
      <c r="J522" s="149" t="n">
        <f aca="false">TRUNC(I522/30,0)</f>
        <v>3</v>
      </c>
      <c r="K522" s="183" t="s">
        <v>95</v>
      </c>
      <c r="L522" s="146" t="n">
        <v>2.79</v>
      </c>
      <c r="M522" s="147" t="n">
        <v>4.56</v>
      </c>
      <c r="N522" s="148" t="s">
        <v>720</v>
      </c>
      <c r="O522" s="149" t="s">
        <v>265</v>
      </c>
      <c r="P522" s="150" t="n">
        <v>0.0449881</v>
      </c>
      <c r="Q522" s="150" t="n">
        <v>0.0473629</v>
      </c>
      <c r="R522" s="151" t="s">
        <v>265</v>
      </c>
      <c r="S522" s="152" t="n">
        <v>0.0478</v>
      </c>
      <c r="T522" s="151"/>
      <c r="U522" s="152"/>
      <c r="V522" s="152" t="n">
        <v>0.050739</v>
      </c>
      <c r="W522" s="152" t="n">
        <v>0.001015</v>
      </c>
      <c r="X522" s="152" t="n">
        <v>0.004225</v>
      </c>
      <c r="Y522" s="152" t="n">
        <v>0.041188</v>
      </c>
      <c r="Z522" s="152" t="n">
        <v>0.002</v>
      </c>
      <c r="AA522" s="152" t="n">
        <v>0.002</v>
      </c>
      <c r="AB522" s="154" t="n">
        <f aca="false">S522-Z522</f>
        <v>0.0458</v>
      </c>
      <c r="AC522" s="154" t="n">
        <f aca="false">U522-Z522-AA522</f>
        <v>-0.004</v>
      </c>
      <c r="AD522" s="155" t="n">
        <v>0.0455</v>
      </c>
      <c r="AE522" s="153" t="n">
        <f aca="false">IF(Y522="","",Y522)</f>
        <v>0.041188</v>
      </c>
      <c r="AF522" s="153" t="n">
        <f aca="false">AD522-AE522</f>
        <v>0.004312</v>
      </c>
      <c r="AG522" s="184" t="n">
        <f aca="false">IF(AF522="","",AE522+AF522)</f>
        <v>0.0455</v>
      </c>
      <c r="AH522" s="185" t="n">
        <v>44910</v>
      </c>
      <c r="AI522" s="35" t="n">
        <v>2</v>
      </c>
      <c r="AJ522" s="19" t="str">
        <f aca="false">IF(AG522="","N","Y")</f>
        <v>Y</v>
      </c>
      <c r="AK522" s="361" t="s">
        <v>721</v>
      </c>
      <c r="AL522" s="361"/>
      <c r="AM522" s="361"/>
      <c r="AN522" s="361"/>
      <c r="AO522" s="361"/>
      <c r="AP522" s="361"/>
      <c r="AQ522" s="361"/>
      <c r="AR522" s="361"/>
    </row>
    <row r="523" customFormat="false" ht="21" hidden="false" customHeight="true" outlineLevel="0" collapsed="false">
      <c r="A523" s="19" t="n">
        <f aca="false">IF(B523="","",IF((YEAR(B523)-YEAR(B522))=0,A522+1,1))</f>
        <v>47</v>
      </c>
      <c r="B523" s="141" t="n">
        <v>44910</v>
      </c>
      <c r="C523" s="63" t="s">
        <v>209</v>
      </c>
      <c r="D523" s="63" t="s">
        <v>695</v>
      </c>
      <c r="E523" s="63" t="s">
        <v>722</v>
      </c>
      <c r="F523" s="63" t="s">
        <v>697</v>
      </c>
      <c r="G523" s="142" t="n">
        <v>44910</v>
      </c>
      <c r="H523" s="142" t="n">
        <v>44942</v>
      </c>
      <c r="I523" s="19" t="n">
        <f aca="false">H523-G523</f>
        <v>32</v>
      </c>
      <c r="J523" s="149" t="n">
        <f aca="false">TRUNC(I523/30,0)</f>
        <v>1</v>
      </c>
      <c r="K523" s="183" t="s">
        <v>95</v>
      </c>
      <c r="L523" s="146" t="n">
        <v>1</v>
      </c>
      <c r="M523" s="147" t="n">
        <v>4.03</v>
      </c>
      <c r="N523" s="148" t="s">
        <v>717</v>
      </c>
      <c r="O523" s="149" t="s">
        <v>255</v>
      </c>
      <c r="P523" s="150" t="n">
        <v>0.0432572</v>
      </c>
      <c r="Q523" s="150" t="n">
        <v>0.0432629</v>
      </c>
      <c r="R523" s="151" t="s">
        <v>255</v>
      </c>
      <c r="S523" s="152" t="n">
        <v>0.0463</v>
      </c>
      <c r="T523" s="151"/>
      <c r="U523" s="152"/>
      <c r="V523" s="152" t="n">
        <v>0.047389</v>
      </c>
      <c r="W523" s="152" t="n">
        <v>0.000948</v>
      </c>
      <c r="X523" s="152" t="n">
        <v>0.006441</v>
      </c>
      <c r="Y523" s="152" t="n">
        <v>0.037692</v>
      </c>
      <c r="Z523" s="152" t="n">
        <v>0.002</v>
      </c>
      <c r="AA523" s="152" t="n">
        <v>0.002</v>
      </c>
      <c r="AB523" s="154" t="n">
        <f aca="false">S523-Z523</f>
        <v>0.0443</v>
      </c>
      <c r="AC523" s="154" t="n">
        <f aca="false">U523-Z523-AA523</f>
        <v>-0.004</v>
      </c>
      <c r="AD523" s="155" t="n">
        <v>0.04</v>
      </c>
      <c r="AE523" s="153" t="n">
        <f aca="false">IF(Y523="","",Y523)</f>
        <v>0.037692</v>
      </c>
      <c r="AF523" s="153" t="n">
        <f aca="false">AD523-AE523</f>
        <v>0.002308</v>
      </c>
      <c r="AG523" s="184" t="n">
        <f aca="false">IF(AF523="","",AE523+AF523)</f>
        <v>0.04</v>
      </c>
      <c r="AH523" s="185" t="n">
        <v>44910</v>
      </c>
      <c r="AI523" s="35" t="n">
        <v>3</v>
      </c>
      <c r="AJ523" s="19" t="str">
        <f aca="false">IF(AG523="","N","Y")</f>
        <v>Y</v>
      </c>
      <c r="AK523" s="361" t="s">
        <v>723</v>
      </c>
      <c r="AL523" s="361"/>
      <c r="AM523" s="361"/>
      <c r="AN523" s="361"/>
      <c r="AO523" s="361"/>
      <c r="AP523" s="361"/>
      <c r="AQ523" s="361"/>
      <c r="AR523" s="361"/>
    </row>
    <row r="524" customFormat="false" ht="21" hidden="false" customHeight="true" outlineLevel="0" collapsed="false">
      <c r="A524" s="19" t="n">
        <f aca="false">IF(B524="","",IF((YEAR(B524)-YEAR(B523))=0,A523+1,1))</f>
        <v>48</v>
      </c>
      <c r="B524" s="141" t="n">
        <v>44914</v>
      </c>
      <c r="C524" s="63" t="s">
        <v>691</v>
      </c>
      <c r="D524" s="63" t="s">
        <v>598</v>
      </c>
      <c r="E524" s="19"/>
      <c r="F524" s="63" t="s">
        <v>704</v>
      </c>
      <c r="G524" s="142" t="n">
        <v>44914</v>
      </c>
      <c r="H524" s="142" t="n">
        <v>44945</v>
      </c>
      <c r="I524" s="19" t="n">
        <f aca="false">H524-G524</f>
        <v>31</v>
      </c>
      <c r="J524" s="149" t="n">
        <f aca="false">TRUNC(I524/30,0)</f>
        <v>1</v>
      </c>
      <c r="K524" s="183" t="s">
        <v>95</v>
      </c>
      <c r="L524" s="146" t="n">
        <v>1.2</v>
      </c>
      <c r="M524" s="147" t="n">
        <v>4.05</v>
      </c>
      <c r="N524" s="148" t="s">
        <v>724</v>
      </c>
      <c r="O524" s="149" t="s">
        <v>255</v>
      </c>
      <c r="P524" s="150" t="n">
        <v>0.0432102</v>
      </c>
      <c r="Q524" s="150" t="n">
        <v>0.0435286</v>
      </c>
      <c r="R524" s="151" t="s">
        <v>255</v>
      </c>
      <c r="S524" s="152" t="n">
        <v>0.046</v>
      </c>
      <c r="T524" s="151"/>
      <c r="U524" s="152"/>
      <c r="V524" s="152" t="n">
        <v>0.047278</v>
      </c>
      <c r="W524" s="152" t="n">
        <v>0.000946</v>
      </c>
      <c r="X524" s="152" t="n">
        <v>0.005832</v>
      </c>
      <c r="Y524" s="152" t="n">
        <v>0.037645</v>
      </c>
      <c r="Z524" s="152" t="n">
        <v>0.002</v>
      </c>
      <c r="AA524" s="152" t="n">
        <v>0.002</v>
      </c>
      <c r="AB524" s="154" t="n">
        <f aca="false">S524-Z524</f>
        <v>0.044</v>
      </c>
      <c r="AC524" s="154" t="n">
        <f aca="false">U524-Z524-AA524</f>
        <v>-0.004</v>
      </c>
      <c r="AD524" s="155" t="n">
        <v>0.0405</v>
      </c>
      <c r="AE524" s="153" t="n">
        <f aca="false">IF(Y524="","",Y524)</f>
        <v>0.037645</v>
      </c>
      <c r="AF524" s="153" t="n">
        <f aca="false">AD524-AE524</f>
        <v>0.002855</v>
      </c>
      <c r="AG524" s="184" t="n">
        <f aca="false">IF(AF524="","",AE524+AF524)</f>
        <v>0.0405</v>
      </c>
      <c r="AH524" s="185" t="n">
        <v>44914</v>
      </c>
      <c r="AI524" s="35" t="n">
        <v>1</v>
      </c>
      <c r="AJ524" s="19" t="str">
        <f aca="false">IF(AG524="","N","Y")</f>
        <v>Y</v>
      </c>
      <c r="AK524" s="361" t="s">
        <v>725</v>
      </c>
      <c r="AL524" s="361"/>
      <c r="AM524" s="361"/>
      <c r="AN524" s="361"/>
      <c r="AO524" s="361"/>
      <c r="AP524" s="361"/>
      <c r="AQ524" s="361"/>
      <c r="AR524" s="361"/>
    </row>
    <row r="525" customFormat="false" ht="21" hidden="false" customHeight="true" outlineLevel="0" collapsed="false">
      <c r="A525" s="19" t="n">
        <f aca="false">IF(B525="","",IF((YEAR(B525)-YEAR(B524))=0,A524+1,1))</f>
        <v>49</v>
      </c>
      <c r="B525" s="141" t="n">
        <v>44914</v>
      </c>
      <c r="C525" s="63" t="s">
        <v>691</v>
      </c>
      <c r="D525" s="63" t="s">
        <v>598</v>
      </c>
      <c r="E525" s="19"/>
      <c r="F525" s="63" t="s">
        <v>704</v>
      </c>
      <c r="G525" s="142" t="n">
        <v>44914</v>
      </c>
      <c r="H525" s="142" t="n">
        <v>44945</v>
      </c>
      <c r="I525" s="19" t="n">
        <f aca="false">H525-G525</f>
        <v>31</v>
      </c>
      <c r="J525" s="149" t="n">
        <f aca="false">TRUNC(I525/30,0)</f>
        <v>1</v>
      </c>
      <c r="K525" s="183" t="s">
        <v>95</v>
      </c>
      <c r="L525" s="146" t="n">
        <v>1.2</v>
      </c>
      <c r="M525" s="147" t="n">
        <v>4.05</v>
      </c>
      <c r="N525" s="148" t="s">
        <v>724</v>
      </c>
      <c r="O525" s="149" t="s">
        <v>255</v>
      </c>
      <c r="P525" s="150" t="n">
        <v>0.0432102</v>
      </c>
      <c r="Q525" s="150" t="n">
        <v>0.0435286</v>
      </c>
      <c r="R525" s="151" t="s">
        <v>255</v>
      </c>
      <c r="S525" s="152" t="n">
        <v>0.046</v>
      </c>
      <c r="T525" s="151"/>
      <c r="U525" s="152"/>
      <c r="V525" s="152" t="n">
        <v>0.047278</v>
      </c>
      <c r="W525" s="152" t="n">
        <v>0.000946</v>
      </c>
      <c r="X525" s="152" t="n">
        <v>0.005832</v>
      </c>
      <c r="Y525" s="152" t="n">
        <v>0.037645</v>
      </c>
      <c r="Z525" s="152" t="n">
        <v>0.002</v>
      </c>
      <c r="AA525" s="152" t="n">
        <v>0.002</v>
      </c>
      <c r="AB525" s="154" t="n">
        <f aca="false">S525-Z525</f>
        <v>0.044</v>
      </c>
      <c r="AC525" s="154" t="n">
        <f aca="false">U525-Z525-AA525</f>
        <v>-0.004</v>
      </c>
      <c r="AD525" s="155" t="n">
        <v>0.0405</v>
      </c>
      <c r="AE525" s="153" t="n">
        <f aca="false">IF(Y525="","",Y525)</f>
        <v>0.037645</v>
      </c>
      <c r="AF525" s="153" t="n">
        <f aca="false">AD525-AE525</f>
        <v>0.002855</v>
      </c>
      <c r="AG525" s="184" t="n">
        <f aca="false">IF(AF525="","",AE525+AF525)</f>
        <v>0.0405</v>
      </c>
      <c r="AH525" s="185" t="n">
        <v>44914</v>
      </c>
      <c r="AI525" s="35" t="n">
        <v>3</v>
      </c>
      <c r="AJ525" s="19" t="str">
        <f aca="false">IF(AG525="","N","Y")</f>
        <v>Y</v>
      </c>
      <c r="AK525" s="361" t="s">
        <v>725</v>
      </c>
      <c r="AL525" s="361"/>
      <c r="AM525" s="361"/>
      <c r="AN525" s="361"/>
      <c r="AO525" s="361"/>
      <c r="AP525" s="361"/>
      <c r="AQ525" s="361"/>
      <c r="AR525" s="361"/>
    </row>
    <row r="526" customFormat="false" ht="20.25" hidden="false" customHeight="true" outlineLevel="0" collapsed="false">
      <c r="A526" s="19" t="n">
        <f aca="false">IF(B526="","",IF((YEAR(B526)-YEAR(B525))=0,A525+1,1))</f>
        <v>50</v>
      </c>
      <c r="B526" s="141" t="n">
        <v>44923</v>
      </c>
      <c r="C526" s="63" t="s">
        <v>707</v>
      </c>
      <c r="D526" s="63" t="s">
        <v>726</v>
      </c>
      <c r="E526" s="19"/>
      <c r="F526" s="63" t="s">
        <v>708</v>
      </c>
      <c r="G526" s="142" t="n">
        <v>44923</v>
      </c>
      <c r="H526" s="142" t="n">
        <v>44956</v>
      </c>
      <c r="I526" s="19" t="n">
        <f aca="false">H526-G526</f>
        <v>33</v>
      </c>
      <c r="J526" s="149" t="n">
        <f aca="false">TRUNC(I526/30,0)</f>
        <v>1</v>
      </c>
      <c r="K526" s="183" t="s">
        <v>95</v>
      </c>
      <c r="L526" s="146" t="n">
        <v>4</v>
      </c>
      <c r="M526" s="147" t="n">
        <v>4.07</v>
      </c>
      <c r="N526" s="148" t="s">
        <v>724</v>
      </c>
      <c r="O526" s="149" t="s">
        <v>255</v>
      </c>
      <c r="P526" s="150" t="n">
        <v>0.0432245</v>
      </c>
      <c r="Q526" s="150" t="n">
        <v>0.0438686</v>
      </c>
      <c r="R526" s="151" t="s">
        <v>255</v>
      </c>
      <c r="S526" s="152" t="n">
        <v>0.0455</v>
      </c>
      <c r="T526" s="151"/>
      <c r="U526" s="152"/>
      <c r="V526" s="152" t="n">
        <v>0.047261</v>
      </c>
      <c r="W526" s="152" t="n">
        <v>0.000945</v>
      </c>
      <c r="X526" s="152" t="n">
        <v>0.002816</v>
      </c>
      <c r="Y526" s="152" t="n">
        <v>0.03766</v>
      </c>
      <c r="Z526" s="152" t="n">
        <v>0.002</v>
      </c>
      <c r="AA526" s="152" t="n">
        <v>0.002</v>
      </c>
      <c r="AB526" s="154" t="n">
        <f aca="false">S526-Z526</f>
        <v>0.0435</v>
      </c>
      <c r="AC526" s="154" t="n">
        <f aca="false">U526-Z526-AA526</f>
        <v>-0.004</v>
      </c>
      <c r="AD526" s="155" t="n">
        <v>0.0435</v>
      </c>
      <c r="AE526" s="153" t="n">
        <f aca="false">IF(Y526="","",Y526)</f>
        <v>0.03766</v>
      </c>
      <c r="AF526" s="153" t="n">
        <f aca="false">AD526-AE526</f>
        <v>0.00584</v>
      </c>
      <c r="AG526" s="184" t="n">
        <f aca="false">IF(AF526="","",AE526+AF526)</f>
        <v>0.0435</v>
      </c>
      <c r="AH526" s="185" t="n">
        <v>44923</v>
      </c>
      <c r="AI526" s="35" t="n">
        <v>2</v>
      </c>
      <c r="AJ526" s="19" t="str">
        <f aca="false">IF(AG526="","N","Y")</f>
        <v>Y</v>
      </c>
      <c r="AK526" s="238" t="s">
        <v>727</v>
      </c>
    </row>
    <row r="527" customFormat="false" ht="20.25" hidden="false" customHeight="true" outlineLevel="0" collapsed="false">
      <c r="A527" s="19" t="n">
        <f aca="false">IF(B527="","",IF((YEAR(B527)-YEAR(B526))=0,A526+1,1))</f>
        <v>1</v>
      </c>
      <c r="B527" s="141" t="n">
        <v>44928</v>
      </c>
      <c r="C527" s="63" t="s">
        <v>597</v>
      </c>
      <c r="D527" s="63" t="s">
        <v>634</v>
      </c>
      <c r="E527" s="63" t="s">
        <v>728</v>
      </c>
      <c r="F527" s="63" t="s">
        <v>115</v>
      </c>
      <c r="G527" s="142" t="n">
        <v>44928</v>
      </c>
      <c r="H527" s="142" t="n">
        <v>44959</v>
      </c>
      <c r="I527" s="19" t="n">
        <f aca="false">H527-G527</f>
        <v>31</v>
      </c>
      <c r="J527" s="149" t="n">
        <f aca="false">TRUNC(I527/30,0)</f>
        <v>1</v>
      </c>
      <c r="K527" s="183" t="s">
        <v>95</v>
      </c>
      <c r="L527" s="146" t="n">
        <v>1.35</v>
      </c>
      <c r="M527" s="147" t="n">
        <v>4.07</v>
      </c>
      <c r="N527" s="148" t="s">
        <v>729</v>
      </c>
      <c r="O527" s="149" t="s">
        <v>255</v>
      </c>
      <c r="P527" s="150" t="n">
        <v>0.0435806</v>
      </c>
      <c r="Q527" s="150" t="n">
        <v>0.0439157</v>
      </c>
      <c r="R527" s="151" t="s">
        <v>255</v>
      </c>
      <c r="S527" s="152" t="n">
        <v>0.0435</v>
      </c>
      <c r="T527" s="151"/>
      <c r="U527" s="152"/>
      <c r="V527" s="152" t="n">
        <v>0.04738</v>
      </c>
      <c r="W527" s="152" t="n">
        <v>0.000948</v>
      </c>
      <c r="X527" s="152" t="n">
        <v>0.004932</v>
      </c>
      <c r="Y527" s="152" t="n">
        <v>0.038008</v>
      </c>
      <c r="Z527" s="152" t="n">
        <v>0.002</v>
      </c>
      <c r="AA527" s="152" t="n">
        <v>0.002</v>
      </c>
      <c r="AB527" s="154" t="n">
        <f aca="false">S527-Z527</f>
        <v>0.0415</v>
      </c>
      <c r="AC527" s="154" t="n">
        <f aca="false">U527-Z527-AA527</f>
        <v>-0.004</v>
      </c>
      <c r="AD527" s="155" t="n">
        <v>0.0415</v>
      </c>
      <c r="AE527" s="153" t="n">
        <f aca="false">IF(Y527="","",Y527)</f>
        <v>0.038008</v>
      </c>
      <c r="AF527" s="153" t="n">
        <f aca="false">AD527-AE527</f>
        <v>0.003492</v>
      </c>
      <c r="AG527" s="184" t="n">
        <f aca="false">IF(AF527="","",AE527+AF527)</f>
        <v>0.0415</v>
      </c>
      <c r="AH527" s="185" t="n">
        <v>44928</v>
      </c>
      <c r="AI527" s="35" t="n">
        <v>1</v>
      </c>
      <c r="AJ527" s="19" t="str">
        <f aca="false">IF(AG527="","N","Y")</f>
        <v>Y</v>
      </c>
      <c r="AK527" s="238" t="s">
        <v>730</v>
      </c>
    </row>
    <row r="528" s="38" customFormat="true" ht="19.5" hidden="false" customHeight="true" outlineLevel="0" collapsed="false">
      <c r="A528" s="19" t="n">
        <f aca="false">IF(B528="","",IF((YEAR(B528)-YEAR(B527))=0,A527+1,1))</f>
        <v>2</v>
      </c>
      <c r="B528" s="141" t="n">
        <v>44932</v>
      </c>
      <c r="C528" s="63" t="s">
        <v>89</v>
      </c>
      <c r="D528" s="63" t="s">
        <v>665</v>
      </c>
      <c r="E528" s="19"/>
      <c r="F528" s="63" t="s">
        <v>654</v>
      </c>
      <c r="G528" s="142" t="n">
        <v>44933</v>
      </c>
      <c r="H528" s="142" t="n">
        <v>44963</v>
      </c>
      <c r="I528" s="19" t="n">
        <f aca="false">H528-G528</f>
        <v>30</v>
      </c>
      <c r="J528" s="149" t="n">
        <f aca="false">TRUNC(I528/30,0)</f>
        <v>1</v>
      </c>
      <c r="K528" s="189" t="s">
        <v>99</v>
      </c>
      <c r="L528" s="146" t="n">
        <v>12.4</v>
      </c>
      <c r="M528" s="147" t="n">
        <v>3.35</v>
      </c>
      <c r="N528" s="148" t="s">
        <v>731</v>
      </c>
      <c r="O528" s="149" t="s">
        <v>305</v>
      </c>
      <c r="P528" s="150" t="n">
        <v>0.0431999</v>
      </c>
      <c r="Q528" s="150"/>
      <c r="R528" s="151" t="s">
        <v>305</v>
      </c>
      <c r="S528" s="152" t="n">
        <v>0.0425</v>
      </c>
      <c r="T528" s="151"/>
      <c r="U528" s="152"/>
      <c r="V528" s="152" t="n">
        <v>0.047639</v>
      </c>
      <c r="W528" s="152" t="n">
        <v>0.003335</v>
      </c>
      <c r="X528" s="152" t="n">
        <v>0.010804</v>
      </c>
      <c r="Y528" s="152" t="n">
        <v>0.031875</v>
      </c>
      <c r="Z528" s="152" t="n">
        <v>0.002</v>
      </c>
      <c r="AA528" s="152" t="n">
        <v>0.002</v>
      </c>
      <c r="AB528" s="154" t="n">
        <f aca="false">S528-Z528</f>
        <v>0.0405</v>
      </c>
      <c r="AC528" s="154" t="n">
        <f aca="false">U528-Z528-AA528</f>
        <v>-0.004</v>
      </c>
      <c r="AD528" s="155" t="n">
        <v>0.0335</v>
      </c>
      <c r="AE528" s="153" t="n">
        <f aca="false">IF(Y528="","",Y528)</f>
        <v>0.031875</v>
      </c>
      <c r="AF528" s="153" t="n">
        <f aca="false">AD528-AE528</f>
        <v>0.001625</v>
      </c>
      <c r="AG528" s="184" t="n">
        <f aca="false">IF(AF528="","",AE528+AF528)</f>
        <v>0.0335</v>
      </c>
      <c r="AH528" s="185" t="n">
        <v>44932</v>
      </c>
      <c r="AI528" s="35" t="n">
        <v>1</v>
      </c>
      <c r="AJ528" s="19" t="str">
        <f aca="false">IF(AG528="","N","Y")</f>
        <v>Y</v>
      </c>
      <c r="AK528" s="360" t="s">
        <v>732</v>
      </c>
      <c r="AL528" s="360"/>
      <c r="AM528" s="360"/>
      <c r="AN528" s="360"/>
      <c r="AO528" s="360"/>
      <c r="AP528" s="360"/>
      <c r="AQ528" s="360"/>
      <c r="AR528" s="360"/>
    </row>
    <row r="529" customFormat="false" ht="21" hidden="false" customHeight="true" outlineLevel="0" collapsed="false">
      <c r="A529" s="19" t="n">
        <f aca="false">IF(B529="","",IF((YEAR(B529)-YEAR(B528))=0,A528+1,1))</f>
        <v>3</v>
      </c>
      <c r="B529" s="141" t="n">
        <v>44935</v>
      </c>
      <c r="C529" s="63" t="s">
        <v>691</v>
      </c>
      <c r="D529" s="63" t="s">
        <v>598</v>
      </c>
      <c r="E529" s="19"/>
      <c r="F529" s="63" t="s">
        <v>692</v>
      </c>
      <c r="G529" s="142" t="n">
        <v>44935</v>
      </c>
      <c r="H529" s="142" t="n">
        <v>45026</v>
      </c>
      <c r="I529" s="19" t="n">
        <f aca="false">H529-G529</f>
        <v>91</v>
      </c>
      <c r="J529" s="149" t="n">
        <f aca="false">TRUNC(I529/30,0)</f>
        <v>3</v>
      </c>
      <c r="K529" s="183" t="s">
        <v>95</v>
      </c>
      <c r="L529" s="146" t="n">
        <v>1.5</v>
      </c>
      <c r="M529" s="147" t="n">
        <v>4.55</v>
      </c>
      <c r="N529" s="148" t="s">
        <v>733</v>
      </c>
      <c r="O529" s="149" t="s">
        <v>265</v>
      </c>
      <c r="P529" s="150" t="n">
        <v>0.0465554</v>
      </c>
      <c r="Q529" s="150" t="n">
        <v>0.0480986</v>
      </c>
      <c r="R529" s="151" t="s">
        <v>300</v>
      </c>
      <c r="S529" s="152" t="n">
        <v>0.0477</v>
      </c>
      <c r="T529" s="151"/>
      <c r="U529" s="152"/>
      <c r="V529" s="152" t="n">
        <v>0.051708</v>
      </c>
      <c r="W529" s="152" t="n">
        <v>0.001034</v>
      </c>
      <c r="X529" s="152" t="n">
        <v>0.005674</v>
      </c>
      <c r="Y529" s="152" t="n">
        <v>0.042724</v>
      </c>
      <c r="Z529" s="152" t="n">
        <v>0.002</v>
      </c>
      <c r="AA529" s="152" t="n">
        <v>0.002</v>
      </c>
      <c r="AB529" s="154" t="n">
        <f aca="false">S529-Z529</f>
        <v>0.0457</v>
      </c>
      <c r="AC529" s="154" t="n">
        <f aca="false">U529-Z529-AA529</f>
        <v>-0.004</v>
      </c>
      <c r="AD529" s="155" t="n">
        <v>0.045</v>
      </c>
      <c r="AE529" s="153" t="n">
        <f aca="false">IF(Y529="","",Y529)</f>
        <v>0.042724</v>
      </c>
      <c r="AF529" s="153" t="n">
        <f aca="false">AD529-AE529</f>
        <v>0.002276</v>
      </c>
      <c r="AG529" s="184" t="n">
        <f aca="false">IF(AF529="","",AE529+AF529)</f>
        <v>0.045</v>
      </c>
      <c r="AH529" s="185" t="n">
        <v>44935</v>
      </c>
      <c r="AI529" s="35" t="n">
        <v>1</v>
      </c>
      <c r="AJ529" s="19" t="str">
        <f aca="false">IF(AG529="","N","Y")</f>
        <v>Y</v>
      </c>
      <c r="AK529" s="361" t="s">
        <v>734</v>
      </c>
      <c r="AL529" s="361"/>
      <c r="AM529" s="361"/>
      <c r="AN529" s="361"/>
      <c r="AO529" s="361"/>
      <c r="AP529" s="361"/>
      <c r="AQ529" s="361"/>
      <c r="AR529" s="361"/>
    </row>
    <row r="530" customFormat="false" ht="21" hidden="false" customHeight="true" outlineLevel="0" collapsed="false">
      <c r="A530" s="19" t="n">
        <f aca="false">IF(B530="","",IF((YEAR(B530)-YEAR(B529))=0,A529+1,1))</f>
        <v>4</v>
      </c>
      <c r="B530" s="141" t="n">
        <v>44935</v>
      </c>
      <c r="C530" s="63" t="s">
        <v>209</v>
      </c>
      <c r="D530" s="63" t="s">
        <v>695</v>
      </c>
      <c r="E530" s="63" t="s">
        <v>735</v>
      </c>
      <c r="F530" s="63" t="s">
        <v>697</v>
      </c>
      <c r="G530" s="142" t="n">
        <v>44935</v>
      </c>
      <c r="H530" s="142" t="n">
        <v>44966</v>
      </c>
      <c r="I530" s="19" t="n">
        <f aca="false">H530-G530</f>
        <v>31</v>
      </c>
      <c r="J530" s="149" t="n">
        <f aca="false">TRUNC(I530/30,0)</f>
        <v>1</v>
      </c>
      <c r="K530" s="183" t="s">
        <v>95</v>
      </c>
      <c r="L530" s="146" t="n">
        <v>4</v>
      </c>
      <c r="M530" s="147" t="n">
        <v>4.1</v>
      </c>
      <c r="N530" s="148" t="s">
        <v>715</v>
      </c>
      <c r="O530" s="149" t="s">
        <v>255</v>
      </c>
      <c r="P530" s="150" t="n">
        <v>0.0441291</v>
      </c>
      <c r="Q530" s="150" t="n">
        <v>0.0440157</v>
      </c>
      <c r="R530" s="151" t="s">
        <v>255</v>
      </c>
      <c r="S530" s="152" t="n">
        <v>0.0445</v>
      </c>
      <c r="T530" s="151"/>
      <c r="U530" s="152"/>
      <c r="V530" s="152" t="n">
        <v>0.048002</v>
      </c>
      <c r="W530" s="152" t="n">
        <v>0.00096</v>
      </c>
      <c r="X530" s="152" t="n">
        <v>0.006042</v>
      </c>
      <c r="Y530" s="152" t="n">
        <v>0.038546</v>
      </c>
      <c r="Z530" s="152" t="n">
        <v>0.002</v>
      </c>
      <c r="AA530" s="152" t="n">
        <v>0.002</v>
      </c>
      <c r="AB530" s="154" t="n">
        <f aca="false">S530-Z530</f>
        <v>0.0425</v>
      </c>
      <c r="AC530" s="154" t="n">
        <f aca="false">U530-Z530-AA530</f>
        <v>-0.004</v>
      </c>
      <c r="AD530" s="155" t="n">
        <v>0.041</v>
      </c>
      <c r="AE530" s="153" t="n">
        <f aca="false">IF(Y530="","",Y530)</f>
        <v>0.038546</v>
      </c>
      <c r="AF530" s="153" t="n">
        <f aca="false">AD530-AE530</f>
        <v>0.00245400000000001</v>
      </c>
      <c r="AG530" s="184" t="n">
        <f aca="false">IF(AF530="","",AE530+AF530)</f>
        <v>0.041</v>
      </c>
      <c r="AH530" s="185" t="n">
        <v>44935</v>
      </c>
      <c r="AI530" s="35" t="n">
        <v>3</v>
      </c>
      <c r="AJ530" s="19" t="str">
        <f aca="false">IF(AG530="","N","Y")</f>
        <v>Y</v>
      </c>
      <c r="AK530" s="361" t="s">
        <v>736</v>
      </c>
      <c r="AL530" s="361"/>
      <c r="AM530" s="361"/>
      <c r="AN530" s="361"/>
      <c r="AO530" s="361"/>
      <c r="AP530" s="361"/>
      <c r="AQ530" s="361"/>
      <c r="AR530" s="361"/>
    </row>
    <row r="531" customFormat="false" ht="20.25" hidden="false" customHeight="true" outlineLevel="0" collapsed="false">
      <c r="A531" s="19" t="n">
        <f aca="false">IF(B531="","",IF((YEAR(B531)-YEAR(B530))=0,A530+1,1))</f>
        <v>5</v>
      </c>
      <c r="B531" s="141" t="n">
        <v>44938</v>
      </c>
      <c r="C531" s="19" t="s">
        <v>673</v>
      </c>
      <c r="D531" s="63" t="s">
        <v>699</v>
      </c>
      <c r="E531" s="19"/>
      <c r="F531" s="63" t="s">
        <v>675</v>
      </c>
      <c r="G531" s="142" t="n">
        <v>44938</v>
      </c>
      <c r="H531" s="142" t="n">
        <v>44970</v>
      </c>
      <c r="I531" s="19" t="n">
        <f aca="false">H531-G531</f>
        <v>32</v>
      </c>
      <c r="J531" s="149" t="n">
        <f aca="false">TRUNC(I531/30,0)</f>
        <v>1</v>
      </c>
      <c r="K531" s="183" t="s">
        <v>95</v>
      </c>
      <c r="L531" s="146" t="n">
        <v>3</v>
      </c>
      <c r="M531" s="147" t="n">
        <v>4.1</v>
      </c>
      <c r="N531" s="148" t="s">
        <v>737</v>
      </c>
      <c r="O531" s="149" t="s">
        <v>255</v>
      </c>
      <c r="P531" s="150" t="n">
        <v>0.0443445</v>
      </c>
      <c r="Q531" s="150" t="n">
        <v>0.0442343</v>
      </c>
      <c r="R531" s="151" t="s">
        <v>255</v>
      </c>
      <c r="S531" s="152" t="n">
        <v>0.0445</v>
      </c>
      <c r="T531" s="151"/>
      <c r="U531" s="152"/>
      <c r="V531" s="152" t="n">
        <v>0.048328</v>
      </c>
      <c r="W531" s="152" t="n">
        <v>0.000967</v>
      </c>
      <c r="X531" s="152" t="n">
        <v>0.006362</v>
      </c>
      <c r="Y531" s="152" t="n">
        <v>0.038757</v>
      </c>
      <c r="Z531" s="152" t="n">
        <v>0.002</v>
      </c>
      <c r="AA531" s="152" t="n">
        <v>0.002</v>
      </c>
      <c r="AB531" s="154" t="n">
        <f aca="false">S531-Z531</f>
        <v>0.0425</v>
      </c>
      <c r="AC531" s="154" t="n">
        <f aca="false">U531-Z531-AA531</f>
        <v>-0.004</v>
      </c>
      <c r="AD531" s="155" t="n">
        <v>0.041</v>
      </c>
      <c r="AE531" s="153" t="n">
        <f aca="false">IF(Y531="","",Y531)</f>
        <v>0.038757</v>
      </c>
      <c r="AF531" s="153" t="n">
        <f aca="false">AD531-AE531</f>
        <v>0.002243</v>
      </c>
      <c r="AG531" s="184" t="n">
        <f aca="false">IF(AF531="","",AE531+AF531)</f>
        <v>0.041</v>
      </c>
      <c r="AH531" s="185" t="n">
        <v>44938</v>
      </c>
      <c r="AI531" s="35" t="n">
        <v>1</v>
      </c>
      <c r="AJ531" s="19" t="str">
        <f aca="false">IF(AG531="","N","Y")</f>
        <v>Y</v>
      </c>
      <c r="AK531" s="361" t="s">
        <v>738</v>
      </c>
      <c r="AL531" s="361"/>
      <c r="AM531" s="361"/>
      <c r="AN531" s="361"/>
      <c r="AO531" s="361"/>
      <c r="AP531" s="361"/>
      <c r="AQ531" s="361"/>
      <c r="AR531" s="361"/>
    </row>
    <row r="532" customFormat="false" ht="21" hidden="false" customHeight="true" outlineLevel="0" collapsed="false">
      <c r="A532" s="19" t="n">
        <f aca="false">IF(B532="","",IF((YEAR(B532)-YEAR(B531))=0,A531+1,1))</f>
        <v>6</v>
      </c>
      <c r="B532" s="141" t="n">
        <v>44942</v>
      </c>
      <c r="C532" s="63" t="s">
        <v>209</v>
      </c>
      <c r="D532" s="63" t="s">
        <v>695</v>
      </c>
      <c r="E532" s="63" t="s">
        <v>735</v>
      </c>
      <c r="F532" s="63" t="s">
        <v>697</v>
      </c>
      <c r="G532" s="142" t="n">
        <v>44942</v>
      </c>
      <c r="H532" s="142" t="n">
        <v>44973</v>
      </c>
      <c r="I532" s="19" t="n">
        <f aca="false">H532-G532</f>
        <v>31</v>
      </c>
      <c r="J532" s="149" t="n">
        <f aca="false">TRUNC(I532/30,0)</f>
        <v>1</v>
      </c>
      <c r="K532" s="183" t="s">
        <v>95</v>
      </c>
      <c r="L532" s="146" t="n">
        <v>1</v>
      </c>
      <c r="M532" s="147" t="n">
        <v>4.15</v>
      </c>
      <c r="N532" s="148" t="s">
        <v>739</v>
      </c>
      <c r="O532" s="149" t="s">
        <v>255</v>
      </c>
      <c r="P532" s="150" t="n">
        <v>0.0433782</v>
      </c>
      <c r="Q532" s="150" t="n">
        <v>0.0445443</v>
      </c>
      <c r="R532" s="151" t="s">
        <v>255</v>
      </c>
      <c r="S532" s="152" t="n">
        <v>0.0448</v>
      </c>
      <c r="T532" s="151"/>
      <c r="U532" s="152"/>
      <c r="V532" s="152" t="n">
        <v>0.048812</v>
      </c>
      <c r="W532" s="152" t="n">
        <v>0.000976</v>
      </c>
      <c r="X532" s="152" t="n">
        <v>0.006336</v>
      </c>
      <c r="Y532" s="152" t="n">
        <v>0.039231</v>
      </c>
      <c r="Z532" s="152" t="n">
        <v>0.002</v>
      </c>
      <c r="AA532" s="152" t="n">
        <v>0.002</v>
      </c>
      <c r="AB532" s="154" t="n">
        <f aca="false">S532-Z532</f>
        <v>0.0428</v>
      </c>
      <c r="AC532" s="154" t="n">
        <f aca="false">U532-Z532-AA532</f>
        <v>-0.004</v>
      </c>
      <c r="AD532" s="155" t="n">
        <v>0.0415</v>
      </c>
      <c r="AE532" s="153" t="n">
        <f aca="false">IF(Y532="","",Y532)</f>
        <v>0.039231</v>
      </c>
      <c r="AF532" s="153" t="n">
        <f aca="false">AD532-AE532</f>
        <v>0.002269</v>
      </c>
      <c r="AG532" s="184" t="n">
        <f aca="false">IF(AF532="","",AE532+AF532)</f>
        <v>0.0415</v>
      </c>
      <c r="AH532" s="185" t="n">
        <v>44942</v>
      </c>
      <c r="AI532" s="35" t="n">
        <v>1</v>
      </c>
      <c r="AJ532" s="19" t="str">
        <f aca="false">IF(AG532="","N","Y")</f>
        <v>Y</v>
      </c>
      <c r="AK532" s="361" t="s">
        <v>740</v>
      </c>
      <c r="AL532" s="361"/>
      <c r="AM532" s="361"/>
      <c r="AN532" s="361"/>
      <c r="AO532" s="361"/>
      <c r="AP532" s="361"/>
      <c r="AQ532" s="361"/>
      <c r="AR532" s="361"/>
    </row>
    <row r="533" customFormat="false" ht="21" hidden="false" customHeight="true" outlineLevel="0" collapsed="false">
      <c r="A533" s="19" t="n">
        <f aca="false">IF(B533="","",IF((YEAR(B533)-YEAR(B532))=0,A532+1,1))</f>
        <v>7</v>
      </c>
      <c r="B533" s="141" t="n">
        <v>44945</v>
      </c>
      <c r="C533" s="63" t="s">
        <v>691</v>
      </c>
      <c r="D533" s="63" t="s">
        <v>598</v>
      </c>
      <c r="E533" s="19"/>
      <c r="F533" s="63" t="s">
        <v>704</v>
      </c>
      <c r="G533" s="142" t="n">
        <v>44945</v>
      </c>
      <c r="H533" s="142" t="n">
        <v>44977</v>
      </c>
      <c r="I533" s="19" t="n">
        <f aca="false">H533-G533</f>
        <v>32</v>
      </c>
      <c r="J533" s="149" t="n">
        <f aca="false">TRUNC(I533/30,0)</f>
        <v>1</v>
      </c>
      <c r="K533" s="183" t="s">
        <v>95</v>
      </c>
      <c r="L533" s="146" t="n">
        <v>1.2</v>
      </c>
      <c r="M533" s="147" t="n">
        <v>4.15</v>
      </c>
      <c r="N533" s="148" t="s">
        <v>737</v>
      </c>
      <c r="O533" s="149" t="s">
        <v>255</v>
      </c>
      <c r="P533" s="150" t="n">
        <v>0.0448827</v>
      </c>
      <c r="Q533" s="150" t="n">
        <v>0.0448571</v>
      </c>
      <c r="R533" s="151" t="s">
        <v>255</v>
      </c>
      <c r="S533" s="152" t="n">
        <v>0.0453</v>
      </c>
      <c r="T533" s="151"/>
      <c r="U533" s="152"/>
      <c r="V533" s="152" t="n">
        <v>0.048851</v>
      </c>
      <c r="W533" s="152" t="n">
        <v>0.000977</v>
      </c>
      <c r="X533" s="152" t="n">
        <v>0.005374</v>
      </c>
      <c r="Y533" s="152" t="n">
        <v>0.039285</v>
      </c>
      <c r="Z533" s="152" t="n">
        <v>0.002</v>
      </c>
      <c r="AA533" s="152" t="n">
        <v>0.002</v>
      </c>
      <c r="AB533" s="154" t="n">
        <f aca="false">S533-Z533</f>
        <v>0.0433</v>
      </c>
      <c r="AC533" s="154" t="n">
        <f aca="false">U533-Z533-AA533</f>
        <v>-0.004</v>
      </c>
      <c r="AD533" s="155" t="n">
        <v>0.0425</v>
      </c>
      <c r="AE533" s="153" t="n">
        <f aca="false">IF(Y533="","",Y533)</f>
        <v>0.039285</v>
      </c>
      <c r="AF533" s="153" t="n">
        <f aca="false">AD533-AE533</f>
        <v>0.003215</v>
      </c>
      <c r="AG533" s="184" t="n">
        <f aca="false">IF(AF533="","",AE533+AF533)</f>
        <v>0.0425</v>
      </c>
      <c r="AH533" s="185" t="n">
        <v>44945</v>
      </c>
      <c r="AI533" s="35" t="n">
        <v>2</v>
      </c>
      <c r="AJ533" s="19" t="str">
        <f aca="false">IF(AG533="","N","Y")</f>
        <v>Y</v>
      </c>
      <c r="AK533" s="361" t="s">
        <v>741</v>
      </c>
      <c r="AL533" s="361"/>
      <c r="AM533" s="361"/>
      <c r="AN533" s="361"/>
      <c r="AO533" s="361"/>
      <c r="AP533" s="361"/>
      <c r="AQ533" s="361"/>
      <c r="AR533" s="361"/>
    </row>
    <row r="534" customFormat="false" ht="21" hidden="false" customHeight="true" outlineLevel="0" collapsed="false">
      <c r="A534" s="19" t="n">
        <f aca="false">IF(B534="","",IF((YEAR(B534)-YEAR(B533))=0,A533+1,1))</f>
        <v>8</v>
      </c>
      <c r="B534" s="141" t="n">
        <v>44945</v>
      </c>
      <c r="C534" s="63" t="s">
        <v>691</v>
      </c>
      <c r="D534" s="63" t="s">
        <v>598</v>
      </c>
      <c r="E534" s="19"/>
      <c r="F534" s="63" t="s">
        <v>704</v>
      </c>
      <c r="G534" s="142" t="n">
        <v>44945</v>
      </c>
      <c r="H534" s="142" t="n">
        <v>44977</v>
      </c>
      <c r="I534" s="19" t="n">
        <f aca="false">H534-G534</f>
        <v>32</v>
      </c>
      <c r="J534" s="149" t="n">
        <f aca="false">TRUNC(I534/30,0)</f>
        <v>1</v>
      </c>
      <c r="K534" s="183" t="s">
        <v>95</v>
      </c>
      <c r="L534" s="146" t="n">
        <v>1.2</v>
      </c>
      <c r="M534" s="147" t="n">
        <v>4.15</v>
      </c>
      <c r="N534" s="148" t="s">
        <v>737</v>
      </c>
      <c r="O534" s="149" t="s">
        <v>255</v>
      </c>
      <c r="P534" s="150" t="n">
        <v>0.0448827</v>
      </c>
      <c r="Q534" s="150" t="n">
        <v>0.0448571</v>
      </c>
      <c r="R534" s="151" t="s">
        <v>255</v>
      </c>
      <c r="S534" s="152" t="n">
        <v>0.0453</v>
      </c>
      <c r="T534" s="151"/>
      <c r="U534" s="152"/>
      <c r="V534" s="152" t="n">
        <v>0.048851</v>
      </c>
      <c r="W534" s="152" t="n">
        <v>0.000977</v>
      </c>
      <c r="X534" s="152" t="n">
        <v>0.005374</v>
      </c>
      <c r="Y534" s="152" t="n">
        <v>0.039285</v>
      </c>
      <c r="Z534" s="152" t="n">
        <v>0.002</v>
      </c>
      <c r="AA534" s="152" t="n">
        <v>0.002</v>
      </c>
      <c r="AB534" s="154" t="n">
        <f aca="false">S534-Z534</f>
        <v>0.0433</v>
      </c>
      <c r="AC534" s="154" t="n">
        <f aca="false">U534-Z534-AA534</f>
        <v>-0.004</v>
      </c>
      <c r="AD534" s="155" t="n">
        <v>0.0425</v>
      </c>
      <c r="AE534" s="153" t="n">
        <f aca="false">IF(Y534="","",Y534)</f>
        <v>0.039285</v>
      </c>
      <c r="AF534" s="153" t="n">
        <f aca="false">AD534-AE534</f>
        <v>0.003215</v>
      </c>
      <c r="AG534" s="184" t="n">
        <f aca="false">IF(AF534="","",AE534+AF534)</f>
        <v>0.0425</v>
      </c>
      <c r="AH534" s="185" t="n">
        <v>44945</v>
      </c>
      <c r="AI534" s="35" t="n">
        <v>2</v>
      </c>
      <c r="AJ534" s="19" t="str">
        <f aca="false">IF(AG534="","N","Y")</f>
        <v>Y</v>
      </c>
      <c r="AK534" s="361" t="s">
        <v>741</v>
      </c>
      <c r="AL534" s="361"/>
      <c r="AM534" s="361"/>
      <c r="AN534" s="361"/>
      <c r="AO534" s="361"/>
      <c r="AP534" s="361"/>
      <c r="AQ534" s="361"/>
      <c r="AR534" s="361"/>
    </row>
    <row r="535" s="38" customFormat="true" ht="16.5" hidden="false" customHeight="true" outlineLevel="0" collapsed="false">
      <c r="A535" s="19" t="n">
        <f aca="false">IF(B535="","",IF((YEAR(B535)-YEAR(B534))=0,A534+1,1))</f>
        <v>9</v>
      </c>
      <c r="B535" s="141" t="n">
        <v>44952</v>
      </c>
      <c r="C535" s="63" t="s">
        <v>616</v>
      </c>
      <c r="D535" s="19"/>
      <c r="E535" s="63" t="s">
        <v>611</v>
      </c>
      <c r="F535" s="63" t="s">
        <v>219</v>
      </c>
      <c r="G535" s="142" t="n">
        <v>44952</v>
      </c>
      <c r="H535" s="142" t="n">
        <v>45042</v>
      </c>
      <c r="I535" s="19" t="n">
        <f aca="false">H535-G535</f>
        <v>90</v>
      </c>
      <c r="J535" s="149" t="n">
        <f aca="false">TRUNC(I535/30,0)</f>
        <v>3</v>
      </c>
      <c r="K535" s="183" t="s">
        <v>95</v>
      </c>
      <c r="L535" s="146" t="n">
        <v>1.11</v>
      </c>
      <c r="M535" s="147" t="n">
        <v>4.48</v>
      </c>
      <c r="N535" s="148" t="s">
        <v>742</v>
      </c>
      <c r="O535" s="149" t="s">
        <v>265</v>
      </c>
      <c r="P535" s="150" t="n">
        <v>0.0466931</v>
      </c>
      <c r="Q535" s="150" t="n">
        <v>0.0481457</v>
      </c>
      <c r="R535" s="151" t="s">
        <v>265</v>
      </c>
      <c r="S535" s="152" t="n">
        <v>0.0495</v>
      </c>
      <c r="T535" s="151"/>
      <c r="U535" s="357"/>
      <c r="V535" s="152" t="n">
        <v>0.052132</v>
      </c>
      <c r="W535" s="152" t="n">
        <v>0.001043</v>
      </c>
      <c r="X535" s="152" t="n">
        <v>0.005589</v>
      </c>
      <c r="Y535" s="152" t="n">
        <v>0.042859</v>
      </c>
      <c r="Z535" s="152" t="n">
        <v>0.002</v>
      </c>
      <c r="AA535" s="152" t="n">
        <v>0.002</v>
      </c>
      <c r="AB535" s="154" t="n">
        <f aca="false">S535-Z535</f>
        <v>0.0475</v>
      </c>
      <c r="AC535" s="154" t="n">
        <f aca="false">U535-Z535-AA535</f>
        <v>-0.004</v>
      </c>
      <c r="AD535" s="155" t="n">
        <v>0.0455</v>
      </c>
      <c r="AE535" s="153" t="n">
        <f aca="false">IF(Y535="","",Y535)</f>
        <v>0.042859</v>
      </c>
      <c r="AF535" s="153" t="n">
        <f aca="false">AD535-AE535</f>
        <v>0.002641</v>
      </c>
      <c r="AG535" s="184" t="n">
        <f aca="false">IF(AF535="","",AE535+AF535)</f>
        <v>0.0455</v>
      </c>
      <c r="AH535" s="185" t="n">
        <v>44952</v>
      </c>
      <c r="AI535" s="35" t="n">
        <v>1</v>
      </c>
      <c r="AJ535" s="19" t="str">
        <f aca="false">IF(AG535="","N","Y")</f>
        <v>Y</v>
      </c>
      <c r="AK535" s="361" t="s">
        <v>743</v>
      </c>
      <c r="AL535" s="361"/>
      <c r="AM535" s="361"/>
      <c r="AN535" s="361"/>
      <c r="AO535" s="361"/>
      <c r="AP535" s="361"/>
      <c r="AQ535" s="361"/>
      <c r="AR535" s="361"/>
    </row>
    <row r="536" customFormat="false" ht="52.5" hidden="false" customHeight="true" outlineLevel="0" collapsed="false">
      <c r="A536" s="19" t="n">
        <f aca="false">IF(B536="","",IF((YEAR(B536)-YEAR(B535))=0,A535+1,1))</f>
        <v>10</v>
      </c>
      <c r="B536" s="141" t="n">
        <v>44953</v>
      </c>
      <c r="C536" s="63" t="s">
        <v>96</v>
      </c>
      <c r="D536" s="63" t="s">
        <v>661</v>
      </c>
      <c r="E536" s="19"/>
      <c r="F536" s="63" t="s">
        <v>662</v>
      </c>
      <c r="G536" s="142" t="n">
        <v>44953</v>
      </c>
      <c r="H536" s="142" t="n">
        <v>45134</v>
      </c>
      <c r="I536" s="19" t="n">
        <f aca="false">H536-G536</f>
        <v>181</v>
      </c>
      <c r="J536" s="149" t="n">
        <f aca="false">TRUNC(I536/30,0)</f>
        <v>6</v>
      </c>
      <c r="K536" s="183" t="s">
        <v>95</v>
      </c>
      <c r="L536" s="146" t="n">
        <v>10</v>
      </c>
      <c r="M536" s="147" t="n">
        <v>4.77</v>
      </c>
      <c r="N536" s="148" t="s">
        <v>744</v>
      </c>
      <c r="O536" s="149" t="s">
        <v>337</v>
      </c>
      <c r="P536" s="150" t="n">
        <v>0.0481764</v>
      </c>
      <c r="Q536" s="150" t="n">
        <v>0.05102209</v>
      </c>
      <c r="R536" s="151" t="s">
        <v>337</v>
      </c>
      <c r="S536" s="152" t="n">
        <v>0.0505</v>
      </c>
      <c r="T536" s="151"/>
      <c r="U536" s="152"/>
      <c r="V536" s="152" t="n">
        <v>0.05422</v>
      </c>
      <c r="W536" s="152" t="n">
        <v>0.001084</v>
      </c>
      <c r="X536" s="152" t="n">
        <v>0.004636</v>
      </c>
      <c r="Y536" s="152" t="n">
        <v>0.044812</v>
      </c>
      <c r="Z536" s="152" t="n">
        <v>0.002</v>
      </c>
      <c r="AA536" s="152" t="n">
        <v>0.002</v>
      </c>
      <c r="AB536" s="154" t="n">
        <f aca="false">S536-Z536</f>
        <v>0.0485</v>
      </c>
      <c r="AC536" s="154" t="n">
        <f aca="false">U536-Z536-AA536</f>
        <v>-0.004</v>
      </c>
      <c r="AD536" s="155" t="n">
        <v>0.0485</v>
      </c>
      <c r="AE536" s="153" t="n">
        <f aca="false">IF(Y536="","",Y536)</f>
        <v>0.044812</v>
      </c>
      <c r="AF536" s="153" t="n">
        <f aca="false">AD536-AE536</f>
        <v>0.003688</v>
      </c>
      <c r="AG536" s="184" t="n">
        <f aca="false">IF(AF536="","",AE536+AF536)</f>
        <v>0.0485</v>
      </c>
      <c r="AH536" s="185" t="n">
        <v>44953</v>
      </c>
      <c r="AI536" s="35" t="n">
        <v>1</v>
      </c>
      <c r="AJ536" s="19" t="str">
        <f aca="false">IF(AG536="","N","Y")</f>
        <v>Y</v>
      </c>
      <c r="AK536" s="361" t="s">
        <v>745</v>
      </c>
      <c r="AL536" s="361"/>
      <c r="AM536" s="361"/>
      <c r="AN536" s="361"/>
      <c r="AO536" s="361"/>
      <c r="AP536" s="361"/>
      <c r="AQ536" s="361"/>
      <c r="AR536" s="361"/>
    </row>
    <row r="537" customFormat="false" ht="20.25" hidden="false" customHeight="true" outlineLevel="0" collapsed="false">
      <c r="A537" s="19" t="n">
        <f aca="false">IF(B537="","",IF((YEAR(B537)-YEAR(B536))=0,A536+1,1))</f>
        <v>11</v>
      </c>
      <c r="B537" s="141" t="n">
        <v>44956</v>
      </c>
      <c r="C537" s="63" t="s">
        <v>707</v>
      </c>
      <c r="D537" s="63" t="s">
        <v>726</v>
      </c>
      <c r="E537" s="63" t="s">
        <v>445</v>
      </c>
      <c r="F537" s="63" t="s">
        <v>708</v>
      </c>
      <c r="G537" s="142" t="n">
        <v>44956</v>
      </c>
      <c r="H537" s="142" t="n">
        <v>44985</v>
      </c>
      <c r="I537" s="19" t="n">
        <f aca="false">H537-G537</f>
        <v>29</v>
      </c>
      <c r="J537" s="149" t="n">
        <f aca="false">TRUNC(I537/30,0)</f>
        <v>0</v>
      </c>
      <c r="K537" s="183" t="s">
        <v>95</v>
      </c>
      <c r="L537" s="146" t="n">
        <v>4</v>
      </c>
      <c r="M537" s="147" t="n">
        <v>4.16</v>
      </c>
      <c r="N537" s="148" t="s">
        <v>746</v>
      </c>
      <c r="O537" s="149" t="s">
        <v>255</v>
      </c>
      <c r="P537" s="150" t="n">
        <v>0.0456144</v>
      </c>
      <c r="Q537" s="150" t="n">
        <v>0.0456971</v>
      </c>
      <c r="R537" s="151" t="s">
        <v>255</v>
      </c>
      <c r="S537" s="152" t="n">
        <v>0.0467</v>
      </c>
      <c r="T537" s="151"/>
      <c r="U537" s="152"/>
      <c r="V537" s="152" t="n">
        <v>0.049315</v>
      </c>
      <c r="W537" s="152" t="n">
        <v>0.000986</v>
      </c>
      <c r="X537" s="152" t="n">
        <v>0.004829</v>
      </c>
      <c r="Y537" s="152" t="n">
        <v>0.040002</v>
      </c>
      <c r="Z537" s="152" t="n">
        <v>0.002</v>
      </c>
      <c r="AA537" s="152" t="n">
        <v>0.002</v>
      </c>
      <c r="AB537" s="154" t="n">
        <f aca="false">S537-Z537</f>
        <v>0.0447</v>
      </c>
      <c r="AC537" s="154" t="n">
        <f aca="false">U537-Z537-AA537</f>
        <v>-0.004</v>
      </c>
      <c r="AD537" s="155" t="n">
        <v>0.0435</v>
      </c>
      <c r="AE537" s="153" t="n">
        <f aca="false">IF(Y537="","",Y537)</f>
        <v>0.040002</v>
      </c>
      <c r="AF537" s="153" t="n">
        <f aca="false">AD537-AE537</f>
        <v>0.00349799999999999</v>
      </c>
      <c r="AG537" s="184" t="n">
        <f aca="false">IF(AF537="","",AE537+AF537)</f>
        <v>0.0435</v>
      </c>
      <c r="AH537" s="185" t="n">
        <v>44956</v>
      </c>
      <c r="AI537" s="35" t="n">
        <v>2</v>
      </c>
      <c r="AJ537" s="19" t="str">
        <f aca="false">IF(AG537="","N","Y")</f>
        <v>Y</v>
      </c>
      <c r="AK537" s="361" t="s">
        <v>747</v>
      </c>
      <c r="AL537" s="361"/>
      <c r="AM537" s="361"/>
      <c r="AN537" s="361"/>
      <c r="AO537" s="361"/>
      <c r="AP537" s="361"/>
      <c r="AQ537" s="361"/>
      <c r="AR537" s="361"/>
    </row>
    <row r="538" customFormat="false" ht="16.5" hidden="false" customHeight="true" outlineLevel="0" collapsed="false">
      <c r="A538" s="19" t="n">
        <f aca="false">IF(B538="","",IF((YEAR(B538)-YEAR(B537))=0,A537+1,1))</f>
        <v>12</v>
      </c>
      <c r="B538" s="141" t="n">
        <v>44956</v>
      </c>
      <c r="C538" s="63" t="s">
        <v>96</v>
      </c>
      <c r="D538" s="19"/>
      <c r="E538" s="63" t="s">
        <v>682</v>
      </c>
      <c r="F538" s="63" t="s">
        <v>683</v>
      </c>
      <c r="G538" s="142" t="n">
        <v>44956</v>
      </c>
      <c r="H538" s="142" t="n">
        <v>45048</v>
      </c>
      <c r="I538" s="19" t="n">
        <f aca="false">H538-G538</f>
        <v>92</v>
      </c>
      <c r="J538" s="149" t="n">
        <f aca="false">TRUNC(I538/30,0)</f>
        <v>3</v>
      </c>
      <c r="K538" s="183" t="s">
        <v>95</v>
      </c>
      <c r="L538" s="146" t="n">
        <v>3.9</v>
      </c>
      <c r="M538" s="147" t="n">
        <v>4.46</v>
      </c>
      <c r="N538" s="148" t="s">
        <v>748</v>
      </c>
      <c r="O538" s="149" t="s">
        <v>265</v>
      </c>
      <c r="P538" s="150" t="n">
        <v>0.0467599</v>
      </c>
      <c r="Q538" s="150" t="n">
        <v>0.0482529</v>
      </c>
      <c r="R538" s="151" t="s">
        <v>265</v>
      </c>
      <c r="S538" s="152" t="n">
        <v>0.0493</v>
      </c>
      <c r="T538" s="151"/>
      <c r="U538" s="152"/>
      <c r="V538" s="152" t="n">
        <v>0.052218</v>
      </c>
      <c r="W538" s="152" t="n">
        <v>0.001044</v>
      </c>
      <c r="X538" s="152" t="n">
        <v>0.005674</v>
      </c>
      <c r="Y538" s="152" t="n">
        <v>0.042924</v>
      </c>
      <c r="Z538" s="152" t="n">
        <v>0.002</v>
      </c>
      <c r="AA538" s="152" t="n">
        <v>0.002</v>
      </c>
      <c r="AB538" s="154" t="n">
        <f aca="false">S538-Z538</f>
        <v>0.0473</v>
      </c>
      <c r="AC538" s="154" t="n">
        <f aca="false">U538-Z538-AA538</f>
        <v>-0.004</v>
      </c>
      <c r="AD538" s="155" t="n">
        <v>0.0455</v>
      </c>
      <c r="AE538" s="153" t="n">
        <f aca="false">IF(Y538="","",Y538)</f>
        <v>0.042924</v>
      </c>
      <c r="AF538" s="153" t="n">
        <f aca="false">AD538-AE538</f>
        <v>0.002576</v>
      </c>
      <c r="AG538" s="184" t="n">
        <f aca="false">IF(AF538="","",AE538+AF538)</f>
        <v>0.0455</v>
      </c>
      <c r="AH538" s="185" t="n">
        <v>44956</v>
      </c>
      <c r="AI538" s="35" t="n">
        <v>3</v>
      </c>
      <c r="AJ538" s="19" t="str">
        <f aca="false">IF(AG538="","N","Y")</f>
        <v>Y</v>
      </c>
      <c r="AK538" s="361" t="s">
        <v>749</v>
      </c>
      <c r="AL538" s="361"/>
      <c r="AM538" s="361"/>
      <c r="AN538" s="361"/>
      <c r="AO538" s="361"/>
      <c r="AP538" s="361"/>
      <c r="AQ538" s="361"/>
      <c r="AR538" s="361"/>
    </row>
    <row r="539" s="382" customFormat="true" ht="19.5" hidden="false" customHeight="true" outlineLevel="0" collapsed="false">
      <c r="A539" s="362" t="n">
        <f aca="false">IF(B539="","",IF((YEAR(B539)-YEAR(B538))=0,A538+1,1))</f>
        <v>13</v>
      </c>
      <c r="B539" s="363" t="n">
        <v>44963</v>
      </c>
      <c r="C539" s="364" t="s">
        <v>89</v>
      </c>
      <c r="D539" s="364" t="s">
        <v>665</v>
      </c>
      <c r="E539" s="364"/>
      <c r="F539" s="364" t="s">
        <v>654</v>
      </c>
      <c r="G539" s="365" t="n">
        <v>44964</v>
      </c>
      <c r="H539" s="365" t="n">
        <v>44991</v>
      </c>
      <c r="I539" s="364" t="n">
        <f aca="false">H539-G539</f>
        <v>27</v>
      </c>
      <c r="J539" s="366" t="n">
        <f aca="false">TRUNC(I539/30,0)</f>
        <v>0</v>
      </c>
      <c r="K539" s="367" t="s">
        <v>99</v>
      </c>
      <c r="L539" s="368" t="n">
        <v>12.4</v>
      </c>
      <c r="M539" s="369" t="n">
        <v>3.43</v>
      </c>
      <c r="N539" s="370" t="s">
        <v>750</v>
      </c>
      <c r="O539" s="366" t="s">
        <v>305</v>
      </c>
      <c r="P539" s="371" t="n">
        <v>0.0456145</v>
      </c>
      <c r="Q539" s="371"/>
      <c r="R539" s="372" t="s">
        <v>305</v>
      </c>
      <c r="S539" s="373" t="n">
        <v>0.045</v>
      </c>
      <c r="T539" s="372"/>
      <c r="U539" s="373"/>
      <c r="V539" s="373" t="n">
        <v>0.049671</v>
      </c>
      <c r="W539" s="373" t="n">
        <v>0.003477</v>
      </c>
      <c r="X539" s="373" t="n">
        <v>0.010194</v>
      </c>
      <c r="Y539" s="373" t="n">
        <v>0.034121</v>
      </c>
      <c r="Z539" s="373" t="n">
        <v>0.002</v>
      </c>
      <c r="AA539" s="373" t="n">
        <v>0.002</v>
      </c>
      <c r="AB539" s="374" t="n">
        <f aca="false">S539-Z539</f>
        <v>0.043</v>
      </c>
      <c r="AC539" s="374" t="n">
        <f aca="false">U539-Z539-AA539</f>
        <v>-0.004</v>
      </c>
      <c r="AD539" s="375" t="n">
        <v>0.036</v>
      </c>
      <c r="AE539" s="376" t="n">
        <f aca="false">IF(Y539="","",Y539)</f>
        <v>0.034121</v>
      </c>
      <c r="AF539" s="376" t="n">
        <f aca="false">AD539-AE539</f>
        <v>0.001879</v>
      </c>
      <c r="AG539" s="377" t="n">
        <f aca="false">IF(AF539="","",AE539+AF539)</f>
        <v>0.036</v>
      </c>
      <c r="AH539" s="378" t="n">
        <v>44963</v>
      </c>
      <c r="AI539" s="379" t="n">
        <v>1</v>
      </c>
      <c r="AJ539" s="380" t="str">
        <f aca="false">IF(AG539="","N","Y")</f>
        <v>Y</v>
      </c>
      <c r="AK539" s="381" t="s">
        <v>751</v>
      </c>
      <c r="AL539" s="381"/>
      <c r="AM539" s="381"/>
      <c r="AN539" s="381"/>
      <c r="AO539" s="381"/>
      <c r="AP539" s="381"/>
      <c r="AQ539" s="381"/>
      <c r="AR539" s="381"/>
    </row>
    <row r="540" customFormat="false" ht="21" hidden="false" customHeight="true" outlineLevel="0" collapsed="false">
      <c r="A540" s="19" t="n">
        <f aca="false">IF(B540="","",IF((YEAR(B540)-YEAR(B539))=0,A539+1,1))</f>
        <v>14</v>
      </c>
      <c r="B540" s="141" t="n">
        <v>44966</v>
      </c>
      <c r="C540" s="63" t="s">
        <v>209</v>
      </c>
      <c r="D540" s="63" t="s">
        <v>695</v>
      </c>
      <c r="E540" s="63" t="s">
        <v>735</v>
      </c>
      <c r="F540" s="63" t="s">
        <v>697</v>
      </c>
      <c r="G540" s="142" t="n">
        <v>44966</v>
      </c>
      <c r="H540" s="142" t="n">
        <v>44994</v>
      </c>
      <c r="I540" s="19" t="n">
        <f aca="false">H540-G540</f>
        <v>28</v>
      </c>
      <c r="J540" s="149" t="n">
        <f aca="false">TRUNC(I540/30,0)</f>
        <v>0</v>
      </c>
      <c r="K540" s="183" t="s">
        <v>95</v>
      </c>
      <c r="L540" s="146" t="n">
        <v>4</v>
      </c>
      <c r="M540" s="147" t="n">
        <v>4.14</v>
      </c>
      <c r="N540" s="148" t="s">
        <v>746</v>
      </c>
      <c r="O540" s="149" t="s">
        <v>255</v>
      </c>
      <c r="P540" s="150" t="n">
        <v>0.0456113</v>
      </c>
      <c r="Q540" s="150" t="n">
        <v>0.04575</v>
      </c>
      <c r="R540" s="151" t="s">
        <v>255</v>
      </c>
      <c r="S540" s="152" t="n">
        <v>0.0457</v>
      </c>
      <c r="T540" s="151"/>
      <c r="U540" s="152"/>
      <c r="V540" s="152" t="n">
        <v>0.049476</v>
      </c>
      <c r="W540" s="152" t="n">
        <v>0.00099</v>
      </c>
      <c r="X540" s="152" t="n">
        <v>0.005487</v>
      </c>
      <c r="Y540" s="152" t="n">
        <v>0.039999</v>
      </c>
      <c r="Z540" s="152" t="n">
        <v>0.002</v>
      </c>
      <c r="AA540" s="152" t="n">
        <v>0.002</v>
      </c>
      <c r="AB540" s="154" t="n">
        <f aca="false">S540-Z540</f>
        <v>0.0437</v>
      </c>
      <c r="AC540" s="154" t="n">
        <f aca="false">U540-Z540-AA540</f>
        <v>-0.004</v>
      </c>
      <c r="AD540" s="155" t="n">
        <v>0.043</v>
      </c>
      <c r="AE540" s="153" t="n">
        <f aca="false">IF(Y540="","",Y540)</f>
        <v>0.039999</v>
      </c>
      <c r="AF540" s="153" t="n">
        <f aca="false">AD540-AE540</f>
        <v>0.003001</v>
      </c>
      <c r="AG540" s="184" t="n">
        <f aca="false">IF(AF540="","",AE540+AF540)</f>
        <v>0.043</v>
      </c>
      <c r="AH540" s="185" t="n">
        <v>44966</v>
      </c>
      <c r="AI540" s="35" t="n">
        <v>1</v>
      </c>
      <c r="AJ540" s="19" t="str">
        <f aca="false">IF(AG540="","N","Y")</f>
        <v>Y</v>
      </c>
      <c r="AK540" s="361" t="s">
        <v>752</v>
      </c>
      <c r="AL540" s="361"/>
      <c r="AM540" s="361"/>
      <c r="AN540" s="361"/>
      <c r="AO540" s="361"/>
      <c r="AP540" s="361"/>
      <c r="AQ540" s="361"/>
      <c r="AR540" s="361"/>
    </row>
    <row r="541" customFormat="false" ht="20.25" hidden="false" customHeight="true" outlineLevel="0" collapsed="false">
      <c r="A541" s="19" t="n">
        <f aca="false">IF(B541="","",IF((YEAR(B541)-YEAR(B540))=0,A540+1,1))</f>
        <v>15</v>
      </c>
      <c r="B541" s="141" t="n">
        <v>44967</v>
      </c>
      <c r="C541" s="63" t="s">
        <v>96</v>
      </c>
      <c r="D541" s="19"/>
      <c r="E541" s="63" t="s">
        <v>753</v>
      </c>
      <c r="F541" s="63" t="s">
        <v>754</v>
      </c>
      <c r="G541" s="142" t="n">
        <v>44967</v>
      </c>
      <c r="H541" s="142" t="n">
        <v>45056</v>
      </c>
      <c r="I541" s="19" t="n">
        <f aca="false">H541-G541</f>
        <v>89</v>
      </c>
      <c r="J541" s="149" t="n">
        <f aca="false">TRUNC(I541/30,0)</f>
        <v>2</v>
      </c>
      <c r="K541" s="183" t="s">
        <v>95</v>
      </c>
      <c r="L541" s="146" t="n">
        <v>5</v>
      </c>
      <c r="M541" s="147" t="n">
        <v>4.45</v>
      </c>
      <c r="N541" s="148" t="s">
        <v>755</v>
      </c>
      <c r="O541" s="149" t="s">
        <v>265</v>
      </c>
      <c r="P541" s="150" t="n">
        <v>0.0475312</v>
      </c>
      <c r="Q541" s="150" t="n">
        <v>0.0487257</v>
      </c>
      <c r="R541" s="151" t="s">
        <v>265</v>
      </c>
      <c r="S541" s="152" t="n">
        <v>0.0496</v>
      </c>
      <c r="T541" s="151"/>
      <c r="U541" s="152"/>
      <c r="V541" s="152" t="n">
        <v>0.052718</v>
      </c>
      <c r="W541" s="152" t="n">
        <v>0.001054</v>
      </c>
      <c r="X541" s="152" t="n">
        <v>0.005663</v>
      </c>
      <c r="Y541" s="152" t="n">
        <v>0.04368</v>
      </c>
      <c r="Z541" s="152" t="n">
        <v>0.002</v>
      </c>
      <c r="AA541" s="152" t="n">
        <v>0.002</v>
      </c>
      <c r="AB541" s="154" t="n">
        <f aca="false">S541-Z541</f>
        <v>0.0476</v>
      </c>
      <c r="AC541" s="154" t="n">
        <f aca="false">U541-Z541-AA541</f>
        <v>-0.004</v>
      </c>
      <c r="AD541" s="155" t="n">
        <v>0.046</v>
      </c>
      <c r="AE541" s="153" t="n">
        <f aca="false">IF(Y541="","",Y541)</f>
        <v>0.04368</v>
      </c>
      <c r="AF541" s="153" t="n">
        <f aca="false">AD541-AE541</f>
        <v>0.00232</v>
      </c>
      <c r="AG541" s="184" t="n">
        <f aca="false">IF(AF541="","",AE541+AF541)</f>
        <v>0.046</v>
      </c>
      <c r="AH541" s="185" t="n">
        <v>44967</v>
      </c>
      <c r="AI541" s="35" t="n">
        <v>2</v>
      </c>
      <c r="AJ541" s="19" t="str">
        <f aca="false">IF(AG541="","N","Y")</f>
        <v>Y</v>
      </c>
      <c r="AK541" s="361" t="s">
        <v>756</v>
      </c>
      <c r="AL541" s="361"/>
      <c r="AM541" s="361"/>
      <c r="AN541" s="361"/>
      <c r="AO541" s="361"/>
      <c r="AP541" s="361"/>
      <c r="AQ541" s="361"/>
      <c r="AR541" s="361"/>
    </row>
    <row r="542" customFormat="false" ht="21" hidden="false" customHeight="true" outlineLevel="0" collapsed="false">
      <c r="A542" s="19" t="n">
        <f aca="false">IF(B542="","",IF((YEAR(B542)-YEAR(B541))=0,A541+1,1))</f>
        <v>16</v>
      </c>
      <c r="B542" s="141" t="n">
        <v>44973</v>
      </c>
      <c r="C542" s="63" t="s">
        <v>209</v>
      </c>
      <c r="D542" s="63" t="s">
        <v>695</v>
      </c>
      <c r="E542" s="63" t="s">
        <v>735</v>
      </c>
      <c r="F542" s="63" t="s">
        <v>697</v>
      </c>
      <c r="G542" s="142" t="n">
        <v>44973</v>
      </c>
      <c r="H542" s="142" t="n">
        <v>45001</v>
      </c>
      <c r="I542" s="19" t="n">
        <f aca="false">H542-G542</f>
        <v>28</v>
      </c>
      <c r="J542" s="149" t="n">
        <f aca="false">TRUNC(I542/30,0)</f>
        <v>0</v>
      </c>
      <c r="K542" s="183" t="s">
        <v>95</v>
      </c>
      <c r="L542" s="146" t="n">
        <v>1</v>
      </c>
      <c r="M542" s="147" t="n">
        <v>4.12</v>
      </c>
      <c r="N542" s="148" t="s">
        <v>757</v>
      </c>
      <c r="O542" s="149" t="s">
        <v>255</v>
      </c>
      <c r="P542" s="150" t="n">
        <v>0.0456391</v>
      </c>
      <c r="Q542" s="150" t="n">
        <v>0.0460143</v>
      </c>
      <c r="R542" s="151" t="s">
        <v>255</v>
      </c>
      <c r="S542" s="152" t="n">
        <v>0.0465</v>
      </c>
      <c r="T542" s="151"/>
      <c r="U542" s="152"/>
      <c r="V542" s="152" t="n">
        <v>0.049442</v>
      </c>
      <c r="W542" s="152" t="n">
        <v>0.000989</v>
      </c>
      <c r="X542" s="152" t="n">
        <v>0.005454</v>
      </c>
      <c r="Y542" s="152" t="n">
        <v>0.040026</v>
      </c>
      <c r="Z542" s="152" t="n">
        <v>0.002</v>
      </c>
      <c r="AA542" s="152" t="n">
        <v>0.002</v>
      </c>
      <c r="AB542" s="154" t="n">
        <f aca="false">S542-Z542</f>
        <v>0.0445</v>
      </c>
      <c r="AC542" s="154" t="n">
        <f aca="false">U542-Z542-AA542</f>
        <v>-0.004</v>
      </c>
      <c r="AD542" s="155" t="n">
        <v>0.043</v>
      </c>
      <c r="AE542" s="153" t="n">
        <f aca="false">IF(Y542="","",Y542)</f>
        <v>0.040026</v>
      </c>
      <c r="AF542" s="153" t="n">
        <f aca="false">AD542-AE542</f>
        <v>0.002974</v>
      </c>
      <c r="AG542" s="184" t="n">
        <f aca="false">IF(AF542="","",AE542+AF542)</f>
        <v>0.043</v>
      </c>
      <c r="AH542" s="185" t="n">
        <v>44973</v>
      </c>
      <c r="AI542" s="35" t="n">
        <v>1</v>
      </c>
      <c r="AJ542" s="19" t="str">
        <f aca="false">IF(AG542="","N","Y")</f>
        <v>Y</v>
      </c>
      <c r="AK542" s="361" t="s">
        <v>758</v>
      </c>
      <c r="AL542" s="361"/>
      <c r="AM542" s="361"/>
      <c r="AN542" s="361"/>
      <c r="AO542" s="361"/>
      <c r="AP542" s="361"/>
      <c r="AQ542" s="361"/>
      <c r="AR542" s="361"/>
    </row>
    <row r="543" customFormat="false" ht="21.75" hidden="false" customHeight="true" outlineLevel="0" collapsed="false">
      <c r="A543" s="19" t="n">
        <f aca="false">IF(B543="","",IF((YEAR(B543)-YEAR(B542))=0,A542+1,1))</f>
        <v>17</v>
      </c>
      <c r="B543" s="141" t="n">
        <v>44977</v>
      </c>
      <c r="C543" s="63" t="s">
        <v>96</v>
      </c>
      <c r="D543" s="63" t="s">
        <v>661</v>
      </c>
      <c r="E543" s="63" t="s">
        <v>759</v>
      </c>
      <c r="F543" s="63" t="s">
        <v>662</v>
      </c>
      <c r="G543" s="142" t="n">
        <v>44977</v>
      </c>
      <c r="H543" s="142" t="n">
        <v>45007</v>
      </c>
      <c r="I543" s="19" t="n">
        <f aca="false">H543-G543</f>
        <v>30</v>
      </c>
      <c r="J543" s="149" t="n">
        <f aca="false">TRUNC(I543/30,0)</f>
        <v>1</v>
      </c>
      <c r="K543" s="183" t="s">
        <v>95</v>
      </c>
      <c r="L543" s="146" t="n">
        <v>10</v>
      </c>
      <c r="M543" s="147" t="n">
        <v>4.12</v>
      </c>
      <c r="N543" s="148" t="s">
        <v>757</v>
      </c>
      <c r="O543" s="149" t="s">
        <v>255</v>
      </c>
      <c r="P543" s="150" t="n">
        <v>0.045635</v>
      </c>
      <c r="Q543" s="150" t="n">
        <v>0.0459129</v>
      </c>
      <c r="R543" s="151" t="s">
        <v>255</v>
      </c>
      <c r="S543" s="152" t="n">
        <v>0.0469</v>
      </c>
      <c r="T543" s="151"/>
      <c r="U543" s="152"/>
      <c r="V543" s="152" t="n">
        <v>0.049631</v>
      </c>
      <c r="W543" s="152" t="n">
        <v>0.000993</v>
      </c>
      <c r="X543" s="152" t="n">
        <v>0.005138</v>
      </c>
      <c r="Y543" s="152" t="n">
        <v>0.040022</v>
      </c>
      <c r="Z543" s="152" t="n">
        <v>0.002</v>
      </c>
      <c r="AA543" s="152" t="n">
        <v>0.002</v>
      </c>
      <c r="AB543" s="154" t="n">
        <f aca="false">S543-Z543</f>
        <v>0.0449</v>
      </c>
      <c r="AC543" s="154" t="n">
        <f aca="false">U543-Z543-AA543</f>
        <v>-0.004</v>
      </c>
      <c r="AD543" s="155" t="n">
        <v>0.0435</v>
      </c>
      <c r="AE543" s="153" t="n">
        <f aca="false">IF(Y543="","",Y543)</f>
        <v>0.040022</v>
      </c>
      <c r="AF543" s="153" t="n">
        <f aca="false">AD543-AE543</f>
        <v>0.003478</v>
      </c>
      <c r="AG543" s="184" t="n">
        <f aca="false">IF(AF543="","",AE543+AF543)</f>
        <v>0.0435</v>
      </c>
      <c r="AH543" s="185" t="n">
        <v>44977</v>
      </c>
      <c r="AI543" s="35" t="n">
        <v>2</v>
      </c>
      <c r="AJ543" s="19" t="str">
        <f aca="false">IF(AG543="","N","Y")</f>
        <v>Y</v>
      </c>
      <c r="AK543" s="361" t="s">
        <v>760</v>
      </c>
      <c r="AL543" s="361"/>
      <c r="AM543" s="361"/>
      <c r="AN543" s="361"/>
      <c r="AO543" s="361"/>
      <c r="AP543" s="361"/>
      <c r="AQ543" s="361"/>
      <c r="AR543" s="361"/>
    </row>
    <row r="544" customFormat="false" ht="21" hidden="false" customHeight="true" outlineLevel="0" collapsed="false">
      <c r="A544" s="19" t="n">
        <f aca="false">IF(B544="","",IF((YEAR(B544)-YEAR(B543))=0,A543+1,1))</f>
        <v>18</v>
      </c>
      <c r="B544" s="141" t="n">
        <v>44977</v>
      </c>
      <c r="C544" s="63" t="s">
        <v>691</v>
      </c>
      <c r="D544" s="63" t="s">
        <v>761</v>
      </c>
      <c r="E544" s="19"/>
      <c r="F544" s="63" t="s">
        <v>704</v>
      </c>
      <c r="G544" s="142" t="n">
        <v>44977</v>
      </c>
      <c r="H544" s="142" t="n">
        <v>45005</v>
      </c>
      <c r="I544" s="19" t="n">
        <f aca="false">H544-G544</f>
        <v>28</v>
      </c>
      <c r="J544" s="149" t="n">
        <f aca="false">TRUNC(I544/30,0)</f>
        <v>0</v>
      </c>
      <c r="K544" s="183" t="s">
        <v>95</v>
      </c>
      <c r="L544" s="146" t="n">
        <v>1.2</v>
      </c>
      <c r="M544" s="147" t="n">
        <v>4.12</v>
      </c>
      <c r="N544" s="148" t="s">
        <v>757</v>
      </c>
      <c r="O544" s="149" t="s">
        <v>255</v>
      </c>
      <c r="P544" s="150" t="n">
        <v>0.045635</v>
      </c>
      <c r="Q544" s="150" t="n">
        <v>0.0459129</v>
      </c>
      <c r="R544" s="151" t="s">
        <v>255</v>
      </c>
      <c r="S544" s="152" t="n">
        <v>0.0469</v>
      </c>
      <c r="T544" s="151"/>
      <c r="U544" s="152"/>
      <c r="V544" s="152" t="n">
        <v>0.049456</v>
      </c>
      <c r="W544" s="152" t="n">
        <v>0.000989</v>
      </c>
      <c r="X544" s="152" t="n">
        <v>0.004967</v>
      </c>
      <c r="Y544" s="152" t="n">
        <v>0.040022</v>
      </c>
      <c r="Z544" s="152" t="n">
        <v>0.002</v>
      </c>
      <c r="AA544" s="152" t="n">
        <v>0.002</v>
      </c>
      <c r="AB544" s="154" t="n">
        <f aca="false">S544-Z544</f>
        <v>0.0449</v>
      </c>
      <c r="AC544" s="154" t="n">
        <f aca="false">U544-Z544-AA544</f>
        <v>-0.004</v>
      </c>
      <c r="AD544" s="155" t="n">
        <v>0.043</v>
      </c>
      <c r="AE544" s="153" t="n">
        <f aca="false">IF(Y544="","",Y544)</f>
        <v>0.040022</v>
      </c>
      <c r="AF544" s="153" t="n">
        <f aca="false">AD544-AE544</f>
        <v>0.00297799999999999</v>
      </c>
      <c r="AG544" s="184" t="n">
        <f aca="false">IF(AF544="","",AE544+AF544)</f>
        <v>0.043</v>
      </c>
      <c r="AH544" s="185" t="n">
        <v>44977</v>
      </c>
      <c r="AI544" s="35" t="n">
        <v>3</v>
      </c>
      <c r="AJ544" s="19" t="str">
        <f aca="false">IF(AG544="","N","Y")</f>
        <v>Y</v>
      </c>
      <c r="AK544" s="361" t="s">
        <v>762</v>
      </c>
      <c r="AL544" s="361"/>
      <c r="AM544" s="361"/>
      <c r="AN544" s="361"/>
      <c r="AO544" s="361"/>
      <c r="AP544" s="361"/>
      <c r="AQ544" s="361"/>
      <c r="AR544" s="361"/>
    </row>
    <row r="545" customFormat="false" ht="21" hidden="false" customHeight="true" outlineLevel="0" collapsed="false">
      <c r="A545" s="19" t="n">
        <f aca="false">IF(B545="","",IF((YEAR(B545)-YEAR(B544))=0,A544+1,1))</f>
        <v>19</v>
      </c>
      <c r="B545" s="141" t="n">
        <v>44977</v>
      </c>
      <c r="C545" s="63" t="s">
        <v>691</v>
      </c>
      <c r="D545" s="63" t="s">
        <v>761</v>
      </c>
      <c r="E545" s="19"/>
      <c r="F545" s="63" t="s">
        <v>704</v>
      </c>
      <c r="G545" s="142" t="n">
        <v>44977</v>
      </c>
      <c r="H545" s="142" t="n">
        <v>45005</v>
      </c>
      <c r="I545" s="19" t="n">
        <f aca="false">H545-G545</f>
        <v>28</v>
      </c>
      <c r="J545" s="149" t="n">
        <f aca="false">TRUNC(I545/30,0)</f>
        <v>0</v>
      </c>
      <c r="K545" s="183" t="s">
        <v>95</v>
      </c>
      <c r="L545" s="146" t="n">
        <v>1.2</v>
      </c>
      <c r="M545" s="147" t="n">
        <v>4.12</v>
      </c>
      <c r="N545" s="148" t="s">
        <v>757</v>
      </c>
      <c r="O545" s="149" t="s">
        <v>255</v>
      </c>
      <c r="P545" s="150" t="n">
        <v>0.045635</v>
      </c>
      <c r="Q545" s="150" t="n">
        <v>0.0459129</v>
      </c>
      <c r="R545" s="151" t="s">
        <v>255</v>
      </c>
      <c r="S545" s="152" t="n">
        <v>0.0469</v>
      </c>
      <c r="T545" s="151"/>
      <c r="U545" s="152"/>
      <c r="V545" s="152" t="n">
        <v>0.049456</v>
      </c>
      <c r="W545" s="152" t="n">
        <v>0.000989</v>
      </c>
      <c r="X545" s="152" t="n">
        <v>0.004967</v>
      </c>
      <c r="Y545" s="152" t="n">
        <v>0.040022</v>
      </c>
      <c r="Z545" s="152" t="n">
        <v>0.002</v>
      </c>
      <c r="AA545" s="152" t="n">
        <v>0.002</v>
      </c>
      <c r="AB545" s="154" t="n">
        <f aca="false">S545-Z545</f>
        <v>0.0449</v>
      </c>
      <c r="AC545" s="154" t="n">
        <f aca="false">U545-Z545-AA545</f>
        <v>-0.004</v>
      </c>
      <c r="AD545" s="155" t="n">
        <v>0.043</v>
      </c>
      <c r="AE545" s="153" t="n">
        <f aca="false">IF(Y545="","",Y545)</f>
        <v>0.040022</v>
      </c>
      <c r="AF545" s="153" t="n">
        <f aca="false">AD545-AE545</f>
        <v>0.00297799999999999</v>
      </c>
      <c r="AG545" s="184" t="n">
        <f aca="false">IF(AF545="","",AE545+AF545)</f>
        <v>0.043</v>
      </c>
      <c r="AH545" s="185" t="n">
        <v>44977</v>
      </c>
      <c r="AI545" s="35" t="n">
        <v>4</v>
      </c>
      <c r="AJ545" s="19" t="str">
        <f aca="false">IF(AG545="","N","Y")</f>
        <v>Y</v>
      </c>
      <c r="AK545" s="361" t="s">
        <v>762</v>
      </c>
      <c r="AL545" s="361"/>
      <c r="AM545" s="361"/>
      <c r="AN545" s="361"/>
      <c r="AO545" s="361"/>
      <c r="AP545" s="361"/>
      <c r="AQ545" s="361"/>
      <c r="AR545" s="361"/>
    </row>
    <row r="546" s="140" customFormat="true" ht="19.5" hidden="false" customHeight="true" outlineLevel="0" collapsed="false">
      <c r="A546" s="116" t="n">
        <f aca="false">IF(B546="","",IF((YEAR(B546)-YEAR(B545))=0,A545+1,1))</f>
        <v>20</v>
      </c>
      <c r="B546" s="160" t="n">
        <v>44978</v>
      </c>
      <c r="C546" s="161" t="s">
        <v>116</v>
      </c>
      <c r="D546" s="161" t="s">
        <v>763</v>
      </c>
      <c r="E546" s="116"/>
      <c r="F546" s="161" t="s">
        <v>764</v>
      </c>
      <c r="G546" s="162" t="n">
        <v>44978</v>
      </c>
      <c r="H546" s="162" t="n">
        <v>45006</v>
      </c>
      <c r="I546" s="116" t="n">
        <f aca="false">H546-G546</f>
        <v>28</v>
      </c>
      <c r="J546" s="169" t="n">
        <f aca="false">TRUNC(I546/30,0)</f>
        <v>0</v>
      </c>
      <c r="K546" s="181" t="s">
        <v>99</v>
      </c>
      <c r="L546" s="166" t="n">
        <v>0.5</v>
      </c>
      <c r="M546" s="167" t="n">
        <v>3.44898</v>
      </c>
      <c r="N546" s="168" t="s">
        <v>765</v>
      </c>
      <c r="O546" s="169" t="s">
        <v>305</v>
      </c>
      <c r="P546" s="170" t="n">
        <v>0.0455279</v>
      </c>
      <c r="Q546" s="170"/>
      <c r="R546" s="171" t="s">
        <v>305</v>
      </c>
      <c r="S546" s="172" t="n">
        <v>0.0465</v>
      </c>
      <c r="T546" s="171"/>
      <c r="U546" s="172"/>
      <c r="V546" s="172" t="n">
        <v>0.059149</v>
      </c>
      <c r="W546" s="172" t="n">
        <v>0</v>
      </c>
      <c r="X546" s="172" t="n">
        <v>0.023389</v>
      </c>
      <c r="Y546" s="172" t="n">
        <v>0.03404</v>
      </c>
      <c r="Z546" s="172" t="n">
        <v>0.002</v>
      </c>
      <c r="AA546" s="172" t="n">
        <v>0.002</v>
      </c>
      <c r="AB546" s="174" t="n">
        <f aca="false">S546-Z546</f>
        <v>0.0445</v>
      </c>
      <c r="AC546" s="174" t="n">
        <f aca="false">U546-Z546-AA546</f>
        <v>-0.004</v>
      </c>
      <c r="AD546" s="175" t="n">
        <v>0.03404</v>
      </c>
      <c r="AE546" s="173" t="n">
        <f aca="false">IF(Y546="","",Y546)</f>
        <v>0.03404</v>
      </c>
      <c r="AF546" s="173" t="n">
        <f aca="false">AD546-AE546</f>
        <v>0</v>
      </c>
      <c r="AG546" s="186" t="n">
        <f aca="false">IF(AF546="","",AE546+AF546)</f>
        <v>0.03404</v>
      </c>
      <c r="AH546" s="187" t="n">
        <v>44978</v>
      </c>
      <c r="AI546" s="176" t="n">
        <v>1</v>
      </c>
      <c r="AJ546" s="116" t="s">
        <v>494</v>
      </c>
      <c r="AK546" s="383" t="s">
        <v>766</v>
      </c>
      <c r="AL546" s="383"/>
      <c r="AM546" s="383"/>
      <c r="AN546" s="383"/>
      <c r="AO546" s="383"/>
      <c r="AP546" s="383"/>
      <c r="AQ546" s="383"/>
      <c r="AR546" s="383"/>
    </row>
    <row r="547" s="382" customFormat="true" ht="19.5" hidden="false" customHeight="true" outlineLevel="0" collapsed="false">
      <c r="A547" s="364" t="n">
        <f aca="false">IF(B547="","",IF((YEAR(B547)-YEAR(B546))=0,A546+1,1))</f>
        <v>21</v>
      </c>
      <c r="B547" s="363" t="n">
        <v>44978</v>
      </c>
      <c r="C547" s="364" t="s">
        <v>96</v>
      </c>
      <c r="D547" s="364" t="s">
        <v>767</v>
      </c>
      <c r="E547" s="364"/>
      <c r="F547" s="364" t="s">
        <v>768</v>
      </c>
      <c r="G547" s="365" t="n">
        <v>44978</v>
      </c>
      <c r="H547" s="365" t="n">
        <v>45006</v>
      </c>
      <c r="I547" s="364" t="n">
        <f aca="false">H547-G547</f>
        <v>28</v>
      </c>
      <c r="J547" s="366" t="n">
        <f aca="false">TRUNC(I547/30,0)</f>
        <v>0</v>
      </c>
      <c r="K547" s="367" t="s">
        <v>99</v>
      </c>
      <c r="L547" s="368" t="n">
        <v>3</v>
      </c>
      <c r="M547" s="369" t="n">
        <v>3.44898</v>
      </c>
      <c r="N547" s="370" t="s">
        <v>765</v>
      </c>
      <c r="O547" s="366" t="s">
        <v>305</v>
      </c>
      <c r="P547" s="371" t="n">
        <v>0.0455279</v>
      </c>
      <c r="Q547" s="371"/>
      <c r="R547" s="372" t="s">
        <v>305</v>
      </c>
      <c r="S547" s="373" t="n">
        <v>0.0465</v>
      </c>
      <c r="T547" s="372"/>
      <c r="U547" s="373"/>
      <c r="V547" s="373" t="n">
        <v>0.049635</v>
      </c>
      <c r="W547" s="152" t="n">
        <v>0.003474</v>
      </c>
      <c r="X547" s="373" t="n">
        <v>0.009661</v>
      </c>
      <c r="Y547" s="373" t="n">
        <v>0.03404</v>
      </c>
      <c r="Z547" s="373" t="n">
        <v>0.002</v>
      </c>
      <c r="AA547" s="373" t="n">
        <v>0.002</v>
      </c>
      <c r="AB547" s="374" t="n">
        <f aca="false">S547-Z547</f>
        <v>0.0445</v>
      </c>
      <c r="AC547" s="374" t="n">
        <f aca="false">U547-Z547-AA547</f>
        <v>-0.004</v>
      </c>
      <c r="AD547" s="375" t="n">
        <v>0.0365</v>
      </c>
      <c r="AE547" s="376" t="n">
        <f aca="false">IF(Y547="","",Y547)</f>
        <v>0.03404</v>
      </c>
      <c r="AF547" s="376" t="n">
        <f aca="false">AD547-AE547</f>
        <v>0.00246</v>
      </c>
      <c r="AG547" s="377" t="n">
        <f aca="false">IF(AF547="","",AE547+AF547)</f>
        <v>0.0365</v>
      </c>
      <c r="AH547" s="378" t="n">
        <v>44978</v>
      </c>
      <c r="AI547" s="379" t="n">
        <v>2</v>
      </c>
      <c r="AJ547" s="380" t="str">
        <f aca="false">IF(AG547="","N","Y")</f>
        <v>Y</v>
      </c>
      <c r="AK547" s="381" t="s">
        <v>769</v>
      </c>
      <c r="AL547" s="381"/>
      <c r="AM547" s="381"/>
      <c r="AN547" s="381"/>
      <c r="AO547" s="381"/>
      <c r="AP547" s="381"/>
      <c r="AQ547" s="381"/>
      <c r="AR547" s="381"/>
    </row>
    <row r="548" customFormat="false" ht="20.25" hidden="false" customHeight="true" outlineLevel="0" collapsed="false">
      <c r="A548" s="19" t="n">
        <v>22</v>
      </c>
      <c r="B548" s="141" t="n">
        <v>44981</v>
      </c>
      <c r="C548" s="63" t="s">
        <v>770</v>
      </c>
      <c r="D548" s="63" t="s">
        <v>771</v>
      </c>
      <c r="E548" s="63" t="s">
        <v>772</v>
      </c>
      <c r="F548" s="63" t="s">
        <v>773</v>
      </c>
      <c r="G548" s="142" t="n">
        <v>44981</v>
      </c>
      <c r="H548" s="142" t="n">
        <v>45162</v>
      </c>
      <c r="I548" s="19" t="n">
        <f aca="false">H548-G548</f>
        <v>181</v>
      </c>
      <c r="J548" s="149" t="n">
        <f aca="false">TRUNC(I548/30,0)</f>
        <v>6</v>
      </c>
      <c r="K548" s="183" t="s">
        <v>95</v>
      </c>
      <c r="L548" s="146" t="n">
        <v>1</v>
      </c>
      <c r="M548" s="147" t="n">
        <v>4.89</v>
      </c>
      <c r="N548" s="148" t="s">
        <v>774</v>
      </c>
      <c r="O548" s="149" t="s">
        <v>641</v>
      </c>
      <c r="P548" s="150" t="n">
        <v>0.0510905</v>
      </c>
      <c r="Q548" s="150" t="n">
        <v>0.05277</v>
      </c>
      <c r="R548" s="151" t="s">
        <v>641</v>
      </c>
      <c r="S548" s="152" t="n">
        <v>0.0525</v>
      </c>
      <c r="T548" s="151"/>
      <c r="U548" s="152"/>
      <c r="V548" s="152" t="n">
        <v>0.056913</v>
      </c>
      <c r="W548" s="152" t="n">
        <v>0.001138</v>
      </c>
      <c r="X548" s="152" t="n">
        <v>0.005774</v>
      </c>
      <c r="Y548" s="153" t="n">
        <v>0.047668</v>
      </c>
      <c r="Z548" s="152" t="n">
        <v>0.002</v>
      </c>
      <c r="AA548" s="152" t="n">
        <v>0.002</v>
      </c>
      <c r="AB548" s="154" t="n">
        <f aca="false">S548-Z548</f>
        <v>0.0505</v>
      </c>
      <c r="AC548" s="154" t="n">
        <f aca="false">U548-Z548-AA548</f>
        <v>-0.004</v>
      </c>
      <c r="AD548" s="155" t="n">
        <v>0.05</v>
      </c>
      <c r="AE548" s="153" t="n">
        <v>0.047668</v>
      </c>
      <c r="AF548" s="153" t="n">
        <f aca="false">AD548-AE548</f>
        <v>0.002332</v>
      </c>
      <c r="AG548" s="184" t="n">
        <f aca="false">IF(AF548="","",AE548+AF548)</f>
        <v>0.05</v>
      </c>
      <c r="AH548" s="185" t="n">
        <v>44981</v>
      </c>
      <c r="AI548" s="35" t="n">
        <v>2</v>
      </c>
      <c r="AJ548" s="19" t="str">
        <f aca="false">IF(AG548="","N","Y")</f>
        <v>Y</v>
      </c>
      <c r="AK548" s="361" t="s">
        <v>775</v>
      </c>
      <c r="AL548" s="361"/>
      <c r="AM548" s="361"/>
      <c r="AN548" s="361"/>
      <c r="AO548" s="361"/>
      <c r="AP548" s="361"/>
      <c r="AQ548" s="361"/>
      <c r="AR548" s="361"/>
    </row>
    <row r="549" s="382" customFormat="true" ht="19.5" hidden="false" customHeight="true" outlineLevel="0" collapsed="false">
      <c r="A549" s="364" t="n">
        <f aca="false">IF(B549="","",IF((YEAR(B549)-YEAR(B548))=0,A548+1,1))</f>
        <v>23</v>
      </c>
      <c r="B549" s="363" t="n">
        <v>44992</v>
      </c>
      <c r="C549" s="364" t="s">
        <v>89</v>
      </c>
      <c r="D549" s="364" t="s">
        <v>665</v>
      </c>
      <c r="E549" s="364"/>
      <c r="F549" s="364" t="s">
        <v>654</v>
      </c>
      <c r="G549" s="365" t="n">
        <v>44992</v>
      </c>
      <c r="H549" s="365" t="n">
        <v>45022</v>
      </c>
      <c r="I549" s="364" t="n">
        <f aca="false">H549-G549</f>
        <v>30</v>
      </c>
      <c r="J549" s="366" t="n">
        <f aca="false">TRUNC(I549/30,0)</f>
        <v>1</v>
      </c>
      <c r="K549" s="367" t="s">
        <v>99</v>
      </c>
      <c r="L549" s="368" t="n">
        <v>12.4</v>
      </c>
      <c r="M549" s="369" t="n">
        <v>3.46</v>
      </c>
      <c r="N549" s="370" t="s">
        <v>765</v>
      </c>
      <c r="O549" s="366" t="s">
        <v>305</v>
      </c>
      <c r="P549" s="371" t="n">
        <v>0.0458606</v>
      </c>
      <c r="Q549" s="371"/>
      <c r="R549" s="372" t="s">
        <v>305</v>
      </c>
      <c r="S549" s="373" t="n">
        <v>0.0465</v>
      </c>
      <c r="T549" s="372"/>
      <c r="U549" s="373"/>
      <c r="V549" s="373" t="n">
        <v>0.051079</v>
      </c>
      <c r="W549" s="373" t="n">
        <v>0.003576</v>
      </c>
      <c r="X549" s="373" t="n">
        <v>0.011003</v>
      </c>
      <c r="Y549" s="373" t="n">
        <v>0.03435</v>
      </c>
      <c r="Z549" s="373" t="n">
        <v>0.002</v>
      </c>
      <c r="AA549" s="373" t="n">
        <v>0.002</v>
      </c>
      <c r="AB549" s="374" t="n">
        <f aca="false">S549-Z549</f>
        <v>0.0445</v>
      </c>
      <c r="AC549" s="374" t="n">
        <f aca="false">U549-Z549-AA549</f>
        <v>-0.004</v>
      </c>
      <c r="AD549" s="375" t="n">
        <v>0.0365</v>
      </c>
      <c r="AE549" s="376" t="n">
        <f aca="false">IF(Y549="","",Y549)</f>
        <v>0.03435</v>
      </c>
      <c r="AF549" s="376" t="n">
        <f aca="false">AD549-AE549</f>
        <v>0.00215</v>
      </c>
      <c r="AG549" s="377" t="n">
        <f aca="false">IF(AF549="","",AE549+AF549)</f>
        <v>0.0365</v>
      </c>
      <c r="AH549" s="378" t="n">
        <v>44992</v>
      </c>
      <c r="AI549" s="379" t="n">
        <v>1</v>
      </c>
      <c r="AJ549" s="380" t="str">
        <f aca="false">IF(AG549="","N","Y")</f>
        <v>Y</v>
      </c>
      <c r="AK549" s="381" t="s">
        <v>776</v>
      </c>
      <c r="AL549" s="381"/>
      <c r="AM549" s="381"/>
      <c r="AN549" s="381"/>
      <c r="AO549" s="381"/>
      <c r="AP549" s="381"/>
      <c r="AQ549" s="381"/>
      <c r="AR549" s="381"/>
    </row>
    <row r="550" customFormat="false" ht="21" hidden="false" customHeight="true" outlineLevel="0" collapsed="false">
      <c r="A550" s="19" t="n">
        <f aca="false">IF(B550="","",IF((YEAR(B550)-YEAR(B549))=0,A549+1,1))</f>
        <v>24</v>
      </c>
      <c r="B550" s="141" t="n">
        <v>44994</v>
      </c>
      <c r="C550" s="63" t="s">
        <v>209</v>
      </c>
      <c r="D550" s="63" t="s">
        <v>695</v>
      </c>
      <c r="E550" s="63" t="s">
        <v>735</v>
      </c>
      <c r="F550" s="63" t="s">
        <v>697</v>
      </c>
      <c r="G550" s="142" t="n">
        <v>44994</v>
      </c>
      <c r="H550" s="142" t="n">
        <v>45026</v>
      </c>
      <c r="I550" s="19" t="n">
        <f aca="false">H550-G550</f>
        <v>32</v>
      </c>
      <c r="J550" s="149" t="n">
        <f aca="false">TRUNC(I550/30,0)</f>
        <v>1</v>
      </c>
      <c r="K550" s="183" t="s">
        <v>95</v>
      </c>
      <c r="L550" s="146" t="n">
        <v>4</v>
      </c>
      <c r="M550" s="147" t="n">
        <v>4.25</v>
      </c>
      <c r="N550" s="148" t="s">
        <v>777</v>
      </c>
      <c r="O550" s="149" t="s">
        <v>255</v>
      </c>
      <c r="P550" s="150" t="n">
        <v>0.0477646</v>
      </c>
      <c r="Q550" s="150" t="n">
        <v>0.0475971</v>
      </c>
      <c r="R550" s="151" t="s">
        <v>255</v>
      </c>
      <c r="S550" s="152" t="n">
        <v>0.05</v>
      </c>
      <c r="T550" s="151"/>
      <c r="U550" s="152"/>
      <c r="V550" s="152" t="n">
        <v>0.051371</v>
      </c>
      <c r="W550" s="152" t="n">
        <v>0.001027</v>
      </c>
      <c r="X550" s="152" t="n">
        <v>0.005844</v>
      </c>
      <c r="Y550" s="152" t="n">
        <v>0.042109</v>
      </c>
      <c r="Z550" s="152" t="n">
        <v>0.002</v>
      </c>
      <c r="AA550" s="152" t="n">
        <v>0.002</v>
      </c>
      <c r="AB550" s="154" t="n">
        <f aca="false">S550-Z550</f>
        <v>0.048</v>
      </c>
      <c r="AC550" s="154" t="n">
        <f aca="false">U550-Z550-AA550</f>
        <v>-0.004</v>
      </c>
      <c r="AD550" s="155" t="n">
        <v>0.0445</v>
      </c>
      <c r="AE550" s="153" t="n">
        <f aca="false">IF(Y550="","",Y550)</f>
        <v>0.042109</v>
      </c>
      <c r="AF550" s="153" t="n">
        <f aca="false">AD550-AE550</f>
        <v>0.002391</v>
      </c>
      <c r="AG550" s="184" t="n">
        <f aca="false">IF(AF550="","",AE550+AF550)</f>
        <v>0.0445</v>
      </c>
      <c r="AH550" s="185" t="n">
        <v>44994</v>
      </c>
      <c r="AI550" s="35" t="n">
        <v>1</v>
      </c>
      <c r="AJ550" s="19" t="str">
        <f aca="false">IF(AG550="","N","Y")</f>
        <v>Y</v>
      </c>
      <c r="AK550" s="361" t="s">
        <v>778</v>
      </c>
      <c r="AL550" s="361"/>
      <c r="AM550" s="361"/>
      <c r="AN550" s="361"/>
      <c r="AO550" s="361"/>
      <c r="AP550" s="361"/>
      <c r="AQ550" s="361"/>
      <c r="AR550" s="361"/>
    </row>
    <row r="551" customFormat="false" ht="20.25" hidden="false" customHeight="true" outlineLevel="0" collapsed="false">
      <c r="A551" s="19" t="n">
        <f aca="false">IF(B551="","",IF((YEAR(B551)-YEAR(B550))=0,A550+1,1))</f>
        <v>25</v>
      </c>
      <c r="B551" s="141" t="n">
        <v>45000</v>
      </c>
      <c r="C551" s="63" t="s">
        <v>707</v>
      </c>
      <c r="D551" s="19"/>
      <c r="E551" s="63" t="s">
        <v>445</v>
      </c>
      <c r="F551" s="63" t="s">
        <v>779</v>
      </c>
      <c r="G551" s="142" t="n">
        <v>45000</v>
      </c>
      <c r="H551" s="142" t="n">
        <v>45092</v>
      </c>
      <c r="I551" s="19" t="n">
        <f aca="false">H551-G551</f>
        <v>92</v>
      </c>
      <c r="J551" s="149" t="n">
        <f aca="false">TRUNC(I551/30,0)</f>
        <v>3</v>
      </c>
      <c r="K551" s="183" t="s">
        <v>95</v>
      </c>
      <c r="L551" s="146" t="n">
        <v>1</v>
      </c>
      <c r="M551" s="147" t="n">
        <v>4.48</v>
      </c>
      <c r="N551" s="148" t="s">
        <v>780</v>
      </c>
      <c r="O551" s="149" t="s">
        <v>265</v>
      </c>
      <c r="P551" s="150" t="n">
        <v>0.0474285</v>
      </c>
      <c r="Q551" s="150" t="n">
        <v>0.04941</v>
      </c>
      <c r="R551" s="151" t="s">
        <v>265</v>
      </c>
      <c r="S551" s="152" t="n">
        <v>0.0515</v>
      </c>
      <c r="T551" s="151"/>
      <c r="U551" s="152"/>
      <c r="V551" s="152" t="n">
        <v>0.055847</v>
      </c>
      <c r="W551" s="152" t="n">
        <v>0.001117</v>
      </c>
      <c r="X551" s="152" t="n">
        <v>0.00873</v>
      </c>
      <c r="Y551" s="152" t="n">
        <v>0.043579</v>
      </c>
      <c r="Z551" s="152" t="n">
        <v>0.002</v>
      </c>
      <c r="AA551" s="152" t="n">
        <v>0.002</v>
      </c>
      <c r="AB551" s="154" t="n">
        <f aca="false">S551-Z551</f>
        <v>0.0495</v>
      </c>
      <c r="AC551" s="154" t="n">
        <f aca="false">U551-Z551-AA551</f>
        <v>-0.004</v>
      </c>
      <c r="AD551" s="155" t="n">
        <v>0.046</v>
      </c>
      <c r="AE551" s="153" t="n">
        <f aca="false">IF(Y551="","",Y551)</f>
        <v>0.043579</v>
      </c>
      <c r="AF551" s="153" t="n">
        <f aca="false">AD551-AE551</f>
        <v>0.002421</v>
      </c>
      <c r="AG551" s="184" t="n">
        <f aca="false">IF(AF551="","",AE551+AF551)</f>
        <v>0.046</v>
      </c>
      <c r="AH551" s="185" t="n">
        <v>45000</v>
      </c>
      <c r="AI551" s="35" t="n">
        <v>1</v>
      </c>
      <c r="AJ551" s="19" t="str">
        <f aca="false">IF(AG551="","N","Y")</f>
        <v>Y</v>
      </c>
      <c r="AK551" s="361" t="s">
        <v>781</v>
      </c>
      <c r="AL551" s="361"/>
      <c r="AM551" s="361"/>
      <c r="AN551" s="361"/>
      <c r="AO551" s="361"/>
      <c r="AP551" s="361"/>
      <c r="AQ551" s="361"/>
      <c r="AR551" s="361"/>
    </row>
    <row r="552" customFormat="false" ht="20.25" hidden="false" customHeight="true" outlineLevel="0" collapsed="false">
      <c r="A552" s="19" t="n">
        <f aca="false">IF(B552="","",IF((YEAR(B552)-YEAR(B551))=0,A551+1,1))</f>
        <v>26</v>
      </c>
      <c r="B552" s="141" t="n">
        <v>45000</v>
      </c>
      <c r="C552" s="63" t="s">
        <v>707</v>
      </c>
      <c r="D552" s="19"/>
      <c r="E552" s="63" t="s">
        <v>445</v>
      </c>
      <c r="F552" s="63" t="s">
        <v>779</v>
      </c>
      <c r="G552" s="142" t="n">
        <v>45000</v>
      </c>
      <c r="H552" s="142" t="n">
        <v>45092</v>
      </c>
      <c r="I552" s="19" t="n">
        <f aca="false">H552-G552</f>
        <v>92</v>
      </c>
      <c r="J552" s="149" t="n">
        <f aca="false">TRUNC(I552/30,0)</f>
        <v>3</v>
      </c>
      <c r="K552" s="183" t="s">
        <v>95</v>
      </c>
      <c r="L552" s="146" t="n">
        <v>1</v>
      </c>
      <c r="M552" s="147" t="n">
        <v>4.48</v>
      </c>
      <c r="N552" s="148" t="s">
        <v>780</v>
      </c>
      <c r="O552" s="149" t="s">
        <v>265</v>
      </c>
      <c r="P552" s="150" t="n">
        <v>0.0474285</v>
      </c>
      <c r="Q552" s="150" t="n">
        <v>0.04941</v>
      </c>
      <c r="R552" s="151" t="s">
        <v>265</v>
      </c>
      <c r="S552" s="152" t="n">
        <v>0.0515</v>
      </c>
      <c r="T552" s="151"/>
      <c r="U552" s="152"/>
      <c r="V552" s="152" t="n">
        <v>0.055847</v>
      </c>
      <c r="W552" s="152" t="n">
        <v>0.001117</v>
      </c>
      <c r="X552" s="152" t="n">
        <v>0.00873</v>
      </c>
      <c r="Y552" s="152" t="n">
        <v>0.043579</v>
      </c>
      <c r="Z552" s="152" t="n">
        <v>0.002</v>
      </c>
      <c r="AA552" s="152" t="n">
        <v>0.002</v>
      </c>
      <c r="AB552" s="154" t="n">
        <f aca="false">S552-Z552</f>
        <v>0.0495</v>
      </c>
      <c r="AC552" s="154" t="n">
        <f aca="false">U552-Z552-AA552</f>
        <v>-0.004</v>
      </c>
      <c r="AD552" s="155" t="n">
        <v>0.046</v>
      </c>
      <c r="AE552" s="153" t="n">
        <f aca="false">IF(Y552="","",Y552)</f>
        <v>0.043579</v>
      </c>
      <c r="AF552" s="153" t="n">
        <f aca="false">AD552-AE552</f>
        <v>0.002421</v>
      </c>
      <c r="AG552" s="184" t="n">
        <f aca="false">IF(AF552="","",AE552+AF552)</f>
        <v>0.046</v>
      </c>
      <c r="AH552" s="185" t="n">
        <v>45000</v>
      </c>
      <c r="AI552" s="35" t="n">
        <v>2</v>
      </c>
      <c r="AJ552" s="19" t="str">
        <f aca="false">IF(AG552="","N","Y")</f>
        <v>Y</v>
      </c>
      <c r="AK552" s="361" t="s">
        <v>781</v>
      </c>
      <c r="AL552" s="361"/>
      <c r="AM552" s="361"/>
      <c r="AN552" s="361"/>
      <c r="AO552" s="361"/>
      <c r="AP552" s="361"/>
      <c r="AQ552" s="361"/>
      <c r="AR552" s="361"/>
    </row>
    <row r="553" s="38" customFormat="true" ht="23.25" hidden="false" customHeight="true" outlineLevel="0" collapsed="false">
      <c r="A553" s="19" t="n">
        <f aca="false">IF(B553="","",IF((YEAR(B553)-YEAR(B552))=0,A552+1,1))</f>
        <v>27</v>
      </c>
      <c r="B553" s="141" t="n">
        <v>45000</v>
      </c>
      <c r="C553" s="63" t="s">
        <v>707</v>
      </c>
      <c r="D553" s="19"/>
      <c r="E553" s="63" t="s">
        <v>445</v>
      </c>
      <c r="F553" s="63" t="s">
        <v>779</v>
      </c>
      <c r="G553" s="142" t="n">
        <v>45000</v>
      </c>
      <c r="H553" s="142" t="n">
        <v>45092</v>
      </c>
      <c r="I553" s="19" t="n">
        <f aca="false">H553-G553</f>
        <v>92</v>
      </c>
      <c r="J553" s="149" t="n">
        <f aca="false">TRUNC(I553/30,0)</f>
        <v>3</v>
      </c>
      <c r="K553" s="183" t="s">
        <v>95</v>
      </c>
      <c r="L553" s="146" t="n">
        <v>1</v>
      </c>
      <c r="M553" s="147" t="n">
        <v>4.48</v>
      </c>
      <c r="N553" s="148" t="s">
        <v>780</v>
      </c>
      <c r="O553" s="149" t="s">
        <v>265</v>
      </c>
      <c r="P553" s="150" t="n">
        <v>0.0474285</v>
      </c>
      <c r="Q553" s="150" t="n">
        <v>0.04941</v>
      </c>
      <c r="R553" s="151" t="s">
        <v>265</v>
      </c>
      <c r="S553" s="152" t="n">
        <v>0.0515</v>
      </c>
      <c r="T553" s="151"/>
      <c r="U553" s="152"/>
      <c r="V553" s="152" t="n">
        <v>0.055847</v>
      </c>
      <c r="W553" s="152" t="n">
        <v>0.001117</v>
      </c>
      <c r="X553" s="152" t="n">
        <v>0.00873</v>
      </c>
      <c r="Y553" s="152" t="n">
        <v>0.043579</v>
      </c>
      <c r="Z553" s="152" t="n">
        <v>0.002</v>
      </c>
      <c r="AA553" s="152" t="n">
        <v>0.002</v>
      </c>
      <c r="AB553" s="154" t="n">
        <f aca="false">S553-Z553</f>
        <v>0.0495</v>
      </c>
      <c r="AC553" s="154" t="n">
        <f aca="false">U553-Z553-AA553</f>
        <v>-0.004</v>
      </c>
      <c r="AD553" s="155" t="n">
        <v>0.046</v>
      </c>
      <c r="AE553" s="153" t="n">
        <f aca="false">IF(Y553="","",Y553)</f>
        <v>0.043579</v>
      </c>
      <c r="AF553" s="153" t="n">
        <f aca="false">AD553-AE553</f>
        <v>0.002421</v>
      </c>
      <c r="AG553" s="184" t="n">
        <f aca="false">IF(AF553="","",AE553+AF553)</f>
        <v>0.046</v>
      </c>
      <c r="AH553" s="185" t="n">
        <v>45000</v>
      </c>
      <c r="AI553" s="35" t="n">
        <v>3</v>
      </c>
      <c r="AJ553" s="19" t="str">
        <f aca="false">IF(AG553="","N","Y")</f>
        <v>Y</v>
      </c>
      <c r="AK553" s="361" t="s">
        <v>781</v>
      </c>
      <c r="AL553" s="361"/>
      <c r="AM553" s="361"/>
      <c r="AN553" s="361"/>
      <c r="AO553" s="361"/>
      <c r="AP553" s="361"/>
      <c r="AQ553" s="361"/>
      <c r="AR553" s="361"/>
    </row>
    <row r="554" s="38" customFormat="true" ht="23.25" hidden="false" customHeight="true" outlineLevel="0" collapsed="false">
      <c r="A554" s="19" t="n">
        <f aca="false">IF(B554="","",IF((YEAR(B554)-YEAR(B553))=0,A553+1,1))</f>
        <v>28</v>
      </c>
      <c r="B554" s="141" t="n">
        <v>45000</v>
      </c>
      <c r="C554" s="63" t="s">
        <v>707</v>
      </c>
      <c r="D554" s="19"/>
      <c r="E554" s="63" t="s">
        <v>445</v>
      </c>
      <c r="F554" s="63" t="s">
        <v>779</v>
      </c>
      <c r="G554" s="142" t="n">
        <v>45000</v>
      </c>
      <c r="H554" s="142" t="n">
        <v>45092</v>
      </c>
      <c r="I554" s="19" t="n">
        <f aca="false">H554-G554</f>
        <v>92</v>
      </c>
      <c r="J554" s="149" t="n">
        <f aca="false">TRUNC(I554/30,0)</f>
        <v>3</v>
      </c>
      <c r="K554" s="183" t="s">
        <v>95</v>
      </c>
      <c r="L554" s="146" t="n">
        <v>1</v>
      </c>
      <c r="M554" s="147" t="n">
        <v>4.48</v>
      </c>
      <c r="N554" s="148" t="s">
        <v>780</v>
      </c>
      <c r="O554" s="149" t="s">
        <v>265</v>
      </c>
      <c r="P554" s="150" t="n">
        <v>0.0474285</v>
      </c>
      <c r="Q554" s="150" t="n">
        <v>0.04941</v>
      </c>
      <c r="R554" s="151" t="s">
        <v>265</v>
      </c>
      <c r="S554" s="152" t="n">
        <v>0.0515</v>
      </c>
      <c r="T554" s="151"/>
      <c r="U554" s="152"/>
      <c r="V554" s="152" t="n">
        <v>0.055847</v>
      </c>
      <c r="W554" s="152" t="n">
        <v>0.001117</v>
      </c>
      <c r="X554" s="152" t="n">
        <v>0.00873</v>
      </c>
      <c r="Y554" s="152" t="n">
        <v>0.043579</v>
      </c>
      <c r="Z554" s="152" t="n">
        <v>0.002</v>
      </c>
      <c r="AA554" s="152" t="n">
        <v>0.002</v>
      </c>
      <c r="AB554" s="154" t="n">
        <f aca="false">S554-Z554</f>
        <v>0.0495</v>
      </c>
      <c r="AC554" s="154" t="n">
        <f aca="false">U554-Z554-AA554</f>
        <v>-0.004</v>
      </c>
      <c r="AD554" s="155" t="n">
        <v>0.046</v>
      </c>
      <c r="AE554" s="153" t="n">
        <f aca="false">IF(Y554="","",Y554)</f>
        <v>0.043579</v>
      </c>
      <c r="AF554" s="153" t="n">
        <f aca="false">AD554-AE554</f>
        <v>0.002421</v>
      </c>
      <c r="AG554" s="184" t="n">
        <f aca="false">IF(AF554="","",AE554+AF554)</f>
        <v>0.046</v>
      </c>
      <c r="AH554" s="185" t="n">
        <v>45000</v>
      </c>
      <c r="AI554" s="35" t="n">
        <v>4</v>
      </c>
      <c r="AJ554" s="19" t="str">
        <f aca="false">IF(AG554="","N","Y")</f>
        <v>Y</v>
      </c>
      <c r="AK554" s="361" t="s">
        <v>781</v>
      </c>
      <c r="AL554" s="361"/>
      <c r="AM554" s="361"/>
      <c r="AN554" s="361"/>
      <c r="AO554" s="361"/>
      <c r="AP554" s="361"/>
      <c r="AQ554" s="361"/>
      <c r="AR554" s="361"/>
    </row>
    <row r="555" customFormat="false" ht="20.25" hidden="false" customHeight="true" outlineLevel="0" collapsed="false">
      <c r="A555" s="19" t="n">
        <f aca="false">IF(B555="","",IF((YEAR(B555)-YEAR(B554))=0,A554+1,1))</f>
        <v>29</v>
      </c>
      <c r="B555" s="141" t="n">
        <v>45000</v>
      </c>
      <c r="C555" s="63" t="s">
        <v>707</v>
      </c>
      <c r="D555" s="19"/>
      <c r="E555" s="63" t="s">
        <v>445</v>
      </c>
      <c r="F555" s="63" t="s">
        <v>779</v>
      </c>
      <c r="G555" s="142" t="n">
        <v>45000</v>
      </c>
      <c r="H555" s="142" t="n">
        <v>45092</v>
      </c>
      <c r="I555" s="19" t="n">
        <f aca="false">H555-G555</f>
        <v>92</v>
      </c>
      <c r="J555" s="149" t="n">
        <f aca="false">TRUNC(I555/30,0)</f>
        <v>3</v>
      </c>
      <c r="K555" s="183" t="s">
        <v>95</v>
      </c>
      <c r="L555" s="146" t="n">
        <v>1</v>
      </c>
      <c r="M555" s="147" t="n">
        <v>4.48</v>
      </c>
      <c r="N555" s="148" t="s">
        <v>780</v>
      </c>
      <c r="O555" s="149" t="s">
        <v>265</v>
      </c>
      <c r="P555" s="150" t="n">
        <v>0.0474285</v>
      </c>
      <c r="Q555" s="150" t="n">
        <v>0.04941</v>
      </c>
      <c r="R555" s="151" t="s">
        <v>265</v>
      </c>
      <c r="S555" s="152" t="n">
        <v>0.0515</v>
      </c>
      <c r="T555" s="151"/>
      <c r="U555" s="152"/>
      <c r="V555" s="152" t="n">
        <v>0.055847</v>
      </c>
      <c r="W555" s="152" t="n">
        <v>0.001117</v>
      </c>
      <c r="X555" s="152" t="n">
        <v>0.00873</v>
      </c>
      <c r="Y555" s="152" t="n">
        <v>0.043579</v>
      </c>
      <c r="Z555" s="152" t="n">
        <v>0.002</v>
      </c>
      <c r="AA555" s="152" t="n">
        <v>0.002</v>
      </c>
      <c r="AB555" s="154" t="n">
        <f aca="false">S555-Z555</f>
        <v>0.0495</v>
      </c>
      <c r="AC555" s="154" t="n">
        <f aca="false">U555-Z555-AA555</f>
        <v>-0.004</v>
      </c>
      <c r="AD555" s="155" t="n">
        <v>0.046</v>
      </c>
      <c r="AE555" s="153" t="n">
        <f aca="false">IF(Y555="","",Y555)</f>
        <v>0.043579</v>
      </c>
      <c r="AF555" s="153" t="n">
        <f aca="false">AD555-AE555</f>
        <v>0.002421</v>
      </c>
      <c r="AG555" s="184" t="n">
        <f aca="false">IF(AF555="","",AE555+AF555)</f>
        <v>0.046</v>
      </c>
      <c r="AH555" s="185" t="n">
        <v>45000</v>
      </c>
      <c r="AI555" s="35" t="n">
        <v>5</v>
      </c>
      <c r="AJ555" s="19" t="str">
        <f aca="false">IF(AG555="","N","Y")</f>
        <v>Y</v>
      </c>
      <c r="AK555" s="361" t="s">
        <v>781</v>
      </c>
      <c r="AL555" s="361"/>
      <c r="AM555" s="361"/>
      <c r="AN555" s="361"/>
      <c r="AO555" s="361"/>
      <c r="AP555" s="361"/>
      <c r="AQ555" s="361"/>
      <c r="AR555" s="361"/>
    </row>
    <row r="556" customFormat="false" ht="20.25" hidden="false" customHeight="true" outlineLevel="0" collapsed="false">
      <c r="A556" s="19" t="n">
        <f aca="false">IF(B556="","",IF((YEAR(B556)-YEAR(B555))=0,A555+1,1))</f>
        <v>30</v>
      </c>
      <c r="B556" s="141" t="n">
        <v>45000</v>
      </c>
      <c r="C556" s="63" t="s">
        <v>707</v>
      </c>
      <c r="D556" s="19"/>
      <c r="E556" s="63" t="s">
        <v>445</v>
      </c>
      <c r="F556" s="63" t="s">
        <v>779</v>
      </c>
      <c r="G556" s="142" t="n">
        <v>45000</v>
      </c>
      <c r="H556" s="142" t="n">
        <v>45092</v>
      </c>
      <c r="I556" s="19" t="n">
        <f aca="false">H556-G556</f>
        <v>92</v>
      </c>
      <c r="J556" s="149" t="n">
        <f aca="false">TRUNC(I556/30,0)</f>
        <v>3</v>
      </c>
      <c r="K556" s="183" t="s">
        <v>95</v>
      </c>
      <c r="L556" s="146" t="n">
        <v>1</v>
      </c>
      <c r="M556" s="147" t="n">
        <v>4.48</v>
      </c>
      <c r="N556" s="148" t="s">
        <v>780</v>
      </c>
      <c r="O556" s="149" t="s">
        <v>265</v>
      </c>
      <c r="P556" s="150" t="n">
        <v>0.0474285</v>
      </c>
      <c r="Q556" s="150" t="n">
        <v>0.04941</v>
      </c>
      <c r="R556" s="151" t="s">
        <v>265</v>
      </c>
      <c r="S556" s="152" t="n">
        <v>0.0515</v>
      </c>
      <c r="T556" s="151"/>
      <c r="U556" s="152"/>
      <c r="V556" s="152" t="n">
        <v>0.055847</v>
      </c>
      <c r="W556" s="152" t="n">
        <v>0.001117</v>
      </c>
      <c r="X556" s="152" t="n">
        <v>0.00873</v>
      </c>
      <c r="Y556" s="152" t="n">
        <v>0.043579</v>
      </c>
      <c r="Z556" s="152" t="n">
        <v>0.002</v>
      </c>
      <c r="AA556" s="152" t="n">
        <v>0.002</v>
      </c>
      <c r="AB556" s="154" t="n">
        <f aca="false">S556-Z556</f>
        <v>0.0495</v>
      </c>
      <c r="AC556" s="154" t="n">
        <f aca="false">U556-Z556-AA556</f>
        <v>-0.004</v>
      </c>
      <c r="AD556" s="155" t="n">
        <v>0.046</v>
      </c>
      <c r="AE556" s="153" t="n">
        <f aca="false">IF(Y556="","",Y556)</f>
        <v>0.043579</v>
      </c>
      <c r="AF556" s="153" t="n">
        <f aca="false">AD556-AE556</f>
        <v>0.002421</v>
      </c>
      <c r="AG556" s="184" t="n">
        <f aca="false">IF(AF556="","",AE556+AF556)</f>
        <v>0.046</v>
      </c>
      <c r="AH556" s="185" t="n">
        <v>45000</v>
      </c>
      <c r="AI556" s="35" t="n">
        <v>6</v>
      </c>
      <c r="AJ556" s="19" t="str">
        <f aca="false">IF(AG556="","N","Y")</f>
        <v>Y</v>
      </c>
      <c r="AK556" s="361" t="s">
        <v>781</v>
      </c>
      <c r="AL556" s="361"/>
      <c r="AM556" s="361"/>
      <c r="AN556" s="361"/>
      <c r="AO556" s="361"/>
      <c r="AP556" s="361"/>
      <c r="AQ556" s="361"/>
      <c r="AR556" s="361"/>
    </row>
    <row r="557" customFormat="false" ht="20.25" hidden="false" customHeight="true" outlineLevel="0" collapsed="false">
      <c r="A557" s="19" t="n">
        <f aca="false">IF(B557="","",IF((YEAR(B557)-YEAR(B556))=0,A556+1,1))</f>
        <v>31</v>
      </c>
      <c r="B557" s="141" t="n">
        <v>45000</v>
      </c>
      <c r="C557" s="63" t="s">
        <v>616</v>
      </c>
      <c r="D557" s="19"/>
      <c r="E557" s="63" t="s">
        <v>782</v>
      </c>
      <c r="F557" s="63" t="s">
        <v>631</v>
      </c>
      <c r="G557" s="142" t="n">
        <v>45000</v>
      </c>
      <c r="H557" s="250" t="n">
        <v>45033</v>
      </c>
      <c r="I557" s="19" t="n">
        <f aca="false">H557-G557</f>
        <v>33</v>
      </c>
      <c r="J557" s="149" t="n">
        <f aca="false">TRUNC(I557/30,0)</f>
        <v>1</v>
      </c>
      <c r="K557" s="183" t="s">
        <v>95</v>
      </c>
      <c r="L557" s="146" t="n">
        <v>2.8</v>
      </c>
      <c r="M557" s="147" t="n">
        <v>4.19</v>
      </c>
      <c r="N557" s="148" t="s">
        <v>783</v>
      </c>
      <c r="O557" s="149" t="s">
        <v>255</v>
      </c>
      <c r="P557" s="150" t="n">
        <v>0.0465951</v>
      </c>
      <c r="Q557" s="150" t="n">
        <v>0.0472771</v>
      </c>
      <c r="R557" s="151" t="s">
        <v>255</v>
      </c>
      <c r="S557" s="152" t="n">
        <v>0.0505</v>
      </c>
      <c r="T557" s="151"/>
      <c r="U557" s="152"/>
      <c r="V557" s="152" t="n">
        <v>0.052305</v>
      </c>
      <c r="W557" s="152" t="n">
        <v>0.001046</v>
      </c>
      <c r="X557" s="152" t="n">
        <v>0.007259</v>
      </c>
      <c r="Y557" s="152" t="n">
        <v>0.040963</v>
      </c>
      <c r="Z557" s="152" t="n">
        <v>0.002</v>
      </c>
      <c r="AA557" s="152" t="n">
        <v>0.002</v>
      </c>
      <c r="AB557" s="154" t="n">
        <f aca="false">S557-Z557</f>
        <v>0.0485</v>
      </c>
      <c r="AC557" s="154" t="n">
        <f aca="false">U557-Z557-AA557</f>
        <v>-0.004</v>
      </c>
      <c r="AD557" s="155" t="n">
        <v>0.044</v>
      </c>
      <c r="AE557" s="153" t="n">
        <f aca="false">IF(Y557="","",Y557)</f>
        <v>0.040963</v>
      </c>
      <c r="AF557" s="153" t="n">
        <f aca="false">AD557-AE557</f>
        <v>0.003037</v>
      </c>
      <c r="AG557" s="184" t="n">
        <f aca="false">IF(AF557="","",AE557+AF557)</f>
        <v>0.044</v>
      </c>
      <c r="AH557" s="185" t="n">
        <v>45000</v>
      </c>
      <c r="AI557" s="35" t="n">
        <v>7</v>
      </c>
      <c r="AJ557" s="19" t="str">
        <f aca="false">IF(AG557="","N","Y")</f>
        <v>Y</v>
      </c>
      <c r="AK557" s="361" t="s">
        <v>784</v>
      </c>
      <c r="AL557" s="361"/>
      <c r="AM557" s="361"/>
      <c r="AN557" s="361"/>
      <c r="AO557" s="361"/>
      <c r="AP557" s="361"/>
      <c r="AQ557" s="361"/>
      <c r="AR557" s="361"/>
    </row>
    <row r="558" customFormat="false" ht="21.75" hidden="false" customHeight="true" outlineLevel="0" collapsed="false">
      <c r="A558" s="19" t="n">
        <f aca="false">IF(B558="","",IF((YEAR(B558)-YEAR(B557))=0,A557+1,1))</f>
        <v>32</v>
      </c>
      <c r="B558" s="141" t="n">
        <v>45001</v>
      </c>
      <c r="C558" s="63" t="s">
        <v>96</v>
      </c>
      <c r="D558" s="63" t="s">
        <v>661</v>
      </c>
      <c r="E558" s="63" t="s">
        <v>759</v>
      </c>
      <c r="F558" s="63" t="s">
        <v>662</v>
      </c>
      <c r="G558" s="142" t="n">
        <v>45001</v>
      </c>
      <c r="H558" s="250" t="n">
        <v>45033</v>
      </c>
      <c r="I558" s="19" t="n">
        <f aca="false">H558-G558</f>
        <v>32</v>
      </c>
      <c r="J558" s="149" t="n">
        <f aca="false">TRUNC(I558/30,0)</f>
        <v>1</v>
      </c>
      <c r="K558" s="183" t="s">
        <v>95</v>
      </c>
      <c r="L558" s="146" t="n">
        <v>10</v>
      </c>
      <c r="M558" s="147" t="n">
        <v>4.25</v>
      </c>
      <c r="N558" s="148" t="s">
        <v>785</v>
      </c>
      <c r="O558" s="149" t="s">
        <v>255</v>
      </c>
      <c r="P558" s="150" t="n">
        <v>0.0474343</v>
      </c>
      <c r="Q558" s="150" t="n">
        <v>0.0470857</v>
      </c>
      <c r="R558" s="151" t="s">
        <v>255</v>
      </c>
      <c r="S558" s="152" t="n">
        <v>0.0507</v>
      </c>
      <c r="T558" s="151"/>
      <c r="U558" s="152"/>
      <c r="V558" s="152" t="n">
        <v>0.050656</v>
      </c>
      <c r="W558" s="152" t="n">
        <v>0.001013</v>
      </c>
      <c r="X558" s="152" t="n">
        <v>0.005143</v>
      </c>
      <c r="Y558" s="152" t="n">
        <v>0.041785</v>
      </c>
      <c r="Z558" s="152" t="n">
        <v>0.002</v>
      </c>
      <c r="AA558" s="152" t="n">
        <v>0.002</v>
      </c>
      <c r="AB558" s="154" t="n">
        <f aca="false">S558-Z558</f>
        <v>0.0487</v>
      </c>
      <c r="AC558" s="154" t="n">
        <f aca="false">U558-Z558-AA558</f>
        <v>-0.004</v>
      </c>
      <c r="AD558" s="155" t="n">
        <v>0.0445</v>
      </c>
      <c r="AE558" s="153" t="n">
        <f aca="false">IF(Y558="","",Y558)</f>
        <v>0.041785</v>
      </c>
      <c r="AF558" s="153" t="n">
        <f aca="false">AD558-AE558</f>
        <v>0.002715</v>
      </c>
      <c r="AG558" s="184" t="n">
        <f aca="false">IF(AF558="","",AE558+AF558)</f>
        <v>0.0445</v>
      </c>
      <c r="AH558" s="185" t="n">
        <v>45001</v>
      </c>
      <c r="AI558" s="35" t="n">
        <v>2</v>
      </c>
      <c r="AJ558" s="19" t="str">
        <f aca="false">IF(AG558="","N","Y")</f>
        <v>Y</v>
      </c>
      <c r="AK558" s="361" t="s">
        <v>786</v>
      </c>
      <c r="AL558" s="361"/>
      <c r="AM558" s="361"/>
      <c r="AN558" s="361"/>
      <c r="AO558" s="361"/>
      <c r="AP558" s="361"/>
      <c r="AQ558" s="361"/>
      <c r="AR558" s="361"/>
    </row>
    <row r="559" customFormat="false" ht="21" hidden="false" customHeight="true" outlineLevel="0" collapsed="false">
      <c r="A559" s="19" t="n">
        <f aca="false">IF(B559="","",IF((YEAR(B559)-YEAR(B558))=0,A558+1,1))</f>
        <v>33</v>
      </c>
      <c r="B559" s="141" t="n">
        <v>45001</v>
      </c>
      <c r="C559" s="63" t="s">
        <v>209</v>
      </c>
      <c r="D559" s="63" t="s">
        <v>695</v>
      </c>
      <c r="E559" s="63" t="s">
        <v>735</v>
      </c>
      <c r="F559" s="63" t="s">
        <v>697</v>
      </c>
      <c r="G559" s="142" t="n">
        <v>45001</v>
      </c>
      <c r="H559" s="250" t="n">
        <v>45033</v>
      </c>
      <c r="I559" s="19" t="n">
        <f aca="false">H559-G559</f>
        <v>32</v>
      </c>
      <c r="J559" s="149" t="n">
        <f aca="false">TRUNC(I559/30,0)</f>
        <v>1</v>
      </c>
      <c r="K559" s="183" t="s">
        <v>95</v>
      </c>
      <c r="L559" s="146" t="n">
        <v>1</v>
      </c>
      <c r="M559" s="147" t="n">
        <v>4.25</v>
      </c>
      <c r="N559" s="148" t="s">
        <v>785</v>
      </c>
      <c r="O559" s="149" t="s">
        <v>255</v>
      </c>
      <c r="P559" s="150" t="n">
        <v>0.0474343</v>
      </c>
      <c r="Q559" s="150" t="n">
        <v>0.0470857</v>
      </c>
      <c r="R559" s="151" t="s">
        <v>255</v>
      </c>
      <c r="S559" s="152" t="n">
        <v>0.0507</v>
      </c>
      <c r="T559" s="151"/>
      <c r="U559" s="152"/>
      <c r="V559" s="152" t="n">
        <v>0.050656</v>
      </c>
      <c r="W559" s="152" t="n">
        <v>0.001013</v>
      </c>
      <c r="X559" s="152" t="n">
        <v>0.005143</v>
      </c>
      <c r="Y559" s="152" t="n">
        <v>0.041785</v>
      </c>
      <c r="Z559" s="152" t="n">
        <v>0.002</v>
      </c>
      <c r="AA559" s="152" t="n">
        <v>0.002</v>
      </c>
      <c r="AB559" s="154" t="n">
        <f aca="false">S559-Z559</f>
        <v>0.0487</v>
      </c>
      <c r="AC559" s="154" t="n">
        <f aca="false">U559-Z559-AA559</f>
        <v>-0.004</v>
      </c>
      <c r="AD559" s="155" t="n">
        <v>0.0445</v>
      </c>
      <c r="AE559" s="153" t="n">
        <f aca="false">IF(Y559="","",Y559)</f>
        <v>0.041785</v>
      </c>
      <c r="AF559" s="153" t="n">
        <f aca="false">AD559-AE559</f>
        <v>0.002715</v>
      </c>
      <c r="AG559" s="184" t="n">
        <f aca="false">IF(AF559="","",AE559+AF559)</f>
        <v>0.0445</v>
      </c>
      <c r="AH559" s="185" t="n">
        <v>45001</v>
      </c>
      <c r="AI559" s="35" t="n">
        <v>1</v>
      </c>
      <c r="AJ559" s="19" t="str">
        <f aca="false">IF(AG559="","N","Y")</f>
        <v>Y</v>
      </c>
      <c r="AK559" s="361" t="s">
        <v>786</v>
      </c>
      <c r="AL559" s="361"/>
      <c r="AM559" s="361"/>
      <c r="AN559" s="361"/>
      <c r="AO559" s="361"/>
      <c r="AP559" s="361"/>
      <c r="AQ559" s="361"/>
      <c r="AR559" s="361"/>
    </row>
    <row r="560" customFormat="false" ht="21" hidden="false" customHeight="true" outlineLevel="0" collapsed="false">
      <c r="A560" s="19" t="n">
        <f aca="false">IF(B560="","",IF((YEAR(B560)-YEAR(B559))=0,A559+1,1))</f>
        <v>34</v>
      </c>
      <c r="B560" s="141" t="n">
        <v>45005</v>
      </c>
      <c r="C560" s="63" t="s">
        <v>691</v>
      </c>
      <c r="D560" s="63" t="s">
        <v>761</v>
      </c>
      <c r="E560" s="19"/>
      <c r="F560" s="63" t="s">
        <v>704</v>
      </c>
      <c r="G560" s="142" t="n">
        <v>45005</v>
      </c>
      <c r="H560" s="142" t="n">
        <v>45036</v>
      </c>
      <c r="I560" s="19" t="n">
        <f aca="false">H560-G560</f>
        <v>31</v>
      </c>
      <c r="J560" s="149" t="n">
        <f aca="false">TRUNC(I560/30,0)</f>
        <v>1</v>
      </c>
      <c r="K560" s="183" t="s">
        <v>95</v>
      </c>
      <c r="L560" s="146" t="n">
        <v>1.2</v>
      </c>
      <c r="M560" s="147" t="n">
        <v>4.29</v>
      </c>
      <c r="N560" s="148" t="s">
        <v>787</v>
      </c>
      <c r="O560" s="149" t="s">
        <v>255</v>
      </c>
      <c r="P560" s="150" t="n">
        <v>0.0475617</v>
      </c>
      <c r="Q560" s="150" t="n">
        <v>0.0477771</v>
      </c>
      <c r="R560" s="151" t="s">
        <v>255</v>
      </c>
      <c r="S560" s="152" t="n">
        <v>0.051</v>
      </c>
      <c r="T560" s="151"/>
      <c r="U560" s="152"/>
      <c r="V560" s="152" t="n">
        <v>0.050929</v>
      </c>
      <c r="W560" s="152" t="n">
        <v>0.001019</v>
      </c>
      <c r="X560" s="152" t="n">
        <v>0.005911</v>
      </c>
      <c r="Y560" s="152" t="n">
        <v>0.04191</v>
      </c>
      <c r="Z560" s="152" t="n">
        <v>0.002</v>
      </c>
      <c r="AA560" s="152" t="n">
        <v>0.002</v>
      </c>
      <c r="AB560" s="154" t="n">
        <f aca="false">S560-Z560</f>
        <v>0.049</v>
      </c>
      <c r="AC560" s="154" t="n">
        <f aca="false">U560-Z560-AA560</f>
        <v>-0.004</v>
      </c>
      <c r="AD560" s="155" t="n">
        <v>0.044</v>
      </c>
      <c r="AE560" s="153" t="n">
        <f aca="false">IF(Y560="","",Y560)</f>
        <v>0.04191</v>
      </c>
      <c r="AF560" s="153" t="n">
        <f aca="false">AD560-AE560</f>
        <v>0.00208999999999999</v>
      </c>
      <c r="AG560" s="184" t="n">
        <f aca="false">IF(AF560="","",AE560+AF560)</f>
        <v>0.044</v>
      </c>
      <c r="AH560" s="185" t="n">
        <v>45005</v>
      </c>
      <c r="AI560" s="35" t="n">
        <v>1</v>
      </c>
      <c r="AJ560" s="19" t="str">
        <f aca="false">IF(AG560="","N","Y")</f>
        <v>Y</v>
      </c>
      <c r="AK560" s="361" t="s">
        <v>788</v>
      </c>
      <c r="AL560" s="361"/>
      <c r="AM560" s="361"/>
      <c r="AN560" s="361"/>
      <c r="AO560" s="361"/>
      <c r="AP560" s="361"/>
      <c r="AQ560" s="361"/>
      <c r="AR560" s="361"/>
    </row>
    <row r="561" customFormat="false" ht="21" hidden="false" customHeight="true" outlineLevel="0" collapsed="false">
      <c r="A561" s="19" t="n">
        <f aca="false">IF(B561="","",IF((YEAR(B561)-YEAR(B560))=0,A560+1,1))</f>
        <v>35</v>
      </c>
      <c r="B561" s="141" t="n">
        <v>45005</v>
      </c>
      <c r="C561" s="63" t="s">
        <v>691</v>
      </c>
      <c r="D561" s="63" t="s">
        <v>761</v>
      </c>
      <c r="E561" s="19"/>
      <c r="F561" s="63" t="s">
        <v>704</v>
      </c>
      <c r="G561" s="142" t="n">
        <v>45005</v>
      </c>
      <c r="H561" s="142" t="n">
        <v>45097</v>
      </c>
      <c r="I561" s="19" t="n">
        <f aca="false">H561-G561</f>
        <v>92</v>
      </c>
      <c r="J561" s="149" t="n">
        <f aca="false">TRUNC(I561/30,0)</f>
        <v>3</v>
      </c>
      <c r="K561" s="183" t="s">
        <v>95</v>
      </c>
      <c r="L561" s="146" t="n">
        <v>1.3</v>
      </c>
      <c r="M561" s="147" t="n">
        <v>4.51</v>
      </c>
      <c r="N561" s="148" t="s">
        <v>789</v>
      </c>
      <c r="O561" s="149" t="s">
        <v>265</v>
      </c>
      <c r="P561" s="150" t="n">
        <v>0.0485378</v>
      </c>
      <c r="Q561" s="150" t="n">
        <v>0.0499843</v>
      </c>
      <c r="R561" s="151" t="s">
        <v>265</v>
      </c>
      <c r="S561" s="152" t="n">
        <v>0.0515</v>
      </c>
      <c r="T561" s="151"/>
      <c r="U561" s="152"/>
      <c r="V561" s="152" t="n">
        <v>0.052785</v>
      </c>
      <c r="W561" s="152" t="n">
        <v>0.001056</v>
      </c>
      <c r="X561" s="152" t="n">
        <v>0.005229</v>
      </c>
      <c r="Y561" s="152" t="n">
        <v>0.044667</v>
      </c>
      <c r="Z561" s="152" t="n">
        <v>0.002</v>
      </c>
      <c r="AA561" s="152" t="n">
        <v>0.002</v>
      </c>
      <c r="AB561" s="154" t="n">
        <f aca="false">S561-Z561</f>
        <v>0.0495</v>
      </c>
      <c r="AC561" s="154" t="n">
        <f aca="false">U561-Z561-AA561</f>
        <v>-0.004</v>
      </c>
      <c r="AD561" s="155" t="n">
        <v>0.0465</v>
      </c>
      <c r="AE561" s="153" t="n">
        <f aca="false">IF(Y561="","",Y561)</f>
        <v>0.044667</v>
      </c>
      <c r="AF561" s="153" t="n">
        <f aca="false">AD561-AE561</f>
        <v>0.001833</v>
      </c>
      <c r="AG561" s="184" t="n">
        <f aca="false">IF(AF561="","",AE561+AF561)</f>
        <v>0.0465</v>
      </c>
      <c r="AH561" s="185" t="n">
        <v>45005</v>
      </c>
      <c r="AI561" s="35" t="n">
        <v>2</v>
      </c>
      <c r="AJ561" s="19" t="str">
        <f aca="false">IF(AG561="","N","Y")</f>
        <v>Y</v>
      </c>
      <c r="AK561" s="361" t="s">
        <v>790</v>
      </c>
      <c r="AL561" s="361"/>
      <c r="AM561" s="361"/>
      <c r="AN561" s="361"/>
      <c r="AO561" s="361"/>
      <c r="AP561" s="361"/>
      <c r="AQ561" s="361"/>
      <c r="AR561" s="361"/>
    </row>
    <row r="562" customFormat="false" ht="57.75" hidden="false" customHeight="true" outlineLevel="0" collapsed="false">
      <c r="A562" s="19" t="n">
        <f aca="false">IF(B562="","",IF((YEAR(B562)-YEAR(B561))=0,A561+1,1))</f>
        <v>36</v>
      </c>
      <c r="B562" s="141" t="n">
        <v>45006</v>
      </c>
      <c r="C562" s="63" t="s">
        <v>770</v>
      </c>
      <c r="D562" s="63" t="s">
        <v>771</v>
      </c>
      <c r="E562" s="63" t="s">
        <v>772</v>
      </c>
      <c r="F562" s="63" t="s">
        <v>773</v>
      </c>
      <c r="G562" s="142" t="n">
        <v>45006</v>
      </c>
      <c r="H562" s="142" t="n">
        <v>45098</v>
      </c>
      <c r="I562" s="19" t="n">
        <f aca="false">H562-G562</f>
        <v>92</v>
      </c>
      <c r="J562" s="149" t="n">
        <f aca="false">TRUNC(I562/30,0)</f>
        <v>3</v>
      </c>
      <c r="K562" s="183" t="s">
        <v>95</v>
      </c>
      <c r="L562" s="146" t="n">
        <v>2</v>
      </c>
      <c r="M562" s="147" t="n">
        <v>4.5</v>
      </c>
      <c r="N562" s="148" t="s">
        <v>791</v>
      </c>
      <c r="O562" s="149" t="s">
        <v>265</v>
      </c>
      <c r="P562" s="150" t="n">
        <v>0.048169</v>
      </c>
      <c r="Q562" s="150" t="n">
        <v>0.0494714</v>
      </c>
      <c r="R562" s="151" t="s">
        <v>641</v>
      </c>
      <c r="S562" s="152" t="n">
        <v>0.051</v>
      </c>
      <c r="T562" s="151"/>
      <c r="U562" s="152"/>
      <c r="V562" s="152" t="n">
        <v>0.053502</v>
      </c>
      <c r="W562" s="152" t="n">
        <v>0.00107</v>
      </c>
      <c r="X562" s="152" t="n">
        <v>0.003432</v>
      </c>
      <c r="Y562" s="153" t="n">
        <v>0.044305</v>
      </c>
      <c r="Z562" s="152" t="n">
        <v>0.002</v>
      </c>
      <c r="AA562" s="152" t="n">
        <v>0.002</v>
      </c>
      <c r="AB562" s="154" t="n">
        <f aca="false">S562-Z562</f>
        <v>0.049</v>
      </c>
      <c r="AC562" s="154" t="n">
        <f aca="false">U562-Z562-AA562</f>
        <v>-0.004</v>
      </c>
      <c r="AD562" s="155" t="n">
        <v>0.049</v>
      </c>
      <c r="AE562" s="153" t="n">
        <v>0.047668</v>
      </c>
      <c r="AF562" s="153" t="n">
        <f aca="false">AD562-AE562</f>
        <v>0.001332</v>
      </c>
      <c r="AG562" s="184" t="n">
        <f aca="false">IF(AF562="","",AE562+AF562)</f>
        <v>0.049</v>
      </c>
      <c r="AH562" s="185" t="n">
        <v>45006</v>
      </c>
      <c r="AI562" s="35" t="n">
        <v>3</v>
      </c>
      <c r="AJ562" s="19" t="str">
        <f aca="false">IF(AG562="","N","Y")</f>
        <v>Y</v>
      </c>
      <c r="AK562" s="360" t="s">
        <v>792</v>
      </c>
      <c r="AL562" s="360"/>
      <c r="AM562" s="360"/>
      <c r="AN562" s="360"/>
      <c r="AO562" s="360"/>
      <c r="AP562" s="360"/>
      <c r="AQ562" s="360"/>
      <c r="AR562" s="360"/>
    </row>
    <row r="563" s="382" customFormat="true" ht="19.5" hidden="false" customHeight="true" outlineLevel="0" collapsed="false">
      <c r="A563" s="364" t="n">
        <f aca="false">IF(B563="","",IF((YEAR(B563)-YEAR(B562))=0,A562+1,1))</f>
        <v>37</v>
      </c>
      <c r="B563" s="363" t="n">
        <v>45022</v>
      </c>
      <c r="C563" s="364" t="s">
        <v>89</v>
      </c>
      <c r="D563" s="364" t="s">
        <v>665</v>
      </c>
      <c r="E563" s="364"/>
      <c r="F563" s="364" t="s">
        <v>654</v>
      </c>
      <c r="G563" s="365" t="n">
        <v>45022</v>
      </c>
      <c r="H563" s="365" t="n">
        <v>45050</v>
      </c>
      <c r="I563" s="364" t="n">
        <f aca="false">H563-G563</f>
        <v>28</v>
      </c>
      <c r="J563" s="366" t="n">
        <f aca="false">TRUNC(I563/30,0)</f>
        <v>0</v>
      </c>
      <c r="K563" s="367" t="s">
        <v>99</v>
      </c>
      <c r="L563" s="368" t="n">
        <v>12.4</v>
      </c>
      <c r="M563" s="369" t="n">
        <v>3.65</v>
      </c>
      <c r="N563" s="370" t="s">
        <v>793</v>
      </c>
      <c r="O563" s="366" t="s">
        <v>305</v>
      </c>
      <c r="P563" s="371" t="n">
        <v>0.0482992</v>
      </c>
      <c r="Q563" s="371"/>
      <c r="R563" s="372" t="s">
        <v>305</v>
      </c>
      <c r="S563" s="373" t="n">
        <v>0.0475</v>
      </c>
      <c r="T563" s="372"/>
      <c r="U563" s="373"/>
      <c r="V563" s="373" t="n">
        <v>0.052281</v>
      </c>
      <c r="W563" s="373" t="n">
        <v>0.00366</v>
      </c>
      <c r="X563" s="373" t="n">
        <v>0.010121</v>
      </c>
      <c r="Y563" s="373" t="n">
        <v>0.036618</v>
      </c>
      <c r="Z563" s="373" t="n">
        <v>0.002</v>
      </c>
      <c r="AA563" s="373" t="n">
        <v>0.002</v>
      </c>
      <c r="AB563" s="374" t="n">
        <f aca="false">S563-Z563</f>
        <v>0.0455</v>
      </c>
      <c r="AC563" s="374" t="n">
        <f aca="false">U563-Z563-AA563</f>
        <v>-0.004</v>
      </c>
      <c r="AD563" s="375" t="n">
        <v>0.0385</v>
      </c>
      <c r="AE563" s="376" t="n">
        <f aca="false">IF(Y563="","",Y563)</f>
        <v>0.036618</v>
      </c>
      <c r="AF563" s="376" t="n">
        <f aca="false">AD563-AE563</f>
        <v>0.001882</v>
      </c>
      <c r="AG563" s="377" t="n">
        <f aca="false">IF(AF563="","",AE563+AF563)</f>
        <v>0.0385</v>
      </c>
      <c r="AH563" s="378" t="n">
        <v>45022</v>
      </c>
      <c r="AI563" s="379" t="n">
        <v>1</v>
      </c>
      <c r="AJ563" s="380" t="str">
        <f aca="false">IF(AG563="","N","Y")</f>
        <v>Y</v>
      </c>
      <c r="AK563" s="381" t="s">
        <v>794</v>
      </c>
      <c r="AL563" s="381"/>
      <c r="AM563" s="381"/>
      <c r="AN563" s="381"/>
      <c r="AO563" s="381"/>
      <c r="AP563" s="381"/>
      <c r="AQ563" s="381"/>
      <c r="AR563" s="381"/>
    </row>
    <row r="564" customFormat="false" ht="21" hidden="false" customHeight="true" outlineLevel="0" collapsed="false">
      <c r="A564" s="19" t="n">
        <f aca="false">IF(B564="","",IF((YEAR(B564)-YEAR(B563))=0,A563+1,1))</f>
        <v>38</v>
      </c>
      <c r="B564" s="141" t="n">
        <v>45026</v>
      </c>
      <c r="C564" s="63" t="s">
        <v>691</v>
      </c>
      <c r="D564" s="63" t="s">
        <v>598</v>
      </c>
      <c r="E564" s="19"/>
      <c r="F564" s="63" t="s">
        <v>692</v>
      </c>
      <c r="G564" s="142" t="n">
        <v>45026</v>
      </c>
      <c r="H564" s="142" t="n">
        <v>45117</v>
      </c>
      <c r="I564" s="19" t="n">
        <f aca="false">H564-G564</f>
        <v>91</v>
      </c>
      <c r="J564" s="149" t="n">
        <f aca="false">TRUNC(I564/30,0)</f>
        <v>3</v>
      </c>
      <c r="K564" s="183" t="s">
        <v>95</v>
      </c>
      <c r="L564" s="146" t="n">
        <v>1.5</v>
      </c>
      <c r="M564" s="147" t="n">
        <v>4.62</v>
      </c>
      <c r="N564" s="148" t="s">
        <v>795</v>
      </c>
      <c r="O564" s="149" t="s">
        <v>265</v>
      </c>
      <c r="P564" s="150" t="n">
        <v>0.0490439</v>
      </c>
      <c r="Q564" s="150" t="n">
        <v>0.0519786</v>
      </c>
      <c r="R564" s="151" t="s">
        <v>300</v>
      </c>
      <c r="S564" s="152" t="n">
        <v>0.0512</v>
      </c>
      <c r="T564" s="151"/>
      <c r="U564" s="152"/>
      <c r="V564" s="152" t="n">
        <v>0.054446</v>
      </c>
      <c r="W564" s="152" t="n">
        <v>0.001089</v>
      </c>
      <c r="X564" s="152" t="n">
        <v>0.006357</v>
      </c>
      <c r="Y564" s="152" t="n">
        <v>0.045163</v>
      </c>
      <c r="Z564" s="152" t="n">
        <v>0.002</v>
      </c>
      <c r="AA564" s="152" t="n">
        <v>0.002</v>
      </c>
      <c r="AB564" s="154" t="n">
        <f aca="false">S564-Z564</f>
        <v>0.0492</v>
      </c>
      <c r="AC564" s="154" t="n">
        <f aca="false">U564-Z564-AA564</f>
        <v>-0.004</v>
      </c>
      <c r="AD564" s="155" t="n">
        <v>0.047</v>
      </c>
      <c r="AE564" s="153" t="n">
        <f aca="false">IF(Y564="","",Y564)</f>
        <v>0.045163</v>
      </c>
      <c r="AF564" s="153" t="n">
        <f aca="false">AD564-AE564</f>
        <v>0.001837</v>
      </c>
      <c r="AG564" s="184" t="n">
        <f aca="false">IF(AF564="","",AE564+AF564)</f>
        <v>0.047</v>
      </c>
      <c r="AH564" s="185" t="n">
        <v>45026</v>
      </c>
      <c r="AI564" s="35" t="n">
        <v>1</v>
      </c>
      <c r="AJ564" s="19" t="str">
        <f aca="false">IF(AG564="","N","Y")</f>
        <v>Y</v>
      </c>
      <c r="AK564" s="384" t="s">
        <v>796</v>
      </c>
      <c r="AL564" s="385"/>
      <c r="AM564" s="385"/>
      <c r="AN564" s="385"/>
      <c r="AO564" s="385"/>
      <c r="AP564" s="385"/>
      <c r="AQ564" s="385"/>
      <c r="AR564" s="386"/>
    </row>
    <row r="565" customFormat="false" ht="21" hidden="false" customHeight="true" outlineLevel="0" collapsed="false">
      <c r="A565" s="19" t="n">
        <f aca="false">IF(B565="","",IF((YEAR(B565)-YEAR(B564))=0,A564+1,1))</f>
        <v>39</v>
      </c>
      <c r="B565" s="141" t="n">
        <v>45026</v>
      </c>
      <c r="C565" s="63" t="s">
        <v>209</v>
      </c>
      <c r="D565" s="63" t="s">
        <v>695</v>
      </c>
      <c r="E565" s="63" t="s">
        <v>735</v>
      </c>
      <c r="F565" s="63" t="s">
        <v>697</v>
      </c>
      <c r="G565" s="142" t="n">
        <v>45026</v>
      </c>
      <c r="H565" s="142" t="n">
        <v>45056</v>
      </c>
      <c r="I565" s="19" t="n">
        <f aca="false">H565-G565</f>
        <v>30</v>
      </c>
      <c r="J565" s="149" t="n">
        <f aca="false">TRUNC(I565/30,0)</f>
        <v>1</v>
      </c>
      <c r="K565" s="183" t="s">
        <v>95</v>
      </c>
      <c r="L565" s="146" t="n">
        <v>4</v>
      </c>
      <c r="M565" s="147" t="n">
        <v>4.37</v>
      </c>
      <c r="N565" s="148" t="s">
        <v>797</v>
      </c>
      <c r="O565" s="149" t="s">
        <v>255</v>
      </c>
      <c r="P565" s="150" t="n">
        <v>0.0483394</v>
      </c>
      <c r="Q565" s="150" t="n">
        <v>0.0490029</v>
      </c>
      <c r="R565" s="151" t="s">
        <v>255</v>
      </c>
      <c r="S565" s="152" t="n">
        <v>0.0503</v>
      </c>
      <c r="T565" s="151"/>
      <c r="U565" s="152"/>
      <c r="V565" s="152" t="n">
        <v>0.052326</v>
      </c>
      <c r="W565" s="152" t="n">
        <v>0.001047</v>
      </c>
      <c r="X565" s="152" t="n">
        <v>0.006279</v>
      </c>
      <c r="Y565" s="152" t="n">
        <v>0.042672</v>
      </c>
      <c r="Z565" s="152" t="n">
        <v>0.002</v>
      </c>
      <c r="AA565" s="152" t="n">
        <v>0.002</v>
      </c>
      <c r="AB565" s="154" t="n">
        <f aca="false">S565-Z565</f>
        <v>0.0483</v>
      </c>
      <c r="AC565" s="154" t="n">
        <f aca="false">U565-Z565-AA565</f>
        <v>-0.004</v>
      </c>
      <c r="AD565" s="155" t="n">
        <v>0.045</v>
      </c>
      <c r="AE565" s="153" t="n">
        <f aca="false">IF(Y565="","",Y565)</f>
        <v>0.042672</v>
      </c>
      <c r="AF565" s="153" t="n">
        <f aca="false">AD565-AE565</f>
        <v>0.002328</v>
      </c>
      <c r="AG565" s="184" t="n">
        <f aca="false">IF(AF565="","",AE565+AF565)</f>
        <v>0.045</v>
      </c>
      <c r="AH565" s="185" t="n">
        <v>45026</v>
      </c>
      <c r="AI565" s="35" t="n">
        <v>2</v>
      </c>
      <c r="AJ565" s="19" t="str">
        <f aca="false">IF(AG565="","N","Y")</f>
        <v>Y</v>
      </c>
      <c r="AK565" s="361" t="s">
        <v>798</v>
      </c>
      <c r="AL565" s="361"/>
      <c r="AM565" s="361"/>
      <c r="AN565" s="361"/>
      <c r="AO565" s="361"/>
      <c r="AP565" s="361"/>
      <c r="AQ565" s="361"/>
      <c r="AR565" s="361"/>
    </row>
    <row r="566" s="220" customFormat="true" ht="20.25" hidden="false" customHeight="true" outlineLevel="0" collapsed="false">
      <c r="A566" s="200" t="n">
        <f aca="false">IF(B566="","",IF((YEAR(B566)-YEAR(B565))=0,A565+1,1))</f>
        <v>40</v>
      </c>
      <c r="B566" s="199" t="n">
        <v>45033</v>
      </c>
      <c r="C566" s="200" t="s">
        <v>616</v>
      </c>
      <c r="D566" s="200"/>
      <c r="E566" s="200" t="s">
        <v>799</v>
      </c>
      <c r="F566" s="200" t="s">
        <v>631</v>
      </c>
      <c r="G566" s="201" t="n">
        <v>45033</v>
      </c>
      <c r="H566" s="201" t="n">
        <v>45063</v>
      </c>
      <c r="I566" s="200" t="n">
        <f aca="false">H566-G566</f>
        <v>30</v>
      </c>
      <c r="J566" s="228" t="n">
        <f aca="false">TRUNC(I566/30,0)</f>
        <v>1</v>
      </c>
      <c r="K566" s="387" t="s">
        <v>95</v>
      </c>
      <c r="L566" s="204" t="n">
        <v>2.85</v>
      </c>
      <c r="M566" s="205" t="n">
        <v>4.42</v>
      </c>
      <c r="N566" s="227" t="s">
        <v>800</v>
      </c>
      <c r="O566" s="228" t="s">
        <v>255</v>
      </c>
      <c r="P566" s="208" t="n">
        <v>0.0489306</v>
      </c>
      <c r="Q566" s="208" t="n">
        <v>0.0495943</v>
      </c>
      <c r="R566" s="207" t="s">
        <v>255</v>
      </c>
      <c r="S566" s="209" t="n">
        <v>0.0505</v>
      </c>
      <c r="T566" s="207"/>
      <c r="U566" s="209"/>
      <c r="V566" s="209" t="n">
        <v>0.052854</v>
      </c>
      <c r="W566" s="209" t="n">
        <v>0.001047</v>
      </c>
      <c r="X566" s="209" t="n">
        <v>0.004587</v>
      </c>
      <c r="Y566" s="209" t="n">
        <v>0.043251</v>
      </c>
      <c r="Z566" s="209" t="n">
        <v>0.002</v>
      </c>
      <c r="AA566" s="209" t="n">
        <v>0.002</v>
      </c>
      <c r="AB566" s="211" t="n">
        <f aca="false">S566-Z566</f>
        <v>0.0485</v>
      </c>
      <c r="AC566" s="211" t="n">
        <f aca="false">U566-Z566-AA566</f>
        <v>-0.004</v>
      </c>
      <c r="AD566" s="212" t="n">
        <v>0.0455</v>
      </c>
      <c r="AE566" s="210" t="n">
        <f aca="false">IF(Y566="","",Y566)</f>
        <v>0.043251</v>
      </c>
      <c r="AF566" s="210" t="n">
        <f aca="false">AD566-AE566</f>
        <v>0.002249</v>
      </c>
      <c r="AG566" s="214" t="n">
        <f aca="false">IF(AF566="","",AE566+AF566)</f>
        <v>0.0455</v>
      </c>
      <c r="AH566" s="215" t="n">
        <v>45033</v>
      </c>
      <c r="AI566" s="216" t="n">
        <v>3</v>
      </c>
      <c r="AJ566" s="217" t="str">
        <f aca="false">IF(AG566="","N","Y")</f>
        <v>Y</v>
      </c>
      <c r="AK566" s="388" t="s">
        <v>801</v>
      </c>
      <c r="AL566" s="388"/>
      <c r="AM566" s="388"/>
      <c r="AN566" s="388"/>
      <c r="AO566" s="388"/>
      <c r="AP566" s="388"/>
      <c r="AQ566" s="388"/>
      <c r="AR566" s="388"/>
    </row>
    <row r="567" s="38" customFormat="true" ht="21" hidden="false" customHeight="true" outlineLevel="0" collapsed="false">
      <c r="A567" s="19" t="n">
        <f aca="false">IF(B567="","",IF((YEAR(B567)-YEAR(B566))=0,A566+1,1))</f>
        <v>41</v>
      </c>
      <c r="B567" s="141" t="n">
        <v>45033</v>
      </c>
      <c r="C567" s="63" t="s">
        <v>209</v>
      </c>
      <c r="D567" s="63" t="s">
        <v>695</v>
      </c>
      <c r="E567" s="63" t="s">
        <v>695</v>
      </c>
      <c r="F567" s="63" t="s">
        <v>697</v>
      </c>
      <c r="G567" s="142" t="n">
        <v>45033</v>
      </c>
      <c r="H567" s="142" t="n">
        <v>45063</v>
      </c>
      <c r="I567" s="19" t="n">
        <f aca="false">H567-G567</f>
        <v>30</v>
      </c>
      <c r="J567" s="149" t="n">
        <f aca="false">TRUNC(I567/30,0)</f>
        <v>1</v>
      </c>
      <c r="K567" s="183" t="s">
        <v>95</v>
      </c>
      <c r="L567" s="146" t="n">
        <v>1</v>
      </c>
      <c r="M567" s="147" t="n">
        <v>4.42</v>
      </c>
      <c r="N567" s="148" t="s">
        <v>800</v>
      </c>
      <c r="O567" s="149" t="s">
        <v>255</v>
      </c>
      <c r="P567" s="150" t="n">
        <v>0.0489306</v>
      </c>
      <c r="Q567" s="150" t="n">
        <v>0.0495943</v>
      </c>
      <c r="R567" s="151" t="s">
        <v>255</v>
      </c>
      <c r="S567" s="152" t="n">
        <v>0.0505</v>
      </c>
      <c r="T567" s="151"/>
      <c r="U567" s="152"/>
      <c r="V567" s="152" t="n">
        <v>0.052854</v>
      </c>
      <c r="W567" s="152" t="n">
        <v>0.001047</v>
      </c>
      <c r="X567" s="152" t="n">
        <v>0.004587</v>
      </c>
      <c r="Y567" s="152" t="n">
        <v>0.043251</v>
      </c>
      <c r="Z567" s="152" t="n">
        <v>0.002</v>
      </c>
      <c r="AA567" s="152" t="n">
        <v>0.002</v>
      </c>
      <c r="AB567" s="154" t="n">
        <f aca="false">S567-Z567</f>
        <v>0.0485</v>
      </c>
      <c r="AC567" s="154" t="n">
        <f aca="false">U567-Z567-AA567</f>
        <v>-0.004</v>
      </c>
      <c r="AD567" s="155" t="n">
        <v>0.0455</v>
      </c>
      <c r="AE567" s="153" t="n">
        <f aca="false">IF(Y567="","",Y567)</f>
        <v>0.043251</v>
      </c>
      <c r="AF567" s="153" t="n">
        <f aca="false">AD567-AE567</f>
        <v>0.002249</v>
      </c>
      <c r="AG567" s="184" t="n">
        <f aca="false">IF(AF567="","",AE567+AF567)</f>
        <v>0.0455</v>
      </c>
      <c r="AH567" s="185" t="n">
        <v>45033</v>
      </c>
      <c r="AI567" s="35" t="n">
        <v>5</v>
      </c>
      <c r="AJ567" s="19" t="str">
        <f aca="false">IF(AG567="","N","Y")</f>
        <v>Y</v>
      </c>
      <c r="AK567" s="361" t="s">
        <v>801</v>
      </c>
      <c r="AL567" s="361"/>
      <c r="AM567" s="361"/>
      <c r="AN567" s="361"/>
      <c r="AO567" s="361"/>
      <c r="AP567" s="361"/>
      <c r="AQ567" s="361"/>
      <c r="AR567" s="361"/>
    </row>
    <row r="568" customFormat="false" ht="21" hidden="false" customHeight="true" outlineLevel="0" collapsed="false">
      <c r="A568" s="19" t="n">
        <f aca="false">IF(B568="","",IF((YEAR(B568)-YEAR(B567))=0,A567+1,1))</f>
        <v>42</v>
      </c>
      <c r="B568" s="141" t="n">
        <v>45036</v>
      </c>
      <c r="C568" s="63" t="s">
        <v>691</v>
      </c>
      <c r="D568" s="63" t="s">
        <v>761</v>
      </c>
      <c r="E568" s="19"/>
      <c r="F568" s="63" t="s">
        <v>704</v>
      </c>
      <c r="G568" s="142" t="n">
        <v>45036</v>
      </c>
      <c r="H568" s="142" t="n">
        <v>45068</v>
      </c>
      <c r="I568" s="19" t="n">
        <f aca="false">H568-G568</f>
        <v>32</v>
      </c>
      <c r="J568" s="149" t="n">
        <f aca="false">TRUNC(I568/30,0)</f>
        <v>1</v>
      </c>
      <c r="K568" s="183" t="s">
        <v>95</v>
      </c>
      <c r="L568" s="146" t="n">
        <v>1.2</v>
      </c>
      <c r="M568" s="147" t="n">
        <v>4.47</v>
      </c>
      <c r="N568" s="148" t="s">
        <v>800</v>
      </c>
      <c r="O568" s="149" t="s">
        <v>255</v>
      </c>
      <c r="P568" s="150" t="n">
        <v>0.0494596</v>
      </c>
      <c r="Q568" s="150" t="n">
        <v>0.0498229</v>
      </c>
      <c r="R568" s="151" t="s">
        <v>255</v>
      </c>
      <c r="S568" s="152" t="n">
        <v>0.0515</v>
      </c>
      <c r="T568" s="151"/>
      <c r="U568" s="152"/>
      <c r="V568" s="152" t="n">
        <v>0.053336</v>
      </c>
      <c r="W568" s="152" t="n">
        <v>0.001047</v>
      </c>
      <c r="X568" s="152" t="n">
        <v>0.005002</v>
      </c>
      <c r="Y568" s="152" t="n">
        <v>0.04377</v>
      </c>
      <c r="Z568" s="152" t="n">
        <v>0.002</v>
      </c>
      <c r="AA568" s="152" t="n">
        <v>0.002</v>
      </c>
      <c r="AB568" s="154" t="n">
        <f aca="false">S568-Z568</f>
        <v>0.0495</v>
      </c>
      <c r="AC568" s="154" t="n">
        <f aca="false">U568-Z568-AA568</f>
        <v>-0.004</v>
      </c>
      <c r="AD568" s="155" t="n">
        <v>0.0445</v>
      </c>
      <c r="AE568" s="153" t="n">
        <f aca="false">IF(Y568="","",Y568)</f>
        <v>0.04377</v>
      </c>
      <c r="AF568" s="153" t="n">
        <f aca="false">AD568-AE568</f>
        <v>0.000729999999999995</v>
      </c>
      <c r="AG568" s="184" t="n">
        <f aca="false">IF(AF568="","",AE568+AF568)</f>
        <v>0.0445</v>
      </c>
      <c r="AH568" s="185" t="n">
        <v>45036</v>
      </c>
      <c r="AI568" s="35" t="n">
        <v>1</v>
      </c>
      <c r="AJ568" s="19" t="str">
        <f aca="false">IF(AG568="","N","Y")</f>
        <v>Y</v>
      </c>
      <c r="AK568" s="361" t="s">
        <v>802</v>
      </c>
      <c r="AL568" s="361"/>
      <c r="AM568" s="361"/>
      <c r="AN568" s="361"/>
      <c r="AO568" s="361"/>
      <c r="AP568" s="361"/>
      <c r="AQ568" s="361"/>
      <c r="AR568" s="361"/>
    </row>
    <row r="569" customFormat="false" ht="20.25" hidden="false" customHeight="true" outlineLevel="0" collapsed="false">
      <c r="A569" s="19" t="n">
        <f aca="false">IF(B569="","",IF((YEAR(B569)-YEAR(B568))=0,A568+1,1))</f>
        <v>43</v>
      </c>
      <c r="B569" s="141" t="n">
        <v>45040</v>
      </c>
      <c r="C569" s="63" t="s">
        <v>100</v>
      </c>
      <c r="D569" s="63" t="s">
        <v>625</v>
      </c>
      <c r="E569" s="19"/>
      <c r="F569" s="63" t="s">
        <v>619</v>
      </c>
      <c r="G569" s="142" t="n">
        <v>45040</v>
      </c>
      <c r="H569" s="142" t="n">
        <v>45070</v>
      </c>
      <c r="I569" s="19" t="n">
        <f aca="false">H569-G569</f>
        <v>30</v>
      </c>
      <c r="J569" s="149" t="n">
        <f aca="false">TRUNC(I569/30,0)</f>
        <v>1</v>
      </c>
      <c r="K569" s="183" t="s">
        <v>95</v>
      </c>
      <c r="L569" s="146" t="n">
        <v>3</v>
      </c>
      <c r="M569" s="147" t="n">
        <v>4.49</v>
      </c>
      <c r="N569" s="148" t="s">
        <v>803</v>
      </c>
      <c r="O569" s="149" t="s">
        <v>255</v>
      </c>
      <c r="P569" s="150" t="n">
        <v>0.0497052</v>
      </c>
      <c r="Q569" s="150" t="n">
        <v>0.0502043</v>
      </c>
      <c r="R569" s="151" t="s">
        <v>255</v>
      </c>
      <c r="S569" s="152" t="n">
        <v>0.0515</v>
      </c>
      <c r="T569" s="151"/>
      <c r="U569" s="152"/>
      <c r="V569" s="152" t="n">
        <v>0.053591</v>
      </c>
      <c r="W569" s="152" t="n">
        <v>0.001072</v>
      </c>
      <c r="X569" s="152" t="n">
        <v>0.005799</v>
      </c>
      <c r="Y569" s="152" t="n">
        <v>0.044011</v>
      </c>
      <c r="Z569" s="152" t="n">
        <v>0.002</v>
      </c>
      <c r="AA569" s="152" t="n">
        <v>0.002</v>
      </c>
      <c r="AB569" s="154" t="n">
        <f aca="false">S569-Z569</f>
        <v>0.0495</v>
      </c>
      <c r="AC569" s="154" t="n">
        <f aca="false">U569-Z569-AA569</f>
        <v>-0.004</v>
      </c>
      <c r="AD569" s="155" t="n">
        <v>0.045</v>
      </c>
      <c r="AE569" s="153" t="n">
        <f aca="false">IF(Y569="","",Y569)</f>
        <v>0.044011</v>
      </c>
      <c r="AF569" s="153" t="n">
        <f aca="false">AD569-AE569</f>
        <v>0.000988999999999997</v>
      </c>
      <c r="AG569" s="184" t="n">
        <f aca="false">IF(AF569="","",AE569+AF569)</f>
        <v>0.045</v>
      </c>
      <c r="AH569" s="185" t="n">
        <v>45040</v>
      </c>
      <c r="AI569" s="35" t="n">
        <v>1</v>
      </c>
      <c r="AJ569" s="19" t="str">
        <f aca="false">IF(AG569="","N","Y")</f>
        <v>Y</v>
      </c>
      <c r="AK569" s="361" t="s">
        <v>804</v>
      </c>
      <c r="AL569" s="361"/>
      <c r="AM569" s="361"/>
      <c r="AN569" s="361"/>
      <c r="AO569" s="361"/>
      <c r="AP569" s="361"/>
      <c r="AQ569" s="361"/>
      <c r="AR569" s="361"/>
    </row>
    <row r="570" customFormat="false" ht="20.25" hidden="false" customHeight="true" outlineLevel="0" collapsed="false">
      <c r="A570" s="19" t="n">
        <f aca="false">IF(B570="","",IF((YEAR(B570)-YEAR(B569))=0,A569+1,1))</f>
        <v>44</v>
      </c>
      <c r="B570" s="141" t="n">
        <v>45040</v>
      </c>
      <c r="C570" s="63" t="s">
        <v>100</v>
      </c>
      <c r="D570" s="63" t="s">
        <v>625</v>
      </c>
      <c r="E570" s="19"/>
      <c r="F570" s="63" t="s">
        <v>619</v>
      </c>
      <c r="G570" s="142" t="n">
        <v>45040</v>
      </c>
      <c r="H570" s="142" t="n">
        <v>45070</v>
      </c>
      <c r="I570" s="19" t="n">
        <f aca="false">H570-G570</f>
        <v>30</v>
      </c>
      <c r="J570" s="149" t="n">
        <f aca="false">TRUNC(I570/30,0)</f>
        <v>1</v>
      </c>
      <c r="K570" s="183" t="s">
        <v>95</v>
      </c>
      <c r="L570" s="146" t="n">
        <v>3</v>
      </c>
      <c r="M570" s="147" t="n">
        <v>4.49</v>
      </c>
      <c r="N570" s="148" t="s">
        <v>803</v>
      </c>
      <c r="O570" s="149" t="s">
        <v>255</v>
      </c>
      <c r="P570" s="150" t="n">
        <v>0.0497052</v>
      </c>
      <c r="Q570" s="150" t="n">
        <v>0.0502043</v>
      </c>
      <c r="R570" s="151" t="s">
        <v>255</v>
      </c>
      <c r="S570" s="152" t="n">
        <v>0.0515</v>
      </c>
      <c r="T570" s="151"/>
      <c r="U570" s="152"/>
      <c r="V570" s="152" t="n">
        <v>0.053591</v>
      </c>
      <c r="W570" s="152" t="n">
        <v>0.001072</v>
      </c>
      <c r="X570" s="152" t="n">
        <v>0.005799</v>
      </c>
      <c r="Y570" s="152" t="n">
        <v>0.044011</v>
      </c>
      <c r="Z570" s="152" t="n">
        <v>0.002</v>
      </c>
      <c r="AA570" s="152" t="n">
        <v>0.002</v>
      </c>
      <c r="AB570" s="154" t="n">
        <f aca="false">S570-Z570</f>
        <v>0.0495</v>
      </c>
      <c r="AC570" s="154" t="n">
        <f aca="false">U570-Z570-AA570</f>
        <v>-0.004</v>
      </c>
      <c r="AD570" s="155" t="n">
        <v>0.045</v>
      </c>
      <c r="AE570" s="153" t="n">
        <f aca="false">IF(Y570="","",Y570)</f>
        <v>0.044011</v>
      </c>
      <c r="AF570" s="153" t="n">
        <f aca="false">AD570-AE570</f>
        <v>0.000988999999999997</v>
      </c>
      <c r="AG570" s="184" t="n">
        <f aca="false">IF(AF570="","",AE570+AF570)</f>
        <v>0.045</v>
      </c>
      <c r="AH570" s="185" t="n">
        <v>45040</v>
      </c>
      <c r="AI570" s="35" t="n">
        <v>2</v>
      </c>
      <c r="AJ570" s="19" t="str">
        <f aca="false">IF(AG570="","N","Y")</f>
        <v>Y</v>
      </c>
      <c r="AK570" s="361" t="s">
        <v>804</v>
      </c>
      <c r="AL570" s="361"/>
      <c r="AM570" s="361"/>
      <c r="AN570" s="361"/>
      <c r="AO570" s="361"/>
      <c r="AP570" s="361"/>
      <c r="AQ570" s="361"/>
      <c r="AR570" s="361"/>
    </row>
    <row r="571" s="382" customFormat="true" ht="19.5" hidden="false" customHeight="true" outlineLevel="0" collapsed="false">
      <c r="A571" s="364" t="n">
        <f aca="false">IF(B571="","",IF((YEAR(B571)-YEAR(B570))=0,A570+1,1))</f>
        <v>45</v>
      </c>
      <c r="B571" s="363" t="n">
        <v>45050</v>
      </c>
      <c r="C571" s="364" t="s">
        <v>89</v>
      </c>
      <c r="D571" s="364" t="s">
        <v>805</v>
      </c>
      <c r="E571" s="364"/>
      <c r="F571" s="364" t="s">
        <v>654</v>
      </c>
      <c r="G571" s="365" t="n">
        <v>45050</v>
      </c>
      <c r="H571" s="365" t="n">
        <v>45079</v>
      </c>
      <c r="I571" s="364" t="n">
        <f aca="false">H571-G571</f>
        <v>29</v>
      </c>
      <c r="J571" s="366" t="n">
        <f aca="false">TRUNC(I571/30,0)</f>
        <v>0</v>
      </c>
      <c r="K571" s="367" t="s">
        <v>99</v>
      </c>
      <c r="L571" s="368" t="n">
        <v>12.3</v>
      </c>
      <c r="M571" s="369" t="n">
        <v>3.67</v>
      </c>
      <c r="N571" s="370" t="s">
        <v>806</v>
      </c>
      <c r="O571" s="366" t="s">
        <v>305</v>
      </c>
      <c r="P571" s="371" t="n">
        <v>0.0504042</v>
      </c>
      <c r="Q571" s="371"/>
      <c r="R571" s="372" t="s">
        <v>305</v>
      </c>
      <c r="S571" s="373" t="n">
        <v>0.0508</v>
      </c>
      <c r="T571" s="372"/>
      <c r="U571" s="373"/>
      <c r="V571" s="373" t="n">
        <v>0.055558</v>
      </c>
      <c r="W571" s="373" t="n">
        <v>0.003889</v>
      </c>
      <c r="X571" s="373" t="n">
        <v>0.011448</v>
      </c>
      <c r="Y571" s="373" t="n">
        <v>0.036876</v>
      </c>
      <c r="Z571" s="373" t="n">
        <v>0.002</v>
      </c>
      <c r="AA571" s="373" t="n">
        <v>0.002</v>
      </c>
      <c r="AB571" s="374" t="n">
        <f aca="false">S571-Z571</f>
        <v>0.0488</v>
      </c>
      <c r="AC571" s="374" t="n">
        <f aca="false">U571-Z571-AA571</f>
        <v>-0.004</v>
      </c>
      <c r="AD571" s="375" t="n">
        <v>0.0385</v>
      </c>
      <c r="AE571" s="376" t="n">
        <f aca="false">IF(Y571="","",Y571)</f>
        <v>0.036876</v>
      </c>
      <c r="AF571" s="376" t="n">
        <f aca="false">AD571-AE571</f>
        <v>0.001624</v>
      </c>
      <c r="AG571" s="377" t="n">
        <f aca="false">IF(AF571="","",AE571+AF571)</f>
        <v>0.0385</v>
      </c>
      <c r="AH571" s="378" t="n">
        <v>45050</v>
      </c>
      <c r="AI571" s="379" t="n">
        <v>1</v>
      </c>
      <c r="AJ571" s="380" t="str">
        <f aca="false">IF(AG571="","N","Y")</f>
        <v>Y</v>
      </c>
      <c r="AK571" s="381" t="s">
        <v>807</v>
      </c>
      <c r="AL571" s="381"/>
      <c r="AM571" s="381"/>
      <c r="AN571" s="381"/>
      <c r="AO571" s="381"/>
      <c r="AP571" s="381"/>
      <c r="AQ571" s="381"/>
      <c r="AR571" s="381"/>
    </row>
    <row r="572" customFormat="false" ht="20.25" hidden="false" customHeight="true" outlineLevel="0" collapsed="false">
      <c r="A572" s="19" t="n">
        <f aca="false">IF(B572="","",IF((YEAR(B572)-YEAR(B571))=0,A571+1,1))</f>
        <v>46</v>
      </c>
      <c r="B572" s="141" t="n">
        <v>45056</v>
      </c>
      <c r="C572" s="63" t="s">
        <v>96</v>
      </c>
      <c r="D572" s="19"/>
      <c r="E572" s="63" t="s">
        <v>753</v>
      </c>
      <c r="F572" s="63" t="s">
        <v>754</v>
      </c>
      <c r="G572" s="142" t="n">
        <v>45056</v>
      </c>
      <c r="H572" s="142" t="n">
        <v>45148</v>
      </c>
      <c r="I572" s="19" t="n">
        <f aca="false">H572-G572</f>
        <v>92</v>
      </c>
      <c r="J572" s="149" t="n">
        <f aca="false">TRUNC(I572/30,0)</f>
        <v>3</v>
      </c>
      <c r="K572" s="183" t="s">
        <v>95</v>
      </c>
      <c r="L572" s="146" t="n">
        <v>5</v>
      </c>
      <c r="M572" s="147" t="n">
        <v>4.79</v>
      </c>
      <c r="N572" s="148" t="s">
        <v>808</v>
      </c>
      <c r="O572" s="149" t="s">
        <v>265</v>
      </c>
      <c r="P572" s="150" t="n">
        <v>0.0508393</v>
      </c>
      <c r="Q572" s="150" t="n">
        <v>0.0533914</v>
      </c>
      <c r="R572" s="151" t="s">
        <v>265</v>
      </c>
      <c r="S572" s="152" t="n">
        <v>0.0535</v>
      </c>
      <c r="T572" s="151"/>
      <c r="U572" s="152"/>
      <c r="V572" s="152" t="n">
        <v>0.056221</v>
      </c>
      <c r="W572" s="152" t="n">
        <v>0.001124</v>
      </c>
      <c r="X572" s="152" t="n">
        <v>0.004077</v>
      </c>
      <c r="Y572" s="152" t="n">
        <v>0.046922</v>
      </c>
      <c r="Z572" s="152" t="n">
        <v>0.002</v>
      </c>
      <c r="AA572" s="152" t="n">
        <v>0.002</v>
      </c>
      <c r="AB572" s="154" t="n">
        <f aca="false">S572-Z572</f>
        <v>0.0515</v>
      </c>
      <c r="AC572" s="154" t="n">
        <f aca="false">U572-Z572-AA572</f>
        <v>-0.004</v>
      </c>
      <c r="AD572" s="155" t="n">
        <v>0.0493</v>
      </c>
      <c r="AE572" s="153" t="n">
        <f aca="false">IF(Y572="","",Y572)</f>
        <v>0.046922</v>
      </c>
      <c r="AF572" s="153" t="n">
        <f aca="false">AD572-AE572</f>
        <v>0.002378</v>
      </c>
      <c r="AG572" s="184" t="n">
        <f aca="false">IF(AF572="","",AE572+AF572)</f>
        <v>0.0493</v>
      </c>
      <c r="AH572" s="185" t="n">
        <v>45056</v>
      </c>
      <c r="AI572" s="35" t="n">
        <v>3</v>
      </c>
      <c r="AJ572" s="19" t="str">
        <f aca="false">IF(AG572="","N","Y")</f>
        <v>Y</v>
      </c>
      <c r="AK572" s="361" t="s">
        <v>809</v>
      </c>
      <c r="AL572" s="361"/>
      <c r="AM572" s="361"/>
      <c r="AN572" s="361"/>
      <c r="AO572" s="361"/>
      <c r="AP572" s="361"/>
      <c r="AQ572" s="361"/>
      <c r="AR572" s="361"/>
    </row>
    <row r="573" customFormat="false" ht="21" hidden="false" customHeight="true" outlineLevel="0" collapsed="false">
      <c r="A573" s="19" t="n">
        <f aca="false">IF(B573="","",IF((YEAR(B573)-YEAR(B572))=0,A572+1,1))</f>
        <v>47</v>
      </c>
      <c r="B573" s="141" t="n">
        <v>45056</v>
      </c>
      <c r="C573" s="63" t="s">
        <v>209</v>
      </c>
      <c r="D573" s="63" t="s">
        <v>695</v>
      </c>
      <c r="E573" s="63" t="s">
        <v>735</v>
      </c>
      <c r="F573" s="63" t="s">
        <v>697</v>
      </c>
      <c r="G573" s="142" t="n">
        <v>45056</v>
      </c>
      <c r="H573" s="142" t="n">
        <v>45086</v>
      </c>
      <c r="I573" s="19" t="n">
        <f aca="false">H573-G573</f>
        <v>30</v>
      </c>
      <c r="J573" s="149" t="n">
        <f aca="false">TRUNC(I573/30,0)</f>
        <v>1</v>
      </c>
      <c r="K573" s="183" t="s">
        <v>95</v>
      </c>
      <c r="L573" s="146" t="n">
        <v>4.05</v>
      </c>
      <c r="M573" s="147" t="n">
        <v>4.6</v>
      </c>
      <c r="N573" s="148" t="s">
        <v>810</v>
      </c>
      <c r="O573" s="149" t="s">
        <v>255</v>
      </c>
      <c r="P573" s="150" t="n">
        <v>0.050543</v>
      </c>
      <c r="Q573" s="150" t="n">
        <v>0.0510571</v>
      </c>
      <c r="R573" s="151" t="s">
        <v>255</v>
      </c>
      <c r="S573" s="152" t="n">
        <v>0.0525</v>
      </c>
      <c r="T573" s="151"/>
      <c r="U573" s="152"/>
      <c r="V573" s="152" t="n">
        <v>0.054522</v>
      </c>
      <c r="W573" s="152" t="n">
        <v>0.00109</v>
      </c>
      <c r="X573" s="152" t="n">
        <v>0.004211</v>
      </c>
      <c r="Y573" s="152" t="n">
        <v>0.044832</v>
      </c>
      <c r="Z573" s="152" t="n">
        <v>0.002</v>
      </c>
      <c r="AA573" s="152" t="n">
        <v>0.002</v>
      </c>
      <c r="AB573" s="154" t="n">
        <f aca="false">S573-Z573</f>
        <v>0.0505</v>
      </c>
      <c r="AC573" s="154" t="n">
        <f aca="false">U573-Z573-AA573</f>
        <v>-0.004</v>
      </c>
      <c r="AD573" s="155" t="n">
        <v>0.0475</v>
      </c>
      <c r="AE573" s="153" t="n">
        <f aca="false">IF(Y573="","",Y573)</f>
        <v>0.044832</v>
      </c>
      <c r="AF573" s="153" t="n">
        <f aca="false">AD573-AE573</f>
        <v>0.002668</v>
      </c>
      <c r="AG573" s="184" t="n">
        <f aca="false">IF(AF573="","",AE573+AF573)</f>
        <v>0.0475</v>
      </c>
      <c r="AH573" s="185" t="n">
        <v>45056</v>
      </c>
      <c r="AI573" s="35" t="n">
        <v>2</v>
      </c>
      <c r="AJ573" s="19" t="str">
        <f aca="false">IF(AG573="","N","Y")</f>
        <v>Y</v>
      </c>
      <c r="AK573" s="361" t="s">
        <v>811</v>
      </c>
      <c r="AL573" s="361"/>
      <c r="AM573" s="361"/>
      <c r="AN573" s="361"/>
      <c r="AO573" s="361"/>
      <c r="AP573" s="361"/>
      <c r="AQ573" s="361"/>
      <c r="AR573" s="361"/>
    </row>
    <row r="574" customFormat="false" ht="21" hidden="false" customHeight="true" outlineLevel="0" collapsed="false">
      <c r="A574" s="19" t="n">
        <f aca="false">IF(B574="","",IF((YEAR(B574)-YEAR(B573))=0,A573+1,1))</f>
        <v>48</v>
      </c>
      <c r="B574" s="141" t="n">
        <v>45068</v>
      </c>
      <c r="C574" s="63" t="s">
        <v>691</v>
      </c>
      <c r="D574" s="63" t="s">
        <v>761</v>
      </c>
      <c r="E574" s="19"/>
      <c r="F574" s="63" t="s">
        <v>704</v>
      </c>
      <c r="G574" s="142" t="n">
        <v>45068</v>
      </c>
      <c r="H574" s="142" t="n">
        <v>45099</v>
      </c>
      <c r="I574" s="19" t="n">
        <f aca="false">H574-G574</f>
        <v>31</v>
      </c>
      <c r="J574" s="149" t="n">
        <f aca="false">TRUNC(I574/30,0)</f>
        <v>1</v>
      </c>
      <c r="K574" s="183" t="s">
        <v>95</v>
      </c>
      <c r="L574" s="146" t="n">
        <v>1.2</v>
      </c>
      <c r="M574" s="147" t="n">
        <v>4.64</v>
      </c>
      <c r="N574" s="148" t="s">
        <v>812</v>
      </c>
      <c r="O574" s="149" t="s">
        <v>255</v>
      </c>
      <c r="P574" s="150" t="n">
        <v>0.0509373</v>
      </c>
      <c r="Q574" s="150" t="n">
        <v>0.0513971</v>
      </c>
      <c r="R574" s="151" t="s">
        <v>255</v>
      </c>
      <c r="S574" s="152" t="n">
        <v>0.0533</v>
      </c>
      <c r="T574" s="151"/>
      <c r="U574" s="152"/>
      <c r="V574" s="152" t="n">
        <v>0.05484</v>
      </c>
      <c r="W574" s="152" t="n">
        <v>0.001097</v>
      </c>
      <c r="X574" s="152" t="n">
        <v>0.003523</v>
      </c>
      <c r="Y574" s="152" t="n">
        <v>0.045218</v>
      </c>
      <c r="Z574" s="152" t="n">
        <v>0.002</v>
      </c>
      <c r="AA574" s="152" t="n">
        <v>0.002</v>
      </c>
      <c r="AB574" s="154" t="n">
        <f aca="false">S574-Z574</f>
        <v>0.0513</v>
      </c>
      <c r="AC574" s="154" t="n">
        <f aca="false">U574-Z574-AA574</f>
        <v>-0.004</v>
      </c>
      <c r="AD574" s="155" t="n">
        <v>0.0485</v>
      </c>
      <c r="AE574" s="153" t="n">
        <f aca="false">IF(Y574="","",Y574)</f>
        <v>0.045218</v>
      </c>
      <c r="AF574" s="153" t="n">
        <f aca="false">AD574-AE574</f>
        <v>0.003282</v>
      </c>
      <c r="AG574" s="184" t="n">
        <f aca="false">IF(AF574="","",AE574+AF574)</f>
        <v>0.0485</v>
      </c>
      <c r="AH574" s="185" t="n">
        <v>45068</v>
      </c>
      <c r="AI574" s="35" t="n">
        <v>1</v>
      </c>
      <c r="AJ574" s="19" t="str">
        <f aca="false">IF(AG574="","N","Y")</f>
        <v>Y</v>
      </c>
      <c r="AK574" s="361" t="s">
        <v>813</v>
      </c>
      <c r="AL574" s="361"/>
      <c r="AM574" s="361"/>
      <c r="AN574" s="361"/>
      <c r="AO574" s="361"/>
      <c r="AP574" s="361"/>
      <c r="AQ574" s="361"/>
      <c r="AR574" s="361"/>
    </row>
    <row r="575" customFormat="false" ht="20.25" hidden="false" customHeight="true" outlineLevel="0" collapsed="false">
      <c r="A575" s="19" t="n">
        <f aca="false">IF(B575="","",IF((YEAR(B575)-YEAR(B574))=0,A574+1,1))</f>
        <v>49</v>
      </c>
      <c r="B575" s="141" t="n">
        <v>45069</v>
      </c>
      <c r="C575" s="63" t="s">
        <v>597</v>
      </c>
      <c r="D575" s="63" t="s">
        <v>814</v>
      </c>
      <c r="E575" s="63" t="s">
        <v>728</v>
      </c>
      <c r="F575" s="63" t="s">
        <v>815</v>
      </c>
      <c r="G575" s="142" t="n">
        <v>45069</v>
      </c>
      <c r="H575" s="142" t="n">
        <v>45161</v>
      </c>
      <c r="I575" s="19" t="n">
        <f aca="false">H575-G575</f>
        <v>92</v>
      </c>
      <c r="J575" s="149" t="n">
        <f aca="false">TRUNC(I575/30,0)</f>
        <v>3</v>
      </c>
      <c r="K575" s="183" t="s">
        <v>95</v>
      </c>
      <c r="L575" s="146" t="n">
        <v>25</v>
      </c>
      <c r="M575" s="147" t="n">
        <v>4.85</v>
      </c>
      <c r="N575" s="148" t="s">
        <v>816</v>
      </c>
      <c r="O575" s="149" t="s">
        <v>265</v>
      </c>
      <c r="P575" s="150" t="n">
        <v>0.0515085</v>
      </c>
      <c r="Q575" s="150" t="n">
        <v>0.0537471</v>
      </c>
      <c r="R575" s="151" t="s">
        <v>265</v>
      </c>
      <c r="S575" s="152" t="n">
        <v>0.0545</v>
      </c>
      <c r="T575" s="151"/>
      <c r="U575" s="152"/>
      <c r="V575" s="152" t="n">
        <v>0.057138</v>
      </c>
      <c r="W575" s="152" t="n">
        <v>0.001143</v>
      </c>
      <c r="X575" s="152" t="n">
        <v>0.002575</v>
      </c>
      <c r="Y575" s="152" t="n">
        <v>0.047578</v>
      </c>
      <c r="Z575" s="152" t="n">
        <v>0.002</v>
      </c>
      <c r="AA575" s="152" t="n">
        <v>0.002</v>
      </c>
      <c r="AB575" s="154" t="n">
        <f aca="false">S575-Z575</f>
        <v>0.0525</v>
      </c>
      <c r="AC575" s="154" t="n">
        <f aca="false">U575-Z575-AA575</f>
        <v>-0.004</v>
      </c>
      <c r="AD575" s="155" t="n">
        <v>0.0517</v>
      </c>
      <c r="AE575" s="153" t="n">
        <f aca="false">IF(Y575="","",Y575)</f>
        <v>0.047578</v>
      </c>
      <c r="AF575" s="153" t="n">
        <f aca="false">AD575-AE575</f>
        <v>0.004122</v>
      </c>
      <c r="AG575" s="184" t="n">
        <f aca="false">IF(AF575="","",AE575+AF575)</f>
        <v>0.0517</v>
      </c>
      <c r="AH575" s="185" t="n">
        <v>45069</v>
      </c>
      <c r="AI575" s="35" t="n">
        <v>1</v>
      </c>
      <c r="AJ575" s="19" t="str">
        <f aca="false">IF(AG575="","N","Y")</f>
        <v>Y</v>
      </c>
      <c r="AK575" s="352" t="s">
        <v>817</v>
      </c>
    </row>
    <row r="576" s="382" customFormat="true" ht="19.5" hidden="false" customHeight="true" outlineLevel="0" collapsed="false">
      <c r="A576" s="364" t="n">
        <f aca="false">IF(B576="","",IF((YEAR(B576)-YEAR(B575))=0,A575+1,1))</f>
        <v>50</v>
      </c>
      <c r="B576" s="363" t="n">
        <v>45082</v>
      </c>
      <c r="C576" s="364" t="s">
        <v>89</v>
      </c>
      <c r="D576" s="364" t="s">
        <v>805</v>
      </c>
      <c r="E576" s="364" t="s">
        <v>665</v>
      </c>
      <c r="F576" s="364" t="s">
        <v>654</v>
      </c>
      <c r="G576" s="365" t="n">
        <v>45080</v>
      </c>
      <c r="H576" s="365" t="n">
        <v>45110</v>
      </c>
      <c r="I576" s="364" t="n">
        <f aca="false">H576-G576</f>
        <v>30</v>
      </c>
      <c r="J576" s="366" t="n">
        <f aca="false">TRUNC(I576/30,0)</f>
        <v>1</v>
      </c>
      <c r="K576" s="367" t="s">
        <v>99</v>
      </c>
      <c r="L576" s="368" t="n">
        <v>12.4</v>
      </c>
      <c r="M576" s="369" t="n">
        <v>3.83</v>
      </c>
      <c r="N576" s="370" t="s">
        <v>818</v>
      </c>
      <c r="O576" s="366" t="s">
        <v>305</v>
      </c>
      <c r="P576" s="371" t="n">
        <v>0.0509255</v>
      </c>
      <c r="Q576" s="371"/>
      <c r="R576" s="372" t="s">
        <v>305</v>
      </c>
      <c r="S576" s="373" t="n">
        <v>0.0522</v>
      </c>
      <c r="T576" s="372"/>
      <c r="U576" s="373"/>
      <c r="V576" s="373" t="n">
        <v>0.059309</v>
      </c>
      <c r="W576" s="373" t="n">
        <v>0.004152</v>
      </c>
      <c r="X576" s="373" t="n">
        <v>0.012437</v>
      </c>
      <c r="Y576" s="373" t="n">
        <v>0.03906</v>
      </c>
      <c r="Z576" s="373" t="n">
        <v>0.002</v>
      </c>
      <c r="AA576" s="373" t="n">
        <v>0.002</v>
      </c>
      <c r="AB576" s="374" t="n">
        <f aca="false">S576-Z576</f>
        <v>0.0502</v>
      </c>
      <c r="AC576" s="374" t="n">
        <f aca="false">U576-Z576-AA576</f>
        <v>-0.004</v>
      </c>
      <c r="AD576" s="375" t="n">
        <v>0.041</v>
      </c>
      <c r="AE576" s="376" t="n">
        <f aca="false">IF(Y576="","",Y576)</f>
        <v>0.03906</v>
      </c>
      <c r="AF576" s="376" t="n">
        <f aca="false">AD576-AE576</f>
        <v>0.00194</v>
      </c>
      <c r="AG576" s="377" t="n">
        <f aca="false">IF(AF576="","",AE576+AF576)</f>
        <v>0.041</v>
      </c>
      <c r="AH576" s="378" t="n">
        <v>45082</v>
      </c>
      <c r="AI576" s="379" t="n">
        <v>1</v>
      </c>
      <c r="AJ576" s="380" t="str">
        <f aca="false">IF(AG576="","N","Y")</f>
        <v>Y</v>
      </c>
      <c r="AK576" s="381" t="s">
        <v>819</v>
      </c>
      <c r="AL576" s="381"/>
      <c r="AM576" s="381"/>
      <c r="AN576" s="381"/>
      <c r="AO576" s="381"/>
      <c r="AP576" s="381"/>
      <c r="AQ576" s="381"/>
      <c r="AR576" s="381"/>
    </row>
    <row r="577" customFormat="false" ht="21" hidden="false" customHeight="true" outlineLevel="0" collapsed="false">
      <c r="A577" s="19" t="n">
        <f aca="false">IF(B577="","",IF((YEAR(B577)-YEAR(B576))=0,A576+1,1))</f>
        <v>51</v>
      </c>
      <c r="B577" s="141" t="n">
        <v>45086</v>
      </c>
      <c r="C577" s="63" t="s">
        <v>209</v>
      </c>
      <c r="D577" s="63" t="s">
        <v>695</v>
      </c>
      <c r="E577" s="63" t="s">
        <v>735</v>
      </c>
      <c r="F577" s="63" t="s">
        <v>697</v>
      </c>
      <c r="G577" s="142" t="n">
        <v>45086</v>
      </c>
      <c r="H577" s="142" t="n">
        <v>45114</v>
      </c>
      <c r="I577" s="19" t="n">
        <f aca="false">H577-G577</f>
        <v>28</v>
      </c>
      <c r="J577" s="149" t="n">
        <f aca="false">TRUNC(I577/30,0)</f>
        <v>0</v>
      </c>
      <c r="K577" s="183" t="s">
        <v>95</v>
      </c>
      <c r="L577" s="146" t="n">
        <v>4.07</v>
      </c>
      <c r="M577" s="147" t="n">
        <v>4.71</v>
      </c>
      <c r="N577" s="148" t="s">
        <v>812</v>
      </c>
      <c r="O577" s="149" t="s">
        <v>255</v>
      </c>
      <c r="P577" s="150" t="n">
        <v>0.0514638</v>
      </c>
      <c r="Q577" s="150" t="n">
        <v>0.0522243</v>
      </c>
      <c r="R577" s="151" t="s">
        <v>255</v>
      </c>
      <c r="S577" s="152" t="n">
        <v>0.0542</v>
      </c>
      <c r="T577" s="151"/>
      <c r="U577" s="152"/>
      <c r="V577" s="152" t="n">
        <v>0.055272</v>
      </c>
      <c r="W577" s="152" t="n">
        <v>0.001105</v>
      </c>
      <c r="X577" s="152" t="n">
        <v>0.001946</v>
      </c>
      <c r="Y577" s="152" t="n">
        <v>0.045734</v>
      </c>
      <c r="Z577" s="152" t="n">
        <v>0.002</v>
      </c>
      <c r="AA577" s="152" t="n">
        <v>0.002</v>
      </c>
      <c r="AB577" s="154" t="n">
        <f aca="false">S577-Z577</f>
        <v>0.0522</v>
      </c>
      <c r="AC577" s="154" t="n">
        <f aca="false">U577-Z577-AA577</f>
        <v>-0.004</v>
      </c>
      <c r="AD577" s="155" t="n">
        <v>0.0505</v>
      </c>
      <c r="AE577" s="153" t="n">
        <f aca="false">IF(Y577="","",Y577)</f>
        <v>0.045734</v>
      </c>
      <c r="AF577" s="153" t="n">
        <f aca="false">AD577-AE577</f>
        <v>0.00476600000000001</v>
      </c>
      <c r="AG577" s="184" t="n">
        <f aca="false">IF(AF577="","",AE577+AF577)</f>
        <v>0.0505</v>
      </c>
      <c r="AH577" s="185" t="n">
        <v>45086</v>
      </c>
      <c r="AI577" s="35" t="n">
        <v>1</v>
      </c>
      <c r="AJ577" s="19" t="str">
        <f aca="false">IF(AG577="","N","Y")</f>
        <v>Y</v>
      </c>
      <c r="AK577" s="361" t="s">
        <v>820</v>
      </c>
      <c r="AL577" s="361"/>
      <c r="AM577" s="361"/>
      <c r="AN577" s="361"/>
      <c r="AO577" s="361"/>
      <c r="AP577" s="361"/>
      <c r="AQ577" s="361"/>
      <c r="AR577" s="361"/>
    </row>
    <row r="578" customFormat="false" ht="21" hidden="false" customHeight="true" outlineLevel="0" collapsed="false">
      <c r="A578" s="19" t="n">
        <f aca="false">IF(B578="","",IF((YEAR(B578)-YEAR(B577))=0,A577+1,1))</f>
        <v>52</v>
      </c>
      <c r="B578" s="141" t="n">
        <v>45086</v>
      </c>
      <c r="C578" s="63" t="s">
        <v>209</v>
      </c>
      <c r="D578" s="63" t="s">
        <v>695</v>
      </c>
      <c r="E578" s="63" t="s">
        <v>735</v>
      </c>
      <c r="F578" s="63" t="s">
        <v>697</v>
      </c>
      <c r="G578" s="142" t="n">
        <v>45086</v>
      </c>
      <c r="H578" s="142" t="n">
        <v>45114</v>
      </c>
      <c r="I578" s="19" t="n">
        <f aca="false">H578-G578</f>
        <v>28</v>
      </c>
      <c r="J578" s="149" t="n">
        <f aca="false">TRUNC(I578/30,0)</f>
        <v>0</v>
      </c>
      <c r="K578" s="183" t="s">
        <v>95</v>
      </c>
      <c r="L578" s="146" t="n">
        <v>1</v>
      </c>
      <c r="M578" s="147" t="n">
        <v>4.71</v>
      </c>
      <c r="N578" s="148" t="s">
        <v>812</v>
      </c>
      <c r="O578" s="149" t="s">
        <v>255</v>
      </c>
      <c r="P578" s="150" t="n">
        <v>0.0514638</v>
      </c>
      <c r="Q578" s="150" t="n">
        <v>0.0522243</v>
      </c>
      <c r="R578" s="151" t="s">
        <v>255</v>
      </c>
      <c r="S578" s="152" t="n">
        <v>0.0542</v>
      </c>
      <c r="T578" s="151"/>
      <c r="U578" s="152"/>
      <c r="V578" s="152" t="n">
        <v>0.055272</v>
      </c>
      <c r="W578" s="152" t="n">
        <v>0.001105</v>
      </c>
      <c r="X578" s="152" t="n">
        <v>0.001946</v>
      </c>
      <c r="Y578" s="152" t="n">
        <v>0.045734</v>
      </c>
      <c r="Z578" s="152" t="n">
        <v>0.002</v>
      </c>
      <c r="AA578" s="152" t="n">
        <v>0.002</v>
      </c>
      <c r="AB578" s="154" t="n">
        <f aca="false">S578-Z578</f>
        <v>0.0522</v>
      </c>
      <c r="AC578" s="154" t="n">
        <f aca="false">U578-Z578-AA578</f>
        <v>-0.004</v>
      </c>
      <c r="AD578" s="155" t="n">
        <v>0.0505</v>
      </c>
      <c r="AE578" s="153" t="n">
        <f aca="false">IF(Y578="","",Y578)</f>
        <v>0.045734</v>
      </c>
      <c r="AF578" s="153" t="n">
        <f aca="false">AD578-AE578</f>
        <v>0.00476600000000001</v>
      </c>
      <c r="AG578" s="184" t="n">
        <f aca="false">IF(AF578="","",AE578+AF578)</f>
        <v>0.0505</v>
      </c>
      <c r="AH578" s="185" t="n">
        <v>45086</v>
      </c>
      <c r="AI578" s="35" t="n">
        <v>2</v>
      </c>
      <c r="AJ578" s="19" t="str">
        <f aca="false">IF(AG578="","N","Y")</f>
        <v>Y</v>
      </c>
      <c r="AK578" s="361" t="s">
        <v>820</v>
      </c>
      <c r="AL578" s="361"/>
      <c r="AM578" s="361"/>
      <c r="AN578" s="361"/>
      <c r="AO578" s="361"/>
      <c r="AP578" s="361"/>
      <c r="AQ578" s="361"/>
      <c r="AR578" s="361"/>
    </row>
    <row r="579" customFormat="false" ht="16.5" hidden="false" customHeight="true" outlineLevel="0" collapsed="false">
      <c r="A579" s="19" t="n">
        <f aca="false">IF(B579="","",IF((YEAR(B579)-YEAR(B578))=0,A578+1,1))</f>
        <v>53</v>
      </c>
      <c r="B579" s="141" t="n">
        <v>45089</v>
      </c>
      <c r="C579" s="63" t="s">
        <v>96</v>
      </c>
      <c r="D579" s="63" t="s">
        <v>682</v>
      </c>
      <c r="E579" s="63" t="s">
        <v>759</v>
      </c>
      <c r="F579" s="63" t="s">
        <v>683</v>
      </c>
      <c r="G579" s="142" t="n">
        <v>45089</v>
      </c>
      <c r="H579" s="142" t="n">
        <v>45181</v>
      </c>
      <c r="I579" s="19" t="n">
        <f aca="false">H579-G579</f>
        <v>92</v>
      </c>
      <c r="J579" s="149" t="n">
        <f aca="false">TRUNC(I579/30,0)</f>
        <v>3</v>
      </c>
      <c r="K579" s="183" t="s">
        <v>95</v>
      </c>
      <c r="L579" s="146" t="n">
        <v>2</v>
      </c>
      <c r="M579" s="147" t="n">
        <v>4.95</v>
      </c>
      <c r="N579" s="148" t="s">
        <v>821</v>
      </c>
      <c r="O579" s="149" t="s">
        <v>265</v>
      </c>
      <c r="P579" s="150" t="n">
        <v>0.0524154</v>
      </c>
      <c r="Q579" s="150" t="n">
        <v>0.054443</v>
      </c>
      <c r="R579" s="151" t="s">
        <v>265</v>
      </c>
      <c r="S579" s="152" t="n">
        <v>0.0545</v>
      </c>
      <c r="T579" s="151"/>
      <c r="U579" s="152"/>
      <c r="V579" s="152" t="n">
        <v>0.058014</v>
      </c>
      <c r="W579" s="152" t="n">
        <v>0.00116</v>
      </c>
      <c r="X579" s="152" t="n">
        <v>0.004133</v>
      </c>
      <c r="Y579" s="152" t="n">
        <v>0.048467</v>
      </c>
      <c r="Z579" s="152" t="n">
        <v>0.002</v>
      </c>
      <c r="AA579" s="152" t="n">
        <v>0.002</v>
      </c>
      <c r="AB579" s="154" t="n">
        <f aca="false">S579-Z579</f>
        <v>0.0525</v>
      </c>
      <c r="AC579" s="154" t="n">
        <f aca="false">U579-Z579-AA579</f>
        <v>-0.004</v>
      </c>
      <c r="AD579" s="155" t="n">
        <v>0.051</v>
      </c>
      <c r="AE579" s="153" t="n">
        <f aca="false">IF(Y579="","",Y579)</f>
        <v>0.048467</v>
      </c>
      <c r="AF579" s="153" t="n">
        <f aca="false">AD579-AE579</f>
        <v>0.00253299999999999</v>
      </c>
      <c r="AG579" s="184" t="n">
        <f aca="false">IF(AF579="","",AE579+AF579)</f>
        <v>0.051</v>
      </c>
      <c r="AH579" s="185" t="n">
        <v>45089</v>
      </c>
      <c r="AI579" s="35" t="n">
        <v>2</v>
      </c>
      <c r="AJ579" s="19" t="str">
        <f aca="false">IF(AG579="","N","Y")</f>
        <v>Y</v>
      </c>
      <c r="AK579" s="361" t="s">
        <v>822</v>
      </c>
      <c r="AL579" s="361"/>
      <c r="AM579" s="361"/>
      <c r="AN579" s="361"/>
      <c r="AO579" s="361"/>
      <c r="AP579" s="361"/>
      <c r="AQ579" s="361"/>
      <c r="AR579" s="361"/>
    </row>
    <row r="580" customFormat="false" ht="21" hidden="false" customHeight="true" outlineLevel="0" collapsed="false">
      <c r="A580" s="19" t="n">
        <f aca="false">IF(B580="","",IF((YEAR(B580)-YEAR(B579))=0,A579+1,1))</f>
        <v>54</v>
      </c>
      <c r="B580" s="141" t="n">
        <v>45098</v>
      </c>
      <c r="C580" s="63" t="s">
        <v>691</v>
      </c>
      <c r="D580" s="63" t="s">
        <v>761</v>
      </c>
      <c r="E580" s="19"/>
      <c r="F580" s="63" t="s">
        <v>704</v>
      </c>
      <c r="G580" s="142" t="n">
        <v>45098</v>
      </c>
      <c r="H580" s="142" t="n">
        <v>45128</v>
      </c>
      <c r="I580" s="19" t="n">
        <f aca="false">H580-G580</f>
        <v>30</v>
      </c>
      <c r="J580" s="149" t="n">
        <f aca="false">TRUNC(I580/30,0)</f>
        <v>1</v>
      </c>
      <c r="K580" s="183" t="s">
        <v>95</v>
      </c>
      <c r="L580" s="146" t="n">
        <v>1.3</v>
      </c>
      <c r="M580" s="147" t="n">
        <v>4.64</v>
      </c>
      <c r="N580" s="148" t="s">
        <v>823</v>
      </c>
      <c r="O580" s="149" t="s">
        <v>255</v>
      </c>
      <c r="P580" s="150" t="n">
        <v>0.0507713</v>
      </c>
      <c r="Q580" s="150" t="n">
        <v>0.0515414</v>
      </c>
      <c r="R580" s="151" t="s">
        <v>255</v>
      </c>
      <c r="S580" s="152" t="n">
        <v>0.0538</v>
      </c>
      <c r="T580" s="151"/>
      <c r="U580" s="152"/>
      <c r="V580" s="152" t="n">
        <v>0.054732</v>
      </c>
      <c r="W580" s="152" t="n">
        <v>0.001095</v>
      </c>
      <c r="X580" s="152" t="n">
        <v>0.002917</v>
      </c>
      <c r="Y580" s="152" t="n">
        <v>0.045055</v>
      </c>
      <c r="Z580" s="152" t="n">
        <v>0.002</v>
      </c>
      <c r="AA580" s="152" t="n">
        <v>0.002</v>
      </c>
      <c r="AB580" s="154" t="n">
        <f aca="false">S580-Z580</f>
        <v>0.0518</v>
      </c>
      <c r="AC580" s="154" t="n">
        <f aca="false">U580-Z580-AA580</f>
        <v>-0.004</v>
      </c>
      <c r="AD580" s="155" t="n">
        <v>0.049</v>
      </c>
      <c r="AE580" s="153" t="n">
        <f aca="false">IF(Y580="","",Y580)</f>
        <v>0.045055</v>
      </c>
      <c r="AF580" s="153" t="n">
        <f aca="false">AD580-AE580</f>
        <v>0.003945</v>
      </c>
      <c r="AG580" s="184" t="n">
        <f aca="false">IF(AF580="","",AE580+AF580)</f>
        <v>0.049</v>
      </c>
      <c r="AH580" s="185" t="n">
        <v>45098</v>
      </c>
      <c r="AI580" s="35" t="n">
        <v>3</v>
      </c>
      <c r="AJ580" s="19" t="str">
        <f aca="false">IF(AG580="","N","Y")</f>
        <v>Y</v>
      </c>
      <c r="AK580" s="361" t="s">
        <v>824</v>
      </c>
      <c r="AL580" s="361"/>
      <c r="AM580" s="361"/>
      <c r="AN580" s="361"/>
      <c r="AO580" s="361"/>
      <c r="AP580" s="361"/>
      <c r="AQ580" s="361"/>
      <c r="AR580" s="361"/>
    </row>
    <row r="581" customFormat="false" ht="21" hidden="false" customHeight="true" outlineLevel="0" collapsed="false">
      <c r="A581" s="19" t="n">
        <f aca="false">IF(B581="","",IF((YEAR(B581)-YEAR(B580))=0,A580+1,1))</f>
        <v>55</v>
      </c>
      <c r="B581" s="141" t="n">
        <v>45099</v>
      </c>
      <c r="C581" s="63" t="s">
        <v>691</v>
      </c>
      <c r="D581" s="63" t="s">
        <v>761</v>
      </c>
      <c r="E581" s="19"/>
      <c r="F581" s="63" t="s">
        <v>704</v>
      </c>
      <c r="G581" s="142" t="n">
        <v>45099</v>
      </c>
      <c r="H581" s="142" t="n">
        <v>45131</v>
      </c>
      <c r="I581" s="19" t="n">
        <f aca="false">H581-G581</f>
        <v>32</v>
      </c>
      <c r="J581" s="149" t="n">
        <f aca="false">TRUNC(I581/30,0)</f>
        <v>1</v>
      </c>
      <c r="K581" s="183" t="s">
        <v>95</v>
      </c>
      <c r="L581" s="146" t="n">
        <v>1.22</v>
      </c>
      <c r="M581" s="147" t="n">
        <v>4.64</v>
      </c>
      <c r="N581" s="148" t="s">
        <v>823</v>
      </c>
      <c r="O581" s="149" t="s">
        <v>255</v>
      </c>
      <c r="P581" s="150" t="n">
        <v>0.0508247</v>
      </c>
      <c r="Q581" s="150"/>
      <c r="R581" s="151" t="s">
        <v>255</v>
      </c>
      <c r="S581" s="152" t="n">
        <v>0.0538</v>
      </c>
      <c r="T581" s="151"/>
      <c r="U581" s="152"/>
      <c r="V581" s="152" t="n">
        <v>0.054739</v>
      </c>
      <c r="W581" s="152" t="n">
        <v>0.001095</v>
      </c>
      <c r="X581" s="152" t="n">
        <v>0.002924</v>
      </c>
      <c r="Y581" s="152" t="n">
        <v>0.045108</v>
      </c>
      <c r="Z581" s="152" t="n">
        <v>0.002</v>
      </c>
      <c r="AA581" s="152" t="n">
        <v>0.002</v>
      </c>
      <c r="AB581" s="154" t="n">
        <f aca="false">S581-Z581</f>
        <v>0.0518</v>
      </c>
      <c r="AC581" s="154" t="n">
        <f aca="false">U581-Z581-AA581</f>
        <v>-0.004</v>
      </c>
      <c r="AD581" s="155" t="n">
        <v>0.049</v>
      </c>
      <c r="AE581" s="153" t="n">
        <f aca="false">IF(Y581="","",Y581)</f>
        <v>0.045108</v>
      </c>
      <c r="AF581" s="153" t="n">
        <f aca="false">AD581-AE581</f>
        <v>0.003892</v>
      </c>
      <c r="AG581" s="184" t="n">
        <f aca="false">IF(AF581="","",AE581+AF581)</f>
        <v>0.049</v>
      </c>
      <c r="AH581" s="185" t="n">
        <v>45099</v>
      </c>
      <c r="AI581" s="35" t="n">
        <v>1</v>
      </c>
      <c r="AJ581" s="19" t="str">
        <f aca="false">IF(AG581="","N","Y")</f>
        <v>Y</v>
      </c>
      <c r="AK581" s="361" t="s">
        <v>825</v>
      </c>
      <c r="AL581" s="361"/>
      <c r="AM581" s="361"/>
      <c r="AN581" s="361"/>
      <c r="AO581" s="361"/>
      <c r="AP581" s="361"/>
      <c r="AQ581" s="361"/>
      <c r="AR581" s="361"/>
    </row>
    <row r="582" s="38" customFormat="true" ht="23.25" hidden="false" customHeight="true" outlineLevel="0" collapsed="false">
      <c r="A582" s="19" t="n">
        <f aca="false">IF(B582="","",IF((YEAR(B582)-YEAR(B581))=0,A581+1,1))</f>
        <v>56</v>
      </c>
      <c r="B582" s="141" t="n">
        <v>45104</v>
      </c>
      <c r="C582" s="63" t="s">
        <v>100</v>
      </c>
      <c r="D582" s="63" t="s">
        <v>625</v>
      </c>
      <c r="E582" s="19"/>
      <c r="F582" s="63" t="s">
        <v>826</v>
      </c>
      <c r="G582" s="142" t="n">
        <v>45104</v>
      </c>
      <c r="H582" s="142" t="n">
        <v>45117</v>
      </c>
      <c r="I582" s="19" t="n">
        <f aca="false">H582-G582</f>
        <v>13</v>
      </c>
      <c r="J582" s="100" t="n">
        <f aca="false">TRUNC(I582/30,0)</f>
        <v>0</v>
      </c>
      <c r="K582" s="183" t="s">
        <v>95</v>
      </c>
      <c r="L582" s="146" t="n">
        <v>30</v>
      </c>
      <c r="M582" s="147" t="n">
        <v>4.34</v>
      </c>
      <c r="N582" s="148" t="s">
        <v>827</v>
      </c>
      <c r="O582" s="149"/>
      <c r="P582" s="149"/>
      <c r="Q582" s="150"/>
      <c r="R582" s="151"/>
      <c r="S582" s="152" t="n">
        <v>0.0535</v>
      </c>
      <c r="T582" s="151"/>
      <c r="U582" s="152"/>
      <c r="V582" s="152" t="n">
        <v>0.053448</v>
      </c>
      <c r="W582" s="152" t="n">
        <v>0.001069</v>
      </c>
      <c r="X582" s="152" t="n">
        <v>0.002159</v>
      </c>
      <c r="Y582" s="153" t="n">
        <v>0.040736</v>
      </c>
      <c r="Z582" s="152" t="n">
        <v>0.002</v>
      </c>
      <c r="AA582" s="152" t="n">
        <v>0.002</v>
      </c>
      <c r="AB582" s="154" t="n">
        <f aca="false">S582-Z582</f>
        <v>0.0515</v>
      </c>
      <c r="AC582" s="154" t="n">
        <f aca="false">U582-Z582-AA582</f>
        <v>-0.004</v>
      </c>
      <c r="AD582" s="155" t="n">
        <v>0.0485</v>
      </c>
      <c r="AE582" s="156" t="n">
        <f aca="false">IF(Y582="","",Y582)</f>
        <v>0.040736</v>
      </c>
      <c r="AF582" s="153" t="n">
        <f aca="false">AD582-AE582</f>
        <v>0.007764</v>
      </c>
      <c r="AG582" s="184" t="n">
        <f aca="false">IF(AF582="","",AE582+AF582)</f>
        <v>0.0485</v>
      </c>
      <c r="AH582" s="185" t="n">
        <v>45104</v>
      </c>
      <c r="AI582" s="35" t="n">
        <v>1</v>
      </c>
      <c r="AJ582" s="19" t="str">
        <f aca="false">IF(AG582="","N","Y")</f>
        <v>Y</v>
      </c>
      <c r="AK582" s="352" t="s">
        <v>828</v>
      </c>
      <c r="AL582" s="232" t="s">
        <v>235</v>
      </c>
    </row>
    <row r="583" s="38" customFormat="true" ht="41.25" hidden="false" customHeight="true" outlineLevel="0" collapsed="false">
      <c r="A583" s="19" t="n">
        <f aca="false">IF(B583="","",IF((YEAR(B583)-YEAR(B582))=0,A582+1,1))</f>
        <v>57</v>
      </c>
      <c r="B583" s="141" t="n">
        <v>45104</v>
      </c>
      <c r="C583" s="63" t="s">
        <v>100</v>
      </c>
      <c r="D583" s="63" t="s">
        <v>625</v>
      </c>
      <c r="E583" s="19"/>
      <c r="F583" s="63" t="s">
        <v>826</v>
      </c>
      <c r="G583" s="142" t="n">
        <v>45104</v>
      </c>
      <c r="H583" s="142" t="n">
        <v>45128</v>
      </c>
      <c r="I583" s="19" t="n">
        <f aca="false">H583-G583</f>
        <v>24</v>
      </c>
      <c r="J583" s="100" t="n">
        <f aca="false">TRUNC(I583/30,0)</f>
        <v>0</v>
      </c>
      <c r="K583" s="183" t="s">
        <v>95</v>
      </c>
      <c r="L583" s="146" t="n">
        <v>20</v>
      </c>
      <c r="M583" s="147"/>
      <c r="N583" s="148"/>
      <c r="O583" s="149"/>
      <c r="P583" s="149"/>
      <c r="Q583" s="150"/>
      <c r="R583" s="151"/>
      <c r="S583" s="152" t="n">
        <v>0.053</v>
      </c>
      <c r="T583" s="151"/>
      <c r="U583" s="152"/>
      <c r="V583" s="152" t="n">
        <v>0.054325</v>
      </c>
      <c r="W583" s="152" t="n">
        <v>0.001087</v>
      </c>
      <c r="X583" s="152" t="n">
        <v>0.002519</v>
      </c>
      <c r="Y583" s="153" t="n">
        <v>0.040736</v>
      </c>
      <c r="Z583" s="152" t="n">
        <v>0.002</v>
      </c>
      <c r="AA583" s="152" t="n">
        <v>0.002</v>
      </c>
      <c r="AB583" s="154" t="n">
        <f aca="false">S583-Z583</f>
        <v>0.051</v>
      </c>
      <c r="AC583" s="154" t="n">
        <f aca="false">U583-Z583-AA583</f>
        <v>-0.004</v>
      </c>
      <c r="AD583" s="155" t="n">
        <v>0.049</v>
      </c>
      <c r="AE583" s="156" t="n">
        <f aca="false">IF(Y583="","",Y583)</f>
        <v>0.040736</v>
      </c>
      <c r="AF583" s="153" t="n">
        <f aca="false">AD583-AE583</f>
        <v>0.008264</v>
      </c>
      <c r="AG583" s="184" t="n">
        <f aca="false">IF(AF583="","",AE583+AF583)</f>
        <v>0.049</v>
      </c>
      <c r="AH583" s="185" t="n">
        <v>45104</v>
      </c>
      <c r="AI583" s="35" t="n">
        <v>2</v>
      </c>
      <c r="AJ583" s="19" t="str">
        <f aca="false">IF(AG583="","N","Y")</f>
        <v>Y</v>
      </c>
      <c r="AK583" s="389" t="s">
        <v>829</v>
      </c>
      <c r="AL583" s="232" t="s">
        <v>235</v>
      </c>
    </row>
    <row r="584" customFormat="false" ht="21" hidden="false" customHeight="true" outlineLevel="0" collapsed="false">
      <c r="A584" s="19" t="n">
        <f aca="false">IF(B584="","",IF((YEAR(B584)-YEAR(B583))=0,A583+1,1))</f>
        <v>58</v>
      </c>
      <c r="B584" s="141" t="n">
        <v>45113</v>
      </c>
      <c r="C584" s="63" t="s">
        <v>209</v>
      </c>
      <c r="D584" s="63" t="s">
        <v>695</v>
      </c>
      <c r="E584" s="63" t="s">
        <v>830</v>
      </c>
      <c r="F584" s="63" t="s">
        <v>697</v>
      </c>
      <c r="G584" s="142" t="n">
        <v>45113</v>
      </c>
      <c r="H584" s="142" t="n">
        <v>45145</v>
      </c>
      <c r="I584" s="19" t="n">
        <f aca="false">H584-G584</f>
        <v>32</v>
      </c>
      <c r="J584" s="149" t="n">
        <f aca="false">TRUNC(I584/30,0)</f>
        <v>1</v>
      </c>
      <c r="K584" s="183" t="s">
        <v>95</v>
      </c>
      <c r="L584" s="146" t="n">
        <v>1</v>
      </c>
      <c r="M584" s="147" t="n">
        <v>4.7</v>
      </c>
      <c r="N584" s="148" t="s">
        <v>831</v>
      </c>
      <c r="O584" s="149" t="s">
        <v>255</v>
      </c>
      <c r="P584" s="150" t="n">
        <v>0.0514533</v>
      </c>
      <c r="Q584" s="150"/>
      <c r="R584" s="151" t="s">
        <v>255</v>
      </c>
      <c r="S584" s="152" t="n">
        <v>0.0533</v>
      </c>
      <c r="T584" s="151"/>
      <c r="U584" s="152"/>
      <c r="V584" s="152" t="n">
        <v>0.055496</v>
      </c>
      <c r="W584" s="152" t="n">
        <v>0.00111</v>
      </c>
      <c r="X584" s="152" t="n">
        <v>0.003166</v>
      </c>
      <c r="Y584" s="152" t="n">
        <v>0.045724</v>
      </c>
      <c r="Z584" s="152" t="n">
        <v>0.002</v>
      </c>
      <c r="AA584" s="152" t="n">
        <v>0.002</v>
      </c>
      <c r="AB584" s="154" t="n">
        <f aca="false">S584-Z584</f>
        <v>0.0513</v>
      </c>
      <c r="AC584" s="154" t="n">
        <f aca="false">U584-Z584-AA584</f>
        <v>-0.004</v>
      </c>
      <c r="AD584" s="155" t="n">
        <v>0.0495</v>
      </c>
      <c r="AE584" s="153" t="n">
        <f aca="false">IF(Y584="","",Y584)</f>
        <v>0.045724</v>
      </c>
      <c r="AF584" s="153" t="n">
        <f aca="false">AD584-AE584</f>
        <v>0.003776</v>
      </c>
      <c r="AG584" s="184" t="n">
        <f aca="false">IF(AF584="","",AE584+AF584)</f>
        <v>0.0495</v>
      </c>
      <c r="AH584" s="185" t="n">
        <v>45113</v>
      </c>
      <c r="AI584" s="35" t="n">
        <v>1</v>
      </c>
      <c r="AJ584" s="19" t="str">
        <f aca="false">IF(AG584="","N","Y")</f>
        <v>Y</v>
      </c>
      <c r="AK584" s="361" t="s">
        <v>832</v>
      </c>
      <c r="AL584" s="361"/>
      <c r="AM584" s="361"/>
      <c r="AN584" s="361"/>
      <c r="AO584" s="361"/>
      <c r="AP584" s="361"/>
      <c r="AQ584" s="361"/>
      <c r="AR584" s="361"/>
    </row>
    <row r="585" customFormat="false" ht="21" hidden="false" customHeight="true" outlineLevel="0" collapsed="false">
      <c r="A585" s="19" t="n">
        <f aca="false">IF(B585="","",IF((YEAR(B585)-YEAR(B584))=0,A584+1,1))</f>
        <v>59</v>
      </c>
      <c r="B585" s="141" t="n">
        <v>45114</v>
      </c>
      <c r="C585" s="63" t="s">
        <v>209</v>
      </c>
      <c r="D585" s="63" t="s">
        <v>695</v>
      </c>
      <c r="E585" s="63" t="s">
        <v>735</v>
      </c>
      <c r="F585" s="63" t="s">
        <v>697</v>
      </c>
      <c r="G585" s="142" t="n">
        <v>45114</v>
      </c>
      <c r="H585" s="142" t="n">
        <v>45145</v>
      </c>
      <c r="I585" s="19" t="n">
        <f aca="false">H585-G585</f>
        <v>31</v>
      </c>
      <c r="J585" s="149" t="n">
        <f aca="false">TRUNC(I585/30,0)</f>
        <v>1</v>
      </c>
      <c r="K585" s="183" t="s">
        <v>95</v>
      </c>
      <c r="L585" s="146" t="n">
        <v>4.08</v>
      </c>
      <c r="M585" s="147" t="n">
        <v>4.71</v>
      </c>
      <c r="N585" s="148" t="s">
        <v>833</v>
      </c>
      <c r="O585" s="149" t="s">
        <v>255</v>
      </c>
      <c r="P585" s="150" t="n">
        <v>0.0516479</v>
      </c>
      <c r="Q585" s="150"/>
      <c r="R585" s="151" t="s">
        <v>255</v>
      </c>
      <c r="S585" s="152" t="n">
        <v>0.053</v>
      </c>
      <c r="T585" s="151"/>
      <c r="U585" s="152"/>
      <c r="V585" s="152" t="n">
        <v>0.05548</v>
      </c>
      <c r="W585" s="152" t="n">
        <v>0.00111</v>
      </c>
      <c r="X585" s="152" t="n">
        <v>0.00315</v>
      </c>
      <c r="Y585" s="152" t="n">
        <v>0.045914</v>
      </c>
      <c r="Z585" s="152" t="n">
        <v>0.002</v>
      </c>
      <c r="AA585" s="152" t="n">
        <v>0.002</v>
      </c>
      <c r="AB585" s="154" t="n">
        <f aca="false">S585-Z585</f>
        <v>0.051</v>
      </c>
      <c r="AC585" s="154" t="n">
        <f aca="false">U585-Z585-AA585</f>
        <v>-0.004</v>
      </c>
      <c r="AD585" s="155" t="n">
        <v>0.0495</v>
      </c>
      <c r="AE585" s="153" t="n">
        <f aca="false">IF(Y585="","",Y585)</f>
        <v>0.045914</v>
      </c>
      <c r="AF585" s="153" t="n">
        <f aca="false">AD585-AE585</f>
        <v>0.003586</v>
      </c>
      <c r="AG585" s="184" t="n">
        <f aca="false">IF(AF585="","",AE585+AF585)</f>
        <v>0.0495</v>
      </c>
      <c r="AH585" s="185" t="n">
        <v>45114</v>
      </c>
      <c r="AI585" s="35" t="n">
        <v>1</v>
      </c>
      <c r="AJ585" s="19" t="str">
        <f aca="false">IF(AG585="","N","Y")</f>
        <v>Y</v>
      </c>
      <c r="AK585" s="361" t="s">
        <v>834</v>
      </c>
      <c r="AL585" s="361"/>
      <c r="AM585" s="361"/>
      <c r="AN585" s="361"/>
      <c r="AO585" s="361"/>
      <c r="AP585" s="361"/>
      <c r="AQ585" s="361"/>
      <c r="AR585" s="361"/>
    </row>
    <row r="586" customFormat="false" ht="21" hidden="false" customHeight="true" outlineLevel="0" collapsed="false">
      <c r="A586" s="19" t="n">
        <f aca="false">IF(B586="","",IF((YEAR(B586)-YEAR(B585))=0,A585+1,1))</f>
        <v>60</v>
      </c>
      <c r="B586" s="141" t="n">
        <v>45114</v>
      </c>
      <c r="C586" s="63" t="s">
        <v>209</v>
      </c>
      <c r="D586" s="63" t="s">
        <v>695</v>
      </c>
      <c r="E586" s="63" t="s">
        <v>735</v>
      </c>
      <c r="F586" s="63" t="s">
        <v>697</v>
      </c>
      <c r="G586" s="142" t="n">
        <v>45114</v>
      </c>
      <c r="H586" s="142" t="n">
        <v>45145</v>
      </c>
      <c r="I586" s="19" t="n">
        <f aca="false">H586-G586</f>
        <v>31</v>
      </c>
      <c r="J586" s="149" t="n">
        <f aca="false">TRUNC(I586/30,0)</f>
        <v>1</v>
      </c>
      <c r="K586" s="183" t="s">
        <v>95</v>
      </c>
      <c r="L586" s="146" t="n">
        <v>1</v>
      </c>
      <c r="M586" s="147" t="n">
        <v>4.71</v>
      </c>
      <c r="N586" s="148" t="s">
        <v>833</v>
      </c>
      <c r="O586" s="149" t="s">
        <v>255</v>
      </c>
      <c r="P586" s="150" t="n">
        <v>0.0516479</v>
      </c>
      <c r="Q586" s="150"/>
      <c r="R586" s="151" t="s">
        <v>255</v>
      </c>
      <c r="S586" s="152" t="n">
        <v>0.053</v>
      </c>
      <c r="T586" s="151"/>
      <c r="U586" s="152"/>
      <c r="V586" s="152" t="n">
        <v>0.05548</v>
      </c>
      <c r="W586" s="152" t="n">
        <v>0.00111</v>
      </c>
      <c r="X586" s="152" t="n">
        <v>0.00315</v>
      </c>
      <c r="Y586" s="152" t="n">
        <v>0.045914</v>
      </c>
      <c r="Z586" s="152" t="n">
        <v>0.002</v>
      </c>
      <c r="AA586" s="152" t="n">
        <v>0.002</v>
      </c>
      <c r="AB586" s="154" t="n">
        <f aca="false">S586-Z586</f>
        <v>0.051</v>
      </c>
      <c r="AC586" s="154" t="n">
        <f aca="false">U586-Z586-AA586</f>
        <v>-0.004</v>
      </c>
      <c r="AD586" s="155" t="n">
        <v>0.0495</v>
      </c>
      <c r="AE586" s="153" t="n">
        <f aca="false">IF(Y586="","",Y586)</f>
        <v>0.045914</v>
      </c>
      <c r="AF586" s="153" t="n">
        <f aca="false">AD586-AE586</f>
        <v>0.003586</v>
      </c>
      <c r="AG586" s="184" t="n">
        <f aca="false">IF(AF586="","",AE586+AF586)</f>
        <v>0.0495</v>
      </c>
      <c r="AH586" s="185" t="n">
        <v>45114</v>
      </c>
      <c r="AI586" s="35" t="n">
        <v>2</v>
      </c>
      <c r="AJ586" s="19" t="str">
        <f aca="false">IF(AG586="","N","Y")</f>
        <v>Y</v>
      </c>
      <c r="AK586" s="361" t="s">
        <v>834</v>
      </c>
      <c r="AL586" s="361"/>
      <c r="AM586" s="361"/>
      <c r="AN586" s="361"/>
      <c r="AO586" s="361"/>
      <c r="AP586" s="361"/>
      <c r="AQ586" s="361"/>
      <c r="AR586" s="361"/>
    </row>
    <row r="587" s="38" customFormat="true" ht="20.25" hidden="false" customHeight="true" outlineLevel="0" collapsed="false">
      <c r="A587" s="19" t="n">
        <f aca="false">IF(B587="","",IF((YEAR(B587)-YEAR(B586))=0,A586+1,1))</f>
        <v>61</v>
      </c>
      <c r="B587" s="141" t="n">
        <v>45117</v>
      </c>
      <c r="C587" s="63" t="s">
        <v>691</v>
      </c>
      <c r="D587" s="63" t="s">
        <v>761</v>
      </c>
      <c r="E587" s="19"/>
      <c r="F587" s="63" t="s">
        <v>692</v>
      </c>
      <c r="G587" s="142" t="n">
        <v>45117</v>
      </c>
      <c r="H587" s="142" t="n">
        <v>45148</v>
      </c>
      <c r="I587" s="19" t="n">
        <f aca="false">H587-G587</f>
        <v>31</v>
      </c>
      <c r="J587" s="149" t="n">
        <f aca="false">TRUNC(I587/30,0)</f>
        <v>1</v>
      </c>
      <c r="K587" s="183" t="s">
        <v>95</v>
      </c>
      <c r="L587" s="146" t="n">
        <v>1.5</v>
      </c>
      <c r="M587" s="147" t="n">
        <v>4.66</v>
      </c>
      <c r="N587" s="148" t="s">
        <v>835</v>
      </c>
      <c r="O587" s="149" t="s">
        <v>255</v>
      </c>
      <c r="P587" s="150" t="n">
        <v>0.05177</v>
      </c>
      <c r="Q587" s="150"/>
      <c r="R587" s="151" t="s">
        <v>255</v>
      </c>
      <c r="S587" s="152" t="n">
        <v>0.053</v>
      </c>
      <c r="T587" s="151"/>
      <c r="U587" s="152"/>
      <c r="V587" s="152" t="n">
        <v>0.055674</v>
      </c>
      <c r="W587" s="152" t="n">
        <v>0.001113</v>
      </c>
      <c r="X587" s="152" t="n">
        <v>0.00384</v>
      </c>
      <c r="Y587" s="152" t="n">
        <v>0.046034</v>
      </c>
      <c r="Z587" s="152" t="n">
        <v>0.002</v>
      </c>
      <c r="AA587" s="152" t="n">
        <v>0.002</v>
      </c>
      <c r="AB587" s="154" t="n">
        <f aca="false">S587-Z587</f>
        <v>0.051</v>
      </c>
      <c r="AC587" s="154" t="n">
        <f aca="false">U587-Z587-AA587</f>
        <v>-0.004</v>
      </c>
      <c r="AD587" s="155" t="n">
        <v>0.049</v>
      </c>
      <c r="AE587" s="153" t="n">
        <f aca="false">IF(Y587="","",Y587)</f>
        <v>0.046034</v>
      </c>
      <c r="AF587" s="153" t="n">
        <f aca="false">AD587-AE587</f>
        <v>0.002966</v>
      </c>
      <c r="AG587" s="184" t="n">
        <f aca="false">IF(AF587="","",AE587+AF587)</f>
        <v>0.049</v>
      </c>
      <c r="AH587" s="185" t="n">
        <v>45117</v>
      </c>
      <c r="AI587" s="35" t="n">
        <v>1</v>
      </c>
      <c r="AJ587" s="19" t="str">
        <f aca="false">IF(AG587="","N","Y")</f>
        <v>Y</v>
      </c>
      <c r="AK587" s="361" t="s">
        <v>836</v>
      </c>
      <c r="AL587" s="361"/>
      <c r="AM587" s="361"/>
      <c r="AN587" s="361"/>
      <c r="AO587" s="361"/>
      <c r="AP587" s="361"/>
      <c r="AQ587" s="361"/>
      <c r="AR587" s="361"/>
    </row>
    <row r="588" customFormat="false" ht="20.25" hidden="false" customHeight="true" outlineLevel="0" collapsed="false">
      <c r="A588" s="19" t="n">
        <v>62</v>
      </c>
      <c r="B588" s="141" t="n">
        <v>45118</v>
      </c>
      <c r="C588" s="364" t="s">
        <v>89</v>
      </c>
      <c r="D588" s="364" t="s">
        <v>837</v>
      </c>
      <c r="E588" s="364" t="s">
        <v>665</v>
      </c>
      <c r="F588" s="390" t="s">
        <v>195</v>
      </c>
      <c r="G588" s="142" t="n">
        <v>45111</v>
      </c>
      <c r="H588" s="142" t="n">
        <v>45141</v>
      </c>
      <c r="I588" s="19" t="n">
        <f aca="false">H588-G588</f>
        <v>30</v>
      </c>
      <c r="J588" s="149" t="n">
        <f aca="false">TRUNC(I588/30,0)</f>
        <v>1</v>
      </c>
      <c r="K588" s="367" t="s">
        <v>99</v>
      </c>
      <c r="L588" s="146" t="n">
        <v>12.6</v>
      </c>
      <c r="M588" s="147" t="n">
        <v>4.43</v>
      </c>
      <c r="N588" s="148" t="s">
        <v>838</v>
      </c>
      <c r="O588" s="149" t="s">
        <v>305</v>
      </c>
      <c r="P588" s="150" t="n">
        <v>0.050877</v>
      </c>
      <c r="Q588" s="150"/>
      <c r="R588" s="151" t="s">
        <v>305</v>
      </c>
      <c r="S588" s="152" t="n">
        <v>0.0516</v>
      </c>
      <c r="T588" s="151"/>
      <c r="U588" s="152"/>
      <c r="V588" s="152" t="n">
        <v>0.057127</v>
      </c>
      <c r="W588" s="152" t="n">
        <v>0.003999</v>
      </c>
      <c r="X588" s="152" t="n">
        <v>0.010393</v>
      </c>
      <c r="Y588" s="152" t="n">
        <v>0.039015</v>
      </c>
      <c r="Z588" s="152" t="n">
        <v>0.002</v>
      </c>
      <c r="AA588" s="152" t="n">
        <v>0.002</v>
      </c>
      <c r="AB588" s="154" t="n">
        <f aca="false">S588-Z588</f>
        <v>0.0496</v>
      </c>
      <c r="AC588" s="154" t="n">
        <f aca="false">U588-Z588-AA588</f>
        <v>-0.004</v>
      </c>
      <c r="AD588" s="155" t="n">
        <v>0.041015</v>
      </c>
      <c r="AE588" s="153" t="n">
        <f aca="false">IF(Y588="","",Y588)</f>
        <v>0.039015</v>
      </c>
      <c r="AF588" s="153" t="n">
        <f aca="false">AD588-AE588</f>
        <v>0.002</v>
      </c>
      <c r="AG588" s="184" t="n">
        <f aca="false">IF(AF588="","",AE588+AF588)</f>
        <v>0.041015</v>
      </c>
      <c r="AH588" s="185" t="n">
        <v>45118</v>
      </c>
      <c r="AI588" s="35" t="n">
        <v>1</v>
      </c>
      <c r="AJ588" s="265" t="str">
        <f aca="false">IF(AG588="","N","Y")</f>
        <v>Y</v>
      </c>
      <c r="AK588" s="361" t="s">
        <v>839</v>
      </c>
      <c r="AL588" s="361"/>
      <c r="AM588" s="361"/>
      <c r="AN588" s="361"/>
      <c r="AO588" s="361"/>
      <c r="AP588" s="361"/>
      <c r="AQ588" s="361"/>
      <c r="AR588" s="361"/>
    </row>
    <row r="589" customFormat="false" ht="21" hidden="false" customHeight="true" outlineLevel="0" collapsed="false">
      <c r="A589" s="19" t="n">
        <f aca="false">IF(B589="","",IF((YEAR(B589)-YEAR(B588))=0,A588+1,1))</f>
        <v>63</v>
      </c>
      <c r="B589" s="141" t="n">
        <v>45128</v>
      </c>
      <c r="C589" s="63" t="s">
        <v>691</v>
      </c>
      <c r="D589" s="63" t="s">
        <v>761</v>
      </c>
      <c r="E589" s="19"/>
      <c r="F589" s="63" t="s">
        <v>704</v>
      </c>
      <c r="G589" s="142" t="n">
        <v>45128</v>
      </c>
      <c r="H589" s="142" t="n">
        <v>45159</v>
      </c>
      <c r="I589" s="19" t="n">
        <f aca="false">H589-G589</f>
        <v>31</v>
      </c>
      <c r="J589" s="149" t="n">
        <f aca="false">TRUNC(I589/30,0)</f>
        <v>1</v>
      </c>
      <c r="K589" s="183" t="s">
        <v>95</v>
      </c>
      <c r="L589" s="146" t="n">
        <v>1.32</v>
      </c>
      <c r="M589" s="147" t="n">
        <v>4.82</v>
      </c>
      <c r="N589" s="148" t="s">
        <v>840</v>
      </c>
      <c r="O589" s="149" t="s">
        <v>255</v>
      </c>
      <c r="P589" s="150" t="n">
        <v>0.0529134</v>
      </c>
      <c r="Q589" s="150"/>
      <c r="R589" s="151" t="s">
        <v>255</v>
      </c>
      <c r="S589" s="152" t="n">
        <v>0.0537</v>
      </c>
      <c r="T589" s="151"/>
      <c r="U589" s="152"/>
      <c r="V589" s="152" t="n">
        <v>0.056657</v>
      </c>
      <c r="W589" s="152" t="n">
        <v>0.001133</v>
      </c>
      <c r="X589" s="152" t="n">
        <v>0.004804</v>
      </c>
      <c r="Y589" s="152" t="n">
        <v>0.047155</v>
      </c>
      <c r="Z589" s="152" t="n">
        <v>0.002</v>
      </c>
      <c r="AA589" s="152" t="n">
        <v>0.002</v>
      </c>
      <c r="AB589" s="154" t="n">
        <f aca="false">S589-Z589</f>
        <v>0.0517</v>
      </c>
      <c r="AC589" s="154" t="n">
        <f aca="false">U589-Z589-AA589</f>
        <v>-0.004</v>
      </c>
      <c r="AD589" s="155" t="n">
        <v>0.049</v>
      </c>
      <c r="AE589" s="153" t="n">
        <f aca="false">IF(Y589="","",Y589)</f>
        <v>0.047155</v>
      </c>
      <c r="AF589" s="153" t="n">
        <f aca="false">AD589-AE589</f>
        <v>0.001845</v>
      </c>
      <c r="AG589" s="184" t="n">
        <f aca="false">IF(AF589="","",AE589+AF589)</f>
        <v>0.049</v>
      </c>
      <c r="AH589" s="185" t="n">
        <v>45128</v>
      </c>
      <c r="AI589" s="35" t="n">
        <v>1</v>
      </c>
      <c r="AJ589" s="19" t="str">
        <f aca="false">IF(AG589="","N","Y")</f>
        <v>Y</v>
      </c>
      <c r="AK589" s="361" t="s">
        <v>841</v>
      </c>
      <c r="AL589" s="361"/>
      <c r="AM589" s="361"/>
      <c r="AN589" s="361"/>
      <c r="AO589" s="361"/>
      <c r="AP589" s="361"/>
      <c r="AQ589" s="361"/>
      <c r="AR589" s="361"/>
    </row>
    <row r="590" customFormat="false" ht="21" hidden="false" customHeight="true" outlineLevel="0" collapsed="false">
      <c r="A590" s="19" t="n">
        <f aca="false">IF(B590="","",IF((YEAR(B590)-YEAR(B589))=0,A589+1,1))</f>
        <v>64</v>
      </c>
      <c r="B590" s="141" t="n">
        <v>45131</v>
      </c>
      <c r="C590" s="63" t="s">
        <v>691</v>
      </c>
      <c r="D590" s="63" t="s">
        <v>761</v>
      </c>
      <c r="E590" s="19"/>
      <c r="F590" s="63" t="s">
        <v>704</v>
      </c>
      <c r="G590" s="142" t="n">
        <v>45131</v>
      </c>
      <c r="H590" s="142" t="n">
        <v>45162</v>
      </c>
      <c r="I590" s="19" t="n">
        <f aca="false">H590-G590</f>
        <v>31</v>
      </c>
      <c r="J590" s="149" t="n">
        <f aca="false">TRUNC(I590/30,0)</f>
        <v>1</v>
      </c>
      <c r="K590" s="183" t="s">
        <v>95</v>
      </c>
      <c r="L590" s="146" t="n">
        <v>1.22</v>
      </c>
      <c r="M590" s="147" t="n">
        <v>4.86</v>
      </c>
      <c r="N590" s="148" t="s">
        <v>842</v>
      </c>
      <c r="O590" s="149" t="s">
        <v>255</v>
      </c>
      <c r="P590" s="150" t="n">
        <v>0.0529799</v>
      </c>
      <c r="Q590" s="150"/>
      <c r="R590" s="151" t="s">
        <v>255</v>
      </c>
      <c r="S590" s="152" t="n">
        <v>0.054</v>
      </c>
      <c r="T590" s="151"/>
      <c r="U590" s="152"/>
      <c r="V590" s="152" t="n">
        <v>0.056933</v>
      </c>
      <c r="W590" s="152" t="n">
        <v>0.001139</v>
      </c>
      <c r="X590" s="152" t="n">
        <v>0.005074</v>
      </c>
      <c r="Y590" s="152" t="n">
        <v>0.04722</v>
      </c>
      <c r="Z590" s="152" t="n">
        <v>0.002</v>
      </c>
      <c r="AA590" s="152" t="n">
        <v>0.002</v>
      </c>
      <c r="AB590" s="154" t="n">
        <f aca="false">S590-Z590</f>
        <v>0.052</v>
      </c>
      <c r="AC590" s="154" t="n">
        <f aca="false">U590-Z590-AA590</f>
        <v>-0.004</v>
      </c>
      <c r="AD590" s="155" t="n">
        <v>0.049</v>
      </c>
      <c r="AE590" s="153" t="n">
        <f aca="false">IF(Y590="","",Y590)</f>
        <v>0.04722</v>
      </c>
      <c r="AF590" s="153" t="n">
        <f aca="false">AD590-AE590</f>
        <v>0.00178</v>
      </c>
      <c r="AG590" s="184" t="n">
        <f aca="false">IF(AF590="","",AE590+AF590)</f>
        <v>0.049</v>
      </c>
      <c r="AH590" s="185" t="n">
        <v>45131</v>
      </c>
      <c r="AI590" s="35" t="n">
        <v>1</v>
      </c>
      <c r="AJ590" s="19" t="str">
        <f aca="false">IF(AG590="","N","Y")</f>
        <v>Y</v>
      </c>
      <c r="AK590" s="361" t="s">
        <v>843</v>
      </c>
      <c r="AL590" s="361"/>
      <c r="AM590" s="361"/>
      <c r="AN590" s="361"/>
      <c r="AO590" s="361"/>
      <c r="AP590" s="361"/>
      <c r="AQ590" s="361"/>
      <c r="AR590" s="361"/>
    </row>
    <row r="591" customFormat="false" ht="22.5" hidden="false" customHeight="true" outlineLevel="0" collapsed="false">
      <c r="A591" s="19" t="n">
        <f aca="false">IF(B591="","",IF((YEAR(B591)-YEAR(B590))=0,A590+1,1))</f>
        <v>65</v>
      </c>
      <c r="B591" s="141" t="n">
        <v>45134</v>
      </c>
      <c r="C591" s="63" t="s">
        <v>96</v>
      </c>
      <c r="D591" s="63" t="s">
        <v>661</v>
      </c>
      <c r="E591" s="19"/>
      <c r="F591" s="63" t="s">
        <v>662</v>
      </c>
      <c r="G591" s="142" t="n">
        <v>45134</v>
      </c>
      <c r="H591" s="142" t="n">
        <v>45226</v>
      </c>
      <c r="I591" s="19" t="n">
        <f aca="false">H591-G591</f>
        <v>92</v>
      </c>
      <c r="J591" s="149" t="n">
        <f aca="false">TRUNC(I591/30,0)</f>
        <v>3</v>
      </c>
      <c r="K591" s="183" t="s">
        <v>95</v>
      </c>
      <c r="L591" s="146" t="n">
        <v>10</v>
      </c>
      <c r="M591" s="147" t="n">
        <v>5.06</v>
      </c>
      <c r="N591" s="148" t="s">
        <v>844</v>
      </c>
      <c r="O591" s="149" t="s">
        <v>265</v>
      </c>
      <c r="P591" s="150" t="n">
        <v>0.0536559</v>
      </c>
      <c r="Q591" s="150"/>
      <c r="R591" s="151" t="s">
        <v>265</v>
      </c>
      <c r="S591" s="152" t="n">
        <v>0.0557</v>
      </c>
      <c r="T591" s="151"/>
      <c r="U591" s="152"/>
      <c r="V591" s="152" t="n">
        <v>0.059084</v>
      </c>
      <c r="W591" s="152" t="n">
        <v>0.001182</v>
      </c>
      <c r="X591" s="152" t="n">
        <v>0.003683</v>
      </c>
      <c r="Y591" s="152" t="n">
        <v>0.049682</v>
      </c>
      <c r="Z591" s="152" t="n">
        <v>0.002</v>
      </c>
      <c r="AA591" s="152" t="n">
        <v>0.002</v>
      </c>
      <c r="AB591" s="154" t="n">
        <f aca="false">S591-Z591</f>
        <v>0.0537</v>
      </c>
      <c r="AC591" s="154" t="n">
        <f aca="false">U591-Z591-AA591</f>
        <v>-0.004</v>
      </c>
      <c r="AD591" s="155" t="n">
        <v>0.0525</v>
      </c>
      <c r="AE591" s="153" t="n">
        <f aca="false">IF(Y591="","",Y591)</f>
        <v>0.049682</v>
      </c>
      <c r="AF591" s="153" t="n">
        <f aca="false">AD591-AE591</f>
        <v>0.002818</v>
      </c>
      <c r="AG591" s="184" t="n">
        <f aca="false">IF(AF591="","",AE591+AF591)</f>
        <v>0.0525</v>
      </c>
      <c r="AH591" s="185" t="n">
        <v>45134</v>
      </c>
      <c r="AI591" s="35" t="n">
        <v>1</v>
      </c>
      <c r="AJ591" s="19" t="str">
        <f aca="false">IF(AG591="","N","Y")</f>
        <v>Y</v>
      </c>
      <c r="AK591" s="360" t="s">
        <v>845</v>
      </c>
      <c r="AL591" s="360"/>
      <c r="AM591" s="360"/>
      <c r="AN591" s="360"/>
      <c r="AO591" s="360"/>
      <c r="AP591" s="360"/>
      <c r="AQ591" s="360"/>
      <c r="AR591" s="360"/>
    </row>
    <row r="592" s="38" customFormat="true" ht="23.25" hidden="false" customHeight="true" outlineLevel="0" collapsed="false">
      <c r="A592" s="19" t="n">
        <f aca="false">IF(B592="","",IF((YEAR(B592)-YEAR(B591))=0,A591+1,1))</f>
        <v>66</v>
      </c>
      <c r="B592" s="141" t="n">
        <v>45134</v>
      </c>
      <c r="C592" s="63" t="s">
        <v>100</v>
      </c>
      <c r="D592" s="63" t="s">
        <v>625</v>
      </c>
      <c r="E592" s="19"/>
      <c r="F592" s="63" t="s">
        <v>826</v>
      </c>
      <c r="G592" s="142" t="n">
        <v>45134</v>
      </c>
      <c r="H592" s="142" t="n">
        <v>45152</v>
      </c>
      <c r="I592" s="19" t="n">
        <f aca="false">H592-G592</f>
        <v>18</v>
      </c>
      <c r="J592" s="100" t="n">
        <f aca="false">TRUNC(I592/30,0)</f>
        <v>0</v>
      </c>
      <c r="K592" s="183" t="s">
        <v>95</v>
      </c>
      <c r="L592" s="146" t="n">
        <v>60</v>
      </c>
      <c r="M592" s="147" t="n">
        <v>4.46</v>
      </c>
      <c r="N592" s="148" t="s">
        <v>846</v>
      </c>
      <c r="O592" s="149"/>
      <c r="P592" s="149"/>
      <c r="Q592" s="150"/>
      <c r="R592" s="151"/>
      <c r="S592" s="152" t="n">
        <v>0.0538</v>
      </c>
      <c r="T592" s="151"/>
      <c r="U592" s="152"/>
      <c r="V592" s="152" t="n">
        <v>0.05519</v>
      </c>
      <c r="W592" s="152" t="n">
        <v>0.001104</v>
      </c>
      <c r="X592" s="152" t="n">
        <v>0.003866</v>
      </c>
      <c r="Y592" s="153" t="n">
        <v>0.041253</v>
      </c>
      <c r="Z592" s="152" t="n">
        <v>0.002</v>
      </c>
      <c r="AA592" s="152" t="n">
        <v>0.002</v>
      </c>
      <c r="AB592" s="154" t="n">
        <f aca="false">S592-Z592</f>
        <v>0.0518</v>
      </c>
      <c r="AC592" s="154" t="n">
        <f aca="false">U592-Z592-AA592</f>
        <v>-0.004</v>
      </c>
      <c r="AD592" s="155" t="n">
        <v>0.0485</v>
      </c>
      <c r="AE592" s="156" t="n">
        <f aca="false">IF(Y592="","",Y592)</f>
        <v>0.041253</v>
      </c>
      <c r="AF592" s="153" t="n">
        <f aca="false">AD592-AE592</f>
        <v>0.007247</v>
      </c>
      <c r="AG592" s="184" t="n">
        <f aca="false">IF(AF592="","",AE592+AF592)</f>
        <v>0.0485</v>
      </c>
      <c r="AH592" s="185" t="n">
        <v>45134</v>
      </c>
      <c r="AI592" s="35" t="n">
        <v>2</v>
      </c>
      <c r="AJ592" s="19" t="str">
        <f aca="false">IF(AG592="","N","Y")</f>
        <v>Y</v>
      </c>
      <c r="AK592" s="352" t="s">
        <v>847</v>
      </c>
      <c r="AL592" s="232" t="s">
        <v>235</v>
      </c>
    </row>
    <row r="593" customFormat="false" ht="20.25" hidden="false" customHeight="true" outlineLevel="0" collapsed="false">
      <c r="A593" s="19" t="n">
        <f aca="false">IF(B593="","",IF((YEAR(B593)-YEAR(B592))=0,A592+1,1))</f>
        <v>67</v>
      </c>
      <c r="B593" s="141" t="n">
        <v>45141</v>
      </c>
      <c r="C593" s="364" t="s">
        <v>848</v>
      </c>
      <c r="D593" s="364"/>
      <c r="E593" s="364" t="s">
        <v>849</v>
      </c>
      <c r="F593" s="390" t="s">
        <v>195</v>
      </c>
      <c r="G593" s="142" t="n">
        <v>45141</v>
      </c>
      <c r="H593" s="142" t="n">
        <v>45173</v>
      </c>
      <c r="I593" s="19" t="n">
        <f aca="false">H593-G593</f>
        <v>32</v>
      </c>
      <c r="J593" s="149" t="n">
        <f aca="false">TRUNC(I593/30,0)</f>
        <v>1</v>
      </c>
      <c r="K593" s="367" t="s">
        <v>99</v>
      </c>
      <c r="L593" s="146" t="n">
        <v>12.6</v>
      </c>
      <c r="M593" s="147" t="n">
        <v>4.61</v>
      </c>
      <c r="N593" s="148" t="s">
        <v>850</v>
      </c>
      <c r="O593" s="149" t="s">
        <v>305</v>
      </c>
      <c r="P593" s="150" t="n">
        <v>0.0531148</v>
      </c>
      <c r="Q593" s="150"/>
      <c r="R593" s="151" t="s">
        <v>305</v>
      </c>
      <c r="S593" s="152" t="n">
        <v>0.0542</v>
      </c>
      <c r="T593" s="151"/>
      <c r="U593" s="152"/>
      <c r="V593" s="152" t="n">
        <v>0.058191</v>
      </c>
      <c r="W593" s="152" t="n">
        <v>0.004073</v>
      </c>
      <c r="X593" s="152" t="n">
        <v>0.009397</v>
      </c>
      <c r="Y593" s="152" t="n">
        <v>0.041096</v>
      </c>
      <c r="Z593" s="152" t="n">
        <v>0.002</v>
      </c>
      <c r="AA593" s="152" t="n">
        <v>0.002</v>
      </c>
      <c r="AB593" s="154" t="n">
        <f aca="false">S593-Z593</f>
        <v>0.0522</v>
      </c>
      <c r="AC593" s="154" t="n">
        <f aca="false">U593-Z593-AA593</f>
        <v>-0.004</v>
      </c>
      <c r="AD593" s="155" t="n">
        <v>0.043</v>
      </c>
      <c r="AE593" s="153" t="n">
        <f aca="false">IF(Y593="","",Y593)</f>
        <v>0.041096</v>
      </c>
      <c r="AF593" s="153" t="n">
        <f aca="false">AD593-AE593</f>
        <v>0.001904</v>
      </c>
      <c r="AG593" s="184" t="n">
        <f aca="false">IF(AF593="","",AE593+AF593)</f>
        <v>0.043</v>
      </c>
      <c r="AH593" s="185" t="n">
        <v>45141</v>
      </c>
      <c r="AI593" s="35" t="n">
        <v>2</v>
      </c>
      <c r="AJ593" s="265" t="str">
        <f aca="false">IF(AG593="","N","Y")</f>
        <v>Y</v>
      </c>
      <c r="AK593" s="361" t="s">
        <v>851</v>
      </c>
      <c r="AL593" s="361"/>
      <c r="AM593" s="361"/>
      <c r="AN593" s="361"/>
      <c r="AO593" s="361"/>
      <c r="AP593" s="361"/>
      <c r="AQ593" s="361"/>
      <c r="AR593" s="361"/>
    </row>
    <row r="594" customFormat="false" ht="21" hidden="false" customHeight="true" outlineLevel="0" collapsed="false">
      <c r="A594" s="19" t="n">
        <f aca="false">IF(B594="","",IF((YEAR(B594)-YEAR(B593))=0,A593+1,1))</f>
        <v>68</v>
      </c>
      <c r="B594" s="141" t="n">
        <v>45145</v>
      </c>
      <c r="C594" s="63" t="s">
        <v>209</v>
      </c>
      <c r="D594" s="63" t="s">
        <v>695</v>
      </c>
      <c r="E594" s="63" t="s">
        <v>735</v>
      </c>
      <c r="F594" s="63" t="s">
        <v>697</v>
      </c>
      <c r="G594" s="142" t="n">
        <v>45145</v>
      </c>
      <c r="H594" s="142" t="n">
        <v>45176</v>
      </c>
      <c r="I594" s="19" t="n">
        <f aca="false">H594-G594</f>
        <v>31</v>
      </c>
      <c r="J594" s="149" t="n">
        <f aca="false">TRUNC(I594/30,0)</f>
        <v>1</v>
      </c>
      <c r="K594" s="183" t="s">
        <v>95</v>
      </c>
      <c r="L594" s="146" t="n">
        <v>1</v>
      </c>
      <c r="M594" s="147" t="n">
        <v>4.88</v>
      </c>
      <c r="N594" s="148" t="s">
        <v>852</v>
      </c>
      <c r="O594" s="149" t="s">
        <v>255</v>
      </c>
      <c r="P594" s="150" t="n">
        <v>0.0531724</v>
      </c>
      <c r="Q594" s="150"/>
      <c r="R594" s="151" t="s">
        <v>255</v>
      </c>
      <c r="S594" s="152" t="n">
        <v>0.0545</v>
      </c>
      <c r="T594" s="151"/>
      <c r="U594" s="152"/>
      <c r="V594" s="152" t="n">
        <v>0.057184</v>
      </c>
      <c r="W594" s="152" t="n">
        <v>0.001144</v>
      </c>
      <c r="X594" s="152" t="n">
        <v>0.00332</v>
      </c>
      <c r="Y594" s="152" t="n">
        <v>0.047408</v>
      </c>
      <c r="Z594" s="152" t="n">
        <v>0.002</v>
      </c>
      <c r="AA594" s="152" t="n">
        <v>0.002</v>
      </c>
      <c r="AB594" s="154" t="n">
        <f aca="false">S594-Z594</f>
        <v>0.0525</v>
      </c>
      <c r="AC594" s="154" t="n">
        <f aca="false">U594-Z594-AA594</f>
        <v>-0.004</v>
      </c>
      <c r="AD594" s="155" t="n">
        <v>0.051</v>
      </c>
      <c r="AE594" s="153" t="n">
        <f aca="false">IF(Y594="","",Y594)</f>
        <v>0.047408</v>
      </c>
      <c r="AF594" s="153" t="n">
        <f aca="false">AD594-AE594</f>
        <v>0.003592</v>
      </c>
      <c r="AG594" s="184" t="n">
        <f aca="false">IF(AF594="","",AE594+AF594)</f>
        <v>0.051</v>
      </c>
      <c r="AH594" s="185" t="n">
        <v>45145</v>
      </c>
      <c r="AI594" s="35" t="n">
        <v>1</v>
      </c>
      <c r="AJ594" s="19" t="str">
        <f aca="false">IF(AG594="","N","Y")</f>
        <v>Y</v>
      </c>
      <c r="AK594" s="361" t="s">
        <v>853</v>
      </c>
      <c r="AL594" s="361"/>
      <c r="AM594" s="361"/>
      <c r="AN594" s="361"/>
      <c r="AO594" s="361"/>
      <c r="AP594" s="361"/>
      <c r="AQ594" s="361"/>
      <c r="AR594" s="361"/>
    </row>
    <row r="595" customFormat="false" ht="21" hidden="false" customHeight="true" outlineLevel="0" collapsed="false">
      <c r="A595" s="19" t="n">
        <f aca="false">IF(B595="","",IF((YEAR(B595)-YEAR(B594))=0,A594+1,1))</f>
        <v>69</v>
      </c>
      <c r="B595" s="141" t="n">
        <v>45145</v>
      </c>
      <c r="C595" s="63" t="s">
        <v>209</v>
      </c>
      <c r="D595" s="63" t="s">
        <v>695</v>
      </c>
      <c r="E595" s="63" t="s">
        <v>735</v>
      </c>
      <c r="F595" s="63" t="s">
        <v>697</v>
      </c>
      <c r="G595" s="142" t="n">
        <v>45145</v>
      </c>
      <c r="H595" s="142" t="n">
        <v>45176</v>
      </c>
      <c r="I595" s="19" t="n">
        <f aca="false">H595-G595</f>
        <v>31</v>
      </c>
      <c r="J595" s="149" t="n">
        <f aca="false">TRUNC(I595/30,0)</f>
        <v>1</v>
      </c>
      <c r="K595" s="183" t="s">
        <v>95</v>
      </c>
      <c r="L595" s="146" t="n">
        <v>4.09</v>
      </c>
      <c r="M595" s="147" t="n">
        <v>4.88</v>
      </c>
      <c r="N595" s="148" t="s">
        <v>852</v>
      </c>
      <c r="O595" s="149" t="s">
        <v>255</v>
      </c>
      <c r="P595" s="150" t="n">
        <v>0.0531724</v>
      </c>
      <c r="Q595" s="150"/>
      <c r="R595" s="151" t="s">
        <v>255</v>
      </c>
      <c r="S595" s="152" t="n">
        <v>0.0545</v>
      </c>
      <c r="T595" s="151"/>
      <c r="U595" s="152"/>
      <c r="V595" s="152" t="n">
        <v>0.057184</v>
      </c>
      <c r="W595" s="152" t="n">
        <v>0.001144</v>
      </c>
      <c r="X595" s="152" t="n">
        <v>0.00332</v>
      </c>
      <c r="Y595" s="152" t="n">
        <v>0.047408</v>
      </c>
      <c r="Z595" s="152" t="n">
        <v>0.002</v>
      </c>
      <c r="AA595" s="152" t="n">
        <v>0.002</v>
      </c>
      <c r="AB595" s="154" t="n">
        <f aca="false">S595-Z595</f>
        <v>0.0525</v>
      </c>
      <c r="AC595" s="154" t="n">
        <f aca="false">U595-Z595-AA595</f>
        <v>-0.004</v>
      </c>
      <c r="AD595" s="155" t="n">
        <v>0.051</v>
      </c>
      <c r="AE595" s="153" t="n">
        <f aca="false">IF(Y595="","",Y595)</f>
        <v>0.047408</v>
      </c>
      <c r="AF595" s="153" t="n">
        <f aca="false">AD595-AE595</f>
        <v>0.003592</v>
      </c>
      <c r="AG595" s="184" t="n">
        <f aca="false">IF(AF595="","",AE595+AF595)</f>
        <v>0.051</v>
      </c>
      <c r="AH595" s="185" t="n">
        <v>45145</v>
      </c>
      <c r="AI595" s="35" t="n">
        <v>1</v>
      </c>
      <c r="AJ595" s="19" t="str">
        <f aca="false">IF(AG595="","N","Y")</f>
        <v>Y</v>
      </c>
      <c r="AK595" s="361" t="s">
        <v>853</v>
      </c>
      <c r="AL595" s="361"/>
      <c r="AM595" s="361"/>
      <c r="AN595" s="361"/>
      <c r="AO595" s="361"/>
      <c r="AP595" s="361"/>
      <c r="AQ595" s="361"/>
      <c r="AR595" s="361"/>
    </row>
    <row r="596" customFormat="false" ht="21" hidden="false" customHeight="true" outlineLevel="0" collapsed="false">
      <c r="A596" s="19" t="n">
        <f aca="false">IF(B596="","",IF((YEAR(B596)-YEAR(B595))=0,A595+1,1))</f>
        <v>70</v>
      </c>
      <c r="B596" s="141" t="n">
        <v>45145</v>
      </c>
      <c r="C596" s="63" t="s">
        <v>209</v>
      </c>
      <c r="D596" s="63" t="s">
        <v>695</v>
      </c>
      <c r="E596" s="63" t="s">
        <v>735</v>
      </c>
      <c r="F596" s="63" t="s">
        <v>697</v>
      </c>
      <c r="G596" s="142" t="n">
        <v>45145</v>
      </c>
      <c r="H596" s="142" t="n">
        <v>45176</v>
      </c>
      <c r="I596" s="19" t="n">
        <f aca="false">H596-G596</f>
        <v>31</v>
      </c>
      <c r="J596" s="149" t="n">
        <f aca="false">TRUNC(I596/30,0)</f>
        <v>1</v>
      </c>
      <c r="K596" s="183" t="s">
        <v>95</v>
      </c>
      <c r="L596" s="146" t="n">
        <v>1</v>
      </c>
      <c r="M596" s="147" t="n">
        <v>4.88</v>
      </c>
      <c r="N596" s="148" t="s">
        <v>852</v>
      </c>
      <c r="O596" s="149" t="s">
        <v>255</v>
      </c>
      <c r="P596" s="150" t="n">
        <v>0.0531724</v>
      </c>
      <c r="Q596" s="150"/>
      <c r="R596" s="151" t="s">
        <v>255</v>
      </c>
      <c r="S596" s="152" t="n">
        <v>0.0545</v>
      </c>
      <c r="T596" s="151"/>
      <c r="U596" s="152"/>
      <c r="V596" s="152" t="n">
        <v>0.057184</v>
      </c>
      <c r="W596" s="152" t="n">
        <v>0.001144</v>
      </c>
      <c r="X596" s="152" t="n">
        <v>0.00332</v>
      </c>
      <c r="Y596" s="152" t="n">
        <v>0.047408</v>
      </c>
      <c r="Z596" s="152" t="n">
        <v>0.002</v>
      </c>
      <c r="AA596" s="152" t="n">
        <v>0.002</v>
      </c>
      <c r="AB596" s="154" t="n">
        <f aca="false">S596-Z596</f>
        <v>0.0525</v>
      </c>
      <c r="AC596" s="154" t="n">
        <f aca="false">U596-Z596-AA596</f>
        <v>-0.004</v>
      </c>
      <c r="AD596" s="155" t="n">
        <v>0.051</v>
      </c>
      <c r="AE596" s="153" t="n">
        <f aca="false">IF(Y596="","",Y596)</f>
        <v>0.047408</v>
      </c>
      <c r="AF596" s="153" t="n">
        <f aca="false">AD596-AE596</f>
        <v>0.003592</v>
      </c>
      <c r="AG596" s="184" t="n">
        <f aca="false">IF(AF596="","",AE596+AF596)</f>
        <v>0.051</v>
      </c>
      <c r="AH596" s="185" t="n">
        <v>45145</v>
      </c>
      <c r="AI596" s="35" t="n">
        <v>2</v>
      </c>
      <c r="AJ596" s="19" t="str">
        <f aca="false">IF(AG596="","N","Y")</f>
        <v>Y</v>
      </c>
      <c r="AK596" s="361" t="s">
        <v>853</v>
      </c>
      <c r="AL596" s="361"/>
      <c r="AM596" s="361"/>
      <c r="AN596" s="361"/>
      <c r="AO596" s="361"/>
      <c r="AP596" s="361"/>
      <c r="AQ596" s="361"/>
      <c r="AR596" s="361"/>
    </row>
    <row r="597" s="38" customFormat="true" ht="20.25" hidden="false" customHeight="true" outlineLevel="0" collapsed="false">
      <c r="A597" s="19" t="n">
        <f aca="false">IF(B597="","",IF((YEAR(B597)-YEAR(B596))=0,A596+1,1))</f>
        <v>71</v>
      </c>
      <c r="B597" s="141" t="n">
        <v>45148</v>
      </c>
      <c r="C597" s="63" t="s">
        <v>691</v>
      </c>
      <c r="D597" s="63" t="s">
        <v>761</v>
      </c>
      <c r="E597" s="19"/>
      <c r="F597" s="63" t="s">
        <v>692</v>
      </c>
      <c r="G597" s="142" t="n">
        <v>45148</v>
      </c>
      <c r="H597" s="142" t="n">
        <v>45180</v>
      </c>
      <c r="I597" s="19" t="n">
        <f aca="false">H597-G597</f>
        <v>32</v>
      </c>
      <c r="J597" s="149" t="n">
        <f aca="false">TRUNC(I597/30,0)</f>
        <v>1</v>
      </c>
      <c r="K597" s="183" t="s">
        <v>95</v>
      </c>
      <c r="L597" s="146" t="n">
        <v>1.53</v>
      </c>
      <c r="M597" s="147" t="n">
        <v>4.88</v>
      </c>
      <c r="N597" s="148" t="s">
        <v>852</v>
      </c>
      <c r="O597" s="149" t="s">
        <v>255</v>
      </c>
      <c r="P597" s="150" t="n">
        <v>0.0531246</v>
      </c>
      <c r="Q597" s="150"/>
      <c r="R597" s="151" t="s">
        <v>255</v>
      </c>
      <c r="S597" s="152" t="n">
        <v>0.0542</v>
      </c>
      <c r="T597" s="151"/>
      <c r="U597" s="152"/>
      <c r="V597" s="152" t="n">
        <v>0.057144</v>
      </c>
      <c r="W597" s="152" t="n">
        <v>0.001143</v>
      </c>
      <c r="X597" s="152" t="n">
        <v>0.004281</v>
      </c>
      <c r="Y597" s="152" t="n">
        <v>0.047362</v>
      </c>
      <c r="Z597" s="152" t="n">
        <v>0.002</v>
      </c>
      <c r="AA597" s="152" t="n">
        <v>0.002</v>
      </c>
      <c r="AB597" s="154" t="n">
        <f aca="false">S597-Z597</f>
        <v>0.0522</v>
      </c>
      <c r="AC597" s="154" t="n">
        <f aca="false">U597-Z597-AA597</f>
        <v>-0.004</v>
      </c>
      <c r="AD597" s="155" t="n">
        <v>0.05</v>
      </c>
      <c r="AE597" s="153" t="n">
        <f aca="false">IF(Y597="","",Y597)</f>
        <v>0.047362</v>
      </c>
      <c r="AF597" s="153" t="n">
        <f aca="false">AD597-AE597</f>
        <v>0.002638</v>
      </c>
      <c r="AG597" s="184" t="n">
        <f aca="false">IF(AF597="","",AE597+AF597)</f>
        <v>0.05</v>
      </c>
      <c r="AH597" s="185" t="n">
        <v>45148</v>
      </c>
      <c r="AI597" s="35" t="n">
        <v>1</v>
      </c>
      <c r="AJ597" s="19" t="str">
        <f aca="false">IF(AG597="","N","Y")</f>
        <v>Y</v>
      </c>
      <c r="AK597" s="361" t="s">
        <v>854</v>
      </c>
      <c r="AL597" s="361"/>
      <c r="AM597" s="361"/>
      <c r="AN597" s="361"/>
      <c r="AO597" s="361"/>
      <c r="AP597" s="361"/>
      <c r="AQ597" s="361"/>
      <c r="AR597" s="361"/>
    </row>
    <row r="598" customFormat="false" ht="21" hidden="false" customHeight="true" outlineLevel="0" collapsed="false">
      <c r="A598" s="19" t="n">
        <f aca="false">IF(B598="","",IF((YEAR(B598)-YEAR(B597))=0,A597+1,1))</f>
        <v>72</v>
      </c>
      <c r="B598" s="141" t="n">
        <v>45159</v>
      </c>
      <c r="C598" s="63" t="s">
        <v>691</v>
      </c>
      <c r="D598" s="63" t="s">
        <v>761</v>
      </c>
      <c r="E598" s="19"/>
      <c r="F598" s="63" t="s">
        <v>704</v>
      </c>
      <c r="G598" s="142" t="n">
        <v>45159</v>
      </c>
      <c r="H598" s="142" t="n">
        <v>45190</v>
      </c>
      <c r="I598" s="19" t="n">
        <f aca="false">H598-G598</f>
        <v>31</v>
      </c>
      <c r="J598" s="149" t="n">
        <f aca="false">TRUNC(I598/30,0)</f>
        <v>1</v>
      </c>
      <c r="K598" s="183" t="s">
        <v>95</v>
      </c>
      <c r="L598" s="146" t="n">
        <v>1.32</v>
      </c>
      <c r="M598" s="147" t="n">
        <v>4.88</v>
      </c>
      <c r="N598" s="148" t="s">
        <v>852</v>
      </c>
      <c r="O598" s="149" t="s">
        <v>255</v>
      </c>
      <c r="P598" s="150" t="n">
        <v>0.0531427</v>
      </c>
      <c r="Q598" s="150"/>
      <c r="R598" s="151" t="s">
        <v>255</v>
      </c>
      <c r="S598" s="152" t="n">
        <v>0.0543</v>
      </c>
      <c r="T598" s="151"/>
      <c r="U598" s="152"/>
      <c r="V598" s="152" t="n">
        <v>0.057161</v>
      </c>
      <c r="W598" s="152" t="n">
        <v>0.001143</v>
      </c>
      <c r="X598" s="152" t="n">
        <v>0.003797</v>
      </c>
      <c r="Y598" s="152" t="n">
        <v>0.047379</v>
      </c>
      <c r="Z598" s="152" t="n">
        <v>0.002</v>
      </c>
      <c r="AA598" s="152" t="n">
        <v>0.002</v>
      </c>
      <c r="AB598" s="154" t="n">
        <f aca="false">S598-Z598</f>
        <v>0.0523</v>
      </c>
      <c r="AC598" s="154" t="n">
        <f aca="false">U598-Z598-AA598</f>
        <v>-0.004</v>
      </c>
      <c r="AD598" s="155" t="n">
        <v>0.0505</v>
      </c>
      <c r="AE598" s="153" t="n">
        <f aca="false">IF(Y598="","",Y598)</f>
        <v>0.047379</v>
      </c>
      <c r="AF598" s="153" t="n">
        <f aca="false">AD598-AE598</f>
        <v>0.00312100000000001</v>
      </c>
      <c r="AG598" s="184" t="n">
        <f aca="false">IF(AF598="","",AE598+AF598)</f>
        <v>0.0505</v>
      </c>
      <c r="AH598" s="185" t="n">
        <v>45159</v>
      </c>
      <c r="AI598" s="35" t="n">
        <v>1</v>
      </c>
      <c r="AJ598" s="19" t="str">
        <f aca="false">IF(AG598="","N","Y")</f>
        <v>Y</v>
      </c>
      <c r="AK598" s="361" t="s">
        <v>855</v>
      </c>
      <c r="AL598" s="361"/>
      <c r="AM598" s="361"/>
      <c r="AN598" s="361"/>
      <c r="AO598" s="361"/>
      <c r="AP598" s="361"/>
      <c r="AQ598" s="361"/>
      <c r="AR598" s="361"/>
    </row>
    <row r="599" customFormat="false" ht="20.25" hidden="false" customHeight="true" outlineLevel="0" collapsed="false">
      <c r="A599" s="19" t="n">
        <f aca="false">IF(B599="","",IF((YEAR(B599)-YEAR(B598))=0,A598+1,1))</f>
        <v>73</v>
      </c>
      <c r="B599" s="141" t="n">
        <v>45173</v>
      </c>
      <c r="C599" s="364" t="s">
        <v>848</v>
      </c>
      <c r="D599" s="364"/>
      <c r="E599" s="364" t="s">
        <v>849</v>
      </c>
      <c r="F599" s="390" t="s">
        <v>195</v>
      </c>
      <c r="G599" s="142" t="n">
        <v>45173</v>
      </c>
      <c r="H599" s="142" t="n">
        <v>45203</v>
      </c>
      <c r="I599" s="19" t="n">
        <f aca="false">H599-G599</f>
        <v>30</v>
      </c>
      <c r="J599" s="149" t="n">
        <f aca="false">TRUNC(I599/30,0)</f>
        <v>1</v>
      </c>
      <c r="K599" s="367" t="s">
        <v>99</v>
      </c>
      <c r="L599" s="146" t="n">
        <v>12.6</v>
      </c>
      <c r="M599" s="147" t="n">
        <v>4.62</v>
      </c>
      <c r="N599" s="148" t="s">
        <v>856</v>
      </c>
      <c r="O599" s="149" t="s">
        <v>305</v>
      </c>
      <c r="P599" s="150" t="n">
        <v>0.053139</v>
      </c>
      <c r="Q599" s="150"/>
      <c r="R599" s="151" t="s">
        <v>305</v>
      </c>
      <c r="S599" s="152" t="n">
        <v>0.0531</v>
      </c>
      <c r="T599" s="151"/>
      <c r="U599" s="152"/>
      <c r="V599" s="152" t="n">
        <v>0.060178</v>
      </c>
      <c r="W599" s="152" t="n">
        <v>0.004212</v>
      </c>
      <c r="X599" s="152" t="n">
        <v>0.011246</v>
      </c>
      <c r="Y599" s="152" t="n">
        <v>0.041119</v>
      </c>
      <c r="Z599" s="152" t="n">
        <v>0.002</v>
      </c>
      <c r="AA599" s="152" t="n">
        <v>0.002</v>
      </c>
      <c r="AB599" s="154" t="n">
        <f aca="false">S599-Z599</f>
        <v>0.0511</v>
      </c>
      <c r="AC599" s="154" t="n">
        <f aca="false">U599-Z599-AA599</f>
        <v>-0.004</v>
      </c>
      <c r="AD599" s="155" t="n">
        <v>0.043</v>
      </c>
      <c r="AE599" s="153" t="n">
        <f aca="false">IF(Y599="","",Y599)</f>
        <v>0.041119</v>
      </c>
      <c r="AF599" s="153" t="n">
        <f aca="false">AD599-AE599</f>
        <v>0.00188099999999999</v>
      </c>
      <c r="AG599" s="184" t="n">
        <f aca="false">IF(AF599="","",AE599+AF599)</f>
        <v>0.043</v>
      </c>
      <c r="AH599" s="185" t="n">
        <v>45173</v>
      </c>
      <c r="AI599" s="35" t="n">
        <v>1</v>
      </c>
      <c r="AJ599" s="265" t="str">
        <f aca="false">IF(AG599="","N","Y")</f>
        <v>Y</v>
      </c>
      <c r="AK599" s="361" t="s">
        <v>857</v>
      </c>
      <c r="AL599" s="361"/>
      <c r="AM599" s="361"/>
      <c r="AN599" s="361"/>
      <c r="AO599" s="361"/>
      <c r="AP599" s="361"/>
      <c r="AQ599" s="361"/>
      <c r="AR599" s="361"/>
    </row>
    <row r="600" customFormat="false" ht="21" hidden="false" customHeight="true" outlineLevel="0" collapsed="false">
      <c r="A600" s="19" t="n">
        <f aca="false">IF(B600="","",IF((YEAR(B600)-YEAR(B599))=0,A599+1,1))</f>
        <v>74</v>
      </c>
      <c r="B600" s="141" t="n">
        <v>45176</v>
      </c>
      <c r="C600" s="63" t="s">
        <v>209</v>
      </c>
      <c r="D600" s="63" t="s">
        <v>695</v>
      </c>
      <c r="E600" s="63" t="s">
        <v>735</v>
      </c>
      <c r="F600" s="63" t="s">
        <v>697</v>
      </c>
      <c r="G600" s="142" t="n">
        <v>45176</v>
      </c>
      <c r="H600" s="142" t="n">
        <v>45209</v>
      </c>
      <c r="I600" s="19" t="n">
        <f aca="false">H600-G600</f>
        <v>33</v>
      </c>
      <c r="J600" s="149" t="n">
        <f aca="false">TRUNC(I600/30,0)</f>
        <v>1</v>
      </c>
      <c r="K600" s="183" t="s">
        <v>95</v>
      </c>
      <c r="L600" s="146" t="n">
        <v>1</v>
      </c>
      <c r="M600" s="147" t="n">
        <v>4.89</v>
      </c>
      <c r="N600" s="148" t="s">
        <v>858</v>
      </c>
      <c r="O600" s="149" t="s">
        <v>255</v>
      </c>
      <c r="P600" s="150" t="n">
        <v>0.0532684</v>
      </c>
      <c r="Q600" s="150"/>
      <c r="R600" s="151" t="s">
        <v>255</v>
      </c>
      <c r="S600" s="152" t="n">
        <v>0.0557</v>
      </c>
      <c r="T600" s="151"/>
      <c r="U600" s="152"/>
      <c r="V600" s="152" t="n">
        <v>0.057245</v>
      </c>
      <c r="W600" s="152" t="n">
        <v>0.001145</v>
      </c>
      <c r="X600" s="152" t="n">
        <v>0.00338</v>
      </c>
      <c r="Y600" s="152" t="n">
        <v>0.047503</v>
      </c>
      <c r="Z600" s="152" t="n">
        <v>0.002</v>
      </c>
      <c r="AA600" s="152" t="n">
        <v>0.002</v>
      </c>
      <c r="AB600" s="154" t="n">
        <f aca="false">S600-Z600</f>
        <v>0.0537</v>
      </c>
      <c r="AC600" s="154" t="n">
        <f aca="false">U600-Z600-AA600</f>
        <v>-0.004</v>
      </c>
      <c r="AD600" s="155" t="n">
        <v>0.051</v>
      </c>
      <c r="AE600" s="153" t="n">
        <f aca="false">IF(Y600="","",Y600)</f>
        <v>0.047503</v>
      </c>
      <c r="AF600" s="153" t="n">
        <f aca="false">AD600-AE600</f>
        <v>0.003497</v>
      </c>
      <c r="AG600" s="184" t="n">
        <f aca="false">IF(AF600="","",AE600+AF600)</f>
        <v>0.051</v>
      </c>
      <c r="AH600" s="185" t="n">
        <v>45176</v>
      </c>
      <c r="AI600" s="35" t="n">
        <v>1</v>
      </c>
      <c r="AJ600" s="19" t="str">
        <f aca="false">IF(AG600="","N","Y")</f>
        <v>Y</v>
      </c>
      <c r="AK600" s="361" t="s">
        <v>853</v>
      </c>
      <c r="AL600" s="361"/>
      <c r="AM600" s="361"/>
      <c r="AN600" s="361"/>
      <c r="AO600" s="361"/>
      <c r="AP600" s="361"/>
      <c r="AQ600" s="361"/>
      <c r="AR600" s="361"/>
    </row>
    <row r="601" customFormat="false" ht="21" hidden="false" customHeight="true" outlineLevel="0" collapsed="false">
      <c r="A601" s="19" t="n">
        <f aca="false">IF(B601="","",IF((YEAR(B601)-YEAR(B600))=0,A600+1,1))</f>
        <v>75</v>
      </c>
      <c r="B601" s="141" t="n">
        <v>45176</v>
      </c>
      <c r="C601" s="63" t="s">
        <v>209</v>
      </c>
      <c r="D601" s="63" t="s">
        <v>695</v>
      </c>
      <c r="E601" s="63" t="s">
        <v>735</v>
      </c>
      <c r="F601" s="63" t="s">
        <v>697</v>
      </c>
      <c r="G601" s="142" t="n">
        <v>45176</v>
      </c>
      <c r="H601" s="142" t="n">
        <v>45209</v>
      </c>
      <c r="I601" s="19" t="n">
        <f aca="false">H601-G601</f>
        <v>33</v>
      </c>
      <c r="J601" s="149" t="n">
        <f aca="false">TRUNC(I601/30,0)</f>
        <v>1</v>
      </c>
      <c r="K601" s="183" t="s">
        <v>95</v>
      </c>
      <c r="L601" s="146" t="n">
        <v>4.09</v>
      </c>
      <c r="M601" s="147" t="n">
        <v>4.89</v>
      </c>
      <c r="N601" s="148" t="s">
        <v>858</v>
      </c>
      <c r="O601" s="149" t="s">
        <v>255</v>
      </c>
      <c r="P601" s="150" t="n">
        <v>0.0532684</v>
      </c>
      <c r="Q601" s="150"/>
      <c r="R601" s="151" t="s">
        <v>255</v>
      </c>
      <c r="S601" s="152" t="n">
        <v>0.0557</v>
      </c>
      <c r="T601" s="151"/>
      <c r="U601" s="152"/>
      <c r="V601" s="152" t="n">
        <v>0.057245</v>
      </c>
      <c r="W601" s="152" t="n">
        <v>0.001145</v>
      </c>
      <c r="X601" s="152" t="n">
        <v>0.00338</v>
      </c>
      <c r="Y601" s="152" t="n">
        <v>0.047503</v>
      </c>
      <c r="Z601" s="152" t="n">
        <v>0.002</v>
      </c>
      <c r="AA601" s="152" t="n">
        <v>0.002</v>
      </c>
      <c r="AB601" s="154" t="n">
        <f aca="false">S601-Z601</f>
        <v>0.0537</v>
      </c>
      <c r="AC601" s="154" t="n">
        <f aca="false">U601-Z601-AA601</f>
        <v>-0.004</v>
      </c>
      <c r="AD601" s="155" t="n">
        <v>0.051</v>
      </c>
      <c r="AE601" s="153" t="n">
        <f aca="false">IF(Y601="","",Y601)</f>
        <v>0.047503</v>
      </c>
      <c r="AF601" s="153" t="n">
        <f aca="false">AD601-AE601</f>
        <v>0.003497</v>
      </c>
      <c r="AG601" s="184" t="n">
        <f aca="false">IF(AF601="","",AE601+AF601)</f>
        <v>0.051</v>
      </c>
      <c r="AH601" s="185" t="n">
        <v>45176</v>
      </c>
      <c r="AI601" s="35" t="n">
        <v>1</v>
      </c>
      <c r="AJ601" s="19" t="str">
        <f aca="false">IF(AG601="","N","Y")</f>
        <v>Y</v>
      </c>
      <c r="AK601" s="361" t="s">
        <v>853</v>
      </c>
      <c r="AL601" s="361"/>
      <c r="AM601" s="361"/>
      <c r="AN601" s="361"/>
      <c r="AO601" s="361"/>
      <c r="AP601" s="361"/>
      <c r="AQ601" s="361"/>
      <c r="AR601" s="361"/>
    </row>
    <row r="602" customFormat="false" ht="21" hidden="false" customHeight="true" outlineLevel="0" collapsed="false">
      <c r="A602" s="19" t="n">
        <f aca="false">IF(B602="","",IF((YEAR(B602)-YEAR(B601))=0,A601+1,1))</f>
        <v>76</v>
      </c>
      <c r="B602" s="141" t="n">
        <v>45176</v>
      </c>
      <c r="C602" s="63" t="s">
        <v>209</v>
      </c>
      <c r="D602" s="63" t="s">
        <v>695</v>
      </c>
      <c r="E602" s="63" t="s">
        <v>735</v>
      </c>
      <c r="F602" s="63" t="s">
        <v>697</v>
      </c>
      <c r="G602" s="142" t="n">
        <v>45176</v>
      </c>
      <c r="H602" s="142" t="n">
        <v>45209</v>
      </c>
      <c r="I602" s="19" t="n">
        <f aca="false">H602-G602</f>
        <v>33</v>
      </c>
      <c r="J602" s="149" t="n">
        <f aca="false">TRUNC(I602/30,0)</f>
        <v>1</v>
      </c>
      <c r="K602" s="183" t="s">
        <v>95</v>
      </c>
      <c r="L602" s="146" t="n">
        <v>1</v>
      </c>
      <c r="M602" s="147" t="n">
        <v>4.89</v>
      </c>
      <c r="N602" s="148" t="s">
        <v>858</v>
      </c>
      <c r="O602" s="149" t="s">
        <v>255</v>
      </c>
      <c r="P602" s="150" t="n">
        <v>0.0532684</v>
      </c>
      <c r="Q602" s="150"/>
      <c r="R602" s="151" t="s">
        <v>255</v>
      </c>
      <c r="S602" s="152" t="n">
        <v>0.0557</v>
      </c>
      <c r="T602" s="151"/>
      <c r="U602" s="152"/>
      <c r="V602" s="152" t="n">
        <v>0.057245</v>
      </c>
      <c r="W602" s="152" t="n">
        <v>0.001145</v>
      </c>
      <c r="X602" s="152" t="n">
        <v>0.00338</v>
      </c>
      <c r="Y602" s="152" t="n">
        <v>0.047503</v>
      </c>
      <c r="Z602" s="152" t="n">
        <v>0.002</v>
      </c>
      <c r="AA602" s="152" t="n">
        <v>0.002</v>
      </c>
      <c r="AB602" s="154" t="n">
        <f aca="false">S602-Z602</f>
        <v>0.0537</v>
      </c>
      <c r="AC602" s="154" t="n">
        <f aca="false">U602-Z602-AA602</f>
        <v>-0.004</v>
      </c>
      <c r="AD602" s="155" t="n">
        <v>0.051</v>
      </c>
      <c r="AE602" s="153" t="n">
        <f aca="false">IF(Y602="","",Y602)</f>
        <v>0.047503</v>
      </c>
      <c r="AF602" s="153" t="n">
        <f aca="false">AD602-AE602</f>
        <v>0.003497</v>
      </c>
      <c r="AG602" s="184" t="n">
        <f aca="false">IF(AF602="","",AE602+AF602)</f>
        <v>0.051</v>
      </c>
      <c r="AH602" s="185" t="n">
        <v>45176</v>
      </c>
      <c r="AI602" s="35" t="n">
        <v>2</v>
      </c>
      <c r="AJ602" s="19" t="str">
        <f aca="false">IF(AG602="","N","Y")</f>
        <v>Y</v>
      </c>
      <c r="AK602" s="361" t="s">
        <v>853</v>
      </c>
      <c r="AL602" s="361"/>
      <c r="AM602" s="361"/>
      <c r="AN602" s="361"/>
      <c r="AO602" s="361"/>
      <c r="AP602" s="361"/>
      <c r="AQ602" s="361"/>
      <c r="AR602" s="361"/>
    </row>
    <row r="603" s="38" customFormat="true" ht="20.25" hidden="false" customHeight="true" outlineLevel="0" collapsed="false">
      <c r="A603" s="19" t="n">
        <f aca="false">IF(B603="","",IF((YEAR(B603)-YEAR(B602))=0,A602+1,1))</f>
        <v>77</v>
      </c>
      <c r="B603" s="141" t="n">
        <v>45180</v>
      </c>
      <c r="C603" s="63" t="s">
        <v>691</v>
      </c>
      <c r="D603" s="63" t="s">
        <v>761</v>
      </c>
      <c r="E603" s="19"/>
      <c r="F603" s="63" t="s">
        <v>692</v>
      </c>
      <c r="G603" s="142" t="n">
        <v>45180</v>
      </c>
      <c r="H603" s="142" t="n">
        <v>45210</v>
      </c>
      <c r="I603" s="19" t="n">
        <f aca="false">H603-G603</f>
        <v>30</v>
      </c>
      <c r="J603" s="149" t="n">
        <f aca="false">TRUNC(I603/30,0)</f>
        <v>1</v>
      </c>
      <c r="K603" s="183" t="s">
        <v>95</v>
      </c>
      <c r="L603" s="146" t="n">
        <v>1</v>
      </c>
      <c r="M603" s="147" t="n">
        <v>4.89</v>
      </c>
      <c r="N603" s="148" t="s">
        <v>858</v>
      </c>
      <c r="O603" s="149" t="s">
        <v>255</v>
      </c>
      <c r="P603" s="150" t="n">
        <v>0.0532946</v>
      </c>
      <c r="Q603" s="150"/>
      <c r="R603" s="151" t="s">
        <v>255</v>
      </c>
      <c r="S603" s="152" t="n">
        <v>0.0557</v>
      </c>
      <c r="T603" s="151"/>
      <c r="U603" s="152"/>
      <c r="V603" s="152" t="n">
        <v>0.057261</v>
      </c>
      <c r="W603" s="152" t="n">
        <v>0.001145</v>
      </c>
      <c r="X603" s="152" t="n">
        <v>0.003395</v>
      </c>
      <c r="Y603" s="152" t="n">
        <v>0.047528</v>
      </c>
      <c r="Z603" s="152" t="n">
        <v>0.002</v>
      </c>
      <c r="AA603" s="152" t="n">
        <v>0.002</v>
      </c>
      <c r="AB603" s="154" t="n">
        <f aca="false">S603-Z603</f>
        <v>0.0537</v>
      </c>
      <c r="AC603" s="154" t="n">
        <f aca="false">U603-Z603-AA603</f>
        <v>-0.004</v>
      </c>
      <c r="AD603" s="155" t="n">
        <v>0.051</v>
      </c>
      <c r="AE603" s="153" t="n">
        <f aca="false">IF(Y603="","",Y603)</f>
        <v>0.047528</v>
      </c>
      <c r="AF603" s="153" t="n">
        <f aca="false">AD603-AE603</f>
        <v>0.003472</v>
      </c>
      <c r="AG603" s="184" t="n">
        <f aca="false">IF(AF603="","",AE603+AF603)</f>
        <v>0.051</v>
      </c>
      <c r="AH603" s="185" t="n">
        <v>45180</v>
      </c>
      <c r="AI603" s="35" t="n">
        <v>1</v>
      </c>
      <c r="AJ603" s="19" t="str">
        <f aca="false">IF(AG603="","N","Y")</f>
        <v>Y</v>
      </c>
      <c r="AK603" s="361" t="s">
        <v>859</v>
      </c>
      <c r="AL603" s="361"/>
      <c r="AM603" s="361"/>
      <c r="AN603" s="361"/>
      <c r="AO603" s="361"/>
      <c r="AP603" s="361"/>
      <c r="AQ603" s="361"/>
      <c r="AR603" s="361"/>
    </row>
    <row r="604" customFormat="false" ht="20.25" hidden="false" customHeight="true" outlineLevel="0" collapsed="false">
      <c r="A604" s="19" t="n">
        <f aca="false">IF(B604="","",IF((YEAR(B604)-YEAR(B603))=0,A603+1,1))</f>
        <v>78</v>
      </c>
      <c r="B604" s="141" t="n">
        <v>45181</v>
      </c>
      <c r="C604" s="63" t="s">
        <v>770</v>
      </c>
      <c r="D604" s="63" t="s">
        <v>772</v>
      </c>
      <c r="E604" s="19"/>
      <c r="F604" s="63" t="s">
        <v>773</v>
      </c>
      <c r="G604" s="142" t="n">
        <v>45181</v>
      </c>
      <c r="H604" s="142" t="n">
        <v>45272</v>
      </c>
      <c r="I604" s="19" t="n">
        <f aca="false">H604-G604</f>
        <v>91</v>
      </c>
      <c r="J604" s="149" t="n">
        <f aca="false">TRUNC(I604/30,0)</f>
        <v>3</v>
      </c>
      <c r="K604" s="183" t="s">
        <v>95</v>
      </c>
      <c r="L604" s="146" t="n">
        <v>1</v>
      </c>
      <c r="M604" s="147" t="n">
        <v>5.08</v>
      </c>
      <c r="N604" s="148" t="s">
        <v>860</v>
      </c>
      <c r="O604" s="149" t="s">
        <v>265</v>
      </c>
      <c r="P604" s="150" t="n">
        <v>0.0540525</v>
      </c>
      <c r="Q604" s="150"/>
      <c r="R604" s="151" t="s">
        <v>265</v>
      </c>
      <c r="S604" s="152" t="n">
        <v>0.0575</v>
      </c>
      <c r="T604" s="151"/>
      <c r="U604" s="152"/>
      <c r="V604" s="152" t="n">
        <v>0.059595</v>
      </c>
      <c r="W604" s="152" t="n">
        <v>0.001192</v>
      </c>
      <c r="X604" s="152" t="n">
        <v>0.001583</v>
      </c>
      <c r="Y604" s="152" t="n">
        <v>0.050071</v>
      </c>
      <c r="Z604" s="152" t="n">
        <v>0.002</v>
      </c>
      <c r="AA604" s="152" t="n">
        <v>0.002</v>
      </c>
      <c r="AB604" s="154" t="n">
        <f aca="false">S604-Z604</f>
        <v>0.0555</v>
      </c>
      <c r="AC604" s="154" t="n">
        <f aca="false">U604-Z604-AA604</f>
        <v>-0.004</v>
      </c>
      <c r="AD604" s="155" t="n">
        <v>0.0551</v>
      </c>
      <c r="AE604" s="153" t="n">
        <f aca="false">IF(Y604="","",Y604)</f>
        <v>0.050071</v>
      </c>
      <c r="AF604" s="153" t="n">
        <f aca="false">AD604-AE604</f>
        <v>0.00502900000000001</v>
      </c>
      <c r="AG604" s="184" t="n">
        <f aca="false">IF(AF604="","",AE604+AF604)</f>
        <v>0.0551</v>
      </c>
      <c r="AH604" s="185" t="n">
        <v>45181</v>
      </c>
      <c r="AI604" s="35" t="n">
        <v>2</v>
      </c>
      <c r="AJ604" s="19" t="str">
        <f aca="false">IF(AG604="","N","Y")</f>
        <v>Y</v>
      </c>
      <c r="AK604" s="361" t="s">
        <v>861</v>
      </c>
      <c r="AL604" s="361"/>
      <c r="AM604" s="361"/>
      <c r="AN604" s="361"/>
      <c r="AO604" s="361"/>
      <c r="AP604" s="361"/>
      <c r="AQ604" s="361"/>
      <c r="AR604" s="361"/>
    </row>
    <row r="605" customFormat="false" ht="20.25" hidden="false" customHeight="true" outlineLevel="0" collapsed="false">
      <c r="A605" s="19" t="n">
        <f aca="false">IF(B605="","",IF((YEAR(B605)-YEAR(B604))=0,A604+1,1))</f>
        <v>79</v>
      </c>
      <c r="B605" s="141" t="n">
        <v>45184</v>
      </c>
      <c r="C605" s="63" t="s">
        <v>862</v>
      </c>
      <c r="D605" s="19"/>
      <c r="E605" s="63" t="s">
        <v>863</v>
      </c>
      <c r="F605" s="63" t="s">
        <v>864</v>
      </c>
      <c r="G605" s="142" t="n">
        <v>45184</v>
      </c>
      <c r="H605" s="142" t="n">
        <v>45215</v>
      </c>
      <c r="I605" s="19" t="n">
        <f aca="false">H605-G605</f>
        <v>31</v>
      </c>
      <c r="J605" s="149" t="n">
        <f aca="false">TRUNC(I605/30,0)</f>
        <v>1</v>
      </c>
      <c r="K605" s="189" t="s">
        <v>99</v>
      </c>
      <c r="L605" s="146" t="n">
        <v>1</v>
      </c>
      <c r="M605" s="147" t="n">
        <v>4.62</v>
      </c>
      <c r="N605" s="148" t="s">
        <v>856</v>
      </c>
      <c r="O605" s="149" t="s">
        <v>271</v>
      </c>
      <c r="P605" s="150" t="n">
        <v>0.0530632</v>
      </c>
      <c r="Q605" s="150"/>
      <c r="R605" s="151" t="s">
        <v>271</v>
      </c>
      <c r="S605" s="152" t="n">
        <v>0.0539</v>
      </c>
      <c r="T605" s="151"/>
      <c r="U605" s="152"/>
      <c r="V605" s="152" t="n">
        <v>0.06028</v>
      </c>
      <c r="W605" s="152" t="n">
        <v>0.00422</v>
      </c>
      <c r="X605" s="152" t="n">
        <v>0.010841</v>
      </c>
      <c r="Y605" s="152" t="n">
        <v>0.041048</v>
      </c>
      <c r="Z605" s="152" t="n">
        <v>0.002</v>
      </c>
      <c r="AA605" s="152" t="n">
        <v>0.002</v>
      </c>
      <c r="AB605" s="154" t="n">
        <f aca="false">S605-Z605</f>
        <v>0.0519</v>
      </c>
      <c r="AC605" s="154" t="n">
        <f aca="false">U605-Z605-AA605</f>
        <v>-0.004</v>
      </c>
      <c r="AD605" s="155" t="n">
        <v>0.0435</v>
      </c>
      <c r="AE605" s="153" t="n">
        <f aca="false">IF(Y605="","",Y605)</f>
        <v>0.041048</v>
      </c>
      <c r="AF605" s="153" t="n">
        <f aca="false">AD605-AE605</f>
        <v>0.002452</v>
      </c>
      <c r="AG605" s="184" t="n">
        <f aca="false">IF(AF605="","",AE605+AF605)</f>
        <v>0.0435</v>
      </c>
      <c r="AH605" s="185" t="n">
        <v>45184</v>
      </c>
      <c r="AI605" s="35" t="n">
        <v>1</v>
      </c>
      <c r="AJ605" s="19" t="str">
        <f aca="false">IF(AG605="","N","Y")</f>
        <v>Y</v>
      </c>
      <c r="AK605" s="361" t="s">
        <v>865</v>
      </c>
      <c r="AL605" s="361"/>
      <c r="AM605" s="361"/>
      <c r="AN605" s="361"/>
      <c r="AO605" s="361"/>
      <c r="AP605" s="361"/>
      <c r="AQ605" s="361"/>
      <c r="AR605" s="361"/>
    </row>
    <row r="606" customFormat="false" ht="20.25" hidden="false" customHeight="true" outlineLevel="0" collapsed="false">
      <c r="A606" s="19" t="n">
        <f aca="false">IF(B606="","",IF((YEAR(B606)-YEAR(B605))=0,A605+1,1))</f>
        <v>80</v>
      </c>
      <c r="B606" s="141" t="n">
        <v>45188</v>
      </c>
      <c r="C606" s="63" t="s">
        <v>866</v>
      </c>
      <c r="D606" s="19"/>
      <c r="E606" s="63" t="s">
        <v>867</v>
      </c>
      <c r="F606" s="63" t="s">
        <v>868</v>
      </c>
      <c r="G606" s="142" t="n">
        <v>45188</v>
      </c>
      <c r="H606" s="142" t="n">
        <v>45218</v>
      </c>
      <c r="I606" s="19" t="n">
        <f aca="false">H606-G606</f>
        <v>30</v>
      </c>
      <c r="J606" s="149" t="n">
        <f aca="false">TRUNC(I606/30,0)</f>
        <v>1</v>
      </c>
      <c r="K606" s="189" t="s">
        <v>99</v>
      </c>
      <c r="L606" s="146" t="n">
        <v>1</v>
      </c>
      <c r="M606" s="147" t="n">
        <v>4.62</v>
      </c>
      <c r="N606" s="148" t="s">
        <v>850</v>
      </c>
      <c r="O606" s="149" t="s">
        <v>271</v>
      </c>
      <c r="P606" s="150" t="n">
        <v>0.0531307</v>
      </c>
      <c r="Q606" s="150"/>
      <c r="R606" s="151" t="s">
        <v>271</v>
      </c>
      <c r="S606" s="152" t="n">
        <v>0.0539</v>
      </c>
      <c r="T606" s="151"/>
      <c r="U606" s="152"/>
      <c r="V606" s="152" t="n">
        <v>0.060176</v>
      </c>
      <c r="W606" s="152" t="n">
        <v>0.004212</v>
      </c>
      <c r="X606" s="152" t="n">
        <v>0.010744</v>
      </c>
      <c r="Y606" s="152" t="n">
        <v>0.041111</v>
      </c>
      <c r="Z606" s="152" t="n">
        <v>0.002</v>
      </c>
      <c r="AA606" s="152" t="n">
        <v>0.002</v>
      </c>
      <c r="AB606" s="154" t="n">
        <f aca="false">S606-Z606</f>
        <v>0.0519</v>
      </c>
      <c r="AC606" s="154" t="n">
        <f aca="false">U606-Z606-AA606</f>
        <v>-0.004</v>
      </c>
      <c r="AD606" s="155" t="n">
        <v>0.0435</v>
      </c>
      <c r="AE606" s="153" t="n">
        <f aca="false">IF(Y606="","",Y606)</f>
        <v>0.041111</v>
      </c>
      <c r="AF606" s="153" t="n">
        <f aca="false">AD606-AE606</f>
        <v>0.002389</v>
      </c>
      <c r="AG606" s="184" t="n">
        <f aca="false">IF(AF606="","",AE606+AF606)</f>
        <v>0.0435</v>
      </c>
      <c r="AH606" s="185" t="n">
        <v>45188</v>
      </c>
      <c r="AI606" s="35" t="n">
        <v>2</v>
      </c>
      <c r="AJ606" s="19" t="str">
        <f aca="false">IF(AG606="","N","Y")</f>
        <v>Y</v>
      </c>
      <c r="AK606" s="361" t="s">
        <v>869</v>
      </c>
      <c r="AL606" s="361"/>
      <c r="AM606" s="361"/>
      <c r="AN606" s="361"/>
      <c r="AO606" s="361"/>
      <c r="AP606" s="361"/>
      <c r="AQ606" s="361"/>
      <c r="AR606" s="361"/>
    </row>
    <row r="607" customFormat="false" ht="20.25" hidden="false" customHeight="true" outlineLevel="0" collapsed="false">
      <c r="A607" s="19" t="n">
        <f aca="false">IF(B607="","",IF((YEAR(B607)-YEAR(B606))=0,A606+1,1))</f>
        <v>81</v>
      </c>
      <c r="B607" s="141" t="n">
        <v>45191</v>
      </c>
      <c r="C607" s="63" t="s">
        <v>770</v>
      </c>
      <c r="D607" s="63" t="s">
        <v>761</v>
      </c>
      <c r="E607" s="19"/>
      <c r="F607" s="63" t="s">
        <v>704</v>
      </c>
      <c r="G607" s="142" t="n">
        <v>45191</v>
      </c>
      <c r="H607" s="142" t="n">
        <v>45222</v>
      </c>
      <c r="I607" s="19" t="n">
        <f aca="false">H607-G607</f>
        <v>31</v>
      </c>
      <c r="J607" s="149" t="n">
        <f aca="false">TRUNC(I607/30,0)</f>
        <v>1</v>
      </c>
      <c r="K607" s="189" t="s">
        <v>99</v>
      </c>
      <c r="L607" s="146" t="n">
        <v>1.3</v>
      </c>
      <c r="M607" s="147" t="n">
        <v>4.62</v>
      </c>
      <c r="N607" s="148" t="s">
        <v>856</v>
      </c>
      <c r="O607" s="149" t="s">
        <v>271</v>
      </c>
      <c r="P607" s="150" t="n">
        <v>0.053408</v>
      </c>
      <c r="Q607" s="150"/>
      <c r="R607" s="151" t="s">
        <v>271</v>
      </c>
      <c r="S607" s="152" t="n">
        <v>0.055</v>
      </c>
      <c r="T607" s="151"/>
      <c r="U607" s="152"/>
      <c r="V607" s="152" t="n">
        <v>0.060024</v>
      </c>
      <c r="W607" s="152" t="n">
        <v>0.004202</v>
      </c>
      <c r="X607" s="152" t="n">
        <v>0.011102</v>
      </c>
      <c r="Y607" s="152" t="n">
        <v>0.041027</v>
      </c>
      <c r="Z607" s="152" t="n">
        <v>0.002</v>
      </c>
      <c r="AA607" s="152" t="n">
        <v>0.002</v>
      </c>
      <c r="AB607" s="154" t="n">
        <f aca="false">S607-Z607</f>
        <v>0.053</v>
      </c>
      <c r="AC607" s="154" t="n">
        <f aca="false">U607-Z607-AA607</f>
        <v>-0.004</v>
      </c>
      <c r="AD607" s="155" t="n">
        <v>0.043</v>
      </c>
      <c r="AE607" s="153" t="n">
        <f aca="false">IF(Y607="","",Y607)</f>
        <v>0.041027</v>
      </c>
      <c r="AF607" s="153" t="n">
        <f aca="false">AD607-AE607</f>
        <v>0.001973</v>
      </c>
      <c r="AG607" s="184" t="n">
        <f aca="false">IF(AF607="","",AE607+AF607)</f>
        <v>0.043</v>
      </c>
      <c r="AH607" s="185" t="n">
        <v>45191</v>
      </c>
      <c r="AI607" s="35" t="n">
        <v>1</v>
      </c>
      <c r="AJ607" s="19" t="str">
        <f aca="false">IF(AG607="","N","Y")</f>
        <v>Y</v>
      </c>
      <c r="AK607" s="361" t="s">
        <v>870</v>
      </c>
      <c r="AL607" s="361"/>
      <c r="AM607" s="361"/>
      <c r="AN607" s="361"/>
      <c r="AO607" s="361"/>
      <c r="AP607" s="361"/>
      <c r="AQ607" s="361"/>
      <c r="AR607" s="361"/>
    </row>
    <row r="608" customFormat="false" ht="20.25" hidden="false" customHeight="true" outlineLevel="0" collapsed="false">
      <c r="A608" s="19" t="n">
        <f aca="false">IF(B608="","",IF((YEAR(B608)-YEAR(B607))=0,A607+1,1))</f>
        <v>82</v>
      </c>
      <c r="B608" s="141" t="n">
        <v>45203</v>
      </c>
      <c r="C608" s="364" t="s">
        <v>848</v>
      </c>
      <c r="D608" s="364"/>
      <c r="E608" s="364" t="s">
        <v>849</v>
      </c>
      <c r="F608" s="390" t="s">
        <v>195</v>
      </c>
      <c r="G608" s="142" t="n">
        <v>45203</v>
      </c>
      <c r="H608" s="142" t="n">
        <v>45236</v>
      </c>
      <c r="I608" s="19" t="n">
        <f aca="false">H608-G608</f>
        <v>33</v>
      </c>
      <c r="J608" s="149" t="n">
        <f aca="false">TRUNC(I608/30,0)</f>
        <v>1</v>
      </c>
      <c r="K608" s="367" t="s">
        <v>99</v>
      </c>
      <c r="L608" s="146" t="n">
        <v>4.61</v>
      </c>
      <c r="M608" s="147" t="n">
        <v>4.62</v>
      </c>
      <c r="N608" s="148" t="s">
        <v>850</v>
      </c>
      <c r="O608" s="149" t="s">
        <v>305</v>
      </c>
      <c r="P608" s="150" t="n">
        <v>0.0532155</v>
      </c>
      <c r="Q608" s="150"/>
      <c r="R608" s="151" t="s">
        <v>305</v>
      </c>
      <c r="S608" s="152" t="n">
        <v>0.0535</v>
      </c>
      <c r="T608" s="151"/>
      <c r="U608" s="152"/>
      <c r="V608" s="152" t="n">
        <v>0.058362</v>
      </c>
      <c r="W608" s="152" t="n">
        <v>0.004085</v>
      </c>
      <c r="X608" s="152" t="n">
        <v>0.009557</v>
      </c>
      <c r="Y608" s="152" t="n">
        <v>0.04119</v>
      </c>
      <c r="Z608" s="152" t="n">
        <v>0.002</v>
      </c>
      <c r="AA608" s="152" t="n">
        <v>0.002</v>
      </c>
      <c r="AB608" s="154" t="n">
        <f aca="false">S608-Z608</f>
        <v>0.0515</v>
      </c>
      <c r="AC608" s="154" t="n">
        <f aca="false">U608-Z608-AA608</f>
        <v>-0.004</v>
      </c>
      <c r="AD608" s="155" t="n">
        <v>0.043</v>
      </c>
      <c r="AE608" s="153" t="n">
        <f aca="false">IF(Y608="","",Y608)</f>
        <v>0.04119</v>
      </c>
      <c r="AF608" s="153" t="n">
        <f aca="false">AD608-AE608</f>
        <v>0.00181</v>
      </c>
      <c r="AG608" s="184" t="n">
        <f aca="false">IF(AF608="","",AE608+AF608)</f>
        <v>0.043</v>
      </c>
      <c r="AH608" s="185" t="n">
        <v>45203</v>
      </c>
      <c r="AI608" s="35" t="n">
        <v>1</v>
      </c>
      <c r="AJ608" s="265" t="str">
        <f aca="false">IF(AG608="","N","Y")</f>
        <v>Y</v>
      </c>
      <c r="AK608" s="361" t="s">
        <v>871</v>
      </c>
      <c r="AL608" s="361"/>
      <c r="AM608" s="361"/>
      <c r="AN608" s="361"/>
      <c r="AO608" s="361"/>
      <c r="AP608" s="361"/>
      <c r="AQ608" s="361"/>
      <c r="AR608" s="361"/>
    </row>
    <row r="609" customFormat="false" ht="21" hidden="false" customHeight="true" outlineLevel="0" collapsed="false">
      <c r="A609" s="19" t="n">
        <f aca="false">IF(B609="","",IF((YEAR(B609)-YEAR(B608))=0,A608+1,1))</f>
        <v>83</v>
      </c>
      <c r="B609" s="141" t="n">
        <v>45209</v>
      </c>
      <c r="C609" s="63" t="s">
        <v>209</v>
      </c>
      <c r="D609" s="63" t="s">
        <v>695</v>
      </c>
      <c r="E609" s="63" t="s">
        <v>735</v>
      </c>
      <c r="F609" s="63" t="s">
        <v>697</v>
      </c>
      <c r="G609" s="142" t="n">
        <v>45209</v>
      </c>
      <c r="H609" s="142" t="n">
        <v>45240</v>
      </c>
      <c r="I609" s="19" t="n">
        <f aca="false">H609-G609</f>
        <v>31</v>
      </c>
      <c r="J609" s="149" t="n">
        <f aca="false">TRUNC(I609/30,0)</f>
        <v>1</v>
      </c>
      <c r="K609" s="183" t="s">
        <v>95</v>
      </c>
      <c r="L609" s="146" t="n">
        <v>1.01</v>
      </c>
      <c r="M609" s="147" t="n">
        <v>4.91</v>
      </c>
      <c r="N609" s="148" t="s">
        <v>872</v>
      </c>
      <c r="O609" s="149" t="s">
        <v>255</v>
      </c>
      <c r="P609" s="150" t="n">
        <v>0.0534107</v>
      </c>
      <c r="Q609" s="150"/>
      <c r="R609" s="151" t="s">
        <v>255</v>
      </c>
      <c r="S609" s="152" t="n">
        <v>0.0558</v>
      </c>
      <c r="T609" s="151"/>
      <c r="U609" s="152"/>
      <c r="V609" s="152" t="n">
        <v>0.057381</v>
      </c>
      <c r="W609" s="152" t="n">
        <v>0.001148</v>
      </c>
      <c r="X609" s="152" t="n">
        <v>0.003013</v>
      </c>
      <c r="Y609" s="152" t="n">
        <v>0.047642</v>
      </c>
      <c r="Z609" s="152" t="n">
        <v>0.002</v>
      </c>
      <c r="AA609" s="152" t="n">
        <v>0.002</v>
      </c>
      <c r="AB609" s="154" t="n">
        <f aca="false">S609-Z609</f>
        <v>0.0538</v>
      </c>
      <c r="AC609" s="154" t="n">
        <f aca="false">U609-Z609-AA609</f>
        <v>-0.004</v>
      </c>
      <c r="AD609" s="155" t="n">
        <v>0.0515</v>
      </c>
      <c r="AE609" s="153" t="n">
        <f aca="false">IF(Y609="","",Y609)</f>
        <v>0.047642</v>
      </c>
      <c r="AF609" s="153" t="n">
        <f aca="false">AD609-AE609</f>
        <v>0.003858</v>
      </c>
      <c r="AG609" s="184" t="n">
        <f aca="false">IF(AF609="","",AE609+AF609)</f>
        <v>0.0515</v>
      </c>
      <c r="AH609" s="185" t="n">
        <v>45209</v>
      </c>
      <c r="AI609" s="35" t="n">
        <v>6</v>
      </c>
      <c r="AJ609" s="19" t="str">
        <f aca="false">IF(AG609="","N","Y")</f>
        <v>Y</v>
      </c>
      <c r="AK609" s="361" t="s">
        <v>873</v>
      </c>
      <c r="AL609" s="361"/>
      <c r="AM609" s="361"/>
      <c r="AN609" s="361"/>
      <c r="AO609" s="361"/>
      <c r="AP609" s="361"/>
      <c r="AQ609" s="361"/>
      <c r="AR609" s="361"/>
    </row>
    <row r="610" customFormat="false" ht="21" hidden="false" customHeight="true" outlineLevel="0" collapsed="false">
      <c r="A610" s="19" t="n">
        <f aca="false">IF(B610="","",IF((YEAR(B610)-YEAR(B609))=0,A609+1,1))</f>
        <v>84</v>
      </c>
      <c r="B610" s="141" t="n">
        <v>45209</v>
      </c>
      <c r="C610" s="63" t="s">
        <v>209</v>
      </c>
      <c r="D610" s="63" t="s">
        <v>695</v>
      </c>
      <c r="E610" s="63" t="s">
        <v>735</v>
      </c>
      <c r="F610" s="63" t="s">
        <v>697</v>
      </c>
      <c r="G610" s="142" t="n">
        <v>45209</v>
      </c>
      <c r="H610" s="142" t="n">
        <v>45240</v>
      </c>
      <c r="I610" s="19" t="n">
        <f aca="false">H610-G610</f>
        <v>31</v>
      </c>
      <c r="J610" s="149" t="n">
        <f aca="false">TRUNC(I610/30,0)</f>
        <v>1</v>
      </c>
      <c r="K610" s="183" t="s">
        <v>95</v>
      </c>
      <c r="L610" s="146" t="n">
        <v>4.12</v>
      </c>
      <c r="M610" s="147" t="n">
        <v>4.91</v>
      </c>
      <c r="N610" s="148" t="s">
        <v>872</v>
      </c>
      <c r="O610" s="149" t="s">
        <v>255</v>
      </c>
      <c r="P610" s="150" t="n">
        <v>0.0534107</v>
      </c>
      <c r="Q610" s="150"/>
      <c r="R610" s="151" t="s">
        <v>255</v>
      </c>
      <c r="S610" s="152" t="n">
        <v>0.0558</v>
      </c>
      <c r="T610" s="151"/>
      <c r="U610" s="152"/>
      <c r="V610" s="152" t="n">
        <v>0.057381</v>
      </c>
      <c r="W610" s="152" t="n">
        <v>0.001148</v>
      </c>
      <c r="X610" s="152" t="n">
        <v>0.003013</v>
      </c>
      <c r="Y610" s="152" t="n">
        <v>0.047642</v>
      </c>
      <c r="Z610" s="152" t="n">
        <v>0.002</v>
      </c>
      <c r="AA610" s="152" t="n">
        <v>0.002</v>
      </c>
      <c r="AB610" s="154" t="n">
        <f aca="false">S610-Z610</f>
        <v>0.0538</v>
      </c>
      <c r="AC610" s="154" t="n">
        <f aca="false">U610-Z610-AA610</f>
        <v>-0.004</v>
      </c>
      <c r="AD610" s="155" t="n">
        <v>0.0515</v>
      </c>
      <c r="AE610" s="153" t="n">
        <f aca="false">IF(Y610="","",Y610)</f>
        <v>0.047642</v>
      </c>
      <c r="AF610" s="153" t="n">
        <f aca="false">AD610-AE610</f>
        <v>0.003858</v>
      </c>
      <c r="AG610" s="184" t="n">
        <f aca="false">IF(AF610="","",AE610+AF610)</f>
        <v>0.0515</v>
      </c>
      <c r="AH610" s="185" t="n">
        <v>45209</v>
      </c>
      <c r="AI610" s="35" t="n">
        <v>7</v>
      </c>
      <c r="AJ610" s="19" t="str">
        <f aca="false">IF(AG610="","N","Y")</f>
        <v>Y</v>
      </c>
      <c r="AK610" s="361" t="s">
        <v>873</v>
      </c>
      <c r="AL610" s="361"/>
      <c r="AM610" s="361"/>
      <c r="AN610" s="361"/>
      <c r="AO610" s="361"/>
      <c r="AP610" s="361"/>
      <c r="AQ610" s="361"/>
      <c r="AR610" s="361"/>
    </row>
    <row r="611" customFormat="false" ht="21" hidden="false" customHeight="true" outlineLevel="0" collapsed="false">
      <c r="A611" s="19" t="n">
        <f aca="false">IF(B611="","",IF((YEAR(B611)-YEAR(B610))=0,A610+1,1))</f>
        <v>85</v>
      </c>
      <c r="B611" s="141" t="n">
        <v>45209</v>
      </c>
      <c r="C611" s="63" t="s">
        <v>209</v>
      </c>
      <c r="D611" s="63" t="s">
        <v>695</v>
      </c>
      <c r="E611" s="63" t="s">
        <v>735</v>
      </c>
      <c r="F611" s="63" t="s">
        <v>697</v>
      </c>
      <c r="G611" s="142" t="n">
        <v>45209</v>
      </c>
      <c r="H611" s="142" t="n">
        <v>45240</v>
      </c>
      <c r="I611" s="19" t="n">
        <f aca="false">H611-G611</f>
        <v>31</v>
      </c>
      <c r="J611" s="149" t="n">
        <f aca="false">TRUNC(I611/30,0)</f>
        <v>1</v>
      </c>
      <c r="K611" s="183" t="s">
        <v>95</v>
      </c>
      <c r="L611" s="146" t="n">
        <v>1.01</v>
      </c>
      <c r="M611" s="147" t="n">
        <v>4.91</v>
      </c>
      <c r="N611" s="148" t="s">
        <v>872</v>
      </c>
      <c r="O611" s="149" t="s">
        <v>255</v>
      </c>
      <c r="P611" s="150" t="n">
        <v>0.0534107</v>
      </c>
      <c r="Q611" s="150"/>
      <c r="R611" s="151" t="s">
        <v>255</v>
      </c>
      <c r="S611" s="152" t="n">
        <v>0.0558</v>
      </c>
      <c r="T611" s="151"/>
      <c r="U611" s="152"/>
      <c r="V611" s="152" t="n">
        <v>0.057381</v>
      </c>
      <c r="W611" s="152" t="n">
        <v>0.001148</v>
      </c>
      <c r="X611" s="152" t="n">
        <v>0.003013</v>
      </c>
      <c r="Y611" s="152" t="n">
        <v>0.047642</v>
      </c>
      <c r="Z611" s="152" t="n">
        <v>0.002</v>
      </c>
      <c r="AA611" s="152" t="n">
        <v>0.002</v>
      </c>
      <c r="AB611" s="154" t="n">
        <f aca="false">S611-Z611</f>
        <v>0.0538</v>
      </c>
      <c r="AC611" s="154" t="n">
        <f aca="false">U611-Z611-AA611</f>
        <v>-0.004</v>
      </c>
      <c r="AD611" s="155" t="n">
        <v>0.0515</v>
      </c>
      <c r="AE611" s="153" t="n">
        <f aca="false">IF(Y611="","",Y611)</f>
        <v>0.047642</v>
      </c>
      <c r="AF611" s="153" t="n">
        <f aca="false">AD611-AE611</f>
        <v>0.003858</v>
      </c>
      <c r="AG611" s="184" t="n">
        <f aca="false">IF(AF611="","",AE611+AF611)</f>
        <v>0.0515</v>
      </c>
      <c r="AH611" s="185" t="n">
        <v>45209</v>
      </c>
      <c r="AI611" s="35" t="n">
        <v>8</v>
      </c>
      <c r="AJ611" s="19" t="str">
        <f aca="false">IF(AG611="","N","Y")</f>
        <v>Y</v>
      </c>
      <c r="AK611" s="361" t="s">
        <v>873</v>
      </c>
      <c r="AL611" s="361"/>
      <c r="AM611" s="361"/>
      <c r="AN611" s="361"/>
      <c r="AO611" s="361"/>
      <c r="AP611" s="361"/>
      <c r="AQ611" s="361"/>
      <c r="AR611" s="361"/>
    </row>
    <row r="612" customFormat="false" ht="20.25" hidden="false" customHeight="true" outlineLevel="0" collapsed="false">
      <c r="A612" s="19" t="n">
        <f aca="false">IF(B612="","",IF((YEAR(B612)-YEAR(B611))=0,A611+1,1))</f>
        <v>86</v>
      </c>
      <c r="B612" s="141" t="n">
        <v>45215</v>
      </c>
      <c r="C612" s="63" t="s">
        <v>862</v>
      </c>
      <c r="D612" s="19"/>
      <c r="E612" s="63" t="s">
        <v>863</v>
      </c>
      <c r="F612" s="63" t="s">
        <v>864</v>
      </c>
      <c r="G612" s="142" t="n">
        <v>45215</v>
      </c>
      <c r="H612" s="142" t="n">
        <v>45246</v>
      </c>
      <c r="I612" s="19" t="n">
        <f aca="false">H612-G612</f>
        <v>31</v>
      </c>
      <c r="J612" s="149" t="n">
        <f aca="false">TRUNC(I612/30,0)</f>
        <v>1</v>
      </c>
      <c r="K612" s="189" t="s">
        <v>99</v>
      </c>
      <c r="L612" s="146" t="n">
        <v>1</v>
      </c>
      <c r="M612" s="147" t="n">
        <v>4.62</v>
      </c>
      <c r="N612" s="148" t="s">
        <v>856</v>
      </c>
      <c r="O612" s="149" t="s">
        <v>271</v>
      </c>
      <c r="P612" s="150" t="n">
        <v>0.0531524</v>
      </c>
      <c r="Q612" s="150"/>
      <c r="R612" s="151" t="s">
        <v>271</v>
      </c>
      <c r="S612" s="152" t="n">
        <v>0.0537</v>
      </c>
      <c r="T612" s="151"/>
      <c r="U612" s="152"/>
      <c r="V612" s="152" t="n">
        <v>0.058412</v>
      </c>
      <c r="W612" s="152" t="n">
        <v>0.004089</v>
      </c>
      <c r="X612" s="152" t="n">
        <v>0.009103</v>
      </c>
      <c r="Y612" s="152" t="n">
        <v>0.041131</v>
      </c>
      <c r="Z612" s="152" t="n">
        <v>0.002</v>
      </c>
      <c r="AA612" s="152" t="n">
        <v>0.002</v>
      </c>
      <c r="AB612" s="154" t="n">
        <f aca="false">S612-Z612</f>
        <v>0.0517</v>
      </c>
      <c r="AC612" s="154" t="n">
        <f aca="false">U612-Z612-AA612</f>
        <v>-0.004</v>
      </c>
      <c r="AD612" s="155" t="n">
        <v>0.0435</v>
      </c>
      <c r="AE612" s="153" t="n">
        <f aca="false">IF(Y612="","",Y612)</f>
        <v>0.041131</v>
      </c>
      <c r="AF612" s="153" t="n">
        <f aca="false">AD612-AE612</f>
        <v>0.002369</v>
      </c>
      <c r="AG612" s="184" t="n">
        <f aca="false">IF(AF612="","",AE612+AF612)</f>
        <v>0.0435</v>
      </c>
      <c r="AH612" s="185" t="n">
        <v>45215</v>
      </c>
      <c r="AI612" s="35" t="n">
        <v>2</v>
      </c>
      <c r="AJ612" s="19" t="str">
        <f aca="false">IF(AG612="","N","Y")</f>
        <v>Y</v>
      </c>
      <c r="AK612" s="361" t="s">
        <v>874</v>
      </c>
      <c r="AL612" s="361"/>
      <c r="AM612" s="361"/>
      <c r="AN612" s="361"/>
      <c r="AO612" s="361"/>
      <c r="AP612" s="361"/>
      <c r="AQ612" s="361"/>
      <c r="AR612" s="361"/>
    </row>
    <row r="613" customFormat="false" ht="20.25" hidden="false" customHeight="true" outlineLevel="0" collapsed="false">
      <c r="A613" s="19" t="n">
        <v>87</v>
      </c>
      <c r="B613" s="141" t="n">
        <v>45218</v>
      </c>
      <c r="C613" s="63" t="s">
        <v>187</v>
      </c>
      <c r="D613" s="63" t="s">
        <v>875</v>
      </c>
      <c r="E613" s="63" t="s">
        <v>876</v>
      </c>
      <c r="F613" s="63" t="s">
        <v>877</v>
      </c>
      <c r="G613" s="142" t="n">
        <v>45218</v>
      </c>
      <c r="H613" s="142" t="n">
        <v>45250</v>
      </c>
      <c r="I613" s="19" t="n">
        <f aca="false">H613-G613</f>
        <v>32</v>
      </c>
      <c r="J613" s="149" t="n">
        <f aca="false">TRUNC(I613/30,0)</f>
        <v>1</v>
      </c>
      <c r="K613" s="183" t="s">
        <v>95</v>
      </c>
      <c r="L613" s="146" t="n">
        <v>4.7</v>
      </c>
      <c r="M613" s="147" t="n">
        <v>4.91</v>
      </c>
      <c r="N613" s="148" t="s">
        <v>872</v>
      </c>
      <c r="O613" s="149" t="s">
        <v>255</v>
      </c>
      <c r="P613" s="150" t="n">
        <v>0.0533911</v>
      </c>
      <c r="Q613" s="150"/>
      <c r="R613" s="151" t="s">
        <v>255</v>
      </c>
      <c r="S613" s="152" t="n">
        <v>0.0554</v>
      </c>
      <c r="T613" s="151"/>
      <c r="U613" s="152"/>
      <c r="V613" s="152" t="n">
        <v>0.057356</v>
      </c>
      <c r="W613" s="152" t="n">
        <v>0.001147</v>
      </c>
      <c r="X613" s="152" t="n">
        <v>0.002488</v>
      </c>
      <c r="Y613" s="152" t="n">
        <v>0.047623</v>
      </c>
      <c r="Z613" s="152" t="n">
        <v>0.002</v>
      </c>
      <c r="AA613" s="152" t="n">
        <v>0.002</v>
      </c>
      <c r="AB613" s="154" t="n">
        <f aca="false">S613-Z613</f>
        <v>0.0534</v>
      </c>
      <c r="AC613" s="154" t="n">
        <f aca="false">U613-Z613-AA613</f>
        <v>-0.004</v>
      </c>
      <c r="AD613" s="155" t="n">
        <v>0.052</v>
      </c>
      <c r="AE613" s="153" t="n">
        <f aca="false">IF(Y613="","",Y613)</f>
        <v>0.047623</v>
      </c>
      <c r="AF613" s="153" t="n">
        <f aca="false">AD613-AE613</f>
        <v>0.004377</v>
      </c>
      <c r="AG613" s="184" t="n">
        <f aca="false">IF(AF613="","",AE613+AF613)</f>
        <v>0.052</v>
      </c>
      <c r="AH613" s="185" t="n">
        <v>45218</v>
      </c>
      <c r="AI613" s="35" t="n">
        <v>4</v>
      </c>
      <c r="AJ613" s="19" t="str">
        <f aca="false">IF(AG613="","N","Y")</f>
        <v>Y</v>
      </c>
      <c r="AK613" s="361" t="s">
        <v>878</v>
      </c>
      <c r="AL613" s="361"/>
      <c r="AM613" s="361"/>
      <c r="AN613" s="361"/>
      <c r="AO613" s="361"/>
      <c r="AP613" s="361"/>
      <c r="AQ613" s="361"/>
      <c r="AR613" s="361"/>
    </row>
    <row r="614" customFormat="false" ht="20.25" hidden="false" customHeight="true" outlineLevel="0" collapsed="false">
      <c r="A614" s="19" t="n">
        <f aca="false">IF(B614="","",IF((YEAR(B614)-YEAR(B613))=0,A613+1,1))</f>
        <v>88</v>
      </c>
      <c r="B614" s="141" t="n">
        <v>45218</v>
      </c>
      <c r="C614" s="63" t="s">
        <v>866</v>
      </c>
      <c r="D614" s="19"/>
      <c r="E614" s="63" t="s">
        <v>867</v>
      </c>
      <c r="F614" s="63" t="s">
        <v>868</v>
      </c>
      <c r="G614" s="142" t="n">
        <v>45218</v>
      </c>
      <c r="H614" s="142" t="n">
        <v>45250</v>
      </c>
      <c r="I614" s="19" t="n">
        <f aca="false">H614-G614</f>
        <v>32</v>
      </c>
      <c r="J614" s="149" t="n">
        <f aca="false">TRUNC(I614/30,0)</f>
        <v>1</v>
      </c>
      <c r="K614" s="189" t="s">
        <v>99</v>
      </c>
      <c r="L614" s="146" t="n">
        <v>1</v>
      </c>
      <c r="M614" s="147" t="n">
        <v>4.62</v>
      </c>
      <c r="N614" s="148" t="s">
        <v>856</v>
      </c>
      <c r="O614" s="149" t="s">
        <v>271</v>
      </c>
      <c r="P614" s="150" t="n">
        <v>0.0531602</v>
      </c>
      <c r="Q614" s="150"/>
      <c r="R614" s="151" t="s">
        <v>271</v>
      </c>
      <c r="S614" s="152" t="n">
        <v>0.0528</v>
      </c>
      <c r="T614" s="151"/>
      <c r="U614" s="152"/>
      <c r="V614" s="152" t="n">
        <v>0.058422</v>
      </c>
      <c r="W614" s="152" t="n">
        <v>0.00409</v>
      </c>
      <c r="X614" s="152" t="n">
        <v>0.009113</v>
      </c>
      <c r="Y614" s="152" t="n">
        <v>0.041138</v>
      </c>
      <c r="Z614" s="152" t="n">
        <v>0.002</v>
      </c>
      <c r="AA614" s="152" t="n">
        <v>0.002</v>
      </c>
      <c r="AB614" s="154" t="n">
        <f aca="false">S614-Z614</f>
        <v>0.0508</v>
      </c>
      <c r="AC614" s="154" t="n">
        <f aca="false">U614-Z614-AA614</f>
        <v>-0.004</v>
      </c>
      <c r="AD614" s="155" t="n">
        <v>0.0435</v>
      </c>
      <c r="AE614" s="153" t="n">
        <f aca="false">IF(Y614="","",Y614)</f>
        <v>0.041138</v>
      </c>
      <c r="AF614" s="153" t="n">
        <f aca="false">AD614-AE614</f>
        <v>0.002362</v>
      </c>
      <c r="AG614" s="184" t="n">
        <f aca="false">IF(AF614="","",AE614+AF614)</f>
        <v>0.0435</v>
      </c>
      <c r="AH614" s="185" t="n">
        <v>45218</v>
      </c>
      <c r="AI614" s="35" t="n">
        <v>1</v>
      </c>
      <c r="AJ614" s="19" t="str">
        <f aca="false">IF(AG614="","N","Y")</f>
        <v>Y</v>
      </c>
      <c r="AK614" s="361" t="s">
        <v>879</v>
      </c>
      <c r="AL614" s="361"/>
      <c r="AM614" s="361"/>
      <c r="AN614" s="361"/>
      <c r="AO614" s="361"/>
      <c r="AP614" s="361"/>
      <c r="AQ614" s="361"/>
      <c r="AR614" s="361"/>
    </row>
    <row r="615" customFormat="false" ht="20.25" hidden="false" customHeight="true" outlineLevel="0" collapsed="false">
      <c r="A615" s="19" t="n">
        <v>89</v>
      </c>
      <c r="B615" s="141" t="n">
        <v>45233</v>
      </c>
      <c r="C615" s="63" t="s">
        <v>597</v>
      </c>
      <c r="D615" s="19"/>
      <c r="E615" s="63" t="s">
        <v>728</v>
      </c>
      <c r="F615" s="63" t="s">
        <v>880</v>
      </c>
      <c r="G615" s="142" t="n">
        <v>45233</v>
      </c>
      <c r="H615" s="142" t="n">
        <v>45264</v>
      </c>
      <c r="I615" s="19" t="n">
        <f aca="false">H615-G615</f>
        <v>31</v>
      </c>
      <c r="J615" s="149" t="n">
        <f aca="false">TRUNC(I615/30,0)</f>
        <v>1</v>
      </c>
      <c r="K615" s="183" t="s">
        <v>95</v>
      </c>
      <c r="L615" s="146" t="n">
        <v>7</v>
      </c>
      <c r="M615" s="147" t="n">
        <v>4.9</v>
      </c>
      <c r="N615" s="148" t="s">
        <v>881</v>
      </c>
      <c r="O615" s="149" t="s">
        <v>255</v>
      </c>
      <c r="P615" s="150" t="n">
        <v>0.0532971</v>
      </c>
      <c r="Q615" s="150"/>
      <c r="R615" s="151" t="s">
        <v>255</v>
      </c>
      <c r="S615" s="152" t="n">
        <v>0.055</v>
      </c>
      <c r="T615" s="151"/>
      <c r="U615" s="152"/>
      <c r="V615" s="152" t="n">
        <v>0.057203</v>
      </c>
      <c r="W615" s="152" t="n">
        <v>0.001144</v>
      </c>
      <c r="X615" s="152" t="n">
        <v>0.002838</v>
      </c>
      <c r="Y615" s="152" t="n">
        <v>0.047531</v>
      </c>
      <c r="Z615" s="152" t="n">
        <v>0.002</v>
      </c>
      <c r="AA615" s="152" t="n">
        <v>0.002</v>
      </c>
      <c r="AB615" s="154" t="n">
        <f aca="false">S615-Z615</f>
        <v>0.053</v>
      </c>
      <c r="AC615" s="154" t="n">
        <f aca="false">U615-Z615-AA615</f>
        <v>-0.004</v>
      </c>
      <c r="AD615" s="155" t="n">
        <v>0.0515</v>
      </c>
      <c r="AE615" s="153" t="n">
        <f aca="false">IF(Y615="","",Y615)</f>
        <v>0.047531</v>
      </c>
      <c r="AF615" s="153" t="n">
        <f aca="false">AD615-AE615</f>
        <v>0.003969</v>
      </c>
      <c r="AG615" s="184" t="n">
        <f aca="false">IF(AF615="","",AE615+AF615)</f>
        <v>0.0515</v>
      </c>
      <c r="AH615" s="185" t="n">
        <v>45233</v>
      </c>
      <c r="AI615" s="35" t="n">
        <v>1</v>
      </c>
      <c r="AJ615" s="19" t="str">
        <f aca="false">IF(AG615="","N","Y")</f>
        <v>Y</v>
      </c>
      <c r="AK615" s="361" t="s">
        <v>882</v>
      </c>
      <c r="AL615" s="361"/>
      <c r="AM615" s="361"/>
      <c r="AN615" s="361"/>
      <c r="AO615" s="361"/>
      <c r="AP615" s="361"/>
      <c r="AQ615" s="361"/>
      <c r="AR615" s="361"/>
    </row>
    <row r="616" customFormat="false" ht="20.25" hidden="false" customHeight="true" outlineLevel="0" collapsed="false">
      <c r="A616" s="19" t="n">
        <f aca="false">IF(B616="","",IF((YEAR(B616)-YEAR(B615))=0,A615+1,1))</f>
        <v>90</v>
      </c>
      <c r="B616" s="141" t="n">
        <v>45237</v>
      </c>
      <c r="C616" s="63" t="s">
        <v>124</v>
      </c>
      <c r="D616" s="63" t="s">
        <v>883</v>
      </c>
      <c r="E616" s="63" t="s">
        <v>884</v>
      </c>
      <c r="F616" s="63" t="s">
        <v>885</v>
      </c>
      <c r="G616" s="142" t="n">
        <v>45237</v>
      </c>
      <c r="H616" s="142" t="n">
        <v>45603</v>
      </c>
      <c r="I616" s="19" t="n">
        <f aca="false">H616-G616</f>
        <v>366</v>
      </c>
      <c r="J616" s="149" t="n">
        <f aca="false">TRUNC(I616/30,0)</f>
        <v>12</v>
      </c>
      <c r="K616" s="183" t="s">
        <v>95</v>
      </c>
      <c r="L616" s="146" t="n">
        <v>1</v>
      </c>
      <c r="M616" s="147" t="n">
        <v>5.17</v>
      </c>
      <c r="N616" s="148" t="s">
        <v>886</v>
      </c>
      <c r="O616" s="149" t="s">
        <v>340</v>
      </c>
      <c r="P616" s="150" t="n">
        <v>0.0526278</v>
      </c>
      <c r="Q616" s="150"/>
      <c r="R616" s="151" t="s">
        <v>340</v>
      </c>
      <c r="S616" s="152" t="n">
        <v>0.0605</v>
      </c>
      <c r="T616" s="151"/>
      <c r="U616" s="152"/>
      <c r="V616" s="152" t="n">
        <v>0.063271</v>
      </c>
      <c r="W616" s="152" t="n">
        <v>0.001265</v>
      </c>
      <c r="X616" s="152" t="n">
        <v>0.003786</v>
      </c>
      <c r="Y616" s="152" t="n">
        <v>0.049175</v>
      </c>
      <c r="Z616" s="152" t="n">
        <v>0.002</v>
      </c>
      <c r="AA616" s="152" t="n">
        <v>0.002</v>
      </c>
      <c r="AB616" s="154" t="n">
        <f aca="false">S616-Z616</f>
        <v>0.0585</v>
      </c>
      <c r="AC616" s="154" t="n">
        <f aca="false">U616-Z616-AA616</f>
        <v>-0.004</v>
      </c>
      <c r="AD616" s="155" t="n">
        <v>0.0565</v>
      </c>
      <c r="AE616" s="153" t="n">
        <f aca="false">IF(Y616="","",Y616)</f>
        <v>0.049175</v>
      </c>
      <c r="AF616" s="153" t="n">
        <f aca="false">AD616-AE616</f>
        <v>0.007325</v>
      </c>
      <c r="AG616" s="184" t="n">
        <f aca="false">IF(AF616="","",AE616+AF616)</f>
        <v>0.0565</v>
      </c>
      <c r="AH616" s="185" t="n">
        <v>45237</v>
      </c>
      <c r="AI616" s="35" t="n">
        <v>1</v>
      </c>
      <c r="AJ616" s="19" t="str">
        <f aca="false">IF(AG616="","N","Y")</f>
        <v>Y</v>
      </c>
      <c r="AK616" s="361" t="s">
        <v>887</v>
      </c>
      <c r="AL616" s="361"/>
      <c r="AM616" s="361"/>
      <c r="AN616" s="361"/>
      <c r="AO616" s="361"/>
      <c r="AP616" s="361"/>
      <c r="AQ616" s="361"/>
      <c r="AR616" s="361"/>
    </row>
    <row r="617" customFormat="false" ht="21" hidden="false" customHeight="true" outlineLevel="0" collapsed="false">
      <c r="A617" s="19" t="n">
        <f aca="false">IF(B617="","",IF((YEAR(B617)-YEAR(B616))=0,A616+1,1))</f>
        <v>91</v>
      </c>
      <c r="B617" s="141" t="n">
        <v>45240</v>
      </c>
      <c r="C617" s="63" t="s">
        <v>209</v>
      </c>
      <c r="D617" s="19"/>
      <c r="E617" s="63" t="s">
        <v>735</v>
      </c>
      <c r="F617" s="63" t="s">
        <v>697</v>
      </c>
      <c r="G617" s="142" t="n">
        <v>45240</v>
      </c>
      <c r="H617" s="142" t="n">
        <v>45271</v>
      </c>
      <c r="I617" s="19" t="n">
        <f aca="false">H617-G617</f>
        <v>31</v>
      </c>
      <c r="J617" s="149" t="n">
        <f aca="false">TRUNC(I617/30,0)</f>
        <v>1</v>
      </c>
      <c r="K617" s="183" t="s">
        <v>95</v>
      </c>
      <c r="L617" s="146" t="n">
        <v>1.01</v>
      </c>
      <c r="M617" s="147" t="n">
        <v>4.89</v>
      </c>
      <c r="N617" s="148" t="s">
        <v>888</v>
      </c>
      <c r="O617" s="149" t="s">
        <v>255</v>
      </c>
      <c r="P617" s="150" t="n">
        <v>0.0532119</v>
      </c>
      <c r="Q617" s="150"/>
      <c r="R617" s="151" t="s">
        <v>255</v>
      </c>
      <c r="S617" s="152" t="n">
        <v>0.0548</v>
      </c>
      <c r="T617" s="151"/>
      <c r="U617" s="152"/>
      <c r="V617" s="152" t="n">
        <v>0.057232</v>
      </c>
      <c r="W617" s="152" t="n">
        <v>0.001145</v>
      </c>
      <c r="X617" s="152" t="n">
        <v>0.001867</v>
      </c>
      <c r="Y617" s="152" t="n">
        <v>0.047447</v>
      </c>
      <c r="Z617" s="152" t="n">
        <v>0.002</v>
      </c>
      <c r="AA617" s="152" t="n">
        <v>0.002</v>
      </c>
      <c r="AB617" s="154" t="n">
        <f aca="false">S617-Z617</f>
        <v>0.0528</v>
      </c>
      <c r="AC617" s="154" t="n">
        <f aca="false">U617-Z617-AA617</f>
        <v>-0.004</v>
      </c>
      <c r="AD617" s="155" t="n">
        <v>0.0525</v>
      </c>
      <c r="AE617" s="153" t="n">
        <f aca="false">IF(Y617="","",Y617)</f>
        <v>0.047447</v>
      </c>
      <c r="AF617" s="153" t="n">
        <f aca="false">AD617-AE617</f>
        <v>0.005053</v>
      </c>
      <c r="AG617" s="184" t="n">
        <f aca="false">IF(AF617="","",AE617+AF617)</f>
        <v>0.0525</v>
      </c>
      <c r="AH617" s="185" t="n">
        <v>45240</v>
      </c>
      <c r="AI617" s="35" t="n">
        <v>1</v>
      </c>
      <c r="AJ617" s="19" t="str">
        <f aca="false">IF(AG617="","N","Y")</f>
        <v>Y</v>
      </c>
      <c r="AK617" s="361" t="s">
        <v>889</v>
      </c>
      <c r="AL617" s="361"/>
      <c r="AM617" s="361"/>
      <c r="AN617" s="361"/>
      <c r="AO617" s="361"/>
      <c r="AP617" s="361"/>
      <c r="AQ617" s="361"/>
      <c r="AR617" s="361"/>
    </row>
    <row r="618" customFormat="false" ht="21" hidden="false" customHeight="true" outlineLevel="0" collapsed="false">
      <c r="A618" s="19" t="n">
        <f aca="false">IF(B618="","",IF((YEAR(B618)-YEAR(B617))=0,A617+1,1))</f>
        <v>92</v>
      </c>
      <c r="B618" s="141" t="n">
        <v>45240</v>
      </c>
      <c r="C618" s="63" t="s">
        <v>209</v>
      </c>
      <c r="D618" s="19"/>
      <c r="E618" s="63" t="s">
        <v>735</v>
      </c>
      <c r="F618" s="63" t="s">
        <v>697</v>
      </c>
      <c r="G618" s="142" t="n">
        <v>45240</v>
      </c>
      <c r="H618" s="142" t="n">
        <v>45271</v>
      </c>
      <c r="I618" s="19" t="n">
        <f aca="false">H618-G618</f>
        <v>31</v>
      </c>
      <c r="J618" s="149" t="n">
        <f aca="false">TRUNC(I618/30,0)</f>
        <v>1</v>
      </c>
      <c r="K618" s="183" t="s">
        <v>95</v>
      </c>
      <c r="L618" s="146" t="n">
        <v>4.14</v>
      </c>
      <c r="M618" s="147" t="n">
        <v>4.89</v>
      </c>
      <c r="N618" s="148" t="s">
        <v>888</v>
      </c>
      <c r="O618" s="149" t="s">
        <v>255</v>
      </c>
      <c r="P618" s="150" t="n">
        <v>0.0532119</v>
      </c>
      <c r="Q618" s="150"/>
      <c r="R618" s="151" t="s">
        <v>255</v>
      </c>
      <c r="S618" s="152" t="n">
        <v>0.0548</v>
      </c>
      <c r="T618" s="151"/>
      <c r="U618" s="152"/>
      <c r="V618" s="152" t="n">
        <v>0.057232</v>
      </c>
      <c r="W618" s="152" t="n">
        <v>0.001145</v>
      </c>
      <c r="X618" s="152" t="n">
        <v>0.001867</v>
      </c>
      <c r="Y618" s="152" t="n">
        <v>0.047447</v>
      </c>
      <c r="Z618" s="152" t="n">
        <v>0.002</v>
      </c>
      <c r="AA618" s="152" t="n">
        <v>0.002</v>
      </c>
      <c r="AB618" s="154" t="n">
        <f aca="false">S618-Z618</f>
        <v>0.0528</v>
      </c>
      <c r="AC618" s="154" t="n">
        <f aca="false">U618-Z618-AA618</f>
        <v>-0.004</v>
      </c>
      <c r="AD618" s="155" t="n">
        <v>0.0525</v>
      </c>
      <c r="AE618" s="153" t="n">
        <f aca="false">IF(Y618="","",Y618)</f>
        <v>0.047447</v>
      </c>
      <c r="AF618" s="153" t="n">
        <f aca="false">AD618-AE618</f>
        <v>0.005053</v>
      </c>
      <c r="AG618" s="184" t="n">
        <f aca="false">IF(AF618="","",AE618+AF618)</f>
        <v>0.0525</v>
      </c>
      <c r="AH618" s="185" t="n">
        <v>45240</v>
      </c>
      <c r="AI618" s="35" t="n">
        <v>2</v>
      </c>
      <c r="AJ618" s="19" t="str">
        <f aca="false">IF(AG618="","N","Y")</f>
        <v>Y</v>
      </c>
      <c r="AK618" s="361" t="s">
        <v>889</v>
      </c>
      <c r="AL618" s="361"/>
      <c r="AM618" s="361"/>
      <c r="AN618" s="361"/>
      <c r="AO618" s="361"/>
      <c r="AP618" s="361"/>
      <c r="AQ618" s="361"/>
      <c r="AR618" s="361"/>
    </row>
    <row r="619" customFormat="false" ht="21" hidden="false" customHeight="true" outlineLevel="0" collapsed="false">
      <c r="A619" s="19" t="n">
        <f aca="false">IF(B619="","",IF((YEAR(B619)-YEAR(B618))=0,A618+1,1))</f>
        <v>93</v>
      </c>
      <c r="B619" s="141" t="n">
        <v>45240</v>
      </c>
      <c r="C619" s="63" t="s">
        <v>209</v>
      </c>
      <c r="D619" s="19"/>
      <c r="E619" s="63" t="s">
        <v>735</v>
      </c>
      <c r="F619" s="63" t="s">
        <v>697</v>
      </c>
      <c r="G619" s="142" t="n">
        <v>45240</v>
      </c>
      <c r="H619" s="142" t="n">
        <v>45271</v>
      </c>
      <c r="I619" s="19" t="n">
        <f aca="false">H619-G619</f>
        <v>31</v>
      </c>
      <c r="J619" s="149" t="n">
        <f aca="false">TRUNC(I619/30,0)</f>
        <v>1</v>
      </c>
      <c r="K619" s="183" t="s">
        <v>95</v>
      </c>
      <c r="L619" s="146" t="n">
        <v>1.01</v>
      </c>
      <c r="M619" s="147" t="n">
        <v>4.89</v>
      </c>
      <c r="N619" s="148" t="s">
        <v>888</v>
      </c>
      <c r="O619" s="149" t="s">
        <v>255</v>
      </c>
      <c r="P619" s="150" t="n">
        <v>0.0532119</v>
      </c>
      <c r="Q619" s="150"/>
      <c r="R619" s="151" t="s">
        <v>255</v>
      </c>
      <c r="S619" s="152" t="n">
        <v>0.0548</v>
      </c>
      <c r="T619" s="151"/>
      <c r="U619" s="152"/>
      <c r="V619" s="152" t="n">
        <v>0.057232</v>
      </c>
      <c r="W619" s="152" t="n">
        <v>0.001145</v>
      </c>
      <c r="X619" s="152" t="n">
        <v>0.001867</v>
      </c>
      <c r="Y619" s="152" t="n">
        <v>0.047447</v>
      </c>
      <c r="Z619" s="152" t="n">
        <v>0.002</v>
      </c>
      <c r="AA619" s="152" t="n">
        <v>0.002</v>
      </c>
      <c r="AB619" s="154" t="n">
        <f aca="false">S619-Z619</f>
        <v>0.0528</v>
      </c>
      <c r="AC619" s="154" t="n">
        <f aca="false">U619-Z619-AA619</f>
        <v>-0.004</v>
      </c>
      <c r="AD619" s="155" t="n">
        <v>0.0525</v>
      </c>
      <c r="AE619" s="153" t="n">
        <f aca="false">IF(Y619="","",Y619)</f>
        <v>0.047447</v>
      </c>
      <c r="AF619" s="153" t="n">
        <f aca="false">AD619-AE619</f>
        <v>0.005053</v>
      </c>
      <c r="AG619" s="184" t="n">
        <f aca="false">IF(AF619="","",AE619+AF619)</f>
        <v>0.0525</v>
      </c>
      <c r="AH619" s="185" t="n">
        <v>45240</v>
      </c>
      <c r="AI619" s="35" t="n">
        <v>3</v>
      </c>
      <c r="AJ619" s="19" t="str">
        <f aca="false">IF(AG619="","N","Y")</f>
        <v>Y</v>
      </c>
      <c r="AK619" s="361" t="s">
        <v>889</v>
      </c>
      <c r="AL619" s="361"/>
      <c r="AM619" s="361"/>
      <c r="AN619" s="361"/>
      <c r="AO619" s="361"/>
      <c r="AP619" s="361"/>
      <c r="AQ619" s="361"/>
      <c r="AR619" s="361"/>
    </row>
    <row r="620" s="38" customFormat="true" ht="23.25" hidden="false" customHeight="true" outlineLevel="0" collapsed="false">
      <c r="A620" s="19" t="n">
        <f aca="false">IF(B620="","",IF((YEAR(B620)-YEAR(B619))=0,A619+1,1))</f>
        <v>94</v>
      </c>
      <c r="B620" s="141" t="n">
        <v>45246</v>
      </c>
      <c r="C620" s="63" t="s">
        <v>100</v>
      </c>
      <c r="D620" s="63" t="s">
        <v>890</v>
      </c>
      <c r="E620" s="19"/>
      <c r="F620" s="63" t="s">
        <v>826</v>
      </c>
      <c r="G620" s="142" t="n">
        <v>45246</v>
      </c>
      <c r="H620" s="142" t="n">
        <v>45260</v>
      </c>
      <c r="I620" s="19" t="n">
        <f aca="false">H620-G620</f>
        <v>14</v>
      </c>
      <c r="J620" s="100" t="n">
        <f aca="false">TRUNC(I620/30,0)</f>
        <v>0</v>
      </c>
      <c r="K620" s="183" t="s">
        <v>95</v>
      </c>
      <c r="L620" s="146" t="n">
        <v>90</v>
      </c>
      <c r="M620" s="147" t="n">
        <v>4.58</v>
      </c>
      <c r="N620" s="148" t="s">
        <v>891</v>
      </c>
      <c r="O620" s="149"/>
      <c r="P620" s="149"/>
      <c r="Q620" s="150"/>
      <c r="R620" s="151" t="s">
        <v>366</v>
      </c>
      <c r="S620" s="152" t="n">
        <v>0.0542</v>
      </c>
      <c r="T620" s="151"/>
      <c r="U620" s="152"/>
      <c r="V620" s="152" t="n">
        <v>0.056121</v>
      </c>
      <c r="W620" s="152" t="n">
        <v>0.001122</v>
      </c>
      <c r="X620" s="152" t="n">
        <v>0.002278</v>
      </c>
      <c r="Y620" s="153" t="n">
        <v>0.043194</v>
      </c>
      <c r="Z620" s="152" t="n">
        <v>0.002</v>
      </c>
      <c r="AA620" s="152" t="n">
        <v>0.002</v>
      </c>
      <c r="AB620" s="154" t="n">
        <f aca="false">S620-Z620</f>
        <v>0.0522</v>
      </c>
      <c r="AC620" s="154" t="n">
        <f aca="false">U620-Z620-AA620</f>
        <v>-0.004</v>
      </c>
      <c r="AD620" s="155" t="n">
        <v>0.051</v>
      </c>
      <c r="AE620" s="156" t="n">
        <f aca="false">IF(Y620="","",Y620)</f>
        <v>0.043194</v>
      </c>
      <c r="AF620" s="153" t="n">
        <f aca="false">AD620-AE620</f>
        <v>0.00780599999999999</v>
      </c>
      <c r="AG620" s="184" t="n">
        <f aca="false">IF(AF620="","",AE620+AF620)</f>
        <v>0.051</v>
      </c>
      <c r="AH620" s="185" t="n">
        <v>45246</v>
      </c>
      <c r="AI620" s="35" t="n">
        <v>2</v>
      </c>
      <c r="AJ620" s="19" t="str">
        <f aca="false">IF(AG620="","N","Y")</f>
        <v>Y</v>
      </c>
      <c r="AK620" s="352" t="s">
        <v>892</v>
      </c>
      <c r="AL620" s="36"/>
    </row>
    <row r="621" customFormat="false" ht="20.25" hidden="false" customHeight="true" outlineLevel="0" collapsed="false">
      <c r="A621" s="19" t="n">
        <f aca="false">IF(B621="","",IF((YEAR(B621)-YEAR(B620))=0,A620+1,1))</f>
        <v>95</v>
      </c>
      <c r="B621" s="141" t="n">
        <v>45246</v>
      </c>
      <c r="C621" s="63" t="s">
        <v>862</v>
      </c>
      <c r="D621" s="19"/>
      <c r="E621" s="63" t="s">
        <v>863</v>
      </c>
      <c r="F621" s="63" t="s">
        <v>864</v>
      </c>
      <c r="G621" s="142" t="n">
        <v>45246</v>
      </c>
      <c r="H621" s="142" t="n">
        <v>45278</v>
      </c>
      <c r="I621" s="19" t="n">
        <f aca="false">H621-G621</f>
        <v>32</v>
      </c>
      <c r="J621" s="149" t="n">
        <f aca="false">TRUNC(I621/30,0)</f>
        <v>1</v>
      </c>
      <c r="K621" s="189" t="s">
        <v>99</v>
      </c>
      <c r="L621" s="146" t="n">
        <v>1</v>
      </c>
      <c r="M621" s="147" t="n">
        <v>4.61</v>
      </c>
      <c r="N621" s="148" t="s">
        <v>850</v>
      </c>
      <c r="O621" s="149" t="s">
        <v>271</v>
      </c>
      <c r="P621" s="150" t="n">
        <v>0.0532198</v>
      </c>
      <c r="Q621" s="150"/>
      <c r="R621" s="151" t="s">
        <v>271</v>
      </c>
      <c r="S621" s="152" t="n">
        <v>0.0537</v>
      </c>
      <c r="T621" s="151"/>
      <c r="U621" s="152"/>
      <c r="V621" s="152" t="n">
        <v>0.059994</v>
      </c>
      <c r="W621" s="152" t="n">
        <v>0.0042</v>
      </c>
      <c r="X621" s="152" t="n">
        <v>0.010575</v>
      </c>
      <c r="Y621" s="152" t="n">
        <v>0.041194</v>
      </c>
      <c r="Z621" s="152" t="n">
        <v>0.002</v>
      </c>
      <c r="AA621" s="152" t="n">
        <v>0.002</v>
      </c>
      <c r="AB621" s="154" t="n">
        <f aca="false">S621-Z621</f>
        <v>0.0517</v>
      </c>
      <c r="AC621" s="154" t="n">
        <f aca="false">U621-Z621-AA621</f>
        <v>-0.004</v>
      </c>
      <c r="AD621" s="155" t="n">
        <v>0.0435</v>
      </c>
      <c r="AE621" s="153" t="n">
        <f aca="false">IF(Y621="","",Y621)</f>
        <v>0.041194</v>
      </c>
      <c r="AF621" s="153" t="n">
        <f aca="false">AD621-AE621</f>
        <v>0.002306</v>
      </c>
      <c r="AG621" s="184" t="n">
        <f aca="false">IF(AF621="","",AE621+AF621)</f>
        <v>0.0435</v>
      </c>
      <c r="AH621" s="185" t="n">
        <v>45246</v>
      </c>
      <c r="AI621" s="35" t="n">
        <v>3</v>
      </c>
      <c r="AJ621" s="19" t="str">
        <f aca="false">IF(AG621="","N","Y")</f>
        <v>Y</v>
      </c>
      <c r="AK621" s="361" t="s">
        <v>893</v>
      </c>
      <c r="AL621" s="361"/>
      <c r="AM621" s="361"/>
      <c r="AN621" s="361"/>
      <c r="AO621" s="361"/>
      <c r="AP621" s="361"/>
      <c r="AQ621" s="361"/>
      <c r="AR621" s="361"/>
    </row>
    <row r="622" s="140" customFormat="true" ht="20.25" hidden="false" customHeight="true" outlineLevel="0" collapsed="false">
      <c r="A622" s="116" t="n">
        <f aca="false">IF(B622="","",IF((YEAR(B622)-YEAR(B621))=0,A621+1,1))</f>
        <v>96</v>
      </c>
      <c r="B622" s="160" t="n">
        <v>45246</v>
      </c>
      <c r="C622" s="161" t="s">
        <v>862</v>
      </c>
      <c r="D622" s="116"/>
      <c r="E622" s="161" t="s">
        <v>863</v>
      </c>
      <c r="F622" s="161" t="s">
        <v>864</v>
      </c>
      <c r="G622" s="162" t="n">
        <v>45215</v>
      </c>
      <c r="H622" s="162" t="n">
        <v>45246</v>
      </c>
      <c r="I622" s="116" t="n">
        <f aca="false">H622-G622</f>
        <v>31</v>
      </c>
      <c r="J622" s="169" t="n">
        <f aca="false">TRUNC(I622/30,0)</f>
        <v>1</v>
      </c>
      <c r="K622" s="181" t="s">
        <v>99</v>
      </c>
      <c r="L622" s="166" t="n">
        <v>1</v>
      </c>
      <c r="M622" s="167" t="n">
        <v>4.61</v>
      </c>
      <c r="N622" s="168" t="s">
        <v>850</v>
      </c>
      <c r="O622" s="169" t="s">
        <v>271</v>
      </c>
      <c r="P622" s="170" t="n">
        <v>0.0532198</v>
      </c>
      <c r="Q622" s="170"/>
      <c r="R622" s="171" t="s">
        <v>271</v>
      </c>
      <c r="S622" s="172" t="n">
        <v>0.0537</v>
      </c>
      <c r="T622" s="171"/>
      <c r="U622" s="172"/>
      <c r="V622" s="172" t="n">
        <v>0.059994</v>
      </c>
      <c r="W622" s="172" t="n">
        <v>0.0042</v>
      </c>
      <c r="X622" s="172" t="n">
        <v>0.010575</v>
      </c>
      <c r="Y622" s="172" t="n">
        <v>0.041194</v>
      </c>
      <c r="Z622" s="172" t="n">
        <v>0.002</v>
      </c>
      <c r="AA622" s="172" t="n">
        <v>0.002</v>
      </c>
      <c r="AB622" s="174" t="n">
        <f aca="false">S622-Z622</f>
        <v>0.0517</v>
      </c>
      <c r="AC622" s="174" t="n">
        <f aca="false">U622-Z622-AA622</f>
        <v>-0.004</v>
      </c>
      <c r="AD622" s="175" t="n">
        <v>0.0435</v>
      </c>
      <c r="AE622" s="173" t="n">
        <f aca="false">IF(Y622="","",Y622)</f>
        <v>0.041194</v>
      </c>
      <c r="AF622" s="173" t="n">
        <f aca="false">AD622-AE622</f>
        <v>0.002306</v>
      </c>
      <c r="AG622" s="186" t="n">
        <f aca="false">IF(AF622="","",AE622+AF622)</f>
        <v>0.0435</v>
      </c>
      <c r="AH622" s="187" t="n">
        <v>45246</v>
      </c>
      <c r="AI622" s="176" t="n">
        <v>3</v>
      </c>
      <c r="AJ622" s="116" t="str">
        <f aca="false">IF(AG622="","N","Y")</f>
        <v>Y</v>
      </c>
      <c r="AK622" s="391" t="s">
        <v>893</v>
      </c>
      <c r="AL622" s="391"/>
      <c r="AM622" s="391"/>
      <c r="AN622" s="391"/>
      <c r="AO622" s="391"/>
      <c r="AP622" s="391"/>
      <c r="AQ622" s="391"/>
      <c r="AR622" s="391"/>
    </row>
    <row r="623" customFormat="false" ht="20.25" hidden="false" customHeight="true" outlineLevel="0" collapsed="false">
      <c r="A623" s="19" t="n">
        <v>97</v>
      </c>
      <c r="B623" s="141" t="n">
        <v>45250</v>
      </c>
      <c r="C623" s="63" t="s">
        <v>866</v>
      </c>
      <c r="D623" s="63" t="s">
        <v>894</v>
      </c>
      <c r="E623" s="63" t="s">
        <v>867</v>
      </c>
      <c r="F623" s="63" t="s">
        <v>868</v>
      </c>
      <c r="G623" s="142" t="n">
        <v>45250</v>
      </c>
      <c r="H623" s="142" t="n">
        <v>45280</v>
      </c>
      <c r="I623" s="19" t="n">
        <f aca="false">H623-G623</f>
        <v>30</v>
      </c>
      <c r="J623" s="149" t="n">
        <f aca="false">TRUNC(I623/30,0)</f>
        <v>1</v>
      </c>
      <c r="K623" s="189" t="s">
        <v>99</v>
      </c>
      <c r="L623" s="146" t="n">
        <v>1</v>
      </c>
      <c r="M623" s="147" t="n">
        <v>4.61</v>
      </c>
      <c r="N623" s="148" t="s">
        <v>850</v>
      </c>
      <c r="O623" s="149" t="s">
        <v>271</v>
      </c>
      <c r="P623" s="150" t="n">
        <v>0.0532259</v>
      </c>
      <c r="Q623" s="150"/>
      <c r="R623" s="151" t="s">
        <v>271</v>
      </c>
      <c r="S623" s="152"/>
      <c r="T623" s="151"/>
      <c r="U623" s="152"/>
      <c r="V623" s="152" t="n">
        <v>0.059899</v>
      </c>
      <c r="W623" s="152" t="n">
        <v>0.004193</v>
      </c>
      <c r="X623" s="152" t="n">
        <v>0.010486</v>
      </c>
      <c r="Y623" s="152" t="n">
        <v>0.0412</v>
      </c>
      <c r="Z623" s="152" t="n">
        <v>0.002</v>
      </c>
      <c r="AA623" s="152" t="n">
        <v>0.002</v>
      </c>
      <c r="AB623" s="154" t="n">
        <f aca="false">S623-Z623</f>
        <v>-0.002</v>
      </c>
      <c r="AC623" s="154" t="n">
        <f aca="false">U623-Z623-AA623</f>
        <v>-0.004</v>
      </c>
      <c r="AD623" s="155" t="n">
        <v>0.0435</v>
      </c>
      <c r="AE623" s="153" t="n">
        <f aca="false">IF(Y623="","",Y623)</f>
        <v>0.0412</v>
      </c>
      <c r="AF623" s="153" t="n">
        <f aca="false">AD623-AE623</f>
        <v>0.0023</v>
      </c>
      <c r="AG623" s="184" t="n">
        <f aca="false">IF(AF623="","",AE623+AF623)</f>
        <v>0.0435</v>
      </c>
      <c r="AH623" s="185" t="n">
        <v>45250</v>
      </c>
      <c r="AI623" s="35" t="n">
        <v>2</v>
      </c>
      <c r="AJ623" s="19" t="str">
        <f aca="false">IF(AG623="","N","Y")</f>
        <v>Y</v>
      </c>
      <c r="AK623" s="238" t="s">
        <v>895</v>
      </c>
    </row>
    <row r="624" customFormat="false" ht="20.25" hidden="false" customHeight="true" outlineLevel="0" collapsed="false">
      <c r="A624" s="19" t="n">
        <v>98</v>
      </c>
      <c r="B624" s="141" t="n">
        <v>45251</v>
      </c>
      <c r="C624" s="63" t="s">
        <v>187</v>
      </c>
      <c r="D624" s="63" t="s">
        <v>875</v>
      </c>
      <c r="E624" s="63" t="s">
        <v>876</v>
      </c>
      <c r="F624" s="63" t="s">
        <v>877</v>
      </c>
      <c r="G624" s="142" t="n">
        <v>45251</v>
      </c>
      <c r="H624" s="142" t="n">
        <v>45281</v>
      </c>
      <c r="I624" s="19" t="n">
        <f aca="false">H624-G624</f>
        <v>30</v>
      </c>
      <c r="J624" s="149" t="n">
        <f aca="false">TRUNC(I624/30,0)</f>
        <v>1</v>
      </c>
      <c r="K624" s="183" t="s">
        <v>95</v>
      </c>
      <c r="L624" s="146" t="n">
        <v>4.7</v>
      </c>
      <c r="M624" s="147" t="n">
        <v>4.91</v>
      </c>
      <c r="N624" s="148" t="s">
        <v>896</v>
      </c>
      <c r="O624" s="149" t="s">
        <v>303</v>
      </c>
      <c r="P624" s="150" t="n">
        <v>0.0533483</v>
      </c>
      <c r="Q624" s="150"/>
      <c r="R624" s="151" t="s">
        <v>303</v>
      </c>
      <c r="S624" s="152" t="n">
        <v>0.0547</v>
      </c>
      <c r="T624" s="151"/>
      <c r="U624" s="152"/>
      <c r="V624" s="152" t="n">
        <v>0.057295</v>
      </c>
      <c r="W624" s="152" t="n">
        <v>0.001146</v>
      </c>
      <c r="X624" s="152" t="n">
        <v>0.002429</v>
      </c>
      <c r="Y624" s="152" t="n">
        <v>0.047581</v>
      </c>
      <c r="Z624" s="152" t="n">
        <v>0.002</v>
      </c>
      <c r="AA624" s="152" t="n">
        <v>0.002</v>
      </c>
      <c r="AB624" s="154" t="n">
        <f aca="false">S624-Z624</f>
        <v>0.0527</v>
      </c>
      <c r="AC624" s="154" t="n">
        <f aca="false">U624-Z624-AA624</f>
        <v>-0.004</v>
      </c>
      <c r="AD624" s="155" t="n">
        <v>0.052</v>
      </c>
      <c r="AE624" s="153" t="n">
        <f aca="false">IF(Y624="","",Y624)</f>
        <v>0.047581</v>
      </c>
      <c r="AF624" s="153" t="n">
        <f aca="false">AD624-AE624</f>
        <v>0.004419</v>
      </c>
      <c r="AG624" s="184" t="n">
        <f aca="false">IF(AF624="","",AE624+AF624)</f>
        <v>0.052</v>
      </c>
      <c r="AH624" s="185" t="n">
        <v>45251</v>
      </c>
      <c r="AI624" s="35" t="n">
        <v>3</v>
      </c>
      <c r="AJ624" s="19" t="str">
        <f aca="false">IF(AG624="","N","Y")</f>
        <v>Y</v>
      </c>
      <c r="AK624" s="238" t="s">
        <v>897</v>
      </c>
    </row>
    <row r="625" customFormat="false" ht="20.25" hidden="false" customHeight="true" outlineLevel="0" collapsed="false">
      <c r="A625" s="19" t="n">
        <v>99</v>
      </c>
      <c r="B625" s="141" t="n">
        <v>45252</v>
      </c>
      <c r="C625" s="63" t="s">
        <v>187</v>
      </c>
      <c r="D625" s="63" t="s">
        <v>875</v>
      </c>
      <c r="E625" s="63" t="s">
        <v>876</v>
      </c>
      <c r="F625" s="63" t="s">
        <v>877</v>
      </c>
      <c r="G625" s="142" t="n">
        <v>45252</v>
      </c>
      <c r="H625" s="142" t="n">
        <v>45282</v>
      </c>
      <c r="I625" s="19" t="n">
        <f aca="false">H625-G625</f>
        <v>30</v>
      </c>
      <c r="J625" s="149" t="n">
        <f aca="false">TRUNC(I625/30,0)</f>
        <v>1</v>
      </c>
      <c r="K625" s="183" t="s">
        <v>95</v>
      </c>
      <c r="L625" s="146" t="n">
        <v>2.38</v>
      </c>
      <c r="M625" s="147" t="n">
        <v>4.89</v>
      </c>
      <c r="N625" s="148" t="s">
        <v>896</v>
      </c>
      <c r="O625" s="149" t="s">
        <v>255</v>
      </c>
      <c r="P625" s="150" t="n">
        <v>0.0534079</v>
      </c>
      <c r="Q625" s="150"/>
      <c r="R625" s="151" t="s">
        <v>255</v>
      </c>
      <c r="S625" s="152" t="n">
        <v>0.0547</v>
      </c>
      <c r="T625" s="151"/>
      <c r="U625" s="152"/>
      <c r="V625" s="152" t="n">
        <v>0.057318</v>
      </c>
      <c r="W625" s="152" t="n">
        <v>0.001146</v>
      </c>
      <c r="X625" s="152" t="n">
        <v>0.002451</v>
      </c>
      <c r="Y625" s="152" t="n">
        <v>0.047639</v>
      </c>
      <c r="Z625" s="152" t="n">
        <v>0.002</v>
      </c>
      <c r="AA625" s="152" t="n">
        <v>0.002</v>
      </c>
      <c r="AB625" s="154" t="n">
        <f aca="false">S625-Z625</f>
        <v>0.0527</v>
      </c>
      <c r="AC625" s="154" t="n">
        <f aca="false">U625-Z625-AA625</f>
        <v>-0.004</v>
      </c>
      <c r="AD625" s="155" t="n">
        <v>0.052</v>
      </c>
      <c r="AE625" s="153" t="n">
        <f aca="false">IF(Y625="","",Y625)</f>
        <v>0.047639</v>
      </c>
      <c r="AF625" s="153" t="n">
        <f aca="false">AD625-AE625</f>
        <v>0.004361</v>
      </c>
      <c r="AG625" s="184" t="n">
        <f aca="false">IF(AF625="","",AE625+AF625)</f>
        <v>0.052</v>
      </c>
      <c r="AH625" s="185" t="n">
        <v>45252</v>
      </c>
      <c r="AI625" s="35" t="n">
        <v>2</v>
      </c>
      <c r="AJ625" s="19" t="str">
        <f aca="false">IF(AG625="","N","Y")</f>
        <v>Y</v>
      </c>
      <c r="AK625" s="238" t="s">
        <v>898</v>
      </c>
    </row>
    <row r="626" customFormat="false" ht="21" hidden="false" customHeight="true" outlineLevel="0" collapsed="false">
      <c r="A626" s="19" t="n">
        <f aca="false">IF(B626="","",IF((YEAR(B626)-YEAR(B625))=0,A625+1,1))</f>
        <v>100</v>
      </c>
      <c r="B626" s="141" t="n">
        <v>45271</v>
      </c>
      <c r="C626" s="63" t="s">
        <v>209</v>
      </c>
      <c r="D626" s="19"/>
      <c r="E626" s="63" t="s">
        <v>735</v>
      </c>
      <c r="F626" s="63" t="s">
        <v>697</v>
      </c>
      <c r="G626" s="142" t="n">
        <v>45271</v>
      </c>
      <c r="H626" s="142" t="n">
        <v>45302</v>
      </c>
      <c r="I626" s="19" t="n">
        <f aca="false">H626-G626</f>
        <v>31</v>
      </c>
      <c r="J626" s="149" t="n">
        <f aca="false">TRUNC(I626/30,0)</f>
        <v>1</v>
      </c>
      <c r="K626" s="183" t="s">
        <v>95</v>
      </c>
      <c r="L626" s="146" t="n">
        <v>1.02</v>
      </c>
      <c r="M626" s="147" t="n">
        <v>4.93</v>
      </c>
      <c r="N626" s="148" t="s">
        <v>858</v>
      </c>
      <c r="O626" s="149" t="s">
        <v>255</v>
      </c>
      <c r="P626" s="150" t="n">
        <v>0.0535498</v>
      </c>
      <c r="Q626" s="150"/>
      <c r="R626" s="151" t="s">
        <v>255</v>
      </c>
      <c r="S626" s="152" t="n">
        <v>0.0565</v>
      </c>
      <c r="T626" s="151"/>
      <c r="U626" s="152"/>
      <c r="V626" s="152" t="n">
        <v>0.05759</v>
      </c>
      <c r="W626" s="152" t="n">
        <v>0.001152</v>
      </c>
      <c r="X626" s="152" t="n">
        <v>0.002218</v>
      </c>
      <c r="Y626" s="152" t="n">
        <v>0.047778</v>
      </c>
      <c r="Z626" s="152" t="n">
        <v>0.002</v>
      </c>
      <c r="AA626" s="152" t="n">
        <v>0.002</v>
      </c>
      <c r="AB626" s="154" t="n">
        <f aca="false">S626-Z626</f>
        <v>0.0545</v>
      </c>
      <c r="AC626" s="154" t="n">
        <f aca="false">U626-Z626-AA626</f>
        <v>-0.004</v>
      </c>
      <c r="AD626" s="155" t="n">
        <v>0.0525</v>
      </c>
      <c r="AE626" s="153" t="n">
        <f aca="false">IF(Y626="","",Y626)</f>
        <v>0.047778</v>
      </c>
      <c r="AF626" s="153" t="n">
        <f aca="false">AD626-AE626</f>
        <v>0.004722</v>
      </c>
      <c r="AG626" s="184" t="n">
        <f aca="false">IF(AF626="","",AE626+AF626)</f>
        <v>0.0525</v>
      </c>
      <c r="AH626" s="185" t="n">
        <v>45271</v>
      </c>
      <c r="AI626" s="35" t="n">
        <v>3</v>
      </c>
      <c r="AJ626" s="19" t="str">
        <f aca="false">IF(AG626="","N","Y")</f>
        <v>Y</v>
      </c>
      <c r="AK626" s="361" t="s">
        <v>899</v>
      </c>
      <c r="AL626" s="361"/>
      <c r="AM626" s="361"/>
      <c r="AN626" s="361"/>
      <c r="AO626" s="361"/>
      <c r="AP626" s="361"/>
      <c r="AQ626" s="361"/>
      <c r="AR626" s="361"/>
    </row>
    <row r="627" customFormat="false" ht="21" hidden="false" customHeight="true" outlineLevel="0" collapsed="false">
      <c r="A627" s="19" t="n">
        <f aca="false">IF(B627="","",IF((YEAR(B627)-YEAR(B626))=0,A626+1,1))</f>
        <v>101</v>
      </c>
      <c r="B627" s="141" t="n">
        <v>45271</v>
      </c>
      <c r="C627" s="63" t="s">
        <v>209</v>
      </c>
      <c r="D627" s="19"/>
      <c r="E627" s="63" t="s">
        <v>735</v>
      </c>
      <c r="F627" s="63" t="s">
        <v>697</v>
      </c>
      <c r="G627" s="142" t="n">
        <v>45271</v>
      </c>
      <c r="H627" s="142" t="n">
        <v>45302</v>
      </c>
      <c r="I627" s="19" t="n">
        <f aca="false">H627-G627</f>
        <v>31</v>
      </c>
      <c r="J627" s="149" t="n">
        <f aca="false">TRUNC(I627/30,0)</f>
        <v>1</v>
      </c>
      <c r="K627" s="183" t="s">
        <v>95</v>
      </c>
      <c r="L627" s="146" t="n">
        <v>4.16</v>
      </c>
      <c r="M627" s="147" t="n">
        <v>4.93</v>
      </c>
      <c r="N627" s="148" t="s">
        <v>858</v>
      </c>
      <c r="O627" s="149" t="s">
        <v>255</v>
      </c>
      <c r="P627" s="150" t="n">
        <v>0.0535498</v>
      </c>
      <c r="Q627" s="150"/>
      <c r="R627" s="151" t="s">
        <v>255</v>
      </c>
      <c r="S627" s="152" t="n">
        <v>0.0565</v>
      </c>
      <c r="T627" s="151"/>
      <c r="U627" s="152"/>
      <c r="V627" s="152" t="n">
        <v>0.05759</v>
      </c>
      <c r="W627" s="152" t="n">
        <v>0.001152</v>
      </c>
      <c r="X627" s="152" t="n">
        <v>0.002218</v>
      </c>
      <c r="Y627" s="152" t="n">
        <v>0.047778</v>
      </c>
      <c r="Z627" s="152" t="n">
        <v>0.002</v>
      </c>
      <c r="AA627" s="152" t="n">
        <v>0.002</v>
      </c>
      <c r="AB627" s="154" t="n">
        <f aca="false">S627-Z627</f>
        <v>0.0545</v>
      </c>
      <c r="AC627" s="154" t="n">
        <f aca="false">U627-Z627-AA627</f>
        <v>-0.004</v>
      </c>
      <c r="AD627" s="155" t="n">
        <v>0.0525</v>
      </c>
      <c r="AE627" s="153" t="n">
        <f aca="false">IF(Y627="","",Y627)</f>
        <v>0.047778</v>
      </c>
      <c r="AF627" s="153" t="n">
        <f aca="false">AD627-AE627</f>
        <v>0.004722</v>
      </c>
      <c r="AG627" s="184" t="n">
        <f aca="false">IF(AF627="","",AE627+AF627)</f>
        <v>0.0525</v>
      </c>
      <c r="AH627" s="185" t="n">
        <v>45271</v>
      </c>
      <c r="AI627" s="35" t="n">
        <v>4</v>
      </c>
      <c r="AJ627" s="19" t="str">
        <f aca="false">IF(AG627="","N","Y")</f>
        <v>Y</v>
      </c>
      <c r="AK627" s="361" t="s">
        <v>899</v>
      </c>
      <c r="AL627" s="361"/>
      <c r="AM627" s="361"/>
      <c r="AN627" s="361"/>
      <c r="AO627" s="361"/>
      <c r="AP627" s="361"/>
      <c r="AQ627" s="361"/>
      <c r="AR627" s="361"/>
    </row>
    <row r="628" customFormat="false" ht="21" hidden="false" customHeight="true" outlineLevel="0" collapsed="false">
      <c r="A628" s="19" t="n">
        <f aca="false">IF(B628="","",IF((YEAR(B628)-YEAR(B627))=0,A627+1,1))</f>
        <v>102</v>
      </c>
      <c r="B628" s="141" t="n">
        <v>45271</v>
      </c>
      <c r="C628" s="63" t="s">
        <v>209</v>
      </c>
      <c r="D628" s="19"/>
      <c r="E628" s="63" t="s">
        <v>735</v>
      </c>
      <c r="F628" s="63" t="s">
        <v>697</v>
      </c>
      <c r="G628" s="142" t="n">
        <v>45271</v>
      </c>
      <c r="H628" s="142" t="n">
        <v>45302</v>
      </c>
      <c r="I628" s="19" t="n">
        <f aca="false">H628-G628</f>
        <v>31</v>
      </c>
      <c r="J628" s="149" t="n">
        <f aca="false">TRUNC(I628/30,0)</f>
        <v>1</v>
      </c>
      <c r="K628" s="183" t="s">
        <v>95</v>
      </c>
      <c r="L628" s="146" t="n">
        <v>1.02</v>
      </c>
      <c r="M628" s="147" t="n">
        <v>4.93</v>
      </c>
      <c r="N628" s="148" t="s">
        <v>858</v>
      </c>
      <c r="O628" s="149" t="s">
        <v>255</v>
      </c>
      <c r="P628" s="150" t="n">
        <v>0.0535498</v>
      </c>
      <c r="Q628" s="150"/>
      <c r="R628" s="151" t="s">
        <v>255</v>
      </c>
      <c r="S628" s="152" t="n">
        <v>0.0565</v>
      </c>
      <c r="T628" s="151"/>
      <c r="U628" s="152"/>
      <c r="V628" s="152" t="n">
        <v>0.05759</v>
      </c>
      <c r="W628" s="152" t="n">
        <v>0.001152</v>
      </c>
      <c r="X628" s="152" t="n">
        <v>0.002218</v>
      </c>
      <c r="Y628" s="152" t="n">
        <v>0.047778</v>
      </c>
      <c r="Z628" s="152" t="n">
        <v>0.002</v>
      </c>
      <c r="AA628" s="152" t="n">
        <v>0.002</v>
      </c>
      <c r="AB628" s="154" t="n">
        <f aca="false">S628-Z628</f>
        <v>0.0545</v>
      </c>
      <c r="AC628" s="154" t="n">
        <f aca="false">U628-Z628-AA628</f>
        <v>-0.004</v>
      </c>
      <c r="AD628" s="155" t="n">
        <v>0.0525</v>
      </c>
      <c r="AE628" s="153" t="n">
        <f aca="false">IF(Y628="","",Y628)</f>
        <v>0.047778</v>
      </c>
      <c r="AF628" s="153" t="n">
        <f aca="false">AD628-AE628</f>
        <v>0.004722</v>
      </c>
      <c r="AG628" s="184" t="n">
        <f aca="false">IF(AF628="","",AE628+AF628)</f>
        <v>0.0525</v>
      </c>
      <c r="AH628" s="185" t="n">
        <v>45271</v>
      </c>
      <c r="AI628" s="35" t="n">
        <v>6</v>
      </c>
      <c r="AJ628" s="19" t="str">
        <f aca="false">IF(AG628="","N","Y")</f>
        <v>Y</v>
      </c>
      <c r="AK628" s="361" t="s">
        <v>899</v>
      </c>
      <c r="AL628" s="361"/>
      <c r="AM628" s="361"/>
      <c r="AN628" s="361"/>
      <c r="AO628" s="361"/>
      <c r="AP628" s="361"/>
      <c r="AQ628" s="361"/>
      <c r="AR628" s="361"/>
    </row>
    <row r="629" customFormat="false" ht="20.25" hidden="false" customHeight="true" outlineLevel="0" collapsed="false">
      <c r="A629" s="19" t="n">
        <v>103</v>
      </c>
      <c r="B629" s="141" t="n">
        <v>45273</v>
      </c>
      <c r="C629" s="63" t="s">
        <v>103</v>
      </c>
      <c r="D629" s="19"/>
      <c r="E629" s="63" t="s">
        <v>900</v>
      </c>
      <c r="F629" s="63" t="s">
        <v>901</v>
      </c>
      <c r="G629" s="142" t="n">
        <v>45273</v>
      </c>
      <c r="H629" s="142" t="n">
        <v>45303</v>
      </c>
      <c r="I629" s="19" t="n">
        <f aca="false">H629-G629</f>
        <v>30</v>
      </c>
      <c r="J629" s="149" t="n">
        <f aca="false">TRUNC(I629/30,0)</f>
        <v>1</v>
      </c>
      <c r="K629" s="189" t="s">
        <v>99</v>
      </c>
      <c r="L629" s="146" t="n">
        <v>4.93</v>
      </c>
      <c r="M629" s="147" t="n">
        <v>4.64</v>
      </c>
      <c r="N629" s="148" t="s">
        <v>810</v>
      </c>
      <c r="O629" s="149" t="s">
        <v>271</v>
      </c>
      <c r="P629" s="150" t="n">
        <v>0.0532928</v>
      </c>
      <c r="Q629" s="150"/>
      <c r="R629" s="151" t="s">
        <v>271</v>
      </c>
      <c r="S629" s="152" t="n">
        <v>0.0538</v>
      </c>
      <c r="T629" s="151"/>
      <c r="U629" s="152"/>
      <c r="V629" s="152" t="n">
        <v>0.058461</v>
      </c>
      <c r="W629" s="152" t="n">
        <v>0.004092</v>
      </c>
      <c r="X629" s="152" t="n">
        <v>0.009649</v>
      </c>
      <c r="Y629" s="152" t="n">
        <v>0.041262</v>
      </c>
      <c r="Z629" s="152" t="n">
        <v>0.002</v>
      </c>
      <c r="AA629" s="152" t="n">
        <v>0.002</v>
      </c>
      <c r="AB629" s="154" t="n">
        <f aca="false">S629-Z629</f>
        <v>0.0518</v>
      </c>
      <c r="AC629" s="154" t="n">
        <f aca="false">U629-Z629-AA629</f>
        <v>-0.004</v>
      </c>
      <c r="AD629" s="155" t="n">
        <v>0.043</v>
      </c>
      <c r="AE629" s="153" t="n">
        <f aca="false">IF(Y629="","",Y629)</f>
        <v>0.041262</v>
      </c>
      <c r="AF629" s="153" t="n">
        <f aca="false">AD629-AE629</f>
        <v>0.001738</v>
      </c>
      <c r="AG629" s="184" t="n">
        <f aca="false">IF(AF629="","",AE629+AF629)</f>
        <v>0.043</v>
      </c>
      <c r="AH629" s="185" t="n">
        <v>45273</v>
      </c>
      <c r="AI629" s="35" t="n">
        <v>1</v>
      </c>
      <c r="AJ629" s="19" t="str">
        <f aca="false">IF(AG629="","N","Y")</f>
        <v>Y</v>
      </c>
      <c r="AK629" s="361" t="s">
        <v>902</v>
      </c>
      <c r="AL629" s="361"/>
      <c r="AM629" s="361"/>
      <c r="AN629" s="361"/>
      <c r="AO629" s="361"/>
      <c r="AP629" s="361"/>
      <c r="AQ629" s="361"/>
      <c r="AR629" s="361"/>
    </row>
    <row r="630" customFormat="false" ht="20.25" hidden="false" customHeight="true" outlineLevel="0" collapsed="false">
      <c r="A630" s="19" t="n">
        <f aca="false">IF(B630="","",IF((YEAR(B630)-YEAR(B629))=0,A629+1,1))</f>
        <v>104</v>
      </c>
      <c r="B630" s="141" t="n">
        <v>45278</v>
      </c>
      <c r="C630" s="63" t="s">
        <v>862</v>
      </c>
      <c r="D630" s="19"/>
      <c r="E630" s="63" t="s">
        <v>903</v>
      </c>
      <c r="F630" s="63" t="s">
        <v>864</v>
      </c>
      <c r="G630" s="142" t="n">
        <v>45278</v>
      </c>
      <c r="H630" s="142" t="n">
        <v>45309</v>
      </c>
      <c r="I630" s="19" t="n">
        <f aca="false">H630-G630</f>
        <v>31</v>
      </c>
      <c r="J630" s="149" t="n">
        <f aca="false">TRUNC(I630/30,0)</f>
        <v>1</v>
      </c>
      <c r="K630" s="189" t="s">
        <v>99</v>
      </c>
      <c r="L630" s="146" t="n">
        <v>2</v>
      </c>
      <c r="M630" s="147" t="n">
        <v>4.64</v>
      </c>
      <c r="N630" s="148" t="s">
        <v>856</v>
      </c>
      <c r="O630" s="149" t="s">
        <v>271</v>
      </c>
      <c r="P630" s="150" t="n">
        <v>0.0531947</v>
      </c>
      <c r="Q630" s="150"/>
      <c r="R630" s="151" t="s">
        <v>271</v>
      </c>
      <c r="S630" s="152" t="n">
        <v>0.0528</v>
      </c>
      <c r="T630" s="151"/>
      <c r="U630" s="152"/>
      <c r="V630" s="152" t="n">
        <v>0.058446</v>
      </c>
      <c r="W630" s="152" t="n">
        <v>0.004091</v>
      </c>
      <c r="X630" s="152" t="n">
        <v>0.009135</v>
      </c>
      <c r="Y630" s="152" t="n">
        <v>0.041171</v>
      </c>
      <c r="Z630" s="152" t="n">
        <v>0.002</v>
      </c>
      <c r="AA630" s="152" t="n">
        <v>0.002</v>
      </c>
      <c r="AB630" s="154" t="n">
        <f aca="false">S630-Z630</f>
        <v>0.0508</v>
      </c>
      <c r="AC630" s="154" t="n">
        <f aca="false">U630-Z630-AA630</f>
        <v>-0.004</v>
      </c>
      <c r="AD630" s="155" t="n">
        <v>0.0435</v>
      </c>
      <c r="AE630" s="153" t="n">
        <f aca="false">IF(Y630="","",Y630)</f>
        <v>0.041171</v>
      </c>
      <c r="AF630" s="153" t="n">
        <f aca="false">AD630-AE630</f>
        <v>0.002329</v>
      </c>
      <c r="AG630" s="184" t="n">
        <f aca="false">IF(AF630="","",AE630+AF630)</f>
        <v>0.0435</v>
      </c>
      <c r="AH630" s="185" t="n">
        <v>45278</v>
      </c>
      <c r="AI630" s="35" t="n">
        <v>2</v>
      </c>
      <c r="AJ630" s="19" t="str">
        <f aca="false">IF(AG630="","N","Y")</f>
        <v>Y</v>
      </c>
      <c r="AK630" s="361" t="s">
        <v>904</v>
      </c>
      <c r="AL630" s="361"/>
      <c r="AM630" s="361"/>
      <c r="AN630" s="361"/>
      <c r="AO630" s="361"/>
      <c r="AP630" s="361"/>
      <c r="AQ630" s="361"/>
      <c r="AR630" s="361"/>
    </row>
    <row r="631" customFormat="false" ht="20.25" hidden="false" customHeight="true" outlineLevel="0" collapsed="false">
      <c r="A631" s="19" t="n">
        <f aca="false">IF(B631="","",IF((YEAR(B631)-YEAR(B630))=0,A630+1,1))</f>
        <v>105</v>
      </c>
      <c r="B631" s="141" t="n">
        <v>45278</v>
      </c>
      <c r="C631" s="63" t="s">
        <v>862</v>
      </c>
      <c r="D631" s="19"/>
      <c r="E631" s="63" t="s">
        <v>905</v>
      </c>
      <c r="F631" s="63" t="s">
        <v>906</v>
      </c>
      <c r="G631" s="142" t="n">
        <v>45278</v>
      </c>
      <c r="H631" s="142" t="n">
        <v>45309</v>
      </c>
      <c r="I631" s="19" t="n">
        <f aca="false">H631-G631</f>
        <v>31</v>
      </c>
      <c r="J631" s="149" t="n">
        <f aca="false">TRUNC(I631/30,0)</f>
        <v>1</v>
      </c>
      <c r="K631" s="189" t="s">
        <v>99</v>
      </c>
      <c r="L631" s="146" t="n">
        <v>2</v>
      </c>
      <c r="M631" s="147" t="n">
        <v>4.64</v>
      </c>
      <c r="N631" s="148" t="s">
        <v>856</v>
      </c>
      <c r="O631" s="149" t="s">
        <v>271</v>
      </c>
      <c r="P631" s="150" t="n">
        <v>0.0531947</v>
      </c>
      <c r="Q631" s="150"/>
      <c r="R631" s="151" t="s">
        <v>271</v>
      </c>
      <c r="S631" s="152" t="n">
        <v>0.0528</v>
      </c>
      <c r="T631" s="151"/>
      <c r="U631" s="152"/>
      <c r="V631" s="152" t="n">
        <v>0.058446</v>
      </c>
      <c r="W631" s="152" t="n">
        <v>0.004091</v>
      </c>
      <c r="X631" s="152" t="n">
        <v>0.009135</v>
      </c>
      <c r="Y631" s="152" t="n">
        <v>0.041171</v>
      </c>
      <c r="Z631" s="152" t="n">
        <v>0.002</v>
      </c>
      <c r="AA631" s="152" t="n">
        <v>0.002</v>
      </c>
      <c r="AB631" s="154" t="n">
        <f aca="false">S631-Z631</f>
        <v>0.0508</v>
      </c>
      <c r="AC631" s="154" t="n">
        <f aca="false">U631-Z631-AA631</f>
        <v>-0.004</v>
      </c>
      <c r="AD631" s="155" t="n">
        <v>0.0435</v>
      </c>
      <c r="AE631" s="153" t="n">
        <f aca="false">IF(Y631="","",Y631)</f>
        <v>0.041171</v>
      </c>
      <c r="AF631" s="153" t="n">
        <f aca="false">AD631-AE631</f>
        <v>0.002329</v>
      </c>
      <c r="AG631" s="184" t="n">
        <f aca="false">IF(AF631="","",AE631+AF631)</f>
        <v>0.0435</v>
      </c>
      <c r="AH631" s="185" t="n">
        <v>45278</v>
      </c>
      <c r="AI631" s="35" t="n">
        <v>2</v>
      </c>
      <c r="AJ631" s="19" t="str">
        <f aca="false">IF(AG631="","N","Y")</f>
        <v>Y</v>
      </c>
      <c r="AK631" s="361" t="s">
        <v>904</v>
      </c>
      <c r="AL631" s="361"/>
      <c r="AM631" s="361"/>
      <c r="AN631" s="361"/>
      <c r="AO631" s="361"/>
      <c r="AP631" s="361"/>
      <c r="AQ631" s="361"/>
      <c r="AR631" s="361"/>
    </row>
    <row r="632" customFormat="false" ht="20.25" hidden="false" customHeight="true" outlineLevel="0" collapsed="false">
      <c r="A632" s="19" t="n">
        <f aca="false">IF(B632="","",IF((YEAR(B632)-YEAR(B631))=0,A631+1,1))</f>
        <v>106</v>
      </c>
      <c r="B632" s="141" t="n">
        <v>45280</v>
      </c>
      <c r="C632" s="63" t="s">
        <v>597</v>
      </c>
      <c r="D632" s="63" t="s">
        <v>814</v>
      </c>
      <c r="E632" s="63" t="s">
        <v>728</v>
      </c>
      <c r="F632" s="63" t="s">
        <v>880</v>
      </c>
      <c r="G632" s="142" t="n">
        <v>45280</v>
      </c>
      <c r="H632" s="142" t="n">
        <v>45313</v>
      </c>
      <c r="I632" s="19" t="n">
        <f aca="false">H632-G632</f>
        <v>33</v>
      </c>
      <c r="J632" s="149" t="n">
        <f aca="false">TRUNC(I632/30,0)</f>
        <v>1</v>
      </c>
      <c r="K632" s="183" t="s">
        <v>95</v>
      </c>
      <c r="L632" s="146" t="n">
        <v>5</v>
      </c>
      <c r="M632" s="147" t="n">
        <v>4.93</v>
      </c>
      <c r="N632" s="148" t="s">
        <v>858</v>
      </c>
      <c r="O632" s="149" t="s">
        <v>255</v>
      </c>
      <c r="P632" s="150" t="n">
        <v>0.0535756</v>
      </c>
      <c r="Q632" s="150"/>
      <c r="R632" s="151" t="s">
        <v>255</v>
      </c>
      <c r="S632" s="152" t="n">
        <v>0.057</v>
      </c>
      <c r="T632" s="151"/>
      <c r="U632" s="152"/>
      <c r="V632" s="152" t="n">
        <v>0.057648</v>
      </c>
      <c r="W632" s="152" t="n">
        <v>0.001153</v>
      </c>
      <c r="X632" s="152" t="n">
        <v>0.002275</v>
      </c>
      <c r="Y632" s="152" t="n">
        <v>0.047804</v>
      </c>
      <c r="Z632" s="152" t="n">
        <v>0.002</v>
      </c>
      <c r="AA632" s="152" t="n">
        <v>0.002</v>
      </c>
      <c r="AB632" s="154" t="n">
        <f aca="false">S632-Z632</f>
        <v>0.055</v>
      </c>
      <c r="AC632" s="154" t="n">
        <f aca="false">U632-Z632-AA632</f>
        <v>-0.004</v>
      </c>
      <c r="AD632" s="155" t="n">
        <v>0.0525</v>
      </c>
      <c r="AE632" s="153" t="n">
        <f aca="false">IF(Y632="","",Y632)</f>
        <v>0.047804</v>
      </c>
      <c r="AF632" s="153" t="n">
        <f aca="false">AD632-AE632</f>
        <v>0.004696</v>
      </c>
      <c r="AG632" s="184" t="n">
        <f aca="false">IF(AF632="","",AE632+AF632)</f>
        <v>0.0525</v>
      </c>
      <c r="AH632" s="185" t="n">
        <v>45280</v>
      </c>
      <c r="AI632" s="35" t="n">
        <v>2</v>
      </c>
      <c r="AJ632" s="19" t="str">
        <f aca="false">IF(AG632="","N","Y")</f>
        <v>Y</v>
      </c>
      <c r="AK632" s="238" t="s">
        <v>907</v>
      </c>
    </row>
    <row r="633" customFormat="false" ht="20.25" hidden="false" customHeight="true" outlineLevel="0" collapsed="false">
      <c r="A633" s="19" t="n">
        <f aca="false">IF(B633="","",IF((YEAR(B633)-YEAR(B632))=0,A632+1,1))</f>
        <v>107</v>
      </c>
      <c r="B633" s="141" t="n">
        <v>45280</v>
      </c>
      <c r="C633" s="63" t="s">
        <v>597</v>
      </c>
      <c r="D633" s="63" t="s">
        <v>814</v>
      </c>
      <c r="E633" s="63" t="s">
        <v>728</v>
      </c>
      <c r="F633" s="63" t="s">
        <v>880</v>
      </c>
      <c r="G633" s="142" t="n">
        <v>45280</v>
      </c>
      <c r="H633" s="142" t="n">
        <v>45313</v>
      </c>
      <c r="I633" s="19" t="n">
        <f aca="false">H633-G633</f>
        <v>33</v>
      </c>
      <c r="J633" s="149" t="n">
        <f aca="false">TRUNC(I633/30,0)</f>
        <v>1</v>
      </c>
      <c r="K633" s="183" t="s">
        <v>95</v>
      </c>
      <c r="L633" s="146" t="n">
        <v>5</v>
      </c>
      <c r="M633" s="147" t="n">
        <v>4.93</v>
      </c>
      <c r="N633" s="148" t="s">
        <v>858</v>
      </c>
      <c r="O633" s="149" t="s">
        <v>255</v>
      </c>
      <c r="P633" s="150" t="n">
        <v>0.0535756</v>
      </c>
      <c r="Q633" s="150"/>
      <c r="R633" s="151" t="s">
        <v>255</v>
      </c>
      <c r="S633" s="152" t="n">
        <v>0.057</v>
      </c>
      <c r="T633" s="151"/>
      <c r="U633" s="152"/>
      <c r="V633" s="152" t="n">
        <v>0.057648</v>
      </c>
      <c r="W633" s="152" t="n">
        <v>0.001153</v>
      </c>
      <c r="X633" s="152" t="n">
        <v>0.002275</v>
      </c>
      <c r="Y633" s="152" t="n">
        <v>0.047804</v>
      </c>
      <c r="Z633" s="152" t="n">
        <v>0.002</v>
      </c>
      <c r="AA633" s="152" t="n">
        <v>0.002</v>
      </c>
      <c r="AB633" s="154" t="n">
        <f aca="false">S633-Z633</f>
        <v>0.055</v>
      </c>
      <c r="AC633" s="154" t="n">
        <f aca="false">U633-Z633-AA633</f>
        <v>-0.004</v>
      </c>
      <c r="AD633" s="155" t="n">
        <v>0.0525</v>
      </c>
      <c r="AE633" s="153" t="n">
        <f aca="false">IF(Y633="","",Y633)</f>
        <v>0.047804</v>
      </c>
      <c r="AF633" s="153" t="n">
        <f aca="false">AD633-AE633</f>
        <v>0.004696</v>
      </c>
      <c r="AG633" s="184" t="n">
        <f aca="false">IF(AF633="","",AE633+AF633)</f>
        <v>0.0525</v>
      </c>
      <c r="AH633" s="185" t="n">
        <v>45280</v>
      </c>
      <c r="AI633" s="35" t="n">
        <v>3</v>
      </c>
      <c r="AJ633" s="19" t="str">
        <f aca="false">IF(AG633="","N","Y")</f>
        <v>Y</v>
      </c>
      <c r="AK633" s="238" t="s">
        <v>907</v>
      </c>
    </row>
    <row r="634" customFormat="false" ht="20.25" hidden="false" customHeight="true" outlineLevel="0" collapsed="false">
      <c r="A634" s="19" t="n">
        <f aca="false">IF(B634="","",IF((YEAR(B634)-YEAR(B633))=0,A633+1,1))</f>
        <v>108</v>
      </c>
      <c r="B634" s="141" t="n">
        <v>45280</v>
      </c>
      <c r="C634" s="63" t="s">
        <v>866</v>
      </c>
      <c r="D634" s="63" t="s">
        <v>894</v>
      </c>
      <c r="E634" s="63" t="s">
        <v>867</v>
      </c>
      <c r="F634" s="63" t="s">
        <v>868</v>
      </c>
      <c r="G634" s="142" t="n">
        <v>45280</v>
      </c>
      <c r="H634" s="142" t="n">
        <v>45313</v>
      </c>
      <c r="I634" s="19" t="n">
        <f aca="false">H634-G634</f>
        <v>33</v>
      </c>
      <c r="J634" s="149" t="n">
        <f aca="false">TRUNC(I634/30,0)</f>
        <v>1</v>
      </c>
      <c r="K634" s="189" t="s">
        <v>99</v>
      </c>
      <c r="L634" s="146" t="n">
        <v>1</v>
      </c>
      <c r="M634" s="147" t="n">
        <v>4.62</v>
      </c>
      <c r="N634" s="148" t="s">
        <v>908</v>
      </c>
      <c r="O634" s="149" t="s">
        <v>271</v>
      </c>
      <c r="P634" s="150" t="n">
        <v>0.0532777</v>
      </c>
      <c r="Q634" s="150"/>
      <c r="R634" s="151" t="s">
        <v>271</v>
      </c>
      <c r="S634" s="152" t="n">
        <v>0.0528</v>
      </c>
      <c r="T634" s="151"/>
      <c r="U634" s="152"/>
      <c r="V634" s="152" t="n">
        <v>0.058461</v>
      </c>
      <c r="W634" s="152" t="n">
        <v>0.004092</v>
      </c>
      <c r="X634" s="152" t="n">
        <v>0.009148</v>
      </c>
      <c r="Y634" s="152" t="n">
        <v>0.041248</v>
      </c>
      <c r="Z634" s="152" t="n">
        <v>0.002</v>
      </c>
      <c r="AA634" s="152" t="n">
        <v>0.002</v>
      </c>
      <c r="AB634" s="154" t="n">
        <f aca="false">S634-Z634</f>
        <v>0.0508</v>
      </c>
      <c r="AC634" s="154" t="n">
        <f aca="false">U634-Z634-AA634</f>
        <v>-0.004</v>
      </c>
      <c r="AD634" s="155" t="n">
        <v>0.0435</v>
      </c>
      <c r="AE634" s="153" t="n">
        <f aca="false">IF(Y634="","",Y634)</f>
        <v>0.041248</v>
      </c>
      <c r="AF634" s="153" t="n">
        <f aca="false">AD634-AE634</f>
        <v>0.002252</v>
      </c>
      <c r="AG634" s="184" t="n">
        <f aca="false">IF(AF634="","",AE634+AF634)</f>
        <v>0.0435</v>
      </c>
      <c r="AH634" s="185" t="n">
        <v>45280</v>
      </c>
      <c r="AI634" s="35" t="n">
        <v>5</v>
      </c>
      <c r="AJ634" s="19" t="str">
        <f aca="false">IF(AG634="","N","Y")</f>
        <v>Y</v>
      </c>
      <c r="AK634" s="238" t="s">
        <v>909</v>
      </c>
    </row>
    <row r="635" customFormat="false" ht="20.25" hidden="false" customHeight="true" outlineLevel="0" collapsed="false">
      <c r="A635" s="19" t="n">
        <v>109</v>
      </c>
      <c r="B635" s="141" t="n">
        <v>45293</v>
      </c>
      <c r="C635" s="63" t="s">
        <v>187</v>
      </c>
      <c r="D635" s="63" t="s">
        <v>910</v>
      </c>
      <c r="E635" s="63" t="s">
        <v>911</v>
      </c>
      <c r="F635" s="63" t="s">
        <v>457</v>
      </c>
      <c r="G635" s="142" t="n">
        <v>45293</v>
      </c>
      <c r="H635" s="142" t="n">
        <v>45659</v>
      </c>
      <c r="I635" s="19" t="n">
        <f aca="false">H635-G635</f>
        <v>366</v>
      </c>
      <c r="J635" s="149" t="n">
        <f aca="false">TRUNC(I635/30,0)</f>
        <v>12</v>
      </c>
      <c r="K635" s="183" t="s">
        <v>95</v>
      </c>
      <c r="L635" s="146" t="n">
        <v>1</v>
      </c>
      <c r="M635" s="147" t="n">
        <v>4.61</v>
      </c>
      <c r="N635" s="148" t="s">
        <v>831</v>
      </c>
      <c r="O635" s="149" t="s">
        <v>396</v>
      </c>
      <c r="P635" s="150" t="n">
        <v>0.0477098</v>
      </c>
      <c r="Q635" s="150"/>
      <c r="R635" s="151" t="s">
        <v>340</v>
      </c>
      <c r="S635" s="152"/>
      <c r="T635" s="151"/>
      <c r="U635" s="152"/>
      <c r="V635" s="152" t="n">
        <v>0.057652</v>
      </c>
      <c r="W635" s="152" t="n">
        <v>0.001153</v>
      </c>
      <c r="X635" s="152" t="n">
        <v>0.004779</v>
      </c>
      <c r="Y635" s="152" t="n">
        <v>0.044355</v>
      </c>
      <c r="Z635" s="152" t="n">
        <v>0.002</v>
      </c>
      <c r="AA635" s="152" t="n">
        <v>0.002</v>
      </c>
      <c r="AB635" s="154" t="n">
        <f aca="false">S635-Z635</f>
        <v>-0.002</v>
      </c>
      <c r="AC635" s="154" t="n">
        <f aca="false">U635-Z635-AA635</f>
        <v>-0.004</v>
      </c>
      <c r="AD635" s="155" t="n">
        <v>0.05</v>
      </c>
      <c r="AE635" s="153" t="n">
        <f aca="false">IF(Y635="","",Y635)</f>
        <v>0.044355</v>
      </c>
      <c r="AF635" s="153" t="n">
        <f aca="false">AD635-AE635</f>
        <v>0.005645</v>
      </c>
      <c r="AG635" s="184" t="n">
        <f aca="false">IF(AF635="","",AE635+AF635)</f>
        <v>0.05</v>
      </c>
      <c r="AH635" s="185" t="n">
        <v>45293</v>
      </c>
      <c r="AI635" s="35" t="n">
        <v>3</v>
      </c>
      <c r="AJ635" s="19" t="str">
        <f aca="false">IF(AG635="","N","Y")</f>
        <v>Y</v>
      </c>
      <c r="AK635" s="238" t="s">
        <v>912</v>
      </c>
    </row>
    <row r="636" customFormat="false" ht="20.25" hidden="false" customHeight="true" outlineLevel="0" collapsed="false">
      <c r="A636" s="19" t="n">
        <v>110</v>
      </c>
      <c r="B636" s="141" t="n">
        <v>45293</v>
      </c>
      <c r="C636" s="63" t="s">
        <v>187</v>
      </c>
      <c r="D636" s="63" t="s">
        <v>910</v>
      </c>
      <c r="E636" s="63" t="s">
        <v>911</v>
      </c>
      <c r="F636" s="63" t="s">
        <v>457</v>
      </c>
      <c r="G636" s="142" t="n">
        <v>45293</v>
      </c>
      <c r="H636" s="142" t="n">
        <v>45659</v>
      </c>
      <c r="I636" s="19" t="n">
        <f aca="false">H636-G636</f>
        <v>366</v>
      </c>
      <c r="J636" s="149" t="n">
        <f aca="false">TRUNC(I636/30,0)</f>
        <v>12</v>
      </c>
      <c r="K636" s="183" t="s">
        <v>95</v>
      </c>
      <c r="L636" s="146" t="n">
        <v>0.5</v>
      </c>
      <c r="M636" s="147" t="n">
        <v>4.61</v>
      </c>
      <c r="N636" s="148" t="s">
        <v>831</v>
      </c>
      <c r="O636" s="149" t="s">
        <v>396</v>
      </c>
      <c r="P636" s="150" t="n">
        <v>0.0477098</v>
      </c>
      <c r="Q636" s="150"/>
      <c r="R636" s="151" t="s">
        <v>340</v>
      </c>
      <c r="S636" s="152"/>
      <c r="T636" s="151"/>
      <c r="U636" s="152"/>
      <c r="V636" s="152" t="n">
        <v>0.057652</v>
      </c>
      <c r="W636" s="152" t="n">
        <v>0.001153</v>
      </c>
      <c r="X636" s="152" t="n">
        <v>0.004779</v>
      </c>
      <c r="Y636" s="152" t="n">
        <v>0.044355</v>
      </c>
      <c r="Z636" s="152" t="n">
        <v>0.002</v>
      </c>
      <c r="AA636" s="152" t="n">
        <v>0.002</v>
      </c>
      <c r="AB636" s="154" t="n">
        <f aca="false">S636-Z636</f>
        <v>-0.002</v>
      </c>
      <c r="AC636" s="154" t="n">
        <f aca="false">U636-Z636-AA636</f>
        <v>-0.004</v>
      </c>
      <c r="AD636" s="155" t="n">
        <v>0.05</v>
      </c>
      <c r="AE636" s="153" t="n">
        <f aca="false">IF(Y636="","",Y636)</f>
        <v>0.044355</v>
      </c>
      <c r="AF636" s="153" t="n">
        <f aca="false">AD636-AE636</f>
        <v>0.005645</v>
      </c>
      <c r="AG636" s="184" t="n">
        <f aca="false">IF(AF636="","",AE636+AF636)</f>
        <v>0.05</v>
      </c>
      <c r="AH636" s="185" t="n">
        <v>45293</v>
      </c>
      <c r="AI636" s="35" t="n">
        <v>4</v>
      </c>
      <c r="AJ636" s="19" t="str">
        <f aca="false">IF(AG636="","N","Y")</f>
        <v>Y</v>
      </c>
      <c r="AK636" s="238" t="s">
        <v>912</v>
      </c>
    </row>
    <row r="637" customFormat="false" ht="20.25" hidden="false" customHeight="true" outlineLevel="0" collapsed="false">
      <c r="A637" s="19" t="n">
        <v>111</v>
      </c>
      <c r="B637" s="141" t="n">
        <v>45302</v>
      </c>
      <c r="C637" s="63" t="s">
        <v>209</v>
      </c>
      <c r="D637" s="63" t="s">
        <v>913</v>
      </c>
      <c r="E637" s="63" t="s">
        <v>735</v>
      </c>
      <c r="F637" s="63" t="s">
        <v>697</v>
      </c>
      <c r="G637" s="142" t="n">
        <v>45302</v>
      </c>
      <c r="H637" s="142" t="n">
        <v>45335</v>
      </c>
      <c r="I637" s="19" t="n">
        <f aca="false">H637-G637</f>
        <v>33</v>
      </c>
      <c r="J637" s="149" t="n">
        <f aca="false">TRUNC(I637/30,0)</f>
        <v>1</v>
      </c>
      <c r="K637" s="189" t="s">
        <v>99</v>
      </c>
      <c r="L637" s="146" t="n">
        <v>8.59</v>
      </c>
      <c r="M637" s="147" t="n">
        <v>4.65</v>
      </c>
      <c r="N637" s="148" t="s">
        <v>850</v>
      </c>
      <c r="O637" s="149" t="s">
        <v>305</v>
      </c>
      <c r="P637" s="150" t="n">
        <v>0.05315</v>
      </c>
      <c r="Q637" s="150"/>
      <c r="R637" s="151" t="s">
        <v>914</v>
      </c>
      <c r="S637" s="152" t="n">
        <v>0.0539</v>
      </c>
      <c r="T637" s="151"/>
      <c r="U637" s="152"/>
      <c r="V637" s="152" t="n">
        <v>0.058104</v>
      </c>
      <c r="W637" s="152" t="n">
        <v>0.004067</v>
      </c>
      <c r="X637" s="152" t="n">
        <v>0.009316</v>
      </c>
      <c r="Y637" s="152" t="n">
        <v>0.041129</v>
      </c>
      <c r="Z637" s="152" t="n">
        <v>0.002</v>
      </c>
      <c r="AA637" s="152" t="n">
        <v>0.002</v>
      </c>
      <c r="AB637" s="154" t="n">
        <f aca="false">S637-Z637</f>
        <v>0.0519</v>
      </c>
      <c r="AC637" s="154" t="n">
        <f aca="false">U637-Z637-AA637</f>
        <v>-0.004</v>
      </c>
      <c r="AD637" s="155" t="n">
        <v>0.043</v>
      </c>
      <c r="AE637" s="153" t="n">
        <f aca="false">IF(Y637="","",Y637)</f>
        <v>0.041129</v>
      </c>
      <c r="AF637" s="153" t="n">
        <f aca="false">AD637-AE637</f>
        <v>0.001871</v>
      </c>
      <c r="AG637" s="184" t="n">
        <f aca="false">IF(AF637="","",AE637+AF637)</f>
        <v>0.043</v>
      </c>
      <c r="AH637" s="185" t="n">
        <v>45302</v>
      </c>
      <c r="AI637" s="35" t="n">
        <v>1</v>
      </c>
      <c r="AJ637" s="19" t="str">
        <f aca="false">IF(AG637="","N","Y")</f>
        <v>Y</v>
      </c>
      <c r="AK637" s="238" t="s">
        <v>915</v>
      </c>
    </row>
    <row r="638" customFormat="false" ht="20.25" hidden="false" customHeight="true" outlineLevel="0" collapsed="false">
      <c r="A638" s="19" t="n">
        <v>112</v>
      </c>
      <c r="B638" s="141" t="n">
        <v>45303</v>
      </c>
      <c r="C638" s="63" t="s">
        <v>916</v>
      </c>
      <c r="D638" s="63" t="s">
        <v>917</v>
      </c>
      <c r="E638" s="63" t="s">
        <v>918</v>
      </c>
      <c r="F638" s="63" t="s">
        <v>919</v>
      </c>
      <c r="G638" s="142" t="n">
        <v>45303</v>
      </c>
      <c r="H638" s="142" t="n">
        <v>45579</v>
      </c>
      <c r="I638" s="19" t="n">
        <f aca="false">H638-G638</f>
        <v>276</v>
      </c>
      <c r="J638" s="149" t="n">
        <f aca="false">TRUNC(I638/30,0)</f>
        <v>9</v>
      </c>
      <c r="K638" s="183" t="s">
        <v>95</v>
      </c>
      <c r="L638" s="146" t="n">
        <v>2.48</v>
      </c>
      <c r="M638" s="147" t="n">
        <v>4.87</v>
      </c>
      <c r="N638" s="148" t="s">
        <v>888</v>
      </c>
      <c r="O638" s="149" t="s">
        <v>920</v>
      </c>
      <c r="P638" s="150" t="n">
        <v>0.049793</v>
      </c>
      <c r="Q638" s="150"/>
      <c r="R638" s="151" t="s">
        <v>914</v>
      </c>
      <c r="S638" s="152"/>
      <c r="T638" s="151"/>
      <c r="U638" s="152"/>
      <c r="V638" s="152" t="n">
        <v>0.058146</v>
      </c>
      <c r="W638" s="152" t="n">
        <v>0.001163</v>
      </c>
      <c r="X638" s="152" t="n">
        <v>0.003763</v>
      </c>
      <c r="Y638" s="152" t="n">
        <v>0.048125</v>
      </c>
      <c r="Z638" s="152" t="n">
        <v>0.002</v>
      </c>
      <c r="AA638" s="152" t="n">
        <v>0.002</v>
      </c>
      <c r="AB638" s="154" t="n">
        <f aca="false">S638-Z638</f>
        <v>-0.002</v>
      </c>
      <c r="AC638" s="154" t="n">
        <f aca="false">U638-Z638-AA638</f>
        <v>-0.004</v>
      </c>
      <c r="AD638" s="155" t="n">
        <v>0.0515</v>
      </c>
      <c r="AE638" s="153" t="n">
        <f aca="false">IF(Y638="","",Y638)</f>
        <v>0.048125</v>
      </c>
      <c r="AF638" s="153" t="n">
        <f aca="false">AD638-AE638</f>
        <v>0.003375</v>
      </c>
      <c r="AG638" s="184" t="n">
        <f aca="false">IF(AF638="","",AE638+AF638)</f>
        <v>0.0515</v>
      </c>
      <c r="AH638" s="185" t="n">
        <v>45303</v>
      </c>
      <c r="AI638" s="35" t="n">
        <v>2</v>
      </c>
      <c r="AJ638" s="19" t="str">
        <f aca="false">IF(AG638="","N","Y")</f>
        <v>Y</v>
      </c>
      <c r="AK638" s="238" t="s">
        <v>921</v>
      </c>
    </row>
    <row r="639" customFormat="false" ht="20.25" hidden="false" customHeight="true" outlineLevel="0" collapsed="false">
      <c r="A639" s="19" t="n">
        <v>113</v>
      </c>
      <c r="B639" s="141" t="n">
        <v>45307</v>
      </c>
      <c r="C639" s="63" t="s">
        <v>100</v>
      </c>
      <c r="D639" s="63" t="s">
        <v>922</v>
      </c>
      <c r="E639" s="63" t="s">
        <v>923</v>
      </c>
      <c r="F639" s="200" t="s">
        <v>826</v>
      </c>
      <c r="G639" s="142" t="n">
        <v>45307</v>
      </c>
      <c r="H639" s="142" t="n">
        <v>45314</v>
      </c>
      <c r="I639" s="19" t="n">
        <f aca="false">H639-G639</f>
        <v>7</v>
      </c>
      <c r="J639" s="149" t="n">
        <f aca="false">TRUNC(I639/30,0)</f>
        <v>0</v>
      </c>
      <c r="K639" s="183" t="s">
        <v>95</v>
      </c>
      <c r="L639" s="146" t="n">
        <v>20</v>
      </c>
      <c r="M639" s="147" t="n">
        <v>4.6</v>
      </c>
      <c r="N639" s="148" t="s">
        <v>850</v>
      </c>
      <c r="O639" s="149" t="s">
        <v>305</v>
      </c>
      <c r="P639" s="150" t="n">
        <v>0.0531579</v>
      </c>
      <c r="Q639" s="150"/>
      <c r="R639" s="151" t="s">
        <v>914</v>
      </c>
      <c r="S639" s="152" t="n">
        <v>0.054</v>
      </c>
      <c r="T639" s="151"/>
      <c r="U639" s="152"/>
      <c r="V639" s="152" t="n">
        <v>0.055558</v>
      </c>
      <c r="W639" s="152" t="n">
        <v>0.001111</v>
      </c>
      <c r="X639" s="152" t="n">
        <v>0.002227</v>
      </c>
      <c r="Y639" s="152" t="n">
        <v>0.043136</v>
      </c>
      <c r="Z639" s="152" t="n">
        <v>0.002</v>
      </c>
      <c r="AA639" s="152" t="n">
        <v>0.002</v>
      </c>
      <c r="AB639" s="154" t="n">
        <f aca="false">S639-Z639</f>
        <v>0.052</v>
      </c>
      <c r="AC639" s="154" t="n">
        <f aca="false">U639-Z639-AA639</f>
        <v>-0.004</v>
      </c>
      <c r="AD639" s="155" t="n">
        <v>0.0505</v>
      </c>
      <c r="AE639" s="153" t="n">
        <f aca="false">IF(Y639="","",Y639)</f>
        <v>0.043136</v>
      </c>
      <c r="AF639" s="153" t="n">
        <f aca="false">AD639-AE639</f>
        <v>0.007364</v>
      </c>
      <c r="AG639" s="184" t="n">
        <f aca="false">IF(AF639="","",AE639+AF639)</f>
        <v>0.0505</v>
      </c>
      <c r="AH639" s="185" t="n">
        <v>45307</v>
      </c>
      <c r="AI639" s="35" t="n">
        <v>2</v>
      </c>
      <c r="AJ639" s="19" t="str">
        <f aca="false">IF(AG639="","N","Y")</f>
        <v>Y</v>
      </c>
      <c r="AK639" s="238" t="s">
        <v>924</v>
      </c>
    </row>
    <row r="640" customFormat="false" ht="20.25" hidden="false" customHeight="true" outlineLevel="0" collapsed="false">
      <c r="A640" s="19" t="n">
        <v>114</v>
      </c>
      <c r="B640" s="141" t="n">
        <v>45316</v>
      </c>
      <c r="C640" s="63" t="s">
        <v>925</v>
      </c>
      <c r="D640" s="63" t="s">
        <v>926</v>
      </c>
      <c r="E640" s="63" t="s">
        <v>445</v>
      </c>
      <c r="F640" s="63" t="s">
        <v>779</v>
      </c>
      <c r="G640" s="142" t="n">
        <v>45316</v>
      </c>
      <c r="H640" s="142" t="n">
        <v>45348</v>
      </c>
      <c r="I640" s="19" t="n">
        <f aca="false">H640-G640</f>
        <v>32</v>
      </c>
      <c r="J640" s="149" t="n">
        <f aca="false">TRUNC(I640/30,0)</f>
        <v>1</v>
      </c>
      <c r="K640" s="183" t="s">
        <v>95</v>
      </c>
      <c r="L640" s="146" t="n">
        <v>1</v>
      </c>
      <c r="M640" s="147" t="n">
        <v>4.88</v>
      </c>
      <c r="N640" s="148" t="s">
        <v>927</v>
      </c>
      <c r="O640" s="149" t="s">
        <v>303</v>
      </c>
      <c r="P640" s="150" t="n">
        <v>0.0533664</v>
      </c>
      <c r="Q640" s="150"/>
      <c r="R640" s="151" t="s">
        <v>914</v>
      </c>
      <c r="S640" s="152" t="n">
        <v>0.0542</v>
      </c>
      <c r="T640" s="151"/>
      <c r="U640" s="152"/>
      <c r="V640" s="152" t="n">
        <v>0.057395</v>
      </c>
      <c r="W640" s="152" t="n">
        <v>0.001148</v>
      </c>
      <c r="X640" s="152" t="n">
        <v>0.003027</v>
      </c>
      <c r="Y640" s="152" t="n">
        <v>0.047599</v>
      </c>
      <c r="Z640" s="152" t="n">
        <v>0.002</v>
      </c>
      <c r="AA640" s="152" t="n">
        <v>0.002</v>
      </c>
      <c r="AB640" s="154" t="n">
        <f aca="false">S640-Z640</f>
        <v>0.0522</v>
      </c>
      <c r="AC640" s="154" t="n">
        <f aca="false">U640-Z640-AA640</f>
        <v>-0.004</v>
      </c>
      <c r="AD640" s="155" t="n">
        <v>0.0515</v>
      </c>
      <c r="AE640" s="153" t="n">
        <f aca="false">IF(Y640="","",Y640)</f>
        <v>0.047599</v>
      </c>
      <c r="AF640" s="153" t="n">
        <f aca="false">AD640-AE640</f>
        <v>0.00390099999999999</v>
      </c>
      <c r="AG640" s="184" t="n">
        <f aca="false">IF(AF640="","",AE640+AF640)</f>
        <v>0.0515</v>
      </c>
      <c r="AH640" s="185" t="n">
        <v>45316</v>
      </c>
      <c r="AI640" s="35" t="n">
        <v>1</v>
      </c>
      <c r="AJ640" s="19" t="str">
        <f aca="false">IF(AG640="","N","Y")</f>
        <v>Y</v>
      </c>
      <c r="AK640" s="238" t="s">
        <v>928</v>
      </c>
    </row>
    <row r="641" customFormat="false" ht="20.25" hidden="false" customHeight="true" outlineLevel="0" collapsed="false">
      <c r="A641" s="19" t="n">
        <v>115</v>
      </c>
      <c r="B641" s="141" t="n">
        <v>45316</v>
      </c>
      <c r="C641" s="63" t="s">
        <v>925</v>
      </c>
      <c r="D641" s="63" t="s">
        <v>926</v>
      </c>
      <c r="E641" s="63" t="s">
        <v>445</v>
      </c>
      <c r="F641" s="63" t="s">
        <v>779</v>
      </c>
      <c r="G641" s="142" t="n">
        <v>45316</v>
      </c>
      <c r="H641" s="142" t="n">
        <v>45348</v>
      </c>
      <c r="I641" s="19" t="n">
        <f aca="false">H641-G641</f>
        <v>32</v>
      </c>
      <c r="J641" s="149" t="n">
        <f aca="false">TRUNC(I641/30,0)</f>
        <v>1</v>
      </c>
      <c r="K641" s="183" t="s">
        <v>95</v>
      </c>
      <c r="L641" s="146" t="n">
        <v>1</v>
      </c>
      <c r="M641" s="147" t="n">
        <v>4.88</v>
      </c>
      <c r="N641" s="148" t="s">
        <v>927</v>
      </c>
      <c r="O641" s="149" t="s">
        <v>303</v>
      </c>
      <c r="P641" s="150" t="n">
        <v>0.0533664</v>
      </c>
      <c r="Q641" s="150"/>
      <c r="R641" s="151" t="s">
        <v>914</v>
      </c>
      <c r="S641" s="152" t="n">
        <v>0.0542</v>
      </c>
      <c r="T641" s="151"/>
      <c r="U641" s="152"/>
      <c r="V641" s="152" t="n">
        <v>0.057395</v>
      </c>
      <c r="W641" s="152" t="n">
        <v>0.001148</v>
      </c>
      <c r="X641" s="152" t="n">
        <v>0.003027</v>
      </c>
      <c r="Y641" s="152" t="n">
        <v>0.047599</v>
      </c>
      <c r="Z641" s="152" t="n">
        <v>0.002</v>
      </c>
      <c r="AA641" s="152" t="n">
        <v>0.002</v>
      </c>
      <c r="AB641" s="154" t="n">
        <f aca="false">S641-Z641</f>
        <v>0.0522</v>
      </c>
      <c r="AC641" s="154" t="n">
        <f aca="false">U641-Z641-AA641</f>
        <v>-0.004</v>
      </c>
      <c r="AD641" s="155" t="n">
        <v>0.0515</v>
      </c>
      <c r="AE641" s="153" t="n">
        <f aca="false">IF(Y641="","",Y641)</f>
        <v>0.047599</v>
      </c>
      <c r="AF641" s="153" t="n">
        <f aca="false">AD641-AE641</f>
        <v>0.00390099999999999</v>
      </c>
      <c r="AG641" s="184" t="n">
        <f aca="false">IF(AF641="","",AE641+AF641)</f>
        <v>0.0515</v>
      </c>
      <c r="AH641" s="185" t="n">
        <v>45316</v>
      </c>
      <c r="AI641" s="35" t="n">
        <v>2</v>
      </c>
      <c r="AJ641" s="19" t="str">
        <f aca="false">IF(AG641="","N","Y")</f>
        <v>Y</v>
      </c>
      <c r="AK641" s="238" t="s">
        <v>928</v>
      </c>
    </row>
    <row r="642" customFormat="false" ht="20.25" hidden="false" customHeight="true" outlineLevel="0" collapsed="false">
      <c r="A642" s="19" t="n">
        <v>116</v>
      </c>
      <c r="B642" s="141" t="n">
        <v>45316</v>
      </c>
      <c r="C642" s="63" t="s">
        <v>925</v>
      </c>
      <c r="D642" s="63" t="s">
        <v>926</v>
      </c>
      <c r="E642" s="63" t="s">
        <v>445</v>
      </c>
      <c r="F642" s="63" t="s">
        <v>779</v>
      </c>
      <c r="G642" s="142" t="n">
        <v>45316</v>
      </c>
      <c r="H642" s="142" t="n">
        <v>45348</v>
      </c>
      <c r="I642" s="19" t="n">
        <f aca="false">H642-G642</f>
        <v>32</v>
      </c>
      <c r="J642" s="149" t="n">
        <f aca="false">TRUNC(I642/30,0)</f>
        <v>1</v>
      </c>
      <c r="K642" s="183" t="s">
        <v>95</v>
      </c>
      <c r="L642" s="146" t="n">
        <v>1</v>
      </c>
      <c r="M642" s="147" t="n">
        <v>4.88</v>
      </c>
      <c r="N642" s="148" t="s">
        <v>927</v>
      </c>
      <c r="O642" s="149" t="s">
        <v>303</v>
      </c>
      <c r="P642" s="150" t="n">
        <v>0.0533664</v>
      </c>
      <c r="Q642" s="150"/>
      <c r="R642" s="151" t="s">
        <v>914</v>
      </c>
      <c r="S642" s="152" t="n">
        <v>0.0542</v>
      </c>
      <c r="T642" s="151"/>
      <c r="U642" s="152"/>
      <c r="V642" s="152" t="n">
        <v>0.057395</v>
      </c>
      <c r="W642" s="152" t="n">
        <v>0.001148</v>
      </c>
      <c r="X642" s="152" t="n">
        <v>0.003027</v>
      </c>
      <c r="Y642" s="152" t="n">
        <v>0.047599</v>
      </c>
      <c r="Z642" s="152" t="n">
        <v>0.002</v>
      </c>
      <c r="AA642" s="152" t="n">
        <v>0.002</v>
      </c>
      <c r="AB642" s="154" t="n">
        <f aca="false">S642-Z642</f>
        <v>0.0522</v>
      </c>
      <c r="AC642" s="154" t="n">
        <f aca="false">U642-Z642-AA642</f>
        <v>-0.004</v>
      </c>
      <c r="AD642" s="155" t="n">
        <v>0.0515</v>
      </c>
      <c r="AE642" s="153" t="n">
        <f aca="false">IF(Y642="","",Y642)</f>
        <v>0.047599</v>
      </c>
      <c r="AF642" s="153" t="n">
        <f aca="false">AD642-AE642</f>
        <v>0.00390099999999999</v>
      </c>
      <c r="AG642" s="184" t="n">
        <f aca="false">IF(AF642="","",AE642+AF642)</f>
        <v>0.0515</v>
      </c>
      <c r="AH642" s="185" t="n">
        <v>45316</v>
      </c>
      <c r="AI642" s="35" t="n">
        <v>3</v>
      </c>
      <c r="AJ642" s="19" t="str">
        <f aca="false">IF(AG642="","N","Y")</f>
        <v>Y</v>
      </c>
      <c r="AK642" s="238" t="s">
        <v>928</v>
      </c>
    </row>
    <row r="643" customFormat="false" ht="20.25" hidden="false" customHeight="true" outlineLevel="0" collapsed="false">
      <c r="A643" s="19" t="n">
        <v>117</v>
      </c>
      <c r="B643" s="141" t="n">
        <v>45316</v>
      </c>
      <c r="C643" s="63" t="s">
        <v>925</v>
      </c>
      <c r="D643" s="63" t="s">
        <v>926</v>
      </c>
      <c r="E643" s="63" t="s">
        <v>445</v>
      </c>
      <c r="F643" s="63" t="s">
        <v>779</v>
      </c>
      <c r="G643" s="142" t="n">
        <v>45316</v>
      </c>
      <c r="H643" s="142" t="n">
        <v>45348</v>
      </c>
      <c r="I643" s="19" t="n">
        <f aca="false">H643-G643</f>
        <v>32</v>
      </c>
      <c r="J643" s="149" t="n">
        <f aca="false">TRUNC(I643/30,0)</f>
        <v>1</v>
      </c>
      <c r="K643" s="183" t="s">
        <v>95</v>
      </c>
      <c r="L643" s="146" t="n">
        <v>1</v>
      </c>
      <c r="M643" s="147" t="n">
        <v>4.88</v>
      </c>
      <c r="N643" s="148" t="s">
        <v>927</v>
      </c>
      <c r="O643" s="149" t="s">
        <v>303</v>
      </c>
      <c r="P643" s="150" t="n">
        <v>0.0533664</v>
      </c>
      <c r="Q643" s="150"/>
      <c r="R643" s="151" t="s">
        <v>914</v>
      </c>
      <c r="S643" s="152" t="n">
        <v>0.0542</v>
      </c>
      <c r="T643" s="151"/>
      <c r="U643" s="152"/>
      <c r="V643" s="152" t="n">
        <v>0.057395</v>
      </c>
      <c r="W643" s="152" t="n">
        <v>0.001148</v>
      </c>
      <c r="X643" s="152" t="n">
        <v>0.003027</v>
      </c>
      <c r="Y643" s="152" t="n">
        <v>0.047599</v>
      </c>
      <c r="Z643" s="152" t="n">
        <v>0.002</v>
      </c>
      <c r="AA643" s="152" t="n">
        <v>0.002</v>
      </c>
      <c r="AB643" s="154" t="n">
        <f aca="false">S643-Z643</f>
        <v>0.0522</v>
      </c>
      <c r="AC643" s="154" t="n">
        <f aca="false">U643-Z643-AA643</f>
        <v>-0.004</v>
      </c>
      <c r="AD643" s="155" t="n">
        <v>0.0515</v>
      </c>
      <c r="AE643" s="153" t="n">
        <f aca="false">IF(Y643="","",Y643)</f>
        <v>0.047599</v>
      </c>
      <c r="AF643" s="153" t="n">
        <f aca="false">AD643-AE643</f>
        <v>0.00390099999999999</v>
      </c>
      <c r="AG643" s="184" t="n">
        <f aca="false">IF(AF643="","",AE643+AF643)</f>
        <v>0.0515</v>
      </c>
      <c r="AH643" s="185" t="n">
        <v>45316</v>
      </c>
      <c r="AI643" s="35" t="n">
        <v>4</v>
      </c>
      <c r="AJ643" s="19" t="str">
        <f aca="false">IF(AG643="","N","Y")</f>
        <v>Y</v>
      </c>
      <c r="AK643" s="238" t="s">
        <v>928</v>
      </c>
    </row>
    <row r="644" customFormat="false" ht="20.25" hidden="false" customHeight="true" outlineLevel="0" collapsed="false">
      <c r="A644" s="19" t="n">
        <v>118</v>
      </c>
      <c r="B644" s="141" t="n">
        <v>45328</v>
      </c>
      <c r="C644" s="63" t="s">
        <v>209</v>
      </c>
      <c r="D644" s="63" t="s">
        <v>913</v>
      </c>
      <c r="E644" s="63" t="s">
        <v>735</v>
      </c>
      <c r="F644" s="63" t="s">
        <v>697</v>
      </c>
      <c r="G644" s="142" t="n">
        <v>45328</v>
      </c>
      <c r="H644" s="142" t="n">
        <v>45357</v>
      </c>
      <c r="I644" s="19" t="n">
        <f aca="false">H644-G644</f>
        <v>29</v>
      </c>
      <c r="J644" s="149" t="n">
        <f aca="false">TRUNC(I644/30,0)</f>
        <v>0</v>
      </c>
      <c r="K644" s="189" t="s">
        <v>99</v>
      </c>
      <c r="L644" s="146" t="n">
        <v>9.7</v>
      </c>
      <c r="M644" s="147" t="n">
        <v>4.59</v>
      </c>
      <c r="N644" s="148" t="s">
        <v>850</v>
      </c>
      <c r="O644" s="149" t="s">
        <v>305</v>
      </c>
      <c r="P644" s="150" t="n">
        <v>0.0532052</v>
      </c>
      <c r="Q644" s="150"/>
      <c r="R644" s="151" t="s">
        <v>914</v>
      </c>
      <c r="S644" s="152"/>
      <c r="T644" s="151"/>
      <c r="U644" s="152"/>
      <c r="V644" s="152" t="n">
        <v>0.059332</v>
      </c>
      <c r="W644" s="152" t="n">
        <v>0.004153</v>
      </c>
      <c r="X644" s="152" t="n">
        <v>0.009959</v>
      </c>
      <c r="Y644" s="152" t="n">
        <v>0.04118</v>
      </c>
      <c r="Z644" s="152" t="n">
        <v>0.002</v>
      </c>
      <c r="AA644" s="152" t="n">
        <v>0.002</v>
      </c>
      <c r="AB644" s="154" t="n">
        <f aca="false">S644-Z644</f>
        <v>-0.002</v>
      </c>
      <c r="AC644" s="154" t="n">
        <f aca="false">U644-Z644-AA644</f>
        <v>-0.004</v>
      </c>
      <c r="AD644" s="155" t="n">
        <v>0.0435</v>
      </c>
      <c r="AE644" s="153" t="n">
        <f aca="false">IF(Y644="","",Y644)</f>
        <v>0.04118</v>
      </c>
      <c r="AF644" s="153" t="n">
        <f aca="false">AD644-AE644</f>
        <v>0.00232</v>
      </c>
      <c r="AG644" s="184" t="n">
        <f aca="false">IF(AF644="","",AE644+AF644)</f>
        <v>0.0435</v>
      </c>
      <c r="AH644" s="185" t="n">
        <v>45328</v>
      </c>
      <c r="AI644" s="35" t="n">
        <v>3</v>
      </c>
      <c r="AJ644" s="19" t="str">
        <f aca="false">IF(AG644="","N","Y")</f>
        <v>Y</v>
      </c>
      <c r="AK644" s="238" t="s">
        <v>929</v>
      </c>
    </row>
    <row r="645" customFormat="false" ht="20.25" hidden="false" customHeight="true" outlineLevel="0" collapsed="false">
      <c r="A645" s="19" t="n">
        <v>119</v>
      </c>
      <c r="B645" s="141" t="n">
        <v>45335</v>
      </c>
      <c r="C645" s="63" t="s">
        <v>96</v>
      </c>
      <c r="D645" s="63" t="s">
        <v>930</v>
      </c>
      <c r="E645" s="63" t="s">
        <v>682</v>
      </c>
      <c r="F645" s="63" t="s">
        <v>683</v>
      </c>
      <c r="G645" s="142" t="n">
        <v>45335</v>
      </c>
      <c r="H645" s="142" t="n">
        <v>45425</v>
      </c>
      <c r="I645" s="19" t="n">
        <f aca="false">H645-G645</f>
        <v>90</v>
      </c>
      <c r="J645" s="149" t="n">
        <f aca="false">TRUNC(I645/30,0)</f>
        <v>3</v>
      </c>
      <c r="K645" s="183" t="s">
        <v>95</v>
      </c>
      <c r="L645" s="146" t="n">
        <v>3.5</v>
      </c>
      <c r="M645" s="147" t="n">
        <v>4.95</v>
      </c>
      <c r="N645" s="148" t="s">
        <v>852</v>
      </c>
      <c r="O645" s="149" t="s">
        <v>300</v>
      </c>
      <c r="P645" s="150" t="n">
        <v>0.0530653</v>
      </c>
      <c r="Q645" s="150"/>
      <c r="R645" s="151" t="s">
        <v>914</v>
      </c>
      <c r="S645" s="152" t="n">
        <v>0.0547</v>
      </c>
      <c r="T645" s="151"/>
      <c r="U645" s="152"/>
      <c r="V645" s="152" t="n">
        <v>0.058613</v>
      </c>
      <c r="W645" s="152" t="n">
        <v>0.001172</v>
      </c>
      <c r="X645" s="152" t="n">
        <v>0.006521</v>
      </c>
      <c r="Y645" s="152" t="n">
        <v>0.049103</v>
      </c>
      <c r="Z645" s="152" t="n">
        <v>0.002</v>
      </c>
      <c r="AA645" s="152" t="n">
        <v>0.002</v>
      </c>
      <c r="AB645" s="154" t="n">
        <f aca="false">S645-Z645</f>
        <v>0.0527</v>
      </c>
      <c r="AC645" s="154" t="n">
        <f aca="false">U645-Z645-AA645</f>
        <v>-0.004</v>
      </c>
      <c r="AD645" s="155" t="n">
        <v>0.0492</v>
      </c>
      <c r="AE645" s="153" t="n">
        <f aca="false">IF(Y645="","",Y645)</f>
        <v>0.049103</v>
      </c>
      <c r="AF645" s="153" t="n">
        <f aca="false">AD645-AE645</f>
        <v>9.69999999999999E-005</v>
      </c>
      <c r="AG645" s="184" t="n">
        <f aca="false">IF(AF645="","",AE645+AF645)</f>
        <v>0.0492</v>
      </c>
      <c r="AH645" s="185" t="n">
        <v>45335</v>
      </c>
      <c r="AI645" s="35" t="n">
        <v>1</v>
      </c>
      <c r="AJ645" s="19" t="str">
        <f aca="false">IF(AG645="","N","Y")</f>
        <v>Y</v>
      </c>
      <c r="AK645" s="238" t="s">
        <v>931</v>
      </c>
    </row>
    <row r="646" customFormat="false" ht="20.25" hidden="false" customHeight="true" outlineLevel="0" collapsed="false">
      <c r="A646" s="19" t="n">
        <f aca="false">IF(B646="","",IF((YEAR(B646)-YEAR(B645))=0,A645+1,1))</f>
        <v>120</v>
      </c>
      <c r="B646" s="141" t="n">
        <v>45338</v>
      </c>
      <c r="C646" s="63" t="s">
        <v>862</v>
      </c>
      <c r="D646" s="63" t="s">
        <v>932</v>
      </c>
      <c r="E646" s="63" t="s">
        <v>903</v>
      </c>
      <c r="F646" s="63" t="s">
        <v>906</v>
      </c>
      <c r="G646" s="142" t="n">
        <v>45338</v>
      </c>
      <c r="H646" s="142" t="n">
        <v>45366</v>
      </c>
      <c r="I646" s="19" t="n">
        <f aca="false">H646-G646</f>
        <v>28</v>
      </c>
      <c r="J646" s="149" t="n">
        <f aca="false">TRUNC(I646/30,0)</f>
        <v>0</v>
      </c>
      <c r="K646" s="189" t="s">
        <v>99</v>
      </c>
      <c r="L646" s="146" t="n">
        <v>2</v>
      </c>
      <c r="M646" s="147" t="n">
        <v>4.35</v>
      </c>
      <c r="N646" s="148" t="s">
        <v>850</v>
      </c>
      <c r="O646" s="149" t="s">
        <v>305</v>
      </c>
      <c r="P646" s="150" t="n">
        <v>0.0530409</v>
      </c>
      <c r="Q646" s="150"/>
      <c r="R646" s="151" t="s">
        <v>305</v>
      </c>
      <c r="S646" s="152" t="n">
        <v>0.0539</v>
      </c>
      <c r="T646" s="151"/>
      <c r="U646" s="152"/>
      <c r="V646" s="152" t="n">
        <v>0.0435</v>
      </c>
      <c r="W646" s="152" t="n">
        <v>0.004165</v>
      </c>
      <c r="X646" s="152" t="n">
        <v>0.010115</v>
      </c>
      <c r="Y646" s="152" t="n">
        <v>0.043028</v>
      </c>
      <c r="Z646" s="152" t="n">
        <v>0.002</v>
      </c>
      <c r="AA646" s="152" t="n">
        <v>0.002</v>
      </c>
      <c r="AB646" s="154" t="n">
        <f aca="false">S646-Z646</f>
        <v>0.0519</v>
      </c>
      <c r="AC646" s="154" t="n">
        <f aca="false">U646-Z646-AA646</f>
        <v>-0.004</v>
      </c>
      <c r="AD646" s="155" t="n">
        <v>0.0435</v>
      </c>
      <c r="AE646" s="153" t="n">
        <f aca="false">IF(Y646="","",Y646)</f>
        <v>0.043028</v>
      </c>
      <c r="AF646" s="153" t="n">
        <f aca="false">AD646-AE646</f>
        <v>0.000472</v>
      </c>
      <c r="AG646" s="184" t="n">
        <f aca="false">IF(AF646="","",AE646+AF646)</f>
        <v>0.0435</v>
      </c>
      <c r="AH646" s="185" t="n">
        <v>45338</v>
      </c>
      <c r="AI646" s="35" t="n">
        <v>1</v>
      </c>
      <c r="AJ646" s="19" t="str">
        <f aca="false">IF(AG646="","N","Y")</f>
        <v>Y</v>
      </c>
      <c r="AK646" s="238" t="s">
        <v>933</v>
      </c>
    </row>
    <row r="647" customFormat="false" ht="20.25" hidden="false" customHeight="true" outlineLevel="0" collapsed="false">
      <c r="A647" s="19" t="n">
        <v>121</v>
      </c>
      <c r="B647" s="141" t="n">
        <v>45344</v>
      </c>
      <c r="C647" s="63" t="s">
        <v>96</v>
      </c>
      <c r="D647" s="63" t="s">
        <v>934</v>
      </c>
      <c r="E647" s="63" t="s">
        <v>935</v>
      </c>
      <c r="F647" s="63" t="s">
        <v>662</v>
      </c>
      <c r="G647" s="142" t="n">
        <v>45344</v>
      </c>
      <c r="H647" s="142" t="n">
        <v>45404</v>
      </c>
      <c r="I647" s="19" t="n">
        <f aca="false">H647-G647</f>
        <v>60</v>
      </c>
      <c r="J647" s="149" t="n">
        <f aca="false">TRUNC(I647/30,0)</f>
        <v>2</v>
      </c>
      <c r="K647" s="183" t="s">
        <v>95</v>
      </c>
      <c r="L647" s="146" t="n">
        <v>10</v>
      </c>
      <c r="M647" s="147" t="n">
        <v>4.89</v>
      </c>
      <c r="N647" s="148" t="s">
        <v>821</v>
      </c>
      <c r="O647" s="149" t="s">
        <v>936</v>
      </c>
      <c r="P647" s="150" t="n">
        <v>0.0532148</v>
      </c>
      <c r="Q647" s="150"/>
      <c r="R647" s="151" t="s">
        <v>936</v>
      </c>
      <c r="S647" s="152" t="n">
        <v>0.0547</v>
      </c>
      <c r="T647" s="151"/>
      <c r="U647" s="152"/>
      <c r="V647" s="152" t="n">
        <v>0.057959</v>
      </c>
      <c r="W647" s="152" t="n">
        <v>0.001159</v>
      </c>
      <c r="X647" s="152" t="n">
        <v>0.00258</v>
      </c>
      <c r="Y647" s="152" t="n">
        <v>0.047446</v>
      </c>
      <c r="Z647" s="152" t="n">
        <v>0.002</v>
      </c>
      <c r="AA647" s="152" t="n">
        <v>0.002</v>
      </c>
      <c r="AB647" s="154" t="n">
        <f aca="false">S647-Z647</f>
        <v>0.0527</v>
      </c>
      <c r="AC647" s="154" t="n">
        <f aca="false">U647-Z647-AA647</f>
        <v>-0.004</v>
      </c>
      <c r="AD647" s="155" t="n">
        <v>0.0525</v>
      </c>
      <c r="AE647" s="153" t="n">
        <f aca="false">IF(Y647="","",Y647)</f>
        <v>0.047446</v>
      </c>
      <c r="AF647" s="153" t="n">
        <f aca="false">AD647-AE647</f>
        <v>0.005054</v>
      </c>
      <c r="AG647" s="184" t="n">
        <f aca="false">IF(AF647="","",AE647+AF647)</f>
        <v>0.0525</v>
      </c>
      <c r="AH647" s="185" t="n">
        <v>45344</v>
      </c>
      <c r="AI647" s="35" t="n">
        <v>1</v>
      </c>
      <c r="AJ647" s="19" t="str">
        <f aca="false">IF(AG647="","N","Y")</f>
        <v>Y</v>
      </c>
      <c r="AK647" s="238" t="s">
        <v>937</v>
      </c>
    </row>
    <row r="648" customFormat="false" ht="20.25" hidden="false" customHeight="true" outlineLevel="0" collapsed="false">
      <c r="A648" s="19" t="n">
        <v>122</v>
      </c>
      <c r="B648" s="141" t="n">
        <v>45348</v>
      </c>
      <c r="C648" s="63" t="s">
        <v>96</v>
      </c>
      <c r="D648" s="63" t="s">
        <v>934</v>
      </c>
      <c r="E648" s="63" t="s">
        <v>935</v>
      </c>
      <c r="F648" s="63" t="s">
        <v>662</v>
      </c>
      <c r="G648" s="142" t="n">
        <v>45348</v>
      </c>
      <c r="H648" s="142" t="n">
        <v>45439</v>
      </c>
      <c r="I648" s="19" t="n">
        <f aca="false">H648-G648</f>
        <v>91</v>
      </c>
      <c r="J648" s="149" t="n">
        <f aca="false">TRUNC(I648/30,0)</f>
        <v>3</v>
      </c>
      <c r="K648" s="183" t="s">
        <v>95</v>
      </c>
      <c r="L648" s="146" t="n">
        <v>10</v>
      </c>
      <c r="M648" s="147" t="n">
        <v>4.97</v>
      </c>
      <c r="N648" s="148" t="s">
        <v>858</v>
      </c>
      <c r="O648" s="149" t="s">
        <v>300</v>
      </c>
      <c r="P648" s="150" t="n">
        <v>0.0533057</v>
      </c>
      <c r="Q648" s="150"/>
      <c r="R648" s="151" t="s">
        <v>265</v>
      </c>
      <c r="S648" s="152" t="n">
        <v>0.0547</v>
      </c>
      <c r="T648" s="151"/>
      <c r="U648" s="152"/>
      <c r="V648" s="152" t="n">
        <v>0.058707</v>
      </c>
      <c r="W648" s="152" t="n">
        <v>0.001174</v>
      </c>
      <c r="X648" s="152" t="n">
        <v>0.002813</v>
      </c>
      <c r="Y648" s="152" t="n">
        <v>0.049339</v>
      </c>
      <c r="Z648" s="152" t="n">
        <v>0.002</v>
      </c>
      <c r="AA648" s="152" t="n">
        <v>0.002</v>
      </c>
      <c r="AB648" s="154" t="n">
        <f aca="false">S648-Z648</f>
        <v>0.0527</v>
      </c>
      <c r="AC648" s="154" t="n">
        <f aca="false">U648-Z648-AA648</f>
        <v>-0.004</v>
      </c>
      <c r="AD648" s="155" t="n">
        <v>0.053</v>
      </c>
      <c r="AE648" s="153" t="n">
        <f aca="false">IF(Y648="","",Y648)</f>
        <v>0.049339</v>
      </c>
      <c r="AF648" s="153" t="n">
        <f aca="false">AD648-AE648</f>
        <v>0.003661</v>
      </c>
      <c r="AG648" s="184" t="n">
        <f aca="false">IF(AF648="","",AE648+AF648)</f>
        <v>0.053</v>
      </c>
      <c r="AH648" s="185" t="n">
        <v>45348</v>
      </c>
      <c r="AI648" s="35" t="n">
        <v>1</v>
      </c>
      <c r="AJ648" s="19" t="str">
        <f aca="false">IF(AG648="","N","Y")</f>
        <v>Y</v>
      </c>
      <c r="AK648" s="238" t="s">
        <v>938</v>
      </c>
    </row>
    <row r="649" customFormat="false" ht="20.25" hidden="false" customHeight="true" outlineLevel="0" collapsed="false">
      <c r="A649" s="19" t="n">
        <v>123</v>
      </c>
      <c r="B649" s="141" t="n">
        <v>45348</v>
      </c>
      <c r="C649" s="63" t="s">
        <v>925</v>
      </c>
      <c r="D649" s="63" t="s">
        <v>926</v>
      </c>
      <c r="E649" s="63" t="s">
        <v>939</v>
      </c>
      <c r="F649" s="63" t="s">
        <v>779</v>
      </c>
      <c r="G649" s="142" t="n">
        <v>45348</v>
      </c>
      <c r="H649" s="142" t="n">
        <v>45377</v>
      </c>
      <c r="I649" s="19" t="n">
        <f aca="false">H649-G649</f>
        <v>29</v>
      </c>
      <c r="J649" s="149" t="n">
        <f aca="false">TRUNC(I649/30,0)</f>
        <v>0</v>
      </c>
      <c r="K649" s="183" t="s">
        <v>95</v>
      </c>
      <c r="L649" s="146" t="n">
        <v>1</v>
      </c>
      <c r="M649" s="147" t="n">
        <v>4.85</v>
      </c>
      <c r="N649" s="148" t="s">
        <v>816</v>
      </c>
      <c r="O649" s="149" t="s">
        <v>303</v>
      </c>
      <c r="P649" s="150" t="n">
        <v>0.0532413</v>
      </c>
      <c r="Q649" s="150"/>
      <c r="R649" s="151" t="s">
        <v>303</v>
      </c>
      <c r="S649" s="152" t="n">
        <v>0.0542</v>
      </c>
      <c r="T649" s="151"/>
      <c r="U649" s="152"/>
      <c r="V649" s="152" t="n">
        <v>0.057102</v>
      </c>
      <c r="W649" s="152" t="n">
        <v>0.001142</v>
      </c>
      <c r="X649" s="152" t="n">
        <v>0.00224</v>
      </c>
      <c r="Y649" s="152" t="n">
        <v>0.047476</v>
      </c>
      <c r="Z649" s="152" t="n">
        <v>0.002</v>
      </c>
      <c r="AA649" s="152" t="n">
        <v>0.002</v>
      </c>
      <c r="AB649" s="154" t="n">
        <f aca="false">S649-Z649</f>
        <v>0.0522</v>
      </c>
      <c r="AC649" s="154" t="n">
        <f aca="false">U649-Z649-AA649</f>
        <v>-0.004</v>
      </c>
      <c r="AD649" s="155" t="n">
        <v>0.052</v>
      </c>
      <c r="AE649" s="153" t="n">
        <f aca="false">IF(Y649="","",Y649)</f>
        <v>0.047476</v>
      </c>
      <c r="AF649" s="153" t="n">
        <f aca="false">AD649-AE649</f>
        <v>0.004524</v>
      </c>
      <c r="AG649" s="184" t="n">
        <f aca="false">IF(AF649="","",AE649+AF649)</f>
        <v>0.052</v>
      </c>
      <c r="AH649" s="185" t="n">
        <v>45348</v>
      </c>
      <c r="AI649" s="35" t="n">
        <v>2</v>
      </c>
      <c r="AJ649" s="19" t="str">
        <f aca="false">IF(AG649="","N","Y")</f>
        <v>Y</v>
      </c>
      <c r="AK649" s="238" t="s">
        <v>940</v>
      </c>
    </row>
    <row r="650" customFormat="false" ht="20.25" hidden="false" customHeight="true" outlineLevel="0" collapsed="false">
      <c r="A650" s="19" t="n">
        <v>124</v>
      </c>
      <c r="B650" s="141" t="n">
        <v>45348</v>
      </c>
      <c r="C650" s="63" t="s">
        <v>925</v>
      </c>
      <c r="D650" s="63" t="s">
        <v>926</v>
      </c>
      <c r="E650" s="63" t="s">
        <v>939</v>
      </c>
      <c r="F650" s="63" t="s">
        <v>779</v>
      </c>
      <c r="G650" s="142" t="n">
        <v>45348</v>
      </c>
      <c r="H650" s="142" t="n">
        <v>45377</v>
      </c>
      <c r="I650" s="19" t="n">
        <f aca="false">H650-G650</f>
        <v>29</v>
      </c>
      <c r="J650" s="149" t="n">
        <f aca="false">TRUNC(I650/30,0)</f>
        <v>0</v>
      </c>
      <c r="K650" s="183" t="s">
        <v>95</v>
      </c>
      <c r="L650" s="146" t="n">
        <v>1</v>
      </c>
      <c r="M650" s="147" t="n">
        <v>4.85</v>
      </c>
      <c r="N650" s="148" t="s">
        <v>816</v>
      </c>
      <c r="O650" s="149" t="s">
        <v>303</v>
      </c>
      <c r="P650" s="150" t="n">
        <v>0.0532413</v>
      </c>
      <c r="Q650" s="150"/>
      <c r="R650" s="151" t="s">
        <v>303</v>
      </c>
      <c r="S650" s="152" t="n">
        <v>0.0542</v>
      </c>
      <c r="T650" s="151"/>
      <c r="U650" s="152"/>
      <c r="V650" s="152" t="n">
        <v>0.057102</v>
      </c>
      <c r="W650" s="152" t="n">
        <v>0.001142</v>
      </c>
      <c r="X650" s="152" t="n">
        <v>0.00224</v>
      </c>
      <c r="Y650" s="152" t="n">
        <v>0.047476</v>
      </c>
      <c r="Z650" s="152" t="n">
        <v>0.002</v>
      </c>
      <c r="AA650" s="152" t="n">
        <v>0.002</v>
      </c>
      <c r="AB650" s="154" t="n">
        <f aca="false">S650-Z650</f>
        <v>0.0522</v>
      </c>
      <c r="AC650" s="154" t="n">
        <f aca="false">U650-Z650-AA650</f>
        <v>-0.004</v>
      </c>
      <c r="AD650" s="155" t="n">
        <v>0.052</v>
      </c>
      <c r="AE650" s="153" t="n">
        <f aca="false">IF(Y650="","",Y650)</f>
        <v>0.047476</v>
      </c>
      <c r="AF650" s="153" t="n">
        <f aca="false">AD650-AE650</f>
        <v>0.004524</v>
      </c>
      <c r="AG650" s="184" t="n">
        <f aca="false">IF(AF650="","",AE650+AF650)</f>
        <v>0.052</v>
      </c>
      <c r="AH650" s="185" t="n">
        <v>45348</v>
      </c>
      <c r="AI650" s="35" t="n">
        <v>3</v>
      </c>
      <c r="AJ650" s="19" t="str">
        <f aca="false">IF(AG650="","N","Y")</f>
        <v>Y</v>
      </c>
      <c r="AK650" s="238" t="s">
        <v>940</v>
      </c>
    </row>
    <row r="651" customFormat="false" ht="20.25" hidden="false" customHeight="true" outlineLevel="0" collapsed="false">
      <c r="A651" s="19" t="n">
        <v>125</v>
      </c>
      <c r="B651" s="141" t="n">
        <v>45348</v>
      </c>
      <c r="C651" s="63" t="s">
        <v>925</v>
      </c>
      <c r="D651" s="63" t="s">
        <v>926</v>
      </c>
      <c r="E651" s="63" t="s">
        <v>939</v>
      </c>
      <c r="F651" s="63" t="s">
        <v>779</v>
      </c>
      <c r="G651" s="142" t="n">
        <v>45348</v>
      </c>
      <c r="H651" s="142" t="n">
        <v>45377</v>
      </c>
      <c r="I651" s="19" t="n">
        <f aca="false">H651-G651</f>
        <v>29</v>
      </c>
      <c r="J651" s="149" t="n">
        <f aca="false">TRUNC(I651/30,0)</f>
        <v>0</v>
      </c>
      <c r="K651" s="183" t="s">
        <v>95</v>
      </c>
      <c r="L651" s="146" t="n">
        <v>1</v>
      </c>
      <c r="M651" s="147" t="n">
        <v>4.85</v>
      </c>
      <c r="N651" s="148" t="s">
        <v>816</v>
      </c>
      <c r="O651" s="149" t="s">
        <v>303</v>
      </c>
      <c r="P651" s="150" t="n">
        <v>0.0532413</v>
      </c>
      <c r="Q651" s="150"/>
      <c r="R651" s="151" t="s">
        <v>303</v>
      </c>
      <c r="S651" s="152" t="n">
        <v>0.0542</v>
      </c>
      <c r="T651" s="151"/>
      <c r="U651" s="152"/>
      <c r="V651" s="152" t="n">
        <v>0.057102</v>
      </c>
      <c r="W651" s="152" t="n">
        <v>0.001142</v>
      </c>
      <c r="X651" s="152" t="n">
        <v>0.00224</v>
      </c>
      <c r="Y651" s="152" t="n">
        <v>0.047476</v>
      </c>
      <c r="Z651" s="152" t="n">
        <v>0.002</v>
      </c>
      <c r="AA651" s="152" t="n">
        <v>0.002</v>
      </c>
      <c r="AB651" s="154" t="n">
        <f aca="false">S651-Z651</f>
        <v>0.0522</v>
      </c>
      <c r="AC651" s="154" t="n">
        <f aca="false">U651-Z651-AA651</f>
        <v>-0.004</v>
      </c>
      <c r="AD651" s="155" t="n">
        <v>0.052</v>
      </c>
      <c r="AE651" s="153" t="n">
        <f aca="false">IF(Y651="","",Y651)</f>
        <v>0.047476</v>
      </c>
      <c r="AF651" s="153" t="n">
        <f aca="false">AD651-AE651</f>
        <v>0.004524</v>
      </c>
      <c r="AG651" s="184" t="n">
        <f aca="false">IF(AF651="","",AE651+AF651)</f>
        <v>0.052</v>
      </c>
      <c r="AH651" s="185" t="n">
        <v>45348</v>
      </c>
      <c r="AI651" s="35" t="n">
        <v>4</v>
      </c>
      <c r="AJ651" s="19" t="str">
        <f aca="false">IF(AG651="","N","Y")</f>
        <v>Y</v>
      </c>
      <c r="AK651" s="238" t="s">
        <v>940</v>
      </c>
    </row>
    <row r="652" customFormat="false" ht="20.25" hidden="false" customHeight="true" outlineLevel="0" collapsed="false">
      <c r="A652" s="19" t="n">
        <v>126</v>
      </c>
      <c r="B652" s="141" t="n">
        <v>45348</v>
      </c>
      <c r="C652" s="63" t="s">
        <v>925</v>
      </c>
      <c r="D652" s="63" t="s">
        <v>926</v>
      </c>
      <c r="E652" s="63" t="s">
        <v>939</v>
      </c>
      <c r="F652" s="63" t="s">
        <v>779</v>
      </c>
      <c r="G652" s="142" t="n">
        <v>45348</v>
      </c>
      <c r="H652" s="142" t="n">
        <v>45377</v>
      </c>
      <c r="I652" s="19" t="n">
        <f aca="false">H652-G652</f>
        <v>29</v>
      </c>
      <c r="J652" s="149" t="n">
        <f aca="false">TRUNC(I652/30,0)</f>
        <v>0</v>
      </c>
      <c r="K652" s="183" t="s">
        <v>95</v>
      </c>
      <c r="L652" s="146" t="n">
        <v>1</v>
      </c>
      <c r="M652" s="147" t="n">
        <v>4.85</v>
      </c>
      <c r="N652" s="148" t="s">
        <v>816</v>
      </c>
      <c r="O652" s="149" t="s">
        <v>303</v>
      </c>
      <c r="P652" s="150" t="n">
        <v>0.0532413</v>
      </c>
      <c r="Q652" s="150"/>
      <c r="R652" s="151" t="s">
        <v>303</v>
      </c>
      <c r="S652" s="152" t="n">
        <v>0.0542</v>
      </c>
      <c r="T652" s="151"/>
      <c r="U652" s="152"/>
      <c r="V652" s="152" t="n">
        <v>0.057102</v>
      </c>
      <c r="W652" s="152" t="n">
        <v>0.001142</v>
      </c>
      <c r="X652" s="152" t="n">
        <v>0.00224</v>
      </c>
      <c r="Y652" s="152" t="n">
        <v>0.047476</v>
      </c>
      <c r="Z652" s="152" t="n">
        <v>0.002</v>
      </c>
      <c r="AA652" s="152" t="n">
        <v>0.002</v>
      </c>
      <c r="AB652" s="154" t="n">
        <f aca="false">S652-Z652</f>
        <v>0.0522</v>
      </c>
      <c r="AC652" s="154" t="n">
        <f aca="false">U652-Z652-AA652</f>
        <v>-0.004</v>
      </c>
      <c r="AD652" s="155" t="n">
        <v>0.052</v>
      </c>
      <c r="AE652" s="153" t="n">
        <f aca="false">IF(Y652="","",Y652)</f>
        <v>0.047476</v>
      </c>
      <c r="AF652" s="153" t="n">
        <f aca="false">AD652-AE652</f>
        <v>0.004524</v>
      </c>
      <c r="AG652" s="184" t="n">
        <f aca="false">IF(AF652="","",AE652+AF652)</f>
        <v>0.052</v>
      </c>
      <c r="AH652" s="185" t="n">
        <v>45348</v>
      </c>
      <c r="AI652" s="35" t="n">
        <v>5</v>
      </c>
      <c r="AJ652" s="19" t="str">
        <f aca="false">IF(AG652="","N","Y")</f>
        <v>Y</v>
      </c>
      <c r="AK652" s="238" t="s">
        <v>940</v>
      </c>
    </row>
    <row r="653" customFormat="false" ht="20.25" hidden="false" customHeight="true" outlineLevel="0" collapsed="false">
      <c r="A653" s="19" t="n">
        <v>127</v>
      </c>
      <c r="B653" s="141" t="n">
        <v>45348</v>
      </c>
      <c r="C653" s="63" t="s">
        <v>925</v>
      </c>
      <c r="D653" s="63" t="s">
        <v>926</v>
      </c>
      <c r="E653" s="63" t="s">
        <v>939</v>
      </c>
      <c r="F653" s="63" t="s">
        <v>779</v>
      </c>
      <c r="G653" s="142" t="n">
        <v>45348</v>
      </c>
      <c r="H653" s="142" t="n">
        <v>45377</v>
      </c>
      <c r="I653" s="19" t="n">
        <f aca="false">H653-G653</f>
        <v>29</v>
      </c>
      <c r="J653" s="149" t="n">
        <f aca="false">TRUNC(I653/30,0)</f>
        <v>0</v>
      </c>
      <c r="K653" s="183" t="s">
        <v>95</v>
      </c>
      <c r="L653" s="146" t="n">
        <v>1</v>
      </c>
      <c r="M653" s="147" t="n">
        <v>4.85</v>
      </c>
      <c r="N653" s="148" t="s">
        <v>816</v>
      </c>
      <c r="O653" s="149" t="s">
        <v>303</v>
      </c>
      <c r="P653" s="150" t="n">
        <v>0.0532413</v>
      </c>
      <c r="Q653" s="150"/>
      <c r="R653" s="151" t="s">
        <v>303</v>
      </c>
      <c r="S653" s="152" t="n">
        <v>0.0542</v>
      </c>
      <c r="T653" s="151"/>
      <c r="U653" s="152"/>
      <c r="V653" s="152" t="n">
        <v>0.057102</v>
      </c>
      <c r="W653" s="152" t="n">
        <v>0.001142</v>
      </c>
      <c r="X653" s="152" t="n">
        <v>0.00224</v>
      </c>
      <c r="Y653" s="152" t="n">
        <v>0.047476</v>
      </c>
      <c r="Z653" s="152" t="n">
        <v>0.002</v>
      </c>
      <c r="AA653" s="152" t="n">
        <v>0.002</v>
      </c>
      <c r="AB653" s="154" t="n">
        <f aca="false">S653-Z653</f>
        <v>0.0522</v>
      </c>
      <c r="AC653" s="154" t="n">
        <f aca="false">U653-Z653-AA653</f>
        <v>-0.004</v>
      </c>
      <c r="AD653" s="155" t="n">
        <v>0.052</v>
      </c>
      <c r="AE653" s="153" t="n">
        <f aca="false">IF(Y653="","",Y653)</f>
        <v>0.047476</v>
      </c>
      <c r="AF653" s="153" t="n">
        <f aca="false">AD653-AE653</f>
        <v>0.004524</v>
      </c>
      <c r="AG653" s="184" t="n">
        <f aca="false">IF(AF653="","",AE653+AF653)</f>
        <v>0.052</v>
      </c>
      <c r="AH653" s="185" t="n">
        <v>45348</v>
      </c>
      <c r="AI653" s="35" t="n">
        <v>6</v>
      </c>
      <c r="AJ653" s="19" t="str">
        <f aca="false">IF(AG653="","N","Y")</f>
        <v>Y</v>
      </c>
      <c r="AK653" s="238" t="s">
        <v>940</v>
      </c>
    </row>
    <row r="654" customFormat="false" ht="20.25" hidden="false" customHeight="true" outlineLevel="0" collapsed="false">
      <c r="A654" s="19" t="n">
        <v>128</v>
      </c>
      <c r="B654" s="141" t="n">
        <v>45356</v>
      </c>
      <c r="C654" s="63" t="s">
        <v>209</v>
      </c>
      <c r="D654" s="19"/>
      <c r="E654" s="63" t="s">
        <v>735</v>
      </c>
      <c r="F654" s="63" t="s">
        <v>697</v>
      </c>
      <c r="G654" s="142" t="n">
        <v>45356</v>
      </c>
      <c r="H654" s="142" t="n">
        <v>45387</v>
      </c>
      <c r="I654" s="19" t="n">
        <f aca="false">H654-G654</f>
        <v>31</v>
      </c>
      <c r="J654" s="149" t="n">
        <f aca="false">TRUNC(I654/30,0)</f>
        <v>1</v>
      </c>
      <c r="K654" s="183" t="s">
        <v>95</v>
      </c>
      <c r="L654" s="146" t="n">
        <v>7</v>
      </c>
      <c r="M654" s="147" t="n">
        <v>4.86</v>
      </c>
      <c r="N654" s="148" t="s">
        <v>941</v>
      </c>
      <c r="O654" s="149" t="s">
        <v>303</v>
      </c>
      <c r="P654" s="150" t="n">
        <v>0.0532126</v>
      </c>
      <c r="Q654" s="150"/>
      <c r="R654" s="151" t="s">
        <v>303</v>
      </c>
      <c r="S654" s="152" t="n">
        <v>0.0549</v>
      </c>
      <c r="T654" s="151"/>
      <c r="U654" s="152"/>
      <c r="V654" s="152" t="n">
        <v>0.057241</v>
      </c>
      <c r="W654" s="152" t="n">
        <v>0.001145</v>
      </c>
      <c r="X654" s="152" t="n">
        <v>0.002376</v>
      </c>
      <c r="Y654" s="152" t="n">
        <v>0.047448</v>
      </c>
      <c r="Z654" s="152" t="n">
        <v>0.002</v>
      </c>
      <c r="AA654" s="152" t="n">
        <v>0.002</v>
      </c>
      <c r="AB654" s="154" t="n">
        <f aca="false">S654-Z654</f>
        <v>0.0529</v>
      </c>
      <c r="AC654" s="154" t="n">
        <f aca="false">U654-Z654-AA654</f>
        <v>-0.004</v>
      </c>
      <c r="AD654" s="155" t="n">
        <v>0.052</v>
      </c>
      <c r="AE654" s="153" t="n">
        <f aca="false">IF(Y654="","",Y654)</f>
        <v>0.047448</v>
      </c>
      <c r="AF654" s="153" t="n">
        <f aca="false">AD654-AE654</f>
        <v>0.004552</v>
      </c>
      <c r="AG654" s="184" t="n">
        <f aca="false">IF(AF654="","",AE654+AF654)</f>
        <v>0.052</v>
      </c>
      <c r="AH654" s="185" t="n">
        <v>45356</v>
      </c>
      <c r="AI654" s="35" t="n">
        <v>1</v>
      </c>
      <c r="AJ654" s="19" t="str">
        <f aca="false">IF(AG654="","N","Y")</f>
        <v>Y</v>
      </c>
      <c r="AK654" s="238" t="s">
        <v>942</v>
      </c>
    </row>
    <row r="655" customFormat="false" ht="20.25" hidden="false" customHeight="true" outlineLevel="0" collapsed="false">
      <c r="A655" s="19" t="n">
        <v>129</v>
      </c>
      <c r="B655" s="141" t="n">
        <v>45356</v>
      </c>
      <c r="C655" s="63" t="s">
        <v>209</v>
      </c>
      <c r="D655" s="19"/>
      <c r="E655" s="63" t="s">
        <v>735</v>
      </c>
      <c r="F655" s="63" t="s">
        <v>697</v>
      </c>
      <c r="G655" s="142" t="n">
        <v>45356</v>
      </c>
      <c r="H655" s="142" t="n">
        <v>45387</v>
      </c>
      <c r="I655" s="19" t="n">
        <f aca="false">H655-G655</f>
        <v>31</v>
      </c>
      <c r="J655" s="149" t="n">
        <f aca="false">TRUNC(I655/30,0)</f>
        <v>1</v>
      </c>
      <c r="K655" s="183" t="s">
        <v>95</v>
      </c>
      <c r="L655" s="146" t="n">
        <v>1</v>
      </c>
      <c r="M655" s="147" t="n">
        <v>4.86</v>
      </c>
      <c r="N655" s="148" t="s">
        <v>941</v>
      </c>
      <c r="O655" s="149" t="s">
        <v>303</v>
      </c>
      <c r="P655" s="150" t="n">
        <v>0.0532126</v>
      </c>
      <c r="Q655" s="150"/>
      <c r="R655" s="151" t="s">
        <v>303</v>
      </c>
      <c r="S655" s="152" t="n">
        <v>0.0549</v>
      </c>
      <c r="T655" s="151"/>
      <c r="U655" s="152"/>
      <c r="V655" s="152" t="n">
        <v>0.057241</v>
      </c>
      <c r="W655" s="152" t="n">
        <v>0.001145</v>
      </c>
      <c r="X655" s="152" t="n">
        <v>0.002376</v>
      </c>
      <c r="Y655" s="152" t="n">
        <v>0.047448</v>
      </c>
      <c r="Z655" s="152" t="n">
        <v>0.002</v>
      </c>
      <c r="AA655" s="152" t="n">
        <v>0.002</v>
      </c>
      <c r="AB655" s="154" t="n">
        <f aca="false">S655-Z655</f>
        <v>0.0529</v>
      </c>
      <c r="AC655" s="154" t="n">
        <f aca="false">U655-Z655-AA655</f>
        <v>-0.004</v>
      </c>
      <c r="AD655" s="155" t="n">
        <v>0.052</v>
      </c>
      <c r="AE655" s="153" t="n">
        <f aca="false">IF(Y655="","",Y655)</f>
        <v>0.047448</v>
      </c>
      <c r="AF655" s="153" t="n">
        <f aca="false">AD655-AE655</f>
        <v>0.004552</v>
      </c>
      <c r="AG655" s="184" t="n">
        <f aca="false">IF(AF655="","",AE655+AF655)</f>
        <v>0.052</v>
      </c>
      <c r="AH655" s="185" t="n">
        <v>45356</v>
      </c>
      <c r="AI655" s="35" t="n">
        <v>2</v>
      </c>
      <c r="AJ655" s="19" t="str">
        <f aca="false">IF(AG655="","N","Y")</f>
        <v>Y</v>
      </c>
      <c r="AK655" s="238" t="s">
        <v>942</v>
      </c>
    </row>
    <row r="656" customFormat="false" ht="20.25" hidden="false" customHeight="true" outlineLevel="0" collapsed="false">
      <c r="A656" s="19" t="n">
        <v>130</v>
      </c>
      <c r="B656" s="141" t="n">
        <v>45358</v>
      </c>
      <c r="C656" s="63" t="s">
        <v>103</v>
      </c>
      <c r="D656" s="63" t="s">
        <v>943</v>
      </c>
      <c r="E656" s="63" t="s">
        <v>944</v>
      </c>
      <c r="F656" s="63" t="s">
        <v>901</v>
      </c>
      <c r="G656" s="142" t="n">
        <v>45358</v>
      </c>
      <c r="H656" s="142" t="n">
        <v>45390</v>
      </c>
      <c r="I656" s="19" t="n">
        <f aca="false">H656-G656</f>
        <v>32</v>
      </c>
      <c r="J656" s="149" t="n">
        <f aca="false">TRUNC(I656/30,0)</f>
        <v>1</v>
      </c>
      <c r="K656" s="189" t="s">
        <v>99</v>
      </c>
      <c r="L656" s="146" t="n">
        <v>6.44</v>
      </c>
      <c r="M656" s="147" t="n">
        <v>4.59</v>
      </c>
      <c r="N656" s="148" t="s">
        <v>850</v>
      </c>
      <c r="O656" s="149" t="s">
        <v>305</v>
      </c>
      <c r="P656" s="150" t="n">
        <v>0.0531203</v>
      </c>
      <c r="Q656" s="150"/>
      <c r="R656" s="151" t="s">
        <v>305</v>
      </c>
      <c r="S656" s="152" t="n">
        <v>0.0538</v>
      </c>
      <c r="T656" s="151"/>
      <c r="U656" s="152"/>
      <c r="V656" s="152" t="n">
        <v>0.058001</v>
      </c>
      <c r="W656" s="152" t="n">
        <v>0.00406</v>
      </c>
      <c r="X656" s="152" t="n">
        <v>0.008721</v>
      </c>
      <c r="Y656" s="152" t="n">
        <v>0.041101</v>
      </c>
      <c r="Z656" s="152" t="n">
        <v>0.002</v>
      </c>
      <c r="AA656" s="152" t="n">
        <v>0.002</v>
      </c>
      <c r="AB656" s="154" t="n">
        <f aca="false">S656-Z656</f>
        <v>0.0518</v>
      </c>
      <c r="AC656" s="154" t="n">
        <f aca="false">U656-Z656-AA656</f>
        <v>-0.004</v>
      </c>
      <c r="AD656" s="155" t="n">
        <v>0.0435</v>
      </c>
      <c r="AE656" s="153" t="n">
        <f aca="false">IF(Y656="","",Y656)</f>
        <v>0.041101</v>
      </c>
      <c r="AF656" s="153" t="n">
        <f aca="false">AD656-AE656</f>
        <v>0.002399</v>
      </c>
      <c r="AG656" s="184" t="n">
        <f aca="false">IF(AF656="","",AE656+AF656)</f>
        <v>0.0435</v>
      </c>
      <c r="AH656" s="185" t="n">
        <v>45358</v>
      </c>
      <c r="AI656" s="35" t="n">
        <v>2</v>
      </c>
      <c r="AJ656" s="19" t="str">
        <f aca="false">IF(AG656="","N","Y")</f>
        <v>Y</v>
      </c>
      <c r="AK656" s="238" t="s">
        <v>945</v>
      </c>
    </row>
    <row r="657" customFormat="false" ht="20.25" hidden="false" customHeight="true" outlineLevel="0" collapsed="false">
      <c r="A657" s="19" t="n">
        <v>131</v>
      </c>
      <c r="B657" s="141" t="n">
        <v>45364</v>
      </c>
      <c r="C657" s="63" t="s">
        <v>866</v>
      </c>
      <c r="D657" s="63" t="s">
        <v>946</v>
      </c>
      <c r="E657" s="63" t="s">
        <v>947</v>
      </c>
      <c r="F657" s="63" t="s">
        <v>948</v>
      </c>
      <c r="G657" s="142" t="n">
        <v>45364</v>
      </c>
      <c r="H657" s="142" t="n">
        <v>45456</v>
      </c>
      <c r="I657" s="19" t="n">
        <f aca="false">H657-G657</f>
        <v>92</v>
      </c>
      <c r="J657" s="149" t="n">
        <f aca="false">TRUNC(I657/30,0)</f>
        <v>3</v>
      </c>
      <c r="K657" s="183" t="s">
        <v>95</v>
      </c>
      <c r="L657" s="146" t="n">
        <v>1.01</v>
      </c>
      <c r="M657" s="147" t="n">
        <v>4.95</v>
      </c>
      <c r="N657" s="148" t="s">
        <v>821</v>
      </c>
      <c r="O657" s="149" t="s">
        <v>300</v>
      </c>
      <c r="P657" s="150" t="n">
        <v>0.0532516</v>
      </c>
      <c r="Q657" s="150"/>
      <c r="R657" s="151" t="s">
        <v>265</v>
      </c>
      <c r="S657" s="152" t="n">
        <v>0.0545</v>
      </c>
      <c r="T657" s="151"/>
      <c r="U657" s="152"/>
      <c r="V657" s="152" t="n">
        <v>0.058645</v>
      </c>
      <c r="W657" s="152" t="n">
        <v>0.001173</v>
      </c>
      <c r="X657" s="152" t="n">
        <v>0.002752</v>
      </c>
      <c r="Y657" s="152" t="n">
        <v>0.049286</v>
      </c>
      <c r="Z657" s="152" t="n">
        <v>0.002</v>
      </c>
      <c r="AA657" s="152" t="n">
        <v>0.002</v>
      </c>
      <c r="AB657" s="154" t="n">
        <f aca="false">S657-Z657</f>
        <v>0.0525</v>
      </c>
      <c r="AC657" s="154" t="n">
        <f aca="false">U657-Z657-AA657</f>
        <v>-0.004</v>
      </c>
      <c r="AD657" s="155" t="n">
        <v>0.053</v>
      </c>
      <c r="AE657" s="153" t="n">
        <f aca="false">IF(Y657="","",Y657)</f>
        <v>0.049286</v>
      </c>
      <c r="AF657" s="153" t="n">
        <f aca="false">AD657-AE657</f>
        <v>0.003714</v>
      </c>
      <c r="AG657" s="184" t="n">
        <f aca="false">IF(AF657="","",AE657+AF657)</f>
        <v>0.053</v>
      </c>
      <c r="AH657" s="185" t="n">
        <v>45364</v>
      </c>
      <c r="AI657" s="35" t="n">
        <v>1</v>
      </c>
      <c r="AJ657" s="19" t="str">
        <f aca="false">IF(AG657="","N","Y")</f>
        <v>Y</v>
      </c>
      <c r="AK657" s="238" t="s">
        <v>949</v>
      </c>
    </row>
    <row r="658" customFormat="false" ht="20.25" hidden="false" customHeight="true" outlineLevel="0" collapsed="false">
      <c r="A658" s="19" t="n">
        <v>132</v>
      </c>
      <c r="B658" s="141" t="n">
        <v>45365</v>
      </c>
      <c r="C658" s="63" t="s">
        <v>925</v>
      </c>
      <c r="D658" s="63" t="s">
        <v>926</v>
      </c>
      <c r="E658" s="63" t="s">
        <v>939</v>
      </c>
      <c r="F658" s="63" t="s">
        <v>950</v>
      </c>
      <c r="G658" s="142" t="n">
        <v>45365</v>
      </c>
      <c r="H658" s="142" t="n">
        <v>45397</v>
      </c>
      <c r="I658" s="19" t="n">
        <f aca="false">H658-G658</f>
        <v>32</v>
      </c>
      <c r="J658" s="149" t="n">
        <f aca="false">TRUNC(I658/30,0)</f>
        <v>1</v>
      </c>
      <c r="K658" s="189" t="s">
        <v>99</v>
      </c>
      <c r="L658" s="146" t="n">
        <v>1</v>
      </c>
      <c r="M658" s="147" t="n">
        <v>4.6</v>
      </c>
      <c r="N658" s="148" t="s">
        <v>850</v>
      </c>
      <c r="O658" s="149" t="s">
        <v>305</v>
      </c>
      <c r="P658" s="150" t="n">
        <v>0.0531317</v>
      </c>
      <c r="Q658" s="150"/>
      <c r="R658" s="151" t="s">
        <v>305</v>
      </c>
      <c r="S658" s="152" t="n">
        <v>0.0533</v>
      </c>
      <c r="T658" s="151"/>
      <c r="U658" s="152"/>
      <c r="V658" s="152" t="n">
        <v>0.05842</v>
      </c>
      <c r="W658" s="152" t="n">
        <v>0.004063</v>
      </c>
      <c r="X658" s="152" t="n">
        <v>0.008959</v>
      </c>
      <c r="Y658" s="152" t="n">
        <v>0.043112</v>
      </c>
      <c r="Z658" s="152" t="n">
        <v>0.002</v>
      </c>
      <c r="AA658" s="152" t="n">
        <v>0.002</v>
      </c>
      <c r="AB658" s="154" t="n">
        <f aca="false">S658-Z658</f>
        <v>0.0513</v>
      </c>
      <c r="AC658" s="154" t="n">
        <f aca="false">U658-Z658-AA658</f>
        <v>-0.004</v>
      </c>
      <c r="AD658" s="155" t="n">
        <v>0.0433</v>
      </c>
      <c r="AE658" s="153" t="n">
        <f aca="false">IF(Y658="","",Y658)</f>
        <v>0.043112</v>
      </c>
      <c r="AF658" s="153" t="n">
        <f aca="false">AD658-AE658</f>
        <v>0.000188000000000001</v>
      </c>
      <c r="AG658" s="184" t="n">
        <f aca="false">IF(AF658="","",AE658+AF658)</f>
        <v>0.0433</v>
      </c>
      <c r="AH658" s="185" t="n">
        <v>45365</v>
      </c>
      <c r="AI658" s="35" t="n">
        <v>1</v>
      </c>
      <c r="AJ658" s="19" t="str">
        <f aca="false">IF(AG658="","N","Y")</f>
        <v>Y</v>
      </c>
      <c r="AK658" s="238" t="s">
        <v>951</v>
      </c>
    </row>
    <row r="659" customFormat="false" ht="20.25" hidden="false" customHeight="true" outlineLevel="0" collapsed="false">
      <c r="A659" s="19" t="n">
        <v>133</v>
      </c>
      <c r="B659" s="141" t="n">
        <v>45366</v>
      </c>
      <c r="C659" s="63" t="s">
        <v>862</v>
      </c>
      <c r="D659" s="63" t="s">
        <v>932</v>
      </c>
      <c r="E659" s="63" t="s">
        <v>903</v>
      </c>
      <c r="F659" s="63" t="s">
        <v>906</v>
      </c>
      <c r="G659" s="142" t="n">
        <v>45366</v>
      </c>
      <c r="H659" s="142" t="n">
        <v>45397</v>
      </c>
      <c r="I659" s="19" t="n">
        <f aca="false">H659-G659</f>
        <v>31</v>
      </c>
      <c r="J659" s="149" t="n">
        <f aca="false">TRUNC(I659/30,0)</f>
        <v>1</v>
      </c>
      <c r="K659" s="189" t="s">
        <v>99</v>
      </c>
      <c r="L659" s="146" t="n">
        <v>2</v>
      </c>
      <c r="M659" s="147" t="n">
        <v>4.6</v>
      </c>
      <c r="N659" s="148" t="s">
        <v>850</v>
      </c>
      <c r="O659" s="149" t="s">
        <v>305</v>
      </c>
      <c r="P659" s="150" t="n">
        <v>0.0531317</v>
      </c>
      <c r="Q659" s="150"/>
      <c r="R659" s="151" t="s">
        <v>305</v>
      </c>
      <c r="S659" s="152" t="n">
        <v>0.0533</v>
      </c>
      <c r="T659" s="151"/>
      <c r="U659" s="152"/>
      <c r="V659" s="152" t="n">
        <v>0.058038</v>
      </c>
      <c r="W659" s="152" t="n">
        <v>0.004063</v>
      </c>
      <c r="X659" s="152" t="n">
        <v>0.008755</v>
      </c>
      <c r="Y659" s="152" t="n">
        <v>0.043115</v>
      </c>
      <c r="Z659" s="152" t="n">
        <v>0.002</v>
      </c>
      <c r="AA659" s="152" t="n">
        <v>0.002</v>
      </c>
      <c r="AB659" s="154" t="n">
        <f aca="false">S659-Z659</f>
        <v>0.0513</v>
      </c>
      <c r="AC659" s="154" t="n">
        <f aca="false">U659-Z659-AA659</f>
        <v>-0.004</v>
      </c>
      <c r="AD659" s="155" t="n">
        <v>0.0435</v>
      </c>
      <c r="AE659" s="153" t="n">
        <f aca="false">IF(Y659="","",Y659)</f>
        <v>0.043115</v>
      </c>
      <c r="AF659" s="153" t="n">
        <f aca="false">AD659-AE659</f>
        <v>0.000384999999999996</v>
      </c>
      <c r="AG659" s="184" t="n">
        <f aca="false">IF(AF659="","",AE659+AF659)</f>
        <v>0.0435</v>
      </c>
      <c r="AH659" s="185" t="n">
        <v>45366</v>
      </c>
      <c r="AI659" s="35" t="n">
        <v>1</v>
      </c>
      <c r="AJ659" s="19" t="str">
        <f aca="false">IF(AG659="","N","Y")</f>
        <v>Y</v>
      </c>
      <c r="AK659" s="238" t="s">
        <v>952</v>
      </c>
    </row>
    <row r="660" customFormat="false" ht="20.25" hidden="false" customHeight="true" outlineLevel="0" collapsed="false">
      <c r="A660" s="19" t="n">
        <v>134</v>
      </c>
      <c r="B660" s="141" t="n">
        <v>45370</v>
      </c>
      <c r="C660" s="63" t="s">
        <v>100</v>
      </c>
      <c r="D660" s="63" t="s">
        <v>922</v>
      </c>
      <c r="E660" s="63" t="s">
        <v>923</v>
      </c>
      <c r="F660" s="200" t="s">
        <v>826</v>
      </c>
      <c r="G660" s="142" t="n">
        <v>45370</v>
      </c>
      <c r="H660" s="142" t="n">
        <v>45384</v>
      </c>
      <c r="I660" s="19" t="n">
        <f aca="false">H660-G660</f>
        <v>14</v>
      </c>
      <c r="J660" s="149" t="n">
        <f aca="false">TRUNC(I660/30,0)</f>
        <v>0</v>
      </c>
      <c r="K660" s="183" t="s">
        <v>95</v>
      </c>
      <c r="L660" s="146" t="n">
        <v>10</v>
      </c>
      <c r="M660" s="147" t="n">
        <v>4.57</v>
      </c>
      <c r="N660" s="148" t="s">
        <v>810</v>
      </c>
      <c r="O660" s="149" t="s">
        <v>366</v>
      </c>
      <c r="P660" s="150" t="n">
        <v>0.0531388</v>
      </c>
      <c r="Q660" s="150"/>
      <c r="R660" s="151" t="s">
        <v>366</v>
      </c>
      <c r="S660" s="152" t="n">
        <v>0.0548</v>
      </c>
      <c r="T660" s="151"/>
      <c r="U660" s="152"/>
      <c r="V660" s="152" t="n">
        <v>0.056051</v>
      </c>
      <c r="W660" s="152" t="n">
        <v>0.001121</v>
      </c>
      <c r="X660" s="152" t="n">
        <v>0.00091</v>
      </c>
      <c r="Y660" s="152" t="n">
        <v>0.043119</v>
      </c>
      <c r="Z660" s="152" t="n">
        <v>0.002</v>
      </c>
      <c r="AA660" s="152" t="n">
        <v>0.002</v>
      </c>
      <c r="AB660" s="154" t="n">
        <f aca="false">S660-Z660</f>
        <v>0.0528</v>
      </c>
      <c r="AC660" s="154" t="n">
        <f aca="false">U660-Z660-AA660</f>
        <v>-0.004</v>
      </c>
      <c r="AD660" s="155" t="n">
        <v>0.0523</v>
      </c>
      <c r="AE660" s="153" t="n">
        <f aca="false">IF(Y660="","",Y660)</f>
        <v>0.043119</v>
      </c>
      <c r="AF660" s="153" t="n">
        <f aca="false">AD660-AE660</f>
        <v>0.009181</v>
      </c>
      <c r="AG660" s="184" t="n">
        <f aca="false">IF(AF660="","",AE660+AF660)</f>
        <v>0.0523</v>
      </c>
      <c r="AH660" s="185" t="n">
        <v>45370</v>
      </c>
      <c r="AI660" s="35" t="n">
        <v>1</v>
      </c>
      <c r="AJ660" s="19" t="str">
        <f aca="false">IF(AG660="","N","Y")</f>
        <v>Y</v>
      </c>
      <c r="AK660" s="238" t="s">
        <v>953</v>
      </c>
    </row>
    <row r="661" customFormat="false" ht="20.25" hidden="false" customHeight="true" outlineLevel="0" collapsed="false">
      <c r="A661" s="19" t="n">
        <v>135</v>
      </c>
      <c r="B661" s="141" t="n">
        <v>45377</v>
      </c>
      <c r="C661" s="63" t="s">
        <v>925</v>
      </c>
      <c r="D661" s="63" t="s">
        <v>926</v>
      </c>
      <c r="E661" s="63" t="s">
        <v>939</v>
      </c>
      <c r="F661" s="63" t="s">
        <v>779</v>
      </c>
      <c r="G661" s="142" t="n">
        <v>45377</v>
      </c>
      <c r="H661" s="142" t="n">
        <v>45408</v>
      </c>
      <c r="I661" s="19" t="n">
        <f aca="false">H661-G661</f>
        <v>31</v>
      </c>
      <c r="J661" s="149" t="n">
        <f aca="false">TRUNC(I661/30,0)</f>
        <v>1</v>
      </c>
      <c r="K661" s="183" t="s">
        <v>95</v>
      </c>
      <c r="L661" s="146" t="n">
        <v>8</v>
      </c>
      <c r="M661" s="147" t="n">
        <v>4.91</v>
      </c>
      <c r="N661" s="148" t="s">
        <v>941</v>
      </c>
      <c r="O661" s="149" t="s">
        <v>303</v>
      </c>
      <c r="P661" s="150" t="n">
        <v>0.0533217</v>
      </c>
      <c r="Q661" s="150"/>
      <c r="R661" s="151" t="s">
        <v>303</v>
      </c>
      <c r="S661" s="152" t="n">
        <v>0.0545</v>
      </c>
      <c r="T661" s="151"/>
      <c r="U661" s="152"/>
      <c r="V661" s="152" t="n">
        <v>0.0523</v>
      </c>
      <c r="W661" s="152" t="n">
        <v>0.001146</v>
      </c>
      <c r="X661" s="152" t="n">
        <v>0.002134</v>
      </c>
      <c r="Y661" s="152" t="n">
        <v>0.047555</v>
      </c>
      <c r="Z661" s="152" t="n">
        <v>0.002</v>
      </c>
      <c r="AA661" s="152" t="n">
        <v>0.002</v>
      </c>
      <c r="AB661" s="154" t="n">
        <f aca="false">S661-Z661</f>
        <v>0.0525</v>
      </c>
      <c r="AC661" s="154" t="n">
        <f aca="false">U661-Z661-AA661</f>
        <v>-0.004</v>
      </c>
      <c r="AD661" s="155" t="n">
        <v>0.0523</v>
      </c>
      <c r="AE661" s="153" t="n">
        <f aca="false">IF(Y661="","",Y661)</f>
        <v>0.047555</v>
      </c>
      <c r="AF661" s="153" t="n">
        <f aca="false">AD661-AE661</f>
        <v>0.004745</v>
      </c>
      <c r="AG661" s="184" t="n">
        <f aca="false">IF(AF661="","",AE661+AF661)</f>
        <v>0.0523</v>
      </c>
      <c r="AH661" s="185" t="n">
        <v>45377</v>
      </c>
      <c r="AI661" s="35" t="n">
        <v>1</v>
      </c>
      <c r="AJ661" s="19" t="str">
        <f aca="false">IF(AG661="","N","Y")</f>
        <v>Y</v>
      </c>
      <c r="AK661" s="159"/>
    </row>
    <row r="662" customFormat="false" ht="20.25" hidden="false" customHeight="true" outlineLevel="0" collapsed="false">
      <c r="A662" s="19" t="n">
        <v>136</v>
      </c>
      <c r="B662" s="141" t="n">
        <v>45377</v>
      </c>
      <c r="C662" s="63" t="s">
        <v>925</v>
      </c>
      <c r="D662" s="63" t="s">
        <v>926</v>
      </c>
      <c r="E662" s="63" t="s">
        <v>939</v>
      </c>
      <c r="F662" s="63" t="s">
        <v>779</v>
      </c>
      <c r="G662" s="142" t="n">
        <v>45377</v>
      </c>
      <c r="H662" s="142" t="n">
        <v>45408</v>
      </c>
      <c r="I662" s="19" t="n">
        <f aca="false">H662-G662</f>
        <v>31</v>
      </c>
      <c r="J662" s="149" t="n">
        <f aca="false">TRUNC(I662/30,0)</f>
        <v>1</v>
      </c>
      <c r="K662" s="183" t="s">
        <v>95</v>
      </c>
      <c r="L662" s="146" t="n">
        <v>1</v>
      </c>
      <c r="M662" s="147" t="n">
        <v>4.91</v>
      </c>
      <c r="N662" s="148" t="s">
        <v>941</v>
      </c>
      <c r="O662" s="149" t="s">
        <v>303</v>
      </c>
      <c r="P662" s="150" t="n">
        <v>0.0533217</v>
      </c>
      <c r="Q662" s="150"/>
      <c r="R662" s="151" t="s">
        <v>303</v>
      </c>
      <c r="S662" s="152" t="n">
        <v>0.0545</v>
      </c>
      <c r="T662" s="151"/>
      <c r="U662" s="152"/>
      <c r="V662" s="152" t="n">
        <v>0.0523</v>
      </c>
      <c r="W662" s="152" t="n">
        <v>0.001146</v>
      </c>
      <c r="X662" s="152" t="n">
        <v>0.002134</v>
      </c>
      <c r="Y662" s="152" t="n">
        <v>0.047555</v>
      </c>
      <c r="Z662" s="152" t="n">
        <v>0.002</v>
      </c>
      <c r="AA662" s="152" t="n">
        <v>0.002</v>
      </c>
      <c r="AB662" s="154" t="n">
        <f aca="false">S662-Z662</f>
        <v>0.0525</v>
      </c>
      <c r="AC662" s="154" t="n">
        <f aca="false">U662-Z662-AA662</f>
        <v>-0.004</v>
      </c>
      <c r="AD662" s="155" t="n">
        <v>0.0523</v>
      </c>
      <c r="AE662" s="153" t="n">
        <f aca="false">IF(Y662="","",Y662)</f>
        <v>0.047555</v>
      </c>
      <c r="AF662" s="153" t="n">
        <f aca="false">AD662-AE662</f>
        <v>0.004745</v>
      </c>
      <c r="AG662" s="184" t="n">
        <f aca="false">IF(AF662="","",AE662+AF662)</f>
        <v>0.0523</v>
      </c>
      <c r="AH662" s="185" t="n">
        <v>45377</v>
      </c>
      <c r="AI662" s="35" t="n">
        <v>2</v>
      </c>
      <c r="AJ662" s="19" t="str">
        <f aca="false">IF(AG662="","N","Y")</f>
        <v>Y</v>
      </c>
      <c r="AK662" s="159"/>
    </row>
    <row r="663" customFormat="false" ht="20.25" hidden="false" customHeight="true" outlineLevel="0" collapsed="false">
      <c r="A663" s="19" t="n">
        <v>137</v>
      </c>
      <c r="B663" s="141" t="n">
        <v>45377</v>
      </c>
      <c r="C663" s="63" t="s">
        <v>925</v>
      </c>
      <c r="D663" s="63" t="s">
        <v>926</v>
      </c>
      <c r="E663" s="63" t="s">
        <v>939</v>
      </c>
      <c r="F663" s="63" t="s">
        <v>779</v>
      </c>
      <c r="G663" s="142" t="n">
        <v>45377</v>
      </c>
      <c r="H663" s="142" t="n">
        <v>45408</v>
      </c>
      <c r="I663" s="19" t="n">
        <f aca="false">H663-G663</f>
        <v>31</v>
      </c>
      <c r="J663" s="149" t="n">
        <f aca="false">TRUNC(I663/30,0)</f>
        <v>1</v>
      </c>
      <c r="K663" s="183" t="s">
        <v>95</v>
      </c>
      <c r="L663" s="146" t="n">
        <v>1</v>
      </c>
      <c r="M663" s="147" t="n">
        <v>4.91</v>
      </c>
      <c r="N663" s="148" t="s">
        <v>941</v>
      </c>
      <c r="O663" s="149" t="s">
        <v>303</v>
      </c>
      <c r="P663" s="150" t="n">
        <v>0.0533217</v>
      </c>
      <c r="Q663" s="150"/>
      <c r="R663" s="151" t="s">
        <v>303</v>
      </c>
      <c r="S663" s="152" t="n">
        <v>0.0545</v>
      </c>
      <c r="T663" s="151"/>
      <c r="U663" s="152"/>
      <c r="V663" s="152" t="n">
        <v>0.0523</v>
      </c>
      <c r="W663" s="152" t="n">
        <v>0.001146</v>
      </c>
      <c r="X663" s="152" t="n">
        <v>0.002134</v>
      </c>
      <c r="Y663" s="152" t="n">
        <v>0.047555</v>
      </c>
      <c r="Z663" s="152" t="n">
        <v>0.002</v>
      </c>
      <c r="AA663" s="152" t="n">
        <v>0.002</v>
      </c>
      <c r="AB663" s="154" t="n">
        <f aca="false">S663-Z663</f>
        <v>0.0525</v>
      </c>
      <c r="AC663" s="154" t="n">
        <f aca="false">U663-Z663-AA663</f>
        <v>-0.004</v>
      </c>
      <c r="AD663" s="155" t="n">
        <v>0.0523</v>
      </c>
      <c r="AE663" s="153" t="n">
        <f aca="false">IF(Y663="","",Y663)</f>
        <v>0.047555</v>
      </c>
      <c r="AF663" s="153" t="n">
        <f aca="false">AD663-AE663</f>
        <v>0.004745</v>
      </c>
      <c r="AG663" s="184" t="n">
        <f aca="false">IF(AF663="","",AE663+AF663)</f>
        <v>0.0523</v>
      </c>
      <c r="AH663" s="185" t="n">
        <v>45377</v>
      </c>
      <c r="AI663" s="35" t="n">
        <v>3</v>
      </c>
      <c r="AJ663" s="19" t="str">
        <f aca="false">IF(AG663="","N","Y")</f>
        <v>Y</v>
      </c>
      <c r="AK663" s="159"/>
    </row>
    <row r="664" customFormat="false" ht="20.25" hidden="false" customHeight="true" outlineLevel="0" collapsed="false">
      <c r="A664" s="19" t="n">
        <v>138</v>
      </c>
      <c r="B664" s="141" t="n">
        <v>45386</v>
      </c>
      <c r="C664" s="63" t="s">
        <v>100</v>
      </c>
      <c r="D664" s="63" t="s">
        <v>922</v>
      </c>
      <c r="E664" s="63" t="s">
        <v>923</v>
      </c>
      <c r="F664" s="200" t="s">
        <v>826</v>
      </c>
      <c r="G664" s="142" t="n">
        <v>45386</v>
      </c>
      <c r="H664" s="142" t="n">
        <v>45406</v>
      </c>
      <c r="I664" s="19" t="n">
        <f aca="false">H664-G664</f>
        <v>20</v>
      </c>
      <c r="J664" s="149" t="n">
        <f aca="false">TRUNC(I664/30,0)</f>
        <v>0</v>
      </c>
      <c r="K664" s="183" t="s">
        <v>95</v>
      </c>
      <c r="L664" s="146" t="n">
        <v>100</v>
      </c>
      <c r="M664" s="147" t="n">
        <v>4.6</v>
      </c>
      <c r="N664" s="148" t="s">
        <v>954</v>
      </c>
      <c r="O664" s="149" t="s">
        <v>366</v>
      </c>
      <c r="P664" s="150"/>
      <c r="Q664" s="150"/>
      <c r="R664" s="151" t="s">
        <v>366</v>
      </c>
      <c r="S664" s="152" t="n">
        <v>0.0541</v>
      </c>
      <c r="T664" s="151"/>
      <c r="U664" s="152"/>
      <c r="V664" s="152" t="n">
        <v>0.05662</v>
      </c>
      <c r="W664" s="152" t="n">
        <v>0.001132</v>
      </c>
      <c r="X664" s="152" t="n">
        <v>0.003768</v>
      </c>
      <c r="Y664" s="152"/>
      <c r="Z664" s="152" t="n">
        <v>0.002</v>
      </c>
      <c r="AA664" s="152" t="n">
        <v>0.002</v>
      </c>
      <c r="AB664" s="154" t="n">
        <f aca="false">S664-Z664</f>
        <v>0.0521</v>
      </c>
      <c r="AC664" s="154" t="n">
        <f aca="false">U664-Z664-AA664</f>
        <v>-0.004</v>
      </c>
      <c r="AD664" s="155" t="n">
        <v>0.05</v>
      </c>
      <c r="AE664" s="153" t="n">
        <v>0</v>
      </c>
      <c r="AF664" s="153" t="n">
        <f aca="false">AD664-AE664</f>
        <v>0.05</v>
      </c>
      <c r="AG664" s="184" t="n">
        <f aca="false">IF(AF664="","",AE664+AF664)</f>
        <v>0.05</v>
      </c>
      <c r="AH664" s="185" t="n">
        <v>45386</v>
      </c>
      <c r="AI664" s="35" t="n">
        <v>1</v>
      </c>
      <c r="AJ664" s="19" t="str">
        <f aca="false">IF(AG664="","N","Y")</f>
        <v>Y</v>
      </c>
      <c r="AK664" s="238" t="s">
        <v>955</v>
      </c>
    </row>
    <row r="665" customFormat="false" ht="20.25" hidden="false" customHeight="true" outlineLevel="0" collapsed="false">
      <c r="A665" s="19" t="n">
        <v>139</v>
      </c>
      <c r="B665" s="141" t="n">
        <v>45387</v>
      </c>
      <c r="C665" s="63" t="s">
        <v>209</v>
      </c>
      <c r="D665" s="19"/>
      <c r="E665" s="63" t="s">
        <v>735</v>
      </c>
      <c r="F665" s="63" t="s">
        <v>697</v>
      </c>
      <c r="G665" s="142" t="n">
        <v>45387</v>
      </c>
      <c r="H665" s="142" t="n">
        <v>45419</v>
      </c>
      <c r="I665" s="19" t="n">
        <f aca="false">H665-G665</f>
        <v>32</v>
      </c>
      <c r="J665" s="149" t="n">
        <f aca="false">TRUNC(I665/30,0)</f>
        <v>1</v>
      </c>
      <c r="K665" s="183" t="s">
        <v>95</v>
      </c>
      <c r="L665" s="146" t="n">
        <v>7</v>
      </c>
      <c r="M665" s="147" t="n">
        <v>4.85</v>
      </c>
      <c r="N665" s="148" t="s">
        <v>941</v>
      </c>
      <c r="O665" s="149"/>
      <c r="P665" s="150"/>
      <c r="Q665" s="150"/>
      <c r="R665" s="151" t="s">
        <v>914</v>
      </c>
      <c r="S665" s="152"/>
      <c r="T665" s="151"/>
      <c r="U665" s="152"/>
      <c r="V665" s="152" t="n">
        <v>0.057269</v>
      </c>
      <c r="W665" s="152" t="n">
        <v>0.001145</v>
      </c>
      <c r="X665" s="152" t="n">
        <v>0.00172</v>
      </c>
      <c r="Y665" s="152" t="n">
        <v>0.04745</v>
      </c>
      <c r="Z665" s="152" t="n">
        <v>0.002</v>
      </c>
      <c r="AA665" s="152" t="n">
        <v>0.002</v>
      </c>
      <c r="AB665" s="154" t="n">
        <f aca="false">S665-Z665</f>
        <v>-0.002</v>
      </c>
      <c r="AC665" s="154" t="n">
        <f aca="false">U665-Z665-AA665</f>
        <v>-0.004</v>
      </c>
      <c r="AD665" s="155" t="n">
        <v>0.052</v>
      </c>
      <c r="AE665" s="153" t="n">
        <f aca="false">IF(Y665="","",Y665)</f>
        <v>0.04745</v>
      </c>
      <c r="AF665" s="153" t="n">
        <f aca="false">AD665-AE665</f>
        <v>0.00455</v>
      </c>
      <c r="AG665" s="184" t="n">
        <f aca="false">IF(AF665="","",AE665+AF665)</f>
        <v>0.052</v>
      </c>
      <c r="AH665" s="185" t="n">
        <v>45387</v>
      </c>
      <c r="AI665" s="35" t="n">
        <v>3</v>
      </c>
      <c r="AJ665" s="19" t="str">
        <f aca="false">IF(AG665="","N","Y")</f>
        <v>Y</v>
      </c>
      <c r="AK665" s="159"/>
    </row>
    <row r="666" customFormat="false" ht="20.25" hidden="false" customHeight="true" outlineLevel="0" collapsed="false">
      <c r="A666" s="19" t="n">
        <v>140</v>
      </c>
      <c r="B666" s="141" t="n">
        <v>45387</v>
      </c>
      <c r="C666" s="63" t="s">
        <v>209</v>
      </c>
      <c r="D666" s="19"/>
      <c r="E666" s="63" t="s">
        <v>735</v>
      </c>
      <c r="F666" s="63" t="s">
        <v>697</v>
      </c>
      <c r="G666" s="142" t="n">
        <v>45387</v>
      </c>
      <c r="H666" s="142" t="n">
        <v>45419</v>
      </c>
      <c r="I666" s="19" t="n">
        <f aca="false">H666-G666</f>
        <v>32</v>
      </c>
      <c r="J666" s="149" t="n">
        <f aca="false">TRUNC(I666/30,0)</f>
        <v>1</v>
      </c>
      <c r="K666" s="183" t="s">
        <v>95</v>
      </c>
      <c r="L666" s="146" t="n">
        <v>1</v>
      </c>
      <c r="M666" s="147" t="n">
        <v>4.85</v>
      </c>
      <c r="N666" s="148" t="s">
        <v>941</v>
      </c>
      <c r="O666" s="149"/>
      <c r="P666" s="150"/>
      <c r="Q666" s="150"/>
      <c r="R666" s="151" t="s">
        <v>914</v>
      </c>
      <c r="S666" s="152"/>
      <c r="T666" s="151"/>
      <c r="U666" s="152"/>
      <c r="V666" s="152" t="n">
        <v>0.057269</v>
      </c>
      <c r="W666" s="152" t="n">
        <v>0.001145</v>
      </c>
      <c r="X666" s="152" t="n">
        <v>0.00172</v>
      </c>
      <c r="Y666" s="152" t="n">
        <v>0.04745</v>
      </c>
      <c r="Z666" s="152" t="n">
        <v>0.002</v>
      </c>
      <c r="AA666" s="152" t="n">
        <v>0.002</v>
      </c>
      <c r="AB666" s="154" t="n">
        <f aca="false">S666-Z666</f>
        <v>-0.002</v>
      </c>
      <c r="AC666" s="154" t="n">
        <f aca="false">U666-Z666-AA666</f>
        <v>-0.004</v>
      </c>
      <c r="AD666" s="155" t="n">
        <v>0.052</v>
      </c>
      <c r="AE666" s="153" t="n">
        <f aca="false">IF(Y666="","",Y666)</f>
        <v>0.04745</v>
      </c>
      <c r="AF666" s="153" t="n">
        <f aca="false">AD666-AE666</f>
        <v>0.00455</v>
      </c>
      <c r="AG666" s="184" t="n">
        <f aca="false">IF(AF666="","",AE666+AF666)</f>
        <v>0.052</v>
      </c>
      <c r="AH666" s="185" t="n">
        <v>45387</v>
      </c>
      <c r="AI666" s="35" t="n">
        <v>4</v>
      </c>
      <c r="AJ666" s="19" t="str">
        <f aca="false">IF(AG666="","N","Y")</f>
        <v>Y</v>
      </c>
      <c r="AK666" s="159"/>
    </row>
    <row r="667" customFormat="false" ht="20.25" hidden="false" customHeight="true" outlineLevel="0" collapsed="false">
      <c r="A667" s="19" t="n">
        <v>141</v>
      </c>
      <c r="B667" s="141" t="n">
        <v>45397</v>
      </c>
      <c r="C667" s="63" t="s">
        <v>862</v>
      </c>
      <c r="D667" s="63" t="s">
        <v>932</v>
      </c>
      <c r="E667" s="63" t="s">
        <v>903</v>
      </c>
      <c r="F667" s="63" t="s">
        <v>906</v>
      </c>
      <c r="G667" s="142" t="n">
        <v>45397</v>
      </c>
      <c r="H667" s="142" t="n">
        <v>45426</v>
      </c>
      <c r="I667" s="19" t="n">
        <f aca="false">H667-G667</f>
        <v>29</v>
      </c>
      <c r="J667" s="149" t="n">
        <f aca="false">TRUNC(I667/30,0)</f>
        <v>0</v>
      </c>
      <c r="K667" s="189" t="s">
        <v>99</v>
      </c>
      <c r="L667" s="146" t="n">
        <v>2</v>
      </c>
      <c r="M667" s="147" t="n">
        <v>4.58</v>
      </c>
      <c r="N667" s="148" t="s">
        <v>956</v>
      </c>
      <c r="O667" s="149" t="s">
        <v>305</v>
      </c>
      <c r="P667" s="150" t="n">
        <v>0.0411</v>
      </c>
      <c r="Q667" s="150"/>
      <c r="R667" s="151" t="s">
        <v>305</v>
      </c>
      <c r="S667" s="152"/>
      <c r="T667" s="151"/>
      <c r="U667" s="152"/>
      <c r="V667" s="152" t="n">
        <v>0.059583</v>
      </c>
      <c r="W667" s="152" t="n">
        <v>0.004171</v>
      </c>
      <c r="X667" s="152" t="n">
        <v>0.010192</v>
      </c>
      <c r="Y667" s="152" t="n">
        <v>0.0411</v>
      </c>
      <c r="Z667" s="152" t="n">
        <v>0.002</v>
      </c>
      <c r="AA667" s="152" t="n">
        <v>0.002</v>
      </c>
      <c r="AB667" s="154" t="n">
        <f aca="false">S667-Z667</f>
        <v>-0.002</v>
      </c>
      <c r="AC667" s="154" t="n">
        <f aca="false">U667-Z667-AA667</f>
        <v>-0.004</v>
      </c>
      <c r="AD667" s="155" t="n">
        <v>0.0435</v>
      </c>
      <c r="AE667" s="153" t="n">
        <f aca="false">IF(Y667="","",Y667)</f>
        <v>0.0411</v>
      </c>
      <c r="AF667" s="153" t="n">
        <f aca="false">AD667-AE667</f>
        <v>0.0024</v>
      </c>
      <c r="AG667" s="184" t="n">
        <f aca="false">IF(AF667="","",AE667+AF667)</f>
        <v>0.0435</v>
      </c>
      <c r="AH667" s="185" t="n">
        <v>45397</v>
      </c>
      <c r="AI667" s="35" t="n">
        <v>1</v>
      </c>
      <c r="AJ667" s="19" t="str">
        <f aca="false">IF(AG667="","N","Y")</f>
        <v>Y</v>
      </c>
      <c r="AK667" s="159"/>
    </row>
    <row r="668" customFormat="false" ht="20.25" hidden="false" customHeight="true" outlineLevel="0" collapsed="false">
      <c r="A668" s="19" t="n">
        <v>142</v>
      </c>
      <c r="B668" s="141" t="n">
        <v>45401</v>
      </c>
      <c r="C668" s="63" t="s">
        <v>96</v>
      </c>
      <c r="D668" s="63" t="s">
        <v>934</v>
      </c>
      <c r="E668" s="63" t="s">
        <v>935</v>
      </c>
      <c r="F668" s="63" t="s">
        <v>662</v>
      </c>
      <c r="G668" s="142" t="n">
        <v>45401</v>
      </c>
      <c r="H668" s="142" t="n">
        <v>45492</v>
      </c>
      <c r="I668" s="19" t="n">
        <f aca="false">H668-G668</f>
        <v>91</v>
      </c>
      <c r="J668" s="149" t="n">
        <f aca="false">TRUNC(I668/30,0)</f>
        <v>3</v>
      </c>
      <c r="K668" s="183" t="s">
        <v>95</v>
      </c>
      <c r="L668" s="146" t="n">
        <v>10</v>
      </c>
      <c r="M668" s="147" t="n">
        <v>4.95</v>
      </c>
      <c r="N668" s="148" t="s">
        <v>858</v>
      </c>
      <c r="O668" s="149" t="s">
        <v>300</v>
      </c>
      <c r="P668" s="150" t="n">
        <v>0.0532456</v>
      </c>
      <c r="Q668" s="150"/>
      <c r="R668" s="151" t="s">
        <v>300</v>
      </c>
      <c r="S668" s="152" t="n">
        <v>0.055</v>
      </c>
      <c r="T668" s="151"/>
      <c r="U668" s="152"/>
      <c r="V668" s="152" t="n">
        <v>0.058759</v>
      </c>
      <c r="W668" s="152" t="n">
        <v>0.001175</v>
      </c>
      <c r="X668" s="152" t="n">
        <v>0.002564</v>
      </c>
      <c r="Y668" s="152" t="n">
        <v>0.04928</v>
      </c>
      <c r="Z668" s="152" t="n">
        <v>0.002</v>
      </c>
      <c r="AA668" s="152" t="n">
        <v>0.002</v>
      </c>
      <c r="AB668" s="154" t="n">
        <f aca="false">S668-Z668</f>
        <v>0.053</v>
      </c>
      <c r="AC668" s="154" t="n">
        <f aca="false">U668-Z668-AA668</f>
        <v>-0.004</v>
      </c>
      <c r="AD668" s="155" t="n">
        <v>0.0533</v>
      </c>
      <c r="AE668" s="153" t="n">
        <f aca="false">IF(Y668="","",Y668)</f>
        <v>0.04928</v>
      </c>
      <c r="AF668" s="153" t="n">
        <f aca="false">AD668-AE668</f>
        <v>0.00402</v>
      </c>
      <c r="AG668" s="184" t="n">
        <f aca="false">IF(AF668="","",AE668+AF668)</f>
        <v>0.0533</v>
      </c>
      <c r="AH668" s="185" t="n">
        <v>45401</v>
      </c>
      <c r="AI668" s="35" t="n">
        <v>1</v>
      </c>
      <c r="AJ668" s="19" t="str">
        <f aca="false">IF(AG668="","N","Y")</f>
        <v>Y</v>
      </c>
      <c r="AK668" s="159"/>
    </row>
    <row r="669" customFormat="false" ht="20.25" hidden="false" customHeight="true" outlineLevel="0" collapsed="false">
      <c r="A669" s="19" t="n">
        <v>143</v>
      </c>
      <c r="B669" s="141" t="n">
        <v>45419</v>
      </c>
      <c r="C669" s="63" t="s">
        <v>209</v>
      </c>
      <c r="D669" s="63" t="s">
        <v>913</v>
      </c>
      <c r="E669" s="63" t="s">
        <v>735</v>
      </c>
      <c r="F669" s="63" t="s">
        <v>697</v>
      </c>
      <c r="G669" s="142" t="n">
        <v>45419</v>
      </c>
      <c r="H669" s="142" t="n">
        <v>45450</v>
      </c>
      <c r="I669" s="19" t="n">
        <f aca="false">H669-G669</f>
        <v>31</v>
      </c>
      <c r="J669" s="149" t="n">
        <f aca="false">TRUNC(I669/30,0)</f>
        <v>1</v>
      </c>
      <c r="K669" s="183" t="s">
        <v>95</v>
      </c>
      <c r="L669" s="146" t="n">
        <v>7</v>
      </c>
      <c r="M669" s="147" t="n">
        <v>4.85</v>
      </c>
      <c r="N669" s="148" t="s">
        <v>927</v>
      </c>
      <c r="O669" s="149" t="s">
        <v>303</v>
      </c>
      <c r="P669" s="150" t="n">
        <v>0.053213</v>
      </c>
      <c r="Q669" s="150"/>
      <c r="R669" s="151" t="s">
        <v>303</v>
      </c>
      <c r="S669" s="152" t="n">
        <v>0.0543</v>
      </c>
      <c r="T669" s="151"/>
      <c r="U669" s="152"/>
      <c r="V669" s="152" t="n">
        <v>0.057244</v>
      </c>
      <c r="W669" s="152" t="n">
        <v>0.001145</v>
      </c>
      <c r="X669" s="152" t="n">
        <v>0.002379</v>
      </c>
      <c r="Y669" s="152" t="n">
        <v>0.047448</v>
      </c>
      <c r="Z669" s="152" t="n">
        <v>0.002</v>
      </c>
      <c r="AA669" s="152" t="n">
        <v>0.002</v>
      </c>
      <c r="AB669" s="154" t="n">
        <f aca="false">S669-Z669</f>
        <v>0.0523</v>
      </c>
      <c r="AC669" s="154" t="n">
        <f aca="false">U669-Z669-AA669</f>
        <v>-0.004</v>
      </c>
      <c r="AD669" s="155" t="n">
        <v>0.052</v>
      </c>
      <c r="AE669" s="153" t="n">
        <f aca="false">IF(Y669="","",Y669)</f>
        <v>0.047448</v>
      </c>
      <c r="AF669" s="153" t="n">
        <f aca="false">AD669-AE669</f>
        <v>0.004552</v>
      </c>
      <c r="AG669" s="184" t="n">
        <f aca="false">IF(AF669="","",AE669+AF669)</f>
        <v>0.052</v>
      </c>
      <c r="AH669" s="185" t="n">
        <v>45419</v>
      </c>
      <c r="AI669" s="35" t="n">
        <v>1</v>
      </c>
      <c r="AJ669" s="19" t="str">
        <f aca="false">IF(AG669="","N","Y")</f>
        <v>Y</v>
      </c>
      <c r="AK669" s="159"/>
    </row>
    <row r="670" customFormat="false" ht="20.25" hidden="false" customHeight="true" outlineLevel="0" collapsed="false">
      <c r="A670" s="19" t="n">
        <v>144</v>
      </c>
      <c r="B670" s="141" t="n">
        <v>45419</v>
      </c>
      <c r="C670" s="63" t="s">
        <v>209</v>
      </c>
      <c r="D670" s="63" t="s">
        <v>913</v>
      </c>
      <c r="E670" s="63" t="s">
        <v>735</v>
      </c>
      <c r="F670" s="63" t="s">
        <v>697</v>
      </c>
      <c r="G670" s="142" t="n">
        <v>45419</v>
      </c>
      <c r="H670" s="142" t="n">
        <v>45450</v>
      </c>
      <c r="I670" s="19" t="n">
        <f aca="false">H670-G670</f>
        <v>31</v>
      </c>
      <c r="J670" s="149" t="n">
        <f aca="false">TRUNC(I670/30,0)</f>
        <v>1</v>
      </c>
      <c r="K670" s="183" t="s">
        <v>95</v>
      </c>
      <c r="L670" s="146" t="n">
        <v>1</v>
      </c>
      <c r="M670" s="147" t="n">
        <v>4.85</v>
      </c>
      <c r="N670" s="148" t="s">
        <v>927</v>
      </c>
      <c r="O670" s="149" t="s">
        <v>303</v>
      </c>
      <c r="P670" s="150" t="n">
        <v>0.053213</v>
      </c>
      <c r="Q670" s="150"/>
      <c r="R670" s="151" t="s">
        <v>303</v>
      </c>
      <c r="S670" s="152" t="n">
        <v>0.0543</v>
      </c>
      <c r="T670" s="151"/>
      <c r="U670" s="152"/>
      <c r="V670" s="152" t="n">
        <v>0.057244</v>
      </c>
      <c r="W670" s="152" t="n">
        <v>0.001145</v>
      </c>
      <c r="X670" s="152" t="n">
        <v>0.002379</v>
      </c>
      <c r="Y670" s="152" t="n">
        <v>0.047448</v>
      </c>
      <c r="Z670" s="152" t="n">
        <v>0.002</v>
      </c>
      <c r="AA670" s="152" t="n">
        <v>0.002</v>
      </c>
      <c r="AB670" s="154" t="n">
        <f aca="false">S670-Z670</f>
        <v>0.0523</v>
      </c>
      <c r="AC670" s="154" t="n">
        <f aca="false">U670-Z670-AA670</f>
        <v>-0.004</v>
      </c>
      <c r="AD670" s="155" t="n">
        <v>0.052</v>
      </c>
      <c r="AE670" s="153" t="n">
        <f aca="false">IF(Y670="","",Y670)</f>
        <v>0.047448</v>
      </c>
      <c r="AF670" s="153" t="n">
        <f aca="false">AD670-AE670</f>
        <v>0.004552</v>
      </c>
      <c r="AG670" s="184" t="n">
        <f aca="false">IF(AF670="","",AE670+AF670)</f>
        <v>0.052</v>
      </c>
      <c r="AH670" s="185" t="n">
        <v>45419</v>
      </c>
      <c r="AI670" s="35" t="n">
        <v>2</v>
      </c>
      <c r="AJ670" s="19" t="str">
        <f aca="false">IF(AG670="","N","Y")</f>
        <v>Y</v>
      </c>
      <c r="AK670" s="159"/>
    </row>
    <row r="671" customFormat="false" ht="20.25" hidden="false" customHeight="true" outlineLevel="0" collapsed="false">
      <c r="A671" s="19" t="n">
        <v>145</v>
      </c>
      <c r="B671" s="141" t="n">
        <v>45420</v>
      </c>
      <c r="C671" s="63" t="s">
        <v>209</v>
      </c>
      <c r="D671" s="63" t="s">
        <v>913</v>
      </c>
      <c r="E671" s="63" t="s">
        <v>735</v>
      </c>
      <c r="F671" s="63" t="s">
        <v>697</v>
      </c>
      <c r="G671" s="142" t="n">
        <v>45420</v>
      </c>
      <c r="H671" s="142" t="n">
        <v>45450</v>
      </c>
      <c r="I671" s="19" t="n">
        <f aca="false">H671-G671</f>
        <v>30</v>
      </c>
      <c r="J671" s="149" t="n">
        <f aca="false">TRUNC(I671/30,0)</f>
        <v>1</v>
      </c>
      <c r="K671" s="189" t="s">
        <v>99</v>
      </c>
      <c r="L671" s="146" t="n">
        <v>2</v>
      </c>
      <c r="M671" s="147" t="n">
        <v>4.56</v>
      </c>
      <c r="N671" s="148" t="s">
        <v>957</v>
      </c>
      <c r="O671" s="149" t="s">
        <v>305</v>
      </c>
      <c r="P671" s="150" t="n">
        <v>0.0531204</v>
      </c>
      <c r="Q671" s="150"/>
      <c r="R671" s="151" t="s">
        <v>305</v>
      </c>
      <c r="S671" s="152"/>
      <c r="T671" s="151"/>
      <c r="U671" s="152"/>
      <c r="V671" s="152" t="n">
        <v>0.059622</v>
      </c>
      <c r="W671" s="152" t="n">
        <v>0.004174</v>
      </c>
      <c r="X671" s="152" t="n">
        <v>0.010229</v>
      </c>
      <c r="Y671" s="152" t="n">
        <v>0.041102</v>
      </c>
      <c r="Z671" s="152" t="n">
        <v>0.002</v>
      </c>
      <c r="AA671" s="152" t="n">
        <v>0.002</v>
      </c>
      <c r="AB671" s="154" t="n">
        <f aca="false">S671-Z671</f>
        <v>-0.002</v>
      </c>
      <c r="AC671" s="154" t="n">
        <f aca="false">U671-Z671-AA671</f>
        <v>-0.004</v>
      </c>
      <c r="AD671" s="155" t="n">
        <v>0.0535</v>
      </c>
      <c r="AE671" s="153" t="n">
        <f aca="false">IF(Y671="","",Y671)</f>
        <v>0.041102</v>
      </c>
      <c r="AF671" s="153" t="n">
        <f aca="false">AD671-AE671</f>
        <v>0.012398</v>
      </c>
      <c r="AG671" s="184" t="n">
        <f aca="false">IF(AF671="","",AE671+AF671)</f>
        <v>0.0535</v>
      </c>
      <c r="AH671" s="185" t="n">
        <v>45420</v>
      </c>
      <c r="AI671" s="35" t="n">
        <v>1</v>
      </c>
      <c r="AJ671" s="19" t="str">
        <f aca="false">IF(AG671="","N","Y")</f>
        <v>Y</v>
      </c>
      <c r="AK671" s="159"/>
    </row>
    <row r="672" customFormat="false" ht="20.25" hidden="false" customHeight="true" outlineLevel="0" collapsed="false">
      <c r="A672" s="19" t="n">
        <v>146</v>
      </c>
      <c r="B672" s="141" t="n">
        <v>45426</v>
      </c>
      <c r="C672" s="63" t="s">
        <v>862</v>
      </c>
      <c r="D672" s="63" t="s">
        <v>932</v>
      </c>
      <c r="E672" s="63" t="s">
        <v>903</v>
      </c>
      <c r="F672" s="63" t="s">
        <v>906</v>
      </c>
      <c r="G672" s="142" t="n">
        <v>45426</v>
      </c>
      <c r="H672" s="142" t="n">
        <v>45457</v>
      </c>
      <c r="I672" s="19" t="n">
        <f aca="false">H672-G672</f>
        <v>31</v>
      </c>
      <c r="J672" s="149" t="n">
        <f aca="false">TRUNC(I672/30,0)</f>
        <v>1</v>
      </c>
      <c r="K672" s="189" t="s">
        <v>99</v>
      </c>
      <c r="L672" s="146" t="n">
        <v>2</v>
      </c>
      <c r="M672" s="147" t="n">
        <v>3.70504</v>
      </c>
      <c r="N672" s="148" t="s">
        <v>958</v>
      </c>
      <c r="O672" s="149" t="s">
        <v>305</v>
      </c>
      <c r="P672" s="150" t="n">
        <v>0.053114</v>
      </c>
      <c r="Q672" s="150"/>
      <c r="R672" s="151" t="s">
        <v>914</v>
      </c>
      <c r="S672" s="152"/>
      <c r="T672" s="151"/>
      <c r="U672" s="152"/>
      <c r="V672" s="152" t="n">
        <v>0.057974</v>
      </c>
      <c r="W672" s="152" t="n">
        <v>0.004058</v>
      </c>
      <c r="X672" s="152" t="n">
        <v>0.008696</v>
      </c>
      <c r="Y672" s="152" t="n">
        <v>0.041096</v>
      </c>
      <c r="Z672" s="152" t="n">
        <v>0.002</v>
      </c>
      <c r="AA672" s="152" t="n">
        <v>0.002</v>
      </c>
      <c r="AB672" s="154" t="n">
        <f aca="false">S672-Z672</f>
        <v>-0.002</v>
      </c>
      <c r="AC672" s="154" t="n">
        <f aca="false">U672-Z672-AA672</f>
        <v>-0.004</v>
      </c>
      <c r="AD672" s="155" t="n">
        <v>0.0435</v>
      </c>
      <c r="AE672" s="153" t="n">
        <f aca="false">IF(Y672="","",Y672)</f>
        <v>0.041096</v>
      </c>
      <c r="AF672" s="153" t="n">
        <f aca="false">AD672-AE672</f>
        <v>0.002404</v>
      </c>
      <c r="AG672" s="184" t="n">
        <f aca="false">IF(AF672="","",AE672+AF672)</f>
        <v>0.0435</v>
      </c>
      <c r="AH672" s="185" t="n">
        <v>45426</v>
      </c>
      <c r="AI672" s="35" t="n">
        <v>2</v>
      </c>
      <c r="AJ672" s="19" t="str">
        <f aca="false">IF(AG672="","N","Y")</f>
        <v>Y</v>
      </c>
      <c r="AK672" s="159"/>
    </row>
    <row r="673" customFormat="false" ht="20.25" hidden="false" customHeight="true" outlineLevel="0" collapsed="false">
      <c r="A673" s="19" t="n">
        <v>147</v>
      </c>
      <c r="B673" s="141" t="n">
        <v>45426</v>
      </c>
      <c r="C673" s="392" t="s">
        <v>96</v>
      </c>
      <c r="D673" s="63" t="s">
        <v>959</v>
      </c>
      <c r="E673" s="63" t="s">
        <v>435</v>
      </c>
      <c r="F673" s="63" t="s">
        <v>683</v>
      </c>
      <c r="G673" s="142" t="n">
        <v>45426</v>
      </c>
      <c r="H673" s="142" t="n">
        <v>45518</v>
      </c>
      <c r="I673" s="19" t="n">
        <f aca="false">H673-G673</f>
        <v>92</v>
      </c>
      <c r="J673" s="149" t="n">
        <f aca="false">TRUNC(I673/30,0)</f>
        <v>3</v>
      </c>
      <c r="K673" s="183" t="s">
        <v>95</v>
      </c>
      <c r="L673" s="146" t="n">
        <v>3.5</v>
      </c>
      <c r="M673" s="147" t="n">
        <v>4.96</v>
      </c>
      <c r="N673" s="148" t="s">
        <v>960</v>
      </c>
      <c r="O673" s="149" t="s">
        <v>300</v>
      </c>
      <c r="P673" s="150" t="n">
        <v>0.0532238</v>
      </c>
      <c r="Q673" s="150"/>
      <c r="R673" s="151" t="s">
        <v>300</v>
      </c>
      <c r="S673" s="152"/>
      <c r="T673" s="151"/>
      <c r="U673" s="152"/>
      <c r="V673" s="152" t="n">
        <v>0.058721</v>
      </c>
      <c r="W673" s="152" t="n">
        <v>0.001174</v>
      </c>
      <c r="X673" s="152" t="n">
        <v>0.002527</v>
      </c>
      <c r="Y673" s="152" t="n">
        <v>0.049259</v>
      </c>
      <c r="Z673" s="152" t="n">
        <v>0.002</v>
      </c>
      <c r="AA673" s="152" t="n">
        <v>0.002</v>
      </c>
      <c r="AB673" s="154" t="n">
        <f aca="false">S673-Z673</f>
        <v>-0.002</v>
      </c>
      <c r="AC673" s="154" t="n">
        <f aca="false">U673-Z673-AA673</f>
        <v>-0.004</v>
      </c>
      <c r="AD673" s="155" t="n">
        <v>0.0533</v>
      </c>
      <c r="AE673" s="153" t="n">
        <f aca="false">IF(Y673="","",Y673)</f>
        <v>0.049259</v>
      </c>
      <c r="AF673" s="153" t="n">
        <f aca="false">AD673-AE673</f>
        <v>0.004041</v>
      </c>
      <c r="AG673" s="184" t="n">
        <f aca="false">IF(AF673="","",AE673+AF673)</f>
        <v>0.0533</v>
      </c>
      <c r="AH673" s="185" t="n">
        <v>45426</v>
      </c>
      <c r="AI673" s="35" t="n">
        <v>3</v>
      </c>
      <c r="AJ673" s="19" t="str">
        <f aca="false">IF(AG673="","N","Y")</f>
        <v>Y</v>
      </c>
      <c r="AK673" s="159" t="s">
        <v>961</v>
      </c>
    </row>
    <row r="674" customFormat="false" ht="20.25" hidden="false" customHeight="true" outlineLevel="0" collapsed="false">
      <c r="A674" s="19" t="n">
        <v>148</v>
      </c>
      <c r="B674" s="141" t="n">
        <v>45436</v>
      </c>
      <c r="C674" s="63" t="s">
        <v>925</v>
      </c>
      <c r="D674" s="63" t="s">
        <v>926</v>
      </c>
      <c r="E674" s="63" t="s">
        <v>939</v>
      </c>
      <c r="F674" s="63" t="s">
        <v>962</v>
      </c>
      <c r="G674" s="142" t="n">
        <v>45436</v>
      </c>
      <c r="H674" s="142" t="n">
        <v>45559</v>
      </c>
      <c r="I674" s="19" t="n">
        <f aca="false">H674-G674</f>
        <v>123</v>
      </c>
      <c r="J674" s="149" t="n">
        <f aca="false">TRUNC(I674/30,0)</f>
        <v>4</v>
      </c>
      <c r="K674" s="183" t="s">
        <v>95</v>
      </c>
      <c r="L674" s="146" t="n">
        <v>3</v>
      </c>
      <c r="M674" s="147" t="n">
        <v>4.94</v>
      </c>
      <c r="N674" s="148" t="s">
        <v>963</v>
      </c>
      <c r="O674" s="149" t="s">
        <v>300</v>
      </c>
      <c r="P674" s="150" t="n">
        <v>0.0534288</v>
      </c>
      <c r="Q674" s="150"/>
      <c r="R674" s="151" t="s">
        <v>914</v>
      </c>
      <c r="S674" s="152"/>
      <c r="T674" s="151"/>
      <c r="U674" s="152"/>
      <c r="V674" s="152" t="n">
        <v>0.058854</v>
      </c>
      <c r="W674" s="152" t="n">
        <v>0.001177</v>
      </c>
      <c r="X674" s="152" t="n">
        <v>0.002457</v>
      </c>
      <c r="Y674" s="152" t="n">
        <v>0.0532419</v>
      </c>
      <c r="Z674" s="152" t="n">
        <v>0.002</v>
      </c>
      <c r="AA674" s="152" t="n">
        <v>0.002</v>
      </c>
      <c r="AB674" s="154" t="n">
        <f aca="false">S674-Z674</f>
        <v>-0.002</v>
      </c>
      <c r="AC674" s="154" t="n">
        <f aca="false">U674-Z674-AA674</f>
        <v>-0.004</v>
      </c>
      <c r="AD674" s="155" t="n">
        <v>0.0535</v>
      </c>
      <c r="AE674" s="153" t="n">
        <f aca="false">IF(Y674="","",Y674)</f>
        <v>0.0532419</v>
      </c>
      <c r="AF674" s="153" t="n">
        <f aca="false">AD674-AE674</f>
        <v>0.000258099999999997</v>
      </c>
      <c r="AG674" s="184" t="n">
        <f aca="false">IF(AF674="","",AE674+AF674)</f>
        <v>0.0535</v>
      </c>
      <c r="AH674" s="185" t="n">
        <v>45436</v>
      </c>
      <c r="AI674" s="35" t="n">
        <v>2</v>
      </c>
      <c r="AJ674" s="19" t="str">
        <f aca="false">IF(AG674="","N","Y")</f>
        <v>Y</v>
      </c>
      <c r="AK674" s="159"/>
    </row>
    <row r="675" customFormat="false" ht="20.25" hidden="false" customHeight="true" outlineLevel="0" collapsed="false">
      <c r="A675" s="19" t="n">
        <v>149</v>
      </c>
      <c r="B675" s="141" t="n">
        <v>45439</v>
      </c>
      <c r="C675" s="63" t="s">
        <v>96</v>
      </c>
      <c r="D675" s="63" t="s">
        <v>934</v>
      </c>
      <c r="E675" s="63" t="s">
        <v>935</v>
      </c>
      <c r="F675" s="63" t="s">
        <v>662</v>
      </c>
      <c r="G675" s="142" t="n">
        <v>45439</v>
      </c>
      <c r="H675" s="142" t="n">
        <v>45503</v>
      </c>
      <c r="I675" s="19" t="n">
        <f aca="false">H675-G675</f>
        <v>64</v>
      </c>
      <c r="J675" s="149" t="n">
        <f aca="false">TRUNC(I675/30,0)</f>
        <v>2</v>
      </c>
      <c r="K675" s="183" t="s">
        <v>95</v>
      </c>
      <c r="L675" s="146" t="n">
        <v>10</v>
      </c>
      <c r="M675" s="147" t="n">
        <v>4.88</v>
      </c>
      <c r="N675" s="148" t="s">
        <v>963</v>
      </c>
      <c r="O675" s="149" t="s">
        <v>303</v>
      </c>
      <c r="P675" s="150" t="n">
        <v>0.0532778</v>
      </c>
      <c r="Q675" s="150"/>
      <c r="R675" s="151" t="s">
        <v>936</v>
      </c>
      <c r="S675" s="152"/>
      <c r="T675" s="151"/>
      <c r="U675" s="152"/>
      <c r="V675" s="152" t="n">
        <v>0.058138</v>
      </c>
      <c r="W675" s="152" t="n">
        <v>0.001163</v>
      </c>
      <c r="X675" s="152" t="n">
        <v>0.002255</v>
      </c>
      <c r="Y675" s="152" t="n">
        <v>0.047512</v>
      </c>
      <c r="Z675" s="152" t="n">
        <v>0.002</v>
      </c>
      <c r="AA675" s="152" t="n">
        <v>0.002</v>
      </c>
      <c r="AB675" s="154" t="n">
        <f aca="false">S675-Z675</f>
        <v>-0.002</v>
      </c>
      <c r="AC675" s="154" t="n">
        <f aca="false">U675-Z675-AA675</f>
        <v>-0.004</v>
      </c>
      <c r="AD675" s="155" t="n">
        <v>0.053</v>
      </c>
      <c r="AE675" s="153" t="n">
        <f aca="false">IF(Y675="","",Y675)</f>
        <v>0.047512</v>
      </c>
      <c r="AF675" s="153" t="n">
        <f aca="false">AD675-AE675</f>
        <v>0.005488</v>
      </c>
      <c r="AG675" s="184" t="n">
        <f aca="false">IF(AF675="","",AE675+AF675)</f>
        <v>0.053</v>
      </c>
      <c r="AH675" s="185" t="n">
        <v>45439</v>
      </c>
      <c r="AI675" s="35" t="n">
        <v>1</v>
      </c>
      <c r="AJ675" s="19" t="str">
        <f aca="false">IF(AG675="","N","Y")</f>
        <v>Y</v>
      </c>
      <c r="AK675" s="159"/>
    </row>
    <row r="676" customFormat="false" ht="20.25" hidden="false" customHeight="true" outlineLevel="0" collapsed="false">
      <c r="A676" s="19" t="n">
        <v>150</v>
      </c>
      <c r="B676" s="141" t="n">
        <v>45439</v>
      </c>
      <c r="C676" s="63" t="s">
        <v>925</v>
      </c>
      <c r="D676" s="63" t="s">
        <v>926</v>
      </c>
      <c r="E676" s="63" t="s">
        <v>939</v>
      </c>
      <c r="F676" s="63" t="s">
        <v>779</v>
      </c>
      <c r="G676" s="142" t="n">
        <v>45439</v>
      </c>
      <c r="H676" s="142" t="n">
        <v>45470</v>
      </c>
      <c r="I676" s="19" t="n">
        <f aca="false">H676-G676</f>
        <v>31</v>
      </c>
      <c r="J676" s="149" t="n">
        <f aca="false">TRUNC(I676/30,0)</f>
        <v>1</v>
      </c>
      <c r="K676" s="183" t="s">
        <v>95</v>
      </c>
      <c r="L676" s="146" t="n">
        <v>10</v>
      </c>
      <c r="M676" s="147" t="n">
        <v>4.85</v>
      </c>
      <c r="N676" s="148" t="s">
        <v>963</v>
      </c>
      <c r="O676" s="149" t="s">
        <v>303</v>
      </c>
      <c r="P676" s="150" t="n">
        <v>0.0532778</v>
      </c>
      <c r="Q676" s="150"/>
      <c r="R676" s="151" t="s">
        <v>914</v>
      </c>
      <c r="S676" s="152"/>
      <c r="T676" s="151"/>
      <c r="U676" s="152"/>
      <c r="V676" s="152" t="n">
        <v>0.057264</v>
      </c>
      <c r="W676" s="152" t="n">
        <v>0.001145</v>
      </c>
      <c r="X676" s="152" t="n">
        <v>0.002099</v>
      </c>
      <c r="Y676" s="152" t="n">
        <v>0.047512</v>
      </c>
      <c r="Z676" s="152" t="n">
        <v>0.002</v>
      </c>
      <c r="AA676" s="152" t="n">
        <v>0.002</v>
      </c>
      <c r="AB676" s="154" t="n">
        <f aca="false">S676-Z676</f>
        <v>-0.002</v>
      </c>
      <c r="AC676" s="154" t="n">
        <f aca="false">U676-Z676-AA676</f>
        <v>-0.004</v>
      </c>
      <c r="AD676" s="155" t="n">
        <v>0.0523</v>
      </c>
      <c r="AE676" s="153" t="n">
        <f aca="false">IF(Y676="","",Y676)</f>
        <v>0.047512</v>
      </c>
      <c r="AF676" s="153" t="n">
        <f aca="false">AD676-AE676</f>
        <v>0.004788</v>
      </c>
      <c r="AG676" s="184" t="n">
        <f aca="false">IF(AF676="","",AE676+AF676)</f>
        <v>0.0523</v>
      </c>
      <c r="AH676" s="185" t="n">
        <v>45439</v>
      </c>
      <c r="AI676" s="35" t="n">
        <v>4</v>
      </c>
      <c r="AJ676" s="19" t="str">
        <f aca="false">IF(AG676="","N","Y")</f>
        <v>Y</v>
      </c>
      <c r="AK676" s="159"/>
    </row>
    <row r="677" customFormat="false" ht="20.25" hidden="false" customHeight="true" outlineLevel="0" collapsed="false">
      <c r="A677" s="19" t="n">
        <v>151</v>
      </c>
      <c r="B677" s="141" t="n">
        <v>45439</v>
      </c>
      <c r="C677" s="63" t="s">
        <v>925</v>
      </c>
      <c r="D677" s="63" t="s">
        <v>926</v>
      </c>
      <c r="E677" s="63" t="s">
        <v>939</v>
      </c>
      <c r="F677" s="63" t="s">
        <v>779</v>
      </c>
      <c r="G677" s="142" t="n">
        <v>45439</v>
      </c>
      <c r="H677" s="142" t="n">
        <v>45470</v>
      </c>
      <c r="I677" s="19" t="n">
        <f aca="false">H677-G677</f>
        <v>31</v>
      </c>
      <c r="J677" s="149" t="n">
        <f aca="false">TRUNC(I677/30,0)</f>
        <v>1</v>
      </c>
      <c r="K677" s="183" t="s">
        <v>95</v>
      </c>
      <c r="L677" s="146" t="n">
        <v>2</v>
      </c>
      <c r="M677" s="147" t="n">
        <v>4.85</v>
      </c>
      <c r="N677" s="148" t="s">
        <v>963</v>
      </c>
      <c r="O677" s="149" t="s">
        <v>303</v>
      </c>
      <c r="P677" s="150" t="n">
        <v>0.0532778</v>
      </c>
      <c r="Q677" s="150"/>
      <c r="R677" s="151" t="s">
        <v>914</v>
      </c>
      <c r="S677" s="152"/>
      <c r="T677" s="151"/>
      <c r="U677" s="152"/>
      <c r="V677" s="152" t="n">
        <v>0.057264</v>
      </c>
      <c r="W677" s="152" t="n">
        <v>0.001145</v>
      </c>
      <c r="X677" s="152" t="n">
        <v>0.002099</v>
      </c>
      <c r="Y677" s="152" t="n">
        <v>0.047512</v>
      </c>
      <c r="Z677" s="152" t="n">
        <v>0.002</v>
      </c>
      <c r="AA677" s="152" t="n">
        <v>0.002</v>
      </c>
      <c r="AB677" s="154" t="n">
        <f aca="false">S677-Z677</f>
        <v>-0.002</v>
      </c>
      <c r="AC677" s="154" t="n">
        <f aca="false">U677-Z677-AA677</f>
        <v>-0.004</v>
      </c>
      <c r="AD677" s="155" t="n">
        <v>0.0523</v>
      </c>
      <c r="AE677" s="153" t="n">
        <f aca="false">IF(Y677="","",Y677)</f>
        <v>0.047512</v>
      </c>
      <c r="AF677" s="153" t="n">
        <f aca="false">AD677-AE677</f>
        <v>0.004788</v>
      </c>
      <c r="AG677" s="184" t="n">
        <f aca="false">IF(AF677="","",AE677+AF677)</f>
        <v>0.0523</v>
      </c>
      <c r="AH677" s="185" t="n">
        <v>45439</v>
      </c>
      <c r="AI677" s="35" t="n">
        <v>6</v>
      </c>
      <c r="AJ677" s="19" t="str">
        <f aca="false">IF(AG677="","N","Y")</f>
        <v>Y</v>
      </c>
      <c r="AK677" s="159"/>
    </row>
    <row r="678" customFormat="false" ht="20.25" hidden="false" customHeight="true" outlineLevel="0" collapsed="false">
      <c r="A678" s="19" t="n">
        <v>152</v>
      </c>
      <c r="B678" s="141" t="n">
        <v>45446</v>
      </c>
      <c r="C678" s="63" t="s">
        <v>862</v>
      </c>
      <c r="D678" s="63" t="s">
        <v>932</v>
      </c>
      <c r="E678" s="63" t="s">
        <v>903</v>
      </c>
      <c r="F678" s="63" t="s">
        <v>864</v>
      </c>
      <c r="G678" s="142" t="n">
        <v>45446</v>
      </c>
      <c r="H678" s="142" t="n">
        <v>45476</v>
      </c>
      <c r="I678" s="19" t="n">
        <f aca="false">H678-G678</f>
        <v>30</v>
      </c>
      <c r="J678" s="149" t="n">
        <f aca="false">TRUNC(I678/30,0)</f>
        <v>1</v>
      </c>
      <c r="K678" s="189" t="s">
        <v>99</v>
      </c>
      <c r="L678" s="146" t="n">
        <v>2</v>
      </c>
      <c r="M678" s="147" t="n">
        <v>4.02</v>
      </c>
      <c r="N678" s="148"/>
      <c r="O678" s="149"/>
      <c r="P678" s="150"/>
      <c r="Q678" s="150"/>
      <c r="R678" s="151" t="s">
        <v>914</v>
      </c>
      <c r="S678" s="152"/>
      <c r="T678" s="151"/>
      <c r="U678" s="152"/>
      <c r="V678" s="152" t="n">
        <v>0.059692</v>
      </c>
      <c r="W678" s="152" t="n">
        <v>0.004178</v>
      </c>
      <c r="X678" s="152" t="n">
        <v>0.009793</v>
      </c>
      <c r="Y678" s="152" t="n">
        <v>0.041268</v>
      </c>
      <c r="Z678" s="152" t="n">
        <v>0.002</v>
      </c>
      <c r="AA678" s="152" t="n">
        <v>0.002</v>
      </c>
      <c r="AB678" s="154" t="n">
        <f aca="false">S678-Z678</f>
        <v>-0.002</v>
      </c>
      <c r="AC678" s="154" t="n">
        <f aca="false">U678-Z678-AA678</f>
        <v>-0.004</v>
      </c>
      <c r="AD678" s="155" t="n">
        <v>0.0535</v>
      </c>
      <c r="AE678" s="153" t="n">
        <f aca="false">IF(Y678="","",Y678)</f>
        <v>0.041268</v>
      </c>
      <c r="AF678" s="153" t="n">
        <f aca="false">AD678-AE678</f>
        <v>0.012232</v>
      </c>
      <c r="AG678" s="184" t="n">
        <v>0.054</v>
      </c>
      <c r="AH678" s="185" t="n">
        <v>45446</v>
      </c>
      <c r="AI678" s="35" t="n">
        <v>3</v>
      </c>
      <c r="AJ678" s="19" t="str">
        <f aca="false">IF(AG678="","N","Y")</f>
        <v>Y</v>
      </c>
      <c r="AK678" s="159"/>
    </row>
    <row r="679" customFormat="false" ht="20.25" hidden="false" customHeight="true" outlineLevel="0" collapsed="false">
      <c r="A679" s="19" t="n">
        <v>153</v>
      </c>
      <c r="B679" s="141" t="n">
        <v>45450</v>
      </c>
      <c r="C679" s="63" t="s">
        <v>209</v>
      </c>
      <c r="D679" s="63" t="s">
        <v>913</v>
      </c>
      <c r="E679" s="63" t="s">
        <v>735</v>
      </c>
      <c r="F679" s="63" t="s">
        <v>697</v>
      </c>
      <c r="G679" s="142" t="n">
        <v>45450</v>
      </c>
      <c r="H679" s="142" t="n">
        <v>45481</v>
      </c>
      <c r="I679" s="19" t="n">
        <f aca="false">H679-G679</f>
        <v>31</v>
      </c>
      <c r="J679" s="149" t="n">
        <f aca="false">TRUNC(I679/30,0)</f>
        <v>1</v>
      </c>
      <c r="K679" s="183" t="s">
        <v>95</v>
      </c>
      <c r="L679" s="146" t="n">
        <v>7</v>
      </c>
      <c r="M679" s="147" t="n">
        <v>4.84</v>
      </c>
      <c r="N679" s="148" t="s">
        <v>821</v>
      </c>
      <c r="O679" s="149" t="s">
        <v>303</v>
      </c>
      <c r="P679" s="150" t="n">
        <v>0.053263</v>
      </c>
      <c r="Q679" s="150"/>
      <c r="R679" s="151" t="s">
        <v>914</v>
      </c>
      <c r="S679" s="152"/>
      <c r="T679" s="151"/>
      <c r="U679" s="152"/>
      <c r="V679" s="152" t="n">
        <v>0.05729</v>
      </c>
      <c r="W679" s="152" t="n">
        <v>0.001146</v>
      </c>
      <c r="X679" s="152" t="n">
        <v>0.002425</v>
      </c>
      <c r="Y679" s="152" t="n">
        <v>0.047497</v>
      </c>
      <c r="Z679" s="152" t="n">
        <v>0.002</v>
      </c>
      <c r="AA679" s="152" t="n">
        <v>0.002</v>
      </c>
      <c r="AB679" s="154" t="n">
        <f aca="false">S679-Z679</f>
        <v>-0.002</v>
      </c>
      <c r="AC679" s="154" t="n">
        <f aca="false">U679-Z679-AA679</f>
        <v>-0.004</v>
      </c>
      <c r="AD679" s="155" t="n">
        <v>0.052</v>
      </c>
      <c r="AE679" s="153" t="n">
        <f aca="false">IF(Y679="","",Y679)</f>
        <v>0.047497</v>
      </c>
      <c r="AF679" s="153" t="n">
        <f aca="false">AD679-AE679</f>
        <v>0.004503</v>
      </c>
      <c r="AG679" s="184" t="n">
        <f aca="false">IF(AF679="","",AE679+AF679)</f>
        <v>0.052</v>
      </c>
      <c r="AH679" s="185" t="n">
        <v>45450</v>
      </c>
      <c r="AI679" s="35" t="n">
        <v>3</v>
      </c>
      <c r="AJ679" s="19" t="str">
        <f aca="false">IF(AG679="","N","Y")</f>
        <v>Y</v>
      </c>
      <c r="AK679" s="159"/>
    </row>
    <row r="680" customFormat="false" ht="20.25" hidden="false" customHeight="true" outlineLevel="0" collapsed="false">
      <c r="A680" s="19" t="n">
        <v>154</v>
      </c>
      <c r="B680" s="141" t="n">
        <v>45450</v>
      </c>
      <c r="C680" s="63" t="s">
        <v>209</v>
      </c>
      <c r="D680" s="63" t="s">
        <v>913</v>
      </c>
      <c r="E680" s="63" t="s">
        <v>735</v>
      </c>
      <c r="F680" s="63" t="s">
        <v>697</v>
      </c>
      <c r="G680" s="142" t="n">
        <v>45450</v>
      </c>
      <c r="H680" s="142" t="n">
        <v>45481</v>
      </c>
      <c r="I680" s="19" t="n">
        <f aca="false">H680-G680</f>
        <v>31</v>
      </c>
      <c r="J680" s="149" t="n">
        <f aca="false">TRUNC(I680/30,0)</f>
        <v>1</v>
      </c>
      <c r="K680" s="183" t="s">
        <v>95</v>
      </c>
      <c r="L680" s="146" t="n">
        <v>1</v>
      </c>
      <c r="M680" s="147" t="n">
        <v>4.84</v>
      </c>
      <c r="N680" s="148" t="s">
        <v>821</v>
      </c>
      <c r="O680" s="149" t="s">
        <v>303</v>
      </c>
      <c r="P680" s="150" t="n">
        <v>0.053263</v>
      </c>
      <c r="Q680" s="150"/>
      <c r="R680" s="151" t="s">
        <v>914</v>
      </c>
      <c r="S680" s="152"/>
      <c r="T680" s="151"/>
      <c r="U680" s="152"/>
      <c r="V680" s="152" t="n">
        <v>0.05729</v>
      </c>
      <c r="W680" s="152" t="n">
        <v>0.001146</v>
      </c>
      <c r="X680" s="152" t="n">
        <v>0.002425</v>
      </c>
      <c r="Y680" s="152" t="n">
        <v>0.047497</v>
      </c>
      <c r="Z680" s="152" t="n">
        <v>0.002</v>
      </c>
      <c r="AA680" s="152" t="n">
        <v>0.002</v>
      </c>
      <c r="AB680" s="154" t="n">
        <f aca="false">S680-Z680</f>
        <v>-0.002</v>
      </c>
      <c r="AC680" s="154" t="n">
        <f aca="false">U680-Z680-AA680</f>
        <v>-0.004</v>
      </c>
      <c r="AD680" s="155" t="n">
        <v>0.052</v>
      </c>
      <c r="AE680" s="153" t="n">
        <f aca="false">IF(Y680="","",Y680)</f>
        <v>0.047497</v>
      </c>
      <c r="AF680" s="153" t="n">
        <f aca="false">AD680-AE680</f>
        <v>0.004503</v>
      </c>
      <c r="AG680" s="184" t="n">
        <f aca="false">IF(AF680="","",AE680+AF680)</f>
        <v>0.052</v>
      </c>
      <c r="AH680" s="185" t="n">
        <v>45450</v>
      </c>
      <c r="AI680" s="35" t="n">
        <v>4</v>
      </c>
      <c r="AJ680" s="19" t="str">
        <f aca="false">IF(AG680="","N","Y")</f>
        <v>Y</v>
      </c>
      <c r="AK680" s="159"/>
    </row>
    <row r="681" customFormat="false" ht="20.25" hidden="false" customHeight="true" outlineLevel="0" collapsed="false">
      <c r="A681" s="19" t="n">
        <v>155</v>
      </c>
      <c r="B681" s="141" t="n">
        <v>45457</v>
      </c>
      <c r="C681" s="63" t="s">
        <v>100</v>
      </c>
      <c r="D681" s="63" t="s">
        <v>922</v>
      </c>
      <c r="E681" s="63" t="s">
        <v>923</v>
      </c>
      <c r="F681" s="200" t="s">
        <v>826</v>
      </c>
      <c r="G681" s="142" t="n">
        <v>45457</v>
      </c>
      <c r="H681" s="142" t="n">
        <v>45468</v>
      </c>
      <c r="I681" s="19" t="n">
        <f aca="false">H681-G681</f>
        <v>11</v>
      </c>
      <c r="J681" s="149" t="n">
        <f aca="false">TRUNC(I681/30,0)</f>
        <v>0</v>
      </c>
      <c r="K681" s="183" t="s">
        <v>95</v>
      </c>
      <c r="L681" s="146" t="n">
        <v>15</v>
      </c>
      <c r="M681" s="147"/>
      <c r="N681" s="148"/>
      <c r="O681" s="149"/>
      <c r="P681" s="150"/>
      <c r="Q681" s="150"/>
      <c r="R681" s="151" t="s">
        <v>914</v>
      </c>
      <c r="S681" s="152"/>
      <c r="T681" s="151"/>
      <c r="U681" s="152"/>
      <c r="V681" s="152" t="n">
        <v>0.055909</v>
      </c>
      <c r="W681" s="152" t="n">
        <v>0.001118</v>
      </c>
      <c r="X681" s="152" t="n">
        <v>0.003071</v>
      </c>
      <c r="Y681" s="152" t="n">
        <v>0.043119</v>
      </c>
      <c r="Z681" s="152" t="n">
        <v>0.002</v>
      </c>
      <c r="AA681" s="152" t="n">
        <v>0.002</v>
      </c>
      <c r="AB681" s="154" t="n">
        <f aca="false">S681-Z681</f>
        <v>-0.002</v>
      </c>
      <c r="AC681" s="154" t="n">
        <f aca="false">U681-Z681-AA681</f>
        <v>-0.004</v>
      </c>
      <c r="AD681" s="155" t="n">
        <v>0.05</v>
      </c>
      <c r="AE681" s="153" t="n">
        <f aca="false">IF(Y681="","",Y681)</f>
        <v>0.043119</v>
      </c>
      <c r="AF681" s="153" t="n">
        <f aca="false">AD681-AE681</f>
        <v>0.00688100000000001</v>
      </c>
      <c r="AG681" s="184" t="n">
        <f aca="false">IF(AF681="","",AE681+AF681)</f>
        <v>0.05</v>
      </c>
      <c r="AH681" s="185" t="n">
        <v>45457</v>
      </c>
      <c r="AI681" s="35" t="n">
        <v>2</v>
      </c>
      <c r="AJ681" s="19" t="str">
        <f aca="false">IF(AG681="","N","Y")</f>
        <v>Y</v>
      </c>
      <c r="AK681" s="238" t="s">
        <v>964</v>
      </c>
    </row>
    <row r="682" customFormat="false" ht="20.25" hidden="false" customHeight="true" outlineLevel="0" collapsed="false">
      <c r="A682" s="19" t="n">
        <v>156</v>
      </c>
      <c r="B682" s="141" t="n">
        <v>45470</v>
      </c>
      <c r="C682" s="63" t="s">
        <v>925</v>
      </c>
      <c r="D682" s="63" t="s">
        <v>926</v>
      </c>
      <c r="E682" s="63" t="s">
        <v>939</v>
      </c>
      <c r="F682" s="63" t="s">
        <v>779</v>
      </c>
      <c r="G682" s="142" t="n">
        <v>45470</v>
      </c>
      <c r="H682" s="142" t="n">
        <v>45502</v>
      </c>
      <c r="I682" s="19" t="n">
        <f aca="false">H682-G682</f>
        <v>32</v>
      </c>
      <c r="J682" s="149" t="n">
        <f aca="false">TRUNC(I682/30,0)</f>
        <v>1</v>
      </c>
      <c r="K682" s="183" t="s">
        <v>95</v>
      </c>
      <c r="L682" s="146" t="n">
        <v>10</v>
      </c>
      <c r="M682" s="147" t="n">
        <v>4.87</v>
      </c>
      <c r="N682" s="148" t="s">
        <v>927</v>
      </c>
      <c r="O682" s="149" t="s">
        <v>303</v>
      </c>
      <c r="P682" s="150" t="n">
        <v>0.0534393</v>
      </c>
      <c r="Q682" s="150"/>
      <c r="R682" s="151" t="s">
        <v>914</v>
      </c>
      <c r="S682" s="152"/>
      <c r="T682" s="151"/>
      <c r="U682" s="152"/>
      <c r="V682" s="152" t="n">
        <v>0.057496</v>
      </c>
      <c r="W682" s="152" t="n">
        <v>0.00115</v>
      </c>
      <c r="X682" s="152" t="n">
        <v>0.002626</v>
      </c>
      <c r="Y682" s="152" t="n">
        <v>0.04767</v>
      </c>
      <c r="Z682" s="152" t="n">
        <v>0.002</v>
      </c>
      <c r="AA682" s="152" t="n">
        <v>0.002</v>
      </c>
      <c r="AB682" s="154" t="n">
        <f aca="false">S682-Z682</f>
        <v>-0.002</v>
      </c>
      <c r="AC682" s="154" t="n">
        <f aca="false">U682-Z682-AA682</f>
        <v>-0.004</v>
      </c>
      <c r="AD682" s="155" t="n">
        <v>0.052</v>
      </c>
      <c r="AE682" s="153" t="n">
        <f aca="false">IF(Y682="","",Y682)</f>
        <v>0.04767</v>
      </c>
      <c r="AF682" s="153" t="n">
        <f aca="false">AD682-AE682</f>
        <v>0.00433</v>
      </c>
      <c r="AG682" s="184" t="n">
        <f aca="false">IF(AF682="","",AE682+AF682)</f>
        <v>0.052</v>
      </c>
      <c r="AH682" s="185" t="n">
        <v>45470</v>
      </c>
      <c r="AI682" s="35" t="n">
        <v>1</v>
      </c>
      <c r="AJ682" s="19" t="str">
        <f aca="false">IF(AG682="","N","Y")</f>
        <v>Y</v>
      </c>
      <c r="AK682" s="238" t="s">
        <v>965</v>
      </c>
    </row>
    <row r="683" customFormat="false" ht="20.25" hidden="false" customHeight="true" outlineLevel="0" collapsed="false">
      <c r="A683" s="19" t="n">
        <v>157</v>
      </c>
      <c r="B683" s="141" t="n">
        <v>45470</v>
      </c>
      <c r="C683" s="63" t="s">
        <v>925</v>
      </c>
      <c r="D683" s="63" t="s">
        <v>926</v>
      </c>
      <c r="E683" s="63" t="s">
        <v>939</v>
      </c>
      <c r="F683" s="63" t="s">
        <v>779</v>
      </c>
      <c r="G683" s="142" t="n">
        <v>45470</v>
      </c>
      <c r="H683" s="142" t="n">
        <v>45502</v>
      </c>
      <c r="I683" s="19" t="n">
        <f aca="false">H683-G683</f>
        <v>32</v>
      </c>
      <c r="J683" s="149" t="n">
        <f aca="false">TRUNC(I683/30,0)</f>
        <v>1</v>
      </c>
      <c r="K683" s="183" t="s">
        <v>95</v>
      </c>
      <c r="L683" s="146" t="n">
        <v>2</v>
      </c>
      <c r="M683" s="147" t="n">
        <v>4.87</v>
      </c>
      <c r="N683" s="148" t="s">
        <v>927</v>
      </c>
      <c r="O683" s="149" t="s">
        <v>303</v>
      </c>
      <c r="P683" s="150" t="n">
        <v>0.0534393</v>
      </c>
      <c r="Q683" s="150"/>
      <c r="R683" s="151" t="s">
        <v>914</v>
      </c>
      <c r="S683" s="152"/>
      <c r="T683" s="151"/>
      <c r="U683" s="152"/>
      <c r="V683" s="152" t="n">
        <v>0.057496</v>
      </c>
      <c r="W683" s="152" t="n">
        <v>0.00115</v>
      </c>
      <c r="X683" s="152" t="n">
        <v>0.002626</v>
      </c>
      <c r="Y683" s="152" t="n">
        <v>0.04767</v>
      </c>
      <c r="Z683" s="152" t="n">
        <v>0.002</v>
      </c>
      <c r="AA683" s="152" t="n">
        <v>0.002</v>
      </c>
      <c r="AB683" s="154" t="n">
        <f aca="false">S683-Z683</f>
        <v>-0.002</v>
      </c>
      <c r="AC683" s="154" t="n">
        <f aca="false">U683-Z683-AA683</f>
        <v>-0.004</v>
      </c>
      <c r="AD683" s="155" t="n">
        <v>0.052</v>
      </c>
      <c r="AE683" s="153" t="n">
        <f aca="false">IF(Y683="","",Y683)</f>
        <v>0.04767</v>
      </c>
      <c r="AF683" s="153" t="n">
        <f aca="false">AD683-AE683</f>
        <v>0.00433</v>
      </c>
      <c r="AG683" s="184" t="n">
        <f aca="false">IF(AF683="","",AE683+AF683)</f>
        <v>0.052</v>
      </c>
      <c r="AH683" s="185" t="n">
        <v>45470</v>
      </c>
      <c r="AI683" s="35" t="n">
        <v>2</v>
      </c>
      <c r="AJ683" s="19" t="str">
        <f aca="false">IF(AG683="","N","Y")</f>
        <v>Y</v>
      </c>
      <c r="AK683" s="238" t="s">
        <v>965</v>
      </c>
    </row>
    <row r="684" customFormat="false" ht="20.25" hidden="false" customHeight="true" outlineLevel="0" collapsed="false">
      <c r="A684" s="19" t="n">
        <v>158</v>
      </c>
      <c r="B684" s="141" t="n">
        <v>45481</v>
      </c>
      <c r="C684" s="63" t="s">
        <v>209</v>
      </c>
      <c r="D684" s="63" t="s">
        <v>913</v>
      </c>
      <c r="E684" s="63" t="s">
        <v>966</v>
      </c>
      <c r="F684" s="63" t="s">
        <v>697</v>
      </c>
      <c r="G684" s="142" t="n">
        <v>45481</v>
      </c>
      <c r="H684" s="142" t="n">
        <v>45512</v>
      </c>
      <c r="I684" s="19" t="n">
        <f aca="false">H684-G684</f>
        <v>31</v>
      </c>
      <c r="J684" s="149" t="n">
        <f aca="false">TRUNC(I684/30,0)</f>
        <v>1</v>
      </c>
      <c r="K684" s="183" t="s">
        <v>95</v>
      </c>
      <c r="L684" s="146" t="n">
        <v>7</v>
      </c>
      <c r="M684" s="147" t="n">
        <v>4.85</v>
      </c>
      <c r="N684" s="148" t="s">
        <v>967</v>
      </c>
      <c r="O684" s="149" t="s">
        <v>303</v>
      </c>
      <c r="P684" s="150" t="n">
        <v>0.0532743</v>
      </c>
      <c r="Q684" s="150"/>
      <c r="R684" s="151" t="s">
        <v>914</v>
      </c>
      <c r="S684" s="152"/>
      <c r="T684" s="151"/>
      <c r="U684" s="152"/>
      <c r="V684" s="152" t="n">
        <v>0.057334</v>
      </c>
      <c r="W684" s="152" t="n">
        <v>0.001147</v>
      </c>
      <c r="X684" s="152" t="n">
        <v>0.002467</v>
      </c>
      <c r="Y684" s="152" t="n">
        <v>0.047508</v>
      </c>
      <c r="Z684" s="152" t="n">
        <v>0.002</v>
      </c>
      <c r="AA684" s="152" t="n">
        <v>0.002</v>
      </c>
      <c r="AB684" s="154" t="n">
        <f aca="false">S684-Z684</f>
        <v>-0.002</v>
      </c>
      <c r="AC684" s="154" t="n">
        <f aca="false">U684-Z684-AA684</f>
        <v>-0.004</v>
      </c>
      <c r="AD684" s="155" t="n">
        <v>0.052</v>
      </c>
      <c r="AE684" s="153" t="n">
        <f aca="false">IF(Y684="","",Y684)</f>
        <v>0.047508</v>
      </c>
      <c r="AF684" s="153" t="n">
        <f aca="false">AD684-AE684</f>
        <v>0.004492</v>
      </c>
      <c r="AG684" s="184" t="n">
        <f aca="false">IF(AF684="","",AE684+AF684)</f>
        <v>0.052</v>
      </c>
      <c r="AH684" s="185" t="n">
        <v>45481</v>
      </c>
      <c r="AI684" s="35" t="n">
        <v>1</v>
      </c>
      <c r="AJ684" s="19" t="str">
        <f aca="false">IF(AG684="","N","Y")</f>
        <v>Y</v>
      </c>
      <c r="AK684" s="238" t="s">
        <v>965</v>
      </c>
    </row>
    <row r="685" customFormat="false" ht="20.25" hidden="false" customHeight="true" outlineLevel="0" collapsed="false">
      <c r="A685" s="19" t="n">
        <v>159</v>
      </c>
      <c r="B685" s="141" t="n">
        <v>45481</v>
      </c>
      <c r="C685" s="63" t="s">
        <v>209</v>
      </c>
      <c r="D685" s="63" t="s">
        <v>913</v>
      </c>
      <c r="E685" s="63" t="s">
        <v>966</v>
      </c>
      <c r="F685" s="63" t="s">
        <v>697</v>
      </c>
      <c r="G685" s="142" t="n">
        <v>45481</v>
      </c>
      <c r="H685" s="142" t="n">
        <v>45512</v>
      </c>
      <c r="I685" s="19" t="n">
        <f aca="false">H685-G685</f>
        <v>31</v>
      </c>
      <c r="J685" s="149" t="n">
        <f aca="false">TRUNC(I685/30,0)</f>
        <v>1</v>
      </c>
      <c r="K685" s="183" t="s">
        <v>95</v>
      </c>
      <c r="L685" s="146" t="n">
        <v>1</v>
      </c>
      <c r="M685" s="147" t="n">
        <v>4.85</v>
      </c>
      <c r="N685" s="148" t="s">
        <v>967</v>
      </c>
      <c r="O685" s="149" t="s">
        <v>303</v>
      </c>
      <c r="P685" s="150" t="n">
        <v>0.0532743</v>
      </c>
      <c r="Q685" s="150"/>
      <c r="R685" s="151" t="s">
        <v>914</v>
      </c>
      <c r="S685" s="152"/>
      <c r="T685" s="151"/>
      <c r="U685" s="152"/>
      <c r="V685" s="152" t="n">
        <v>0.057334</v>
      </c>
      <c r="W685" s="152" t="n">
        <v>0.001147</v>
      </c>
      <c r="X685" s="152" t="n">
        <v>0.002467</v>
      </c>
      <c r="Y685" s="152" t="n">
        <v>0.047508</v>
      </c>
      <c r="Z685" s="152" t="n">
        <v>0.002</v>
      </c>
      <c r="AA685" s="152" t="n">
        <v>0.002</v>
      </c>
      <c r="AB685" s="154" t="n">
        <f aca="false">S685-Z685</f>
        <v>-0.002</v>
      </c>
      <c r="AC685" s="154" t="n">
        <f aca="false">U685-Z685-AA685</f>
        <v>-0.004</v>
      </c>
      <c r="AD685" s="155" t="n">
        <v>0.052</v>
      </c>
      <c r="AE685" s="153" t="n">
        <f aca="false">IF(Y685="","",Y685)</f>
        <v>0.047508</v>
      </c>
      <c r="AF685" s="153" t="n">
        <f aca="false">AD685-AE685</f>
        <v>0.004492</v>
      </c>
      <c r="AG685" s="184" t="n">
        <f aca="false">IF(AF685="","",AE685+AF685)</f>
        <v>0.052</v>
      </c>
      <c r="AH685" s="185" t="n">
        <v>45481</v>
      </c>
      <c r="AI685" s="35" t="n">
        <v>2</v>
      </c>
      <c r="AJ685" s="19" t="str">
        <f aca="false">IF(AG685="","N","Y")</f>
        <v>Y</v>
      </c>
      <c r="AK685" s="238" t="s">
        <v>965</v>
      </c>
    </row>
    <row r="686" customFormat="false" ht="20.25" hidden="false" customHeight="true" outlineLevel="0" collapsed="false">
      <c r="A686" s="19" t="n">
        <v>160</v>
      </c>
      <c r="B686" s="141" t="n">
        <v>45483</v>
      </c>
      <c r="C686" s="63" t="s">
        <v>100</v>
      </c>
      <c r="D686" s="63" t="s">
        <v>922</v>
      </c>
      <c r="E686" s="63" t="s">
        <v>968</v>
      </c>
      <c r="F686" s="200" t="s">
        <v>826</v>
      </c>
      <c r="G686" s="142" t="n">
        <v>45483</v>
      </c>
      <c r="H686" s="142" t="n">
        <v>45495</v>
      </c>
      <c r="I686" s="19" t="n">
        <f aca="false">H686-G686</f>
        <v>12</v>
      </c>
      <c r="J686" s="149" t="n">
        <f aca="false">TRUNC(I686/30,0)</f>
        <v>0</v>
      </c>
      <c r="K686" s="183" t="s">
        <v>95</v>
      </c>
      <c r="L686" s="146" t="n">
        <v>20</v>
      </c>
      <c r="M686" s="147" t="n">
        <v>4.57</v>
      </c>
      <c r="N686" s="148"/>
      <c r="O686" s="149" t="s">
        <v>305</v>
      </c>
      <c r="P686" s="150" t="n">
        <v>0.0532132</v>
      </c>
      <c r="Q686" s="150"/>
      <c r="R686" s="151" t="s">
        <v>914</v>
      </c>
      <c r="S686" s="152"/>
      <c r="T686" s="151"/>
      <c r="U686" s="152"/>
      <c r="V686" s="152" t="n">
        <v>0.055965</v>
      </c>
      <c r="W686" s="152" t="n">
        <v>0.001119</v>
      </c>
      <c r="X686" s="152" t="n">
        <v>0.003126</v>
      </c>
      <c r="Y686" s="152" t="n">
        <v>0.047498</v>
      </c>
      <c r="Z686" s="152" t="n">
        <v>0.002</v>
      </c>
      <c r="AA686" s="152" t="n">
        <v>0.002</v>
      </c>
      <c r="AB686" s="154" t="n">
        <f aca="false">S686-Z686</f>
        <v>-0.002</v>
      </c>
      <c r="AC686" s="154" t="n">
        <f aca="false">U686-Z686-AA686</f>
        <v>-0.004</v>
      </c>
      <c r="AD686" s="155" t="n">
        <v>0.05</v>
      </c>
      <c r="AE686" s="153" t="n">
        <f aca="false">IF(Y686="","",Y686)</f>
        <v>0.047498</v>
      </c>
      <c r="AF686" s="153" t="n">
        <f aca="false">AD686-AE686</f>
        <v>0.002502</v>
      </c>
      <c r="AG686" s="184" t="n">
        <f aca="false">IF(AF686="","",AE686+AF686)</f>
        <v>0.05</v>
      </c>
      <c r="AH686" s="185" t="n">
        <v>45483</v>
      </c>
      <c r="AI686" s="35" t="n">
        <v>1</v>
      </c>
      <c r="AJ686" s="19" t="str">
        <f aca="false">IF(AG686="","N","Y")</f>
        <v>Y</v>
      </c>
      <c r="AK686" s="238" t="s">
        <v>969</v>
      </c>
    </row>
    <row r="687" customFormat="false" ht="20.25" hidden="false" customHeight="true" outlineLevel="0" collapsed="false">
      <c r="A687" s="19" t="n">
        <v>161</v>
      </c>
      <c r="B687" s="141" t="n">
        <v>45483</v>
      </c>
      <c r="C687" s="63" t="s">
        <v>100</v>
      </c>
      <c r="D687" s="63" t="s">
        <v>922</v>
      </c>
      <c r="E687" s="63" t="s">
        <v>968</v>
      </c>
      <c r="F687" s="200" t="s">
        <v>826</v>
      </c>
      <c r="G687" s="142" t="n">
        <v>45483</v>
      </c>
      <c r="H687" s="142" t="n">
        <v>45504</v>
      </c>
      <c r="I687" s="19" t="n">
        <f aca="false">H687-G687</f>
        <v>21</v>
      </c>
      <c r="J687" s="149" t="n">
        <f aca="false">TRUNC(I687/30,0)</f>
        <v>0</v>
      </c>
      <c r="K687" s="183" t="s">
        <v>95</v>
      </c>
      <c r="L687" s="146" t="n">
        <v>8</v>
      </c>
      <c r="M687" s="147" t="n">
        <v>4.57</v>
      </c>
      <c r="N687" s="148"/>
      <c r="O687" s="149" t="s">
        <v>305</v>
      </c>
      <c r="P687" s="150" t="n">
        <v>0.0532132</v>
      </c>
      <c r="Q687" s="150"/>
      <c r="R687" s="151" t="s">
        <v>914</v>
      </c>
      <c r="S687" s="152"/>
      <c r="T687" s="151"/>
      <c r="U687" s="152"/>
      <c r="V687" s="152" t="n">
        <v>0.0566</v>
      </c>
      <c r="W687" s="152" t="n">
        <v>0.001132</v>
      </c>
      <c r="X687" s="152" t="n">
        <v>0.003748</v>
      </c>
      <c r="Y687" s="152" t="n">
        <v>0.047498</v>
      </c>
      <c r="Z687" s="152" t="n">
        <v>0.002</v>
      </c>
      <c r="AA687" s="152" t="n">
        <v>0.002</v>
      </c>
      <c r="AB687" s="154" t="n">
        <f aca="false">S687-Z687</f>
        <v>-0.002</v>
      </c>
      <c r="AC687" s="154" t="n">
        <f aca="false">U687-Z687-AA687</f>
        <v>-0.004</v>
      </c>
      <c r="AD687" s="155" t="n">
        <v>0.05</v>
      </c>
      <c r="AE687" s="153" t="n">
        <f aca="false">IF(Y687="","",Y687)</f>
        <v>0.047498</v>
      </c>
      <c r="AF687" s="153" t="n">
        <f aca="false">AD687-AE687</f>
        <v>0.002502</v>
      </c>
      <c r="AG687" s="184" t="n">
        <f aca="false">IF(AF687="","",AE687+AF687)</f>
        <v>0.05</v>
      </c>
      <c r="AH687" s="185" t="n">
        <v>45483</v>
      </c>
      <c r="AI687" s="35" t="n">
        <v>2</v>
      </c>
      <c r="AJ687" s="19" t="str">
        <f aca="false">IF(AG687="","N","Y")</f>
        <v>Y</v>
      </c>
      <c r="AK687" s="238" t="s">
        <v>969</v>
      </c>
    </row>
    <row r="688" customFormat="false" ht="20.25" hidden="false" customHeight="true" outlineLevel="0" collapsed="false">
      <c r="A688" s="19" t="n">
        <v>162</v>
      </c>
      <c r="B688" s="141" t="n">
        <v>45485</v>
      </c>
      <c r="C688" s="63" t="s">
        <v>862</v>
      </c>
      <c r="D688" s="63" t="s">
        <v>932</v>
      </c>
      <c r="E688" s="63" t="s">
        <v>970</v>
      </c>
      <c r="F688" s="63" t="s">
        <v>906</v>
      </c>
      <c r="G688" s="142" t="n">
        <v>45457</v>
      </c>
      <c r="H688" s="142" t="n">
        <v>45488</v>
      </c>
      <c r="I688" s="19" t="n">
        <f aca="false">H688-G688</f>
        <v>31</v>
      </c>
      <c r="J688" s="149" t="n">
        <f aca="false">TRUNC(I688/30,0)</f>
        <v>1</v>
      </c>
      <c r="K688" s="189" t="s">
        <v>99</v>
      </c>
      <c r="L688" s="146" t="n">
        <v>2</v>
      </c>
      <c r="M688" s="147" t="n">
        <v>4.15</v>
      </c>
      <c r="N688" s="148"/>
      <c r="O688" s="149"/>
      <c r="P688" s="150"/>
      <c r="Q688" s="150"/>
      <c r="R688" s="151" t="s">
        <v>914</v>
      </c>
      <c r="S688" s="152"/>
      <c r="T688" s="151"/>
      <c r="U688" s="152"/>
      <c r="V688" s="152" t="n">
        <v>0.058151</v>
      </c>
      <c r="W688" s="152" t="n">
        <v>0.004071</v>
      </c>
      <c r="X688" s="152" t="n">
        <v>0.008861</v>
      </c>
      <c r="Y688" s="152" t="n">
        <v>0.04334</v>
      </c>
      <c r="Z688" s="152" t="n">
        <v>0.002</v>
      </c>
      <c r="AA688" s="152" t="n">
        <v>0.002</v>
      </c>
      <c r="AB688" s="154" t="n">
        <f aca="false">S688-Z688</f>
        <v>-0.002</v>
      </c>
      <c r="AC688" s="154" t="n">
        <f aca="false">U688-Z688-AA688</f>
        <v>-0.004</v>
      </c>
      <c r="AD688" s="155" t="n">
        <v>0.0435</v>
      </c>
      <c r="AE688" s="153" t="n">
        <f aca="false">IF(Y688="","",Y688)</f>
        <v>0.04334</v>
      </c>
      <c r="AF688" s="153" t="n">
        <f aca="false">AD688-AE688</f>
        <v>0.00016</v>
      </c>
      <c r="AG688" s="184" t="n">
        <f aca="false">IF(AF688="","",AE688+AF688)</f>
        <v>0.0435</v>
      </c>
      <c r="AH688" s="185" t="n">
        <v>45485</v>
      </c>
      <c r="AI688" s="35" t="n">
        <v>5</v>
      </c>
      <c r="AJ688" s="19" t="str">
        <f aca="false">IF(AG688="","N","Y")</f>
        <v>Y</v>
      </c>
      <c r="AK688" s="238" t="s">
        <v>964</v>
      </c>
    </row>
    <row r="689" customFormat="false" ht="20.25" hidden="false" customHeight="true" outlineLevel="0" collapsed="false">
      <c r="A689" s="19" t="n">
        <v>163</v>
      </c>
      <c r="B689" s="141" t="n">
        <v>45485</v>
      </c>
      <c r="C689" s="63" t="s">
        <v>862</v>
      </c>
      <c r="D689" s="63" t="s">
        <v>932</v>
      </c>
      <c r="E689" s="63" t="s">
        <v>970</v>
      </c>
      <c r="F689" s="63" t="s">
        <v>864</v>
      </c>
      <c r="G689" s="142" t="n">
        <v>45476</v>
      </c>
      <c r="H689" s="142" t="n">
        <v>45509</v>
      </c>
      <c r="I689" s="19" t="n">
        <f aca="false">H689-G689</f>
        <v>33</v>
      </c>
      <c r="J689" s="149" t="n">
        <f aca="false">TRUNC(I689/30,0)</f>
        <v>1</v>
      </c>
      <c r="K689" s="189" t="s">
        <v>99</v>
      </c>
      <c r="L689" s="146" t="n">
        <v>2</v>
      </c>
      <c r="M689" s="147" t="n">
        <v>4.15</v>
      </c>
      <c r="N689" s="148"/>
      <c r="O689" s="149"/>
      <c r="P689" s="150"/>
      <c r="Q689" s="150"/>
      <c r="R689" s="151" t="s">
        <v>914</v>
      </c>
      <c r="S689" s="152"/>
      <c r="T689" s="151"/>
      <c r="U689" s="152"/>
      <c r="V689" s="152" t="n">
        <v>0.058084</v>
      </c>
      <c r="W689" s="152" t="n">
        <v>0.004066</v>
      </c>
      <c r="X689" s="152" t="n">
        <v>0.008298</v>
      </c>
      <c r="Y689" s="152" t="n">
        <v>0.04334</v>
      </c>
      <c r="Z689" s="152" t="n">
        <v>0.002</v>
      </c>
      <c r="AA689" s="152" t="n">
        <v>0.002</v>
      </c>
      <c r="AB689" s="154" t="n">
        <f aca="false">S689-Z689</f>
        <v>-0.002</v>
      </c>
      <c r="AC689" s="154" t="n">
        <f aca="false">U689-Z689-AA689</f>
        <v>-0.004</v>
      </c>
      <c r="AD689" s="155" t="n">
        <v>0.044</v>
      </c>
      <c r="AE689" s="153" t="n">
        <f aca="false">IF(Y689="","",Y689)</f>
        <v>0.04334</v>
      </c>
      <c r="AF689" s="153" t="n">
        <f aca="false">AD689-AE689</f>
        <v>0.000660000000000001</v>
      </c>
      <c r="AG689" s="184" t="n">
        <f aca="false">IF(AF689="","",AE689+AF689)</f>
        <v>0.044</v>
      </c>
      <c r="AH689" s="185" t="n">
        <v>45485</v>
      </c>
      <c r="AI689" s="35" t="n">
        <v>1</v>
      </c>
      <c r="AJ689" s="19" t="str">
        <f aca="false">IF(AG689="","N","Y")</f>
        <v>Y</v>
      </c>
      <c r="AK689" s="238" t="s">
        <v>964</v>
      </c>
    </row>
    <row r="690" customFormat="false" ht="20.25" hidden="false" customHeight="true" outlineLevel="0" collapsed="false">
      <c r="A690" s="19" t="n">
        <v>164</v>
      </c>
      <c r="B690" s="141" t="n">
        <v>45489</v>
      </c>
      <c r="C690" s="63" t="s">
        <v>862</v>
      </c>
      <c r="D690" s="63" t="s">
        <v>932</v>
      </c>
      <c r="E690" s="63" t="s">
        <v>970</v>
      </c>
      <c r="F690" s="63" t="s">
        <v>906</v>
      </c>
      <c r="G690" s="142" t="n">
        <v>45488</v>
      </c>
      <c r="H690" s="142" t="n">
        <v>45520</v>
      </c>
      <c r="I690" s="19" t="n">
        <f aca="false">H690-G690</f>
        <v>32</v>
      </c>
      <c r="J690" s="149" t="n">
        <f aca="false">TRUNC(I690/30,0)</f>
        <v>1</v>
      </c>
      <c r="K690" s="189" t="s">
        <v>99</v>
      </c>
      <c r="L690" s="146" t="n">
        <v>2</v>
      </c>
      <c r="M690" s="147" t="n">
        <v>4.15</v>
      </c>
      <c r="N690" s="148"/>
      <c r="O690" s="149" t="s">
        <v>305</v>
      </c>
      <c r="P690" s="150" t="n">
        <v>0.0533748</v>
      </c>
      <c r="Q690" s="150"/>
      <c r="R690" s="151" t="s">
        <v>914</v>
      </c>
      <c r="S690" s="152"/>
      <c r="T690" s="151"/>
      <c r="U690" s="152"/>
      <c r="V690" s="152" t="n">
        <v>0.057913</v>
      </c>
      <c r="W690" s="152" t="n">
        <v>0.004054</v>
      </c>
      <c r="X690" s="152" t="n">
        <v>0.008639</v>
      </c>
      <c r="Y690" s="152" t="n">
        <v>0.04334</v>
      </c>
      <c r="Z690" s="152" t="n">
        <v>0.002</v>
      </c>
      <c r="AA690" s="152" t="n">
        <v>0.002</v>
      </c>
      <c r="AB690" s="154" t="n">
        <f aca="false">S690-Z690</f>
        <v>-0.002</v>
      </c>
      <c r="AC690" s="154" t="n">
        <f aca="false">U690-Z690-AA690</f>
        <v>-0.004</v>
      </c>
      <c r="AD690" s="155" t="n">
        <v>0.0435</v>
      </c>
      <c r="AE690" s="153" t="n">
        <f aca="false">IF(Y690="","",Y690)</f>
        <v>0.04334</v>
      </c>
      <c r="AF690" s="153" t="n">
        <f aca="false">AD690-AE690</f>
        <v>0.00016</v>
      </c>
      <c r="AG690" s="184" t="n">
        <f aca="false">IF(AF690="","",AE690+AF690)</f>
        <v>0.0435</v>
      </c>
      <c r="AH690" s="185" t="n">
        <v>45488</v>
      </c>
      <c r="AI690" s="35" t="n">
        <v>1</v>
      </c>
      <c r="AJ690" s="19" t="str">
        <f aca="false">IF(AG690="","N","Y")</f>
        <v>Y</v>
      </c>
      <c r="AK690" s="238" t="s">
        <v>964</v>
      </c>
    </row>
    <row r="691" customFormat="false" ht="20.25" hidden="false" customHeight="true" outlineLevel="0" collapsed="false">
      <c r="A691" s="19" t="n">
        <v>165</v>
      </c>
      <c r="B691" s="141" t="n">
        <v>45492</v>
      </c>
      <c r="C691" s="63" t="s">
        <v>96</v>
      </c>
      <c r="D691" s="63" t="s">
        <v>934</v>
      </c>
      <c r="E691" s="63" t="s">
        <v>935</v>
      </c>
      <c r="F691" s="63" t="s">
        <v>662</v>
      </c>
      <c r="G691" s="142" t="n">
        <v>45492</v>
      </c>
      <c r="H691" s="142" t="n">
        <v>45530</v>
      </c>
      <c r="I691" s="19" t="n">
        <f aca="false">H691-G691</f>
        <v>38</v>
      </c>
      <c r="J691" s="149" t="n">
        <f aca="false">TRUNC(I691/30,0)</f>
        <v>1</v>
      </c>
      <c r="K691" s="183" t="s">
        <v>95</v>
      </c>
      <c r="L691" s="146" t="n">
        <v>10</v>
      </c>
      <c r="M691" s="147" t="n">
        <v>4.88</v>
      </c>
      <c r="N691" s="148" t="s">
        <v>821</v>
      </c>
      <c r="O691" s="149" t="s">
        <v>303</v>
      </c>
      <c r="P691" s="150" t="n">
        <v>0.0534513</v>
      </c>
      <c r="Q691" s="150"/>
      <c r="R691" s="151" t="s">
        <v>914</v>
      </c>
      <c r="S691" s="152"/>
      <c r="T691" s="151"/>
      <c r="U691" s="152"/>
      <c r="V691" s="152" t="n">
        <v>0.057522</v>
      </c>
      <c r="W691" s="152" t="n">
        <v>0.00115</v>
      </c>
      <c r="X691" s="152" t="n">
        <v>0.002452</v>
      </c>
      <c r="Y691" s="152" t="n">
        <v>0.047682</v>
      </c>
      <c r="Z691" s="152" t="n">
        <v>0.002</v>
      </c>
      <c r="AA691" s="152" t="n">
        <v>0.002</v>
      </c>
      <c r="AB691" s="154" t="n">
        <f aca="false">S691-Z691</f>
        <v>-0.002</v>
      </c>
      <c r="AC691" s="154" t="n">
        <f aca="false">U691-Z691-AA691</f>
        <v>-0.004</v>
      </c>
      <c r="AD691" s="155" t="n">
        <v>0.0522</v>
      </c>
      <c r="AE691" s="153" t="n">
        <f aca="false">IF(Y691="","",Y691)</f>
        <v>0.047682</v>
      </c>
      <c r="AF691" s="153" t="n">
        <f aca="false">AD691-AE691</f>
        <v>0.004518</v>
      </c>
      <c r="AG691" s="184" t="n">
        <f aca="false">IF(AF691="","",AE691+AF691)</f>
        <v>0.0522</v>
      </c>
      <c r="AH691" s="185" t="n">
        <v>45492</v>
      </c>
      <c r="AI691" s="35" t="n">
        <v>1</v>
      </c>
      <c r="AJ691" s="19" t="str">
        <f aca="false">IF(AG691="","N","Y")</f>
        <v>Y</v>
      </c>
      <c r="AK691" s="238" t="s">
        <v>964</v>
      </c>
    </row>
    <row r="692" customFormat="false" ht="24.75" hidden="false" customHeight="true" outlineLevel="0" collapsed="false">
      <c r="A692" s="19" t="n">
        <v>166</v>
      </c>
      <c r="B692" s="141" t="n">
        <v>45495</v>
      </c>
      <c r="C692" s="63" t="s">
        <v>96</v>
      </c>
      <c r="D692" s="63" t="s">
        <v>934</v>
      </c>
      <c r="E692" s="63" t="s">
        <v>935</v>
      </c>
      <c r="F692" s="63" t="s">
        <v>662</v>
      </c>
      <c r="G692" s="142" t="n">
        <v>45495</v>
      </c>
      <c r="H692" s="142" t="n">
        <v>45532</v>
      </c>
      <c r="I692" s="19" t="n">
        <f aca="false">H692-G692</f>
        <v>37</v>
      </c>
      <c r="J692" s="149" t="n">
        <f aca="false">TRUNC(I692/30,0)</f>
        <v>1</v>
      </c>
      <c r="K692" s="183" t="s">
        <v>95</v>
      </c>
      <c r="L692" s="146" t="n">
        <v>10</v>
      </c>
      <c r="M692" s="147" t="n">
        <v>4.88</v>
      </c>
      <c r="N692" s="148" t="s">
        <v>821</v>
      </c>
      <c r="O692" s="149" t="s">
        <v>303</v>
      </c>
      <c r="P692" s="150" t="n">
        <v>0.0534675</v>
      </c>
      <c r="Q692" s="150"/>
      <c r="R692" s="151" t="s">
        <v>914</v>
      </c>
      <c r="S692" s="152"/>
      <c r="T692" s="151"/>
      <c r="U692" s="152"/>
      <c r="V692" s="152" t="n">
        <v>0.057545</v>
      </c>
      <c r="W692" s="152" t="n">
        <v>0.001151</v>
      </c>
      <c r="X692" s="152" t="n">
        <v>0.002974</v>
      </c>
      <c r="Y692" s="152" t="n">
        <v>0.047698</v>
      </c>
      <c r="Z692" s="152" t="n">
        <v>0.002</v>
      </c>
      <c r="AA692" s="152" t="n">
        <v>0.002</v>
      </c>
      <c r="AB692" s="154" t="n">
        <f aca="false">S692-Z692</f>
        <v>-0.002</v>
      </c>
      <c r="AC692" s="154" t="n">
        <f aca="false">U692-Z692-AA692</f>
        <v>-0.004</v>
      </c>
      <c r="AD692" s="155" t="n">
        <v>0.0517</v>
      </c>
      <c r="AE692" s="153" t="n">
        <f aca="false">IF(Y692="","",Y692)</f>
        <v>0.047698</v>
      </c>
      <c r="AF692" s="153" t="n">
        <f aca="false">AD692-AE692</f>
        <v>0.00400200000000001</v>
      </c>
      <c r="AG692" s="184" t="n">
        <f aca="false">IF(AF692="","",AE692+AF692)</f>
        <v>0.0517</v>
      </c>
      <c r="AH692" s="185" t="n">
        <v>45495</v>
      </c>
      <c r="AI692" s="35" t="n">
        <v>1</v>
      </c>
      <c r="AJ692" s="19" t="str">
        <f aca="false">IF(AG692="","N","Y")</f>
        <v>Y</v>
      </c>
      <c r="AK692" s="238" t="s">
        <v>964</v>
      </c>
    </row>
    <row r="693" customFormat="false" ht="21" hidden="false" customHeight="true" outlineLevel="0" collapsed="false">
      <c r="A693" s="19" t="n">
        <v>167</v>
      </c>
      <c r="B693" s="141" t="n">
        <v>45495</v>
      </c>
      <c r="C693" s="63" t="s">
        <v>925</v>
      </c>
      <c r="D693" s="63" t="s">
        <v>926</v>
      </c>
      <c r="E693" s="63" t="s">
        <v>939</v>
      </c>
      <c r="F693" s="63" t="s">
        <v>779</v>
      </c>
      <c r="G693" s="142" t="n">
        <v>45495</v>
      </c>
      <c r="H693" s="142" t="n">
        <v>45526</v>
      </c>
      <c r="I693" s="19" t="n">
        <f aca="false">H693-G693</f>
        <v>31</v>
      </c>
      <c r="J693" s="149" t="n">
        <f aca="false">TRUNC(I693/30,0)</f>
        <v>1</v>
      </c>
      <c r="K693" s="189" t="s">
        <v>99</v>
      </c>
      <c r="L693" s="146" t="n">
        <v>4</v>
      </c>
      <c r="M693" s="147"/>
      <c r="N693" s="148"/>
      <c r="O693" s="149"/>
      <c r="P693" s="150"/>
      <c r="Q693" s="150"/>
      <c r="R693" s="151" t="s">
        <v>914</v>
      </c>
      <c r="S693" s="152"/>
      <c r="T693" s="151"/>
      <c r="U693" s="152"/>
      <c r="V693" s="152" t="n">
        <v>0.057894</v>
      </c>
      <c r="W693" s="152" t="n">
        <v>0.004053</v>
      </c>
      <c r="X693" s="152" t="n">
        <v>0.008621</v>
      </c>
      <c r="Y693" s="152" t="n">
        <v>0.043375</v>
      </c>
      <c r="Z693" s="152" t="n">
        <v>0.002</v>
      </c>
      <c r="AA693" s="152" t="n">
        <v>0.002</v>
      </c>
      <c r="AB693" s="154" t="n">
        <f aca="false">S693-Z693</f>
        <v>-0.002</v>
      </c>
      <c r="AC693" s="154" t="n">
        <f aca="false">U693-Z693-AA693</f>
        <v>-0.004</v>
      </c>
      <c r="AD693" s="155" t="n">
        <v>0.0435</v>
      </c>
      <c r="AE693" s="153" t="n">
        <f aca="false">IF(Y693="","",Y693)</f>
        <v>0.043375</v>
      </c>
      <c r="AF693" s="153" t="n">
        <f aca="false">AD693-AE693</f>
        <v>0.000125</v>
      </c>
      <c r="AG693" s="184" t="n">
        <f aca="false">IF(AF693="","",AE693+AF693)</f>
        <v>0.0435</v>
      </c>
      <c r="AH693" s="185" t="n">
        <v>45495</v>
      </c>
      <c r="AI693" s="35" t="n">
        <v>4</v>
      </c>
      <c r="AJ693" s="19" t="str">
        <f aca="false">IF(AG693="","N","Y")</f>
        <v>Y</v>
      </c>
      <c r="AK693" s="238" t="s">
        <v>964</v>
      </c>
    </row>
    <row r="694" customFormat="false" ht="20.25" hidden="false" customHeight="true" outlineLevel="0" collapsed="false">
      <c r="A694" s="19" t="n">
        <f aca="false">IF(B694="","",IF((YEAR(B694)-YEAR(B693))=0,A693+1,1))</f>
        <v>168</v>
      </c>
      <c r="B694" s="141" t="n">
        <v>45502</v>
      </c>
      <c r="C694" s="63" t="s">
        <v>925</v>
      </c>
      <c r="D694" s="63" t="s">
        <v>926</v>
      </c>
      <c r="E694" s="63" t="s">
        <v>939</v>
      </c>
      <c r="F694" s="63" t="s">
        <v>779</v>
      </c>
      <c r="G694" s="142" t="n">
        <v>45502</v>
      </c>
      <c r="H694" s="142" t="n">
        <v>45688</v>
      </c>
      <c r="I694" s="19" t="n">
        <f aca="false">H694-G694</f>
        <v>186</v>
      </c>
      <c r="J694" s="149" t="n">
        <f aca="false">TRUNC(I694/30,0)</f>
        <v>6</v>
      </c>
      <c r="K694" s="183" t="s">
        <v>95</v>
      </c>
      <c r="L694" s="146" t="n">
        <v>5</v>
      </c>
      <c r="M694" s="147" t="n">
        <v>4.79421</v>
      </c>
      <c r="N694" s="148" t="s">
        <v>971</v>
      </c>
      <c r="O694" s="149" t="s">
        <v>337</v>
      </c>
      <c r="P694" s="150" t="n">
        <v>0.0509145</v>
      </c>
      <c r="Q694" s="150"/>
      <c r="R694" s="151" t="s">
        <v>337</v>
      </c>
      <c r="S694" s="152"/>
      <c r="T694" s="151"/>
      <c r="U694" s="152"/>
      <c r="V694" s="152" t="n">
        <v>0.057088</v>
      </c>
      <c r="W694" s="152" t="n">
        <v>0.001142</v>
      </c>
      <c r="X694" s="152" t="n">
        <v>0.004226</v>
      </c>
      <c r="Y694" s="152" t="n">
        <v>0.047496</v>
      </c>
      <c r="Z694" s="152" t="n">
        <v>0.002</v>
      </c>
      <c r="AA694" s="152" t="n">
        <v>0.002</v>
      </c>
      <c r="AB694" s="154" t="n">
        <f aca="false">S694-Z694</f>
        <v>-0.002</v>
      </c>
      <c r="AC694" s="154" t="n">
        <f aca="false">U694-Z694-AA694</f>
        <v>-0.004</v>
      </c>
      <c r="AD694" s="155" t="n">
        <v>0.05</v>
      </c>
      <c r="AE694" s="153" t="n">
        <v>0.047496</v>
      </c>
      <c r="AF694" s="153" t="n">
        <f aca="false">AD694-AE694</f>
        <v>0.00250400000000001</v>
      </c>
      <c r="AG694" s="184" t="n">
        <f aca="false">IF(AF694="","",AE694+AF694)</f>
        <v>0.05</v>
      </c>
      <c r="AH694" s="185" t="n">
        <v>45502</v>
      </c>
      <c r="AI694" s="35" t="n">
        <v>1</v>
      </c>
      <c r="AJ694" s="19" t="str">
        <f aca="false">IF(AG694="","N","Y")</f>
        <v>Y</v>
      </c>
      <c r="AK694" s="238" t="s">
        <v>964</v>
      </c>
    </row>
    <row r="695" customFormat="false" ht="20.25" hidden="false" customHeight="true" outlineLevel="0" collapsed="false">
      <c r="A695" s="19" t="n">
        <f aca="false">IF(B695="","",IF((YEAR(B695)-YEAR(B694))=0,A694+1,1))</f>
        <v>169</v>
      </c>
      <c r="B695" s="141" t="n">
        <v>45502</v>
      </c>
      <c r="C695" s="63" t="s">
        <v>925</v>
      </c>
      <c r="D695" s="63" t="s">
        <v>926</v>
      </c>
      <c r="E695" s="63" t="s">
        <v>939</v>
      </c>
      <c r="F695" s="63" t="s">
        <v>779</v>
      </c>
      <c r="G695" s="142" t="n">
        <v>45502</v>
      </c>
      <c r="H695" s="142" t="n">
        <v>45688</v>
      </c>
      <c r="I695" s="19" t="n">
        <f aca="false">H695-G695</f>
        <v>186</v>
      </c>
      <c r="J695" s="149" t="n">
        <f aca="false">TRUNC(I695/30,0)</f>
        <v>6</v>
      </c>
      <c r="K695" s="183" t="s">
        <v>95</v>
      </c>
      <c r="L695" s="146" t="n">
        <v>3</v>
      </c>
      <c r="M695" s="147" t="n">
        <v>4.79421</v>
      </c>
      <c r="N695" s="148" t="s">
        <v>971</v>
      </c>
      <c r="O695" s="149" t="s">
        <v>337</v>
      </c>
      <c r="P695" s="150" t="n">
        <v>0.0509145</v>
      </c>
      <c r="Q695" s="150"/>
      <c r="R695" s="151" t="s">
        <v>337</v>
      </c>
      <c r="S695" s="152"/>
      <c r="T695" s="151"/>
      <c r="U695" s="152"/>
      <c r="V695" s="152" t="n">
        <v>0.057088</v>
      </c>
      <c r="W695" s="152" t="n">
        <v>0.001142</v>
      </c>
      <c r="X695" s="152" t="n">
        <v>0.004226</v>
      </c>
      <c r="Y695" s="152" t="n">
        <v>0.047496</v>
      </c>
      <c r="Z695" s="152" t="n">
        <v>0.002</v>
      </c>
      <c r="AA695" s="152" t="n">
        <v>0.002</v>
      </c>
      <c r="AB695" s="154" t="n">
        <f aca="false">S695-Z695</f>
        <v>-0.002</v>
      </c>
      <c r="AC695" s="154" t="n">
        <f aca="false">U695-Z695-AA695</f>
        <v>-0.004</v>
      </c>
      <c r="AD695" s="155" t="n">
        <v>0.05</v>
      </c>
      <c r="AE695" s="153" t="n">
        <v>0.047496</v>
      </c>
      <c r="AF695" s="153" t="n">
        <f aca="false">AD695-AE695</f>
        <v>0.00250400000000001</v>
      </c>
      <c r="AG695" s="184" t="n">
        <f aca="false">IF(AF695="","",AE695+AF695)</f>
        <v>0.05</v>
      </c>
      <c r="AH695" s="185" t="n">
        <v>45502</v>
      </c>
      <c r="AI695" s="35" t="n">
        <v>2</v>
      </c>
      <c r="AJ695" s="19" t="str">
        <f aca="false">IF(AG695="","N","Y")</f>
        <v>Y</v>
      </c>
      <c r="AK695" s="238" t="s">
        <v>964</v>
      </c>
    </row>
    <row r="696" customFormat="false" ht="20.25" hidden="false" customHeight="true" outlineLevel="0" collapsed="false">
      <c r="A696" s="19" t="n">
        <f aca="false">IF(B696="","",IF((YEAR(B696)-YEAR(B695))=0,A695+1,1))</f>
        <v>170</v>
      </c>
      <c r="B696" s="141" t="n">
        <v>45502</v>
      </c>
      <c r="C696" s="63" t="s">
        <v>925</v>
      </c>
      <c r="D696" s="63" t="s">
        <v>926</v>
      </c>
      <c r="E696" s="63" t="s">
        <v>939</v>
      </c>
      <c r="F696" s="63" t="s">
        <v>779</v>
      </c>
      <c r="G696" s="142" t="n">
        <v>45502</v>
      </c>
      <c r="H696" s="142" t="n">
        <v>45688</v>
      </c>
      <c r="I696" s="19" t="n">
        <f aca="false">H696-G696</f>
        <v>186</v>
      </c>
      <c r="J696" s="149" t="n">
        <f aca="false">TRUNC(I696/30,0)</f>
        <v>6</v>
      </c>
      <c r="K696" s="183" t="s">
        <v>95</v>
      </c>
      <c r="L696" s="146" t="n">
        <v>1</v>
      </c>
      <c r="M696" s="147" t="n">
        <v>4.79421</v>
      </c>
      <c r="N696" s="148" t="s">
        <v>971</v>
      </c>
      <c r="O696" s="149" t="s">
        <v>337</v>
      </c>
      <c r="P696" s="150" t="n">
        <v>0.0509145</v>
      </c>
      <c r="Q696" s="150"/>
      <c r="R696" s="151" t="s">
        <v>337</v>
      </c>
      <c r="S696" s="152"/>
      <c r="T696" s="151"/>
      <c r="U696" s="152"/>
      <c r="V696" s="152" t="n">
        <v>0.057088</v>
      </c>
      <c r="W696" s="152" t="n">
        <v>0.001142</v>
      </c>
      <c r="X696" s="152" t="n">
        <v>0.004226</v>
      </c>
      <c r="Y696" s="152" t="n">
        <v>0.047496</v>
      </c>
      <c r="Z696" s="152" t="n">
        <v>0.002</v>
      </c>
      <c r="AA696" s="152" t="n">
        <v>0.002</v>
      </c>
      <c r="AB696" s="154" t="n">
        <f aca="false">S696-Z696</f>
        <v>-0.002</v>
      </c>
      <c r="AC696" s="154" t="n">
        <f aca="false">U696-Z696-AA696</f>
        <v>-0.004</v>
      </c>
      <c r="AD696" s="155" t="n">
        <v>0.05</v>
      </c>
      <c r="AE696" s="153" t="n">
        <v>0.047496</v>
      </c>
      <c r="AF696" s="153" t="n">
        <f aca="false">AD696-AE696</f>
        <v>0.00250400000000001</v>
      </c>
      <c r="AG696" s="184" t="n">
        <f aca="false">IF(AF696="","",AE696+AF696)</f>
        <v>0.05</v>
      </c>
      <c r="AH696" s="185" t="n">
        <v>45502</v>
      </c>
      <c r="AI696" s="35" t="n">
        <v>3</v>
      </c>
      <c r="AJ696" s="19" t="str">
        <f aca="false">IF(AG696="","N","Y")</f>
        <v>Y</v>
      </c>
      <c r="AK696" s="238" t="s">
        <v>964</v>
      </c>
    </row>
    <row r="697" customFormat="false" ht="20.25" hidden="false" customHeight="true" outlineLevel="0" collapsed="false">
      <c r="A697" s="19" t="n">
        <f aca="false">IF(B697="","",IF((YEAR(B697)-YEAR(B696))=0,A696+1,1))</f>
        <v>171</v>
      </c>
      <c r="B697" s="141" t="n">
        <v>45502</v>
      </c>
      <c r="C697" s="63" t="s">
        <v>925</v>
      </c>
      <c r="D697" s="63" t="s">
        <v>926</v>
      </c>
      <c r="E697" s="63" t="s">
        <v>939</v>
      </c>
      <c r="F697" s="63" t="s">
        <v>779</v>
      </c>
      <c r="G697" s="142" t="n">
        <v>45502</v>
      </c>
      <c r="H697" s="142" t="n">
        <v>45688</v>
      </c>
      <c r="I697" s="19" t="n">
        <f aca="false">H697-G697</f>
        <v>186</v>
      </c>
      <c r="J697" s="149" t="n">
        <f aca="false">TRUNC(I697/30,0)</f>
        <v>6</v>
      </c>
      <c r="K697" s="183" t="s">
        <v>95</v>
      </c>
      <c r="L697" s="146" t="n">
        <v>1</v>
      </c>
      <c r="M697" s="147" t="n">
        <v>4.79421</v>
      </c>
      <c r="N697" s="148" t="s">
        <v>971</v>
      </c>
      <c r="O697" s="149" t="s">
        <v>337</v>
      </c>
      <c r="P697" s="150" t="n">
        <v>0.0509145</v>
      </c>
      <c r="Q697" s="150"/>
      <c r="R697" s="151" t="s">
        <v>337</v>
      </c>
      <c r="S697" s="152"/>
      <c r="T697" s="151"/>
      <c r="U697" s="152"/>
      <c r="V697" s="152" t="n">
        <v>0.057088</v>
      </c>
      <c r="W697" s="152" t="n">
        <v>0.001142</v>
      </c>
      <c r="X697" s="152" t="n">
        <v>0.004226</v>
      </c>
      <c r="Y697" s="152" t="n">
        <v>0.047496</v>
      </c>
      <c r="Z697" s="152" t="n">
        <v>0.002</v>
      </c>
      <c r="AA697" s="152" t="n">
        <v>0.002</v>
      </c>
      <c r="AB697" s="154" t="n">
        <f aca="false">S697-Z697</f>
        <v>-0.002</v>
      </c>
      <c r="AC697" s="154" t="n">
        <f aca="false">U697-Z697-AA697</f>
        <v>-0.004</v>
      </c>
      <c r="AD697" s="155" t="n">
        <v>0.05</v>
      </c>
      <c r="AE697" s="153" t="n">
        <v>0.047496</v>
      </c>
      <c r="AF697" s="153" t="n">
        <f aca="false">AD697-AE697</f>
        <v>0.00250400000000001</v>
      </c>
      <c r="AG697" s="184" t="n">
        <f aca="false">IF(AF697="","",AE697+AF697)</f>
        <v>0.05</v>
      </c>
      <c r="AH697" s="185" t="n">
        <v>45502</v>
      </c>
      <c r="AI697" s="35" t="n">
        <v>4</v>
      </c>
      <c r="AJ697" s="19" t="str">
        <f aca="false">IF(AG697="","N","Y")</f>
        <v>Y</v>
      </c>
      <c r="AK697" s="238" t="s">
        <v>964</v>
      </c>
    </row>
    <row r="698" customFormat="false" ht="20.25" hidden="false" customHeight="true" outlineLevel="0" collapsed="false">
      <c r="A698" s="19" t="n">
        <f aca="false">IF(B698="","",IF((YEAR(B698)-YEAR(B697))=0,A697+1,1))</f>
        <v>172</v>
      </c>
      <c r="B698" s="141" t="n">
        <v>45503</v>
      </c>
      <c r="C698" s="63" t="s">
        <v>96</v>
      </c>
      <c r="D698" s="63" t="s">
        <v>934</v>
      </c>
      <c r="E698" s="63" t="s">
        <v>935</v>
      </c>
      <c r="F698" s="63" t="s">
        <v>662</v>
      </c>
      <c r="G698" s="142" t="n">
        <v>45503</v>
      </c>
      <c r="H698" s="142" t="n">
        <v>45538</v>
      </c>
      <c r="I698" s="19" t="n">
        <f aca="false">H698-G698</f>
        <v>35</v>
      </c>
      <c r="J698" s="149" t="n">
        <f aca="false">TRUNC(I698/30,0)</f>
        <v>1</v>
      </c>
      <c r="K698" s="183" t="s">
        <v>95</v>
      </c>
      <c r="L698" s="146" t="n">
        <v>10</v>
      </c>
      <c r="M698" s="147" t="n">
        <v>4.86</v>
      </c>
      <c r="N698" s="148" t="s">
        <v>972</v>
      </c>
      <c r="O698" s="149" t="s">
        <v>303</v>
      </c>
      <c r="P698" s="150" t="n">
        <v>0.053467</v>
      </c>
      <c r="Q698" s="150"/>
      <c r="R698" s="151" t="s">
        <v>914</v>
      </c>
      <c r="S698" s="152"/>
      <c r="T698" s="151"/>
      <c r="U698" s="152"/>
      <c r="V698" s="152" t="n">
        <v>0.057473</v>
      </c>
      <c r="W698" s="152" t="n">
        <v>0.001149</v>
      </c>
      <c r="X698" s="152" t="n">
        <v>0.004603</v>
      </c>
      <c r="Y698" s="153" t="n">
        <v>0.046652</v>
      </c>
      <c r="Z698" s="152" t="n">
        <v>0.002</v>
      </c>
      <c r="AA698" s="152" t="n">
        <v>0.002</v>
      </c>
      <c r="AB698" s="154" t="n">
        <f aca="false">S698-Z698</f>
        <v>-0.002</v>
      </c>
      <c r="AC698" s="154" t="n">
        <f aca="false">U698-Z698-AA698</f>
        <v>-0.004</v>
      </c>
      <c r="AD698" s="155" t="n">
        <v>0.05</v>
      </c>
      <c r="AE698" s="153" t="n">
        <v>0.046652</v>
      </c>
      <c r="AF698" s="153" t="n">
        <f aca="false">AD698-AE698</f>
        <v>0.003348</v>
      </c>
      <c r="AG698" s="184" t="n">
        <f aca="false">IF(AF698="","",AE698+AF698)</f>
        <v>0.05</v>
      </c>
      <c r="AH698" s="185" t="n">
        <v>45503</v>
      </c>
      <c r="AI698" s="35" t="n">
        <v>1</v>
      </c>
      <c r="AJ698" s="19" t="str">
        <f aca="false">IF(AG698="","N","Y")</f>
        <v>Y</v>
      </c>
      <c r="AK698" s="159" t="s">
        <v>973</v>
      </c>
    </row>
    <row r="699" customFormat="false" ht="20.25" hidden="false" customHeight="true" outlineLevel="0" collapsed="false">
      <c r="A699" s="19" t="n">
        <v>173</v>
      </c>
      <c r="B699" s="141" t="n">
        <v>45505</v>
      </c>
      <c r="C699" s="63" t="s">
        <v>100</v>
      </c>
      <c r="D699" s="63" t="s">
        <v>922</v>
      </c>
      <c r="E699" s="63" t="s">
        <v>974</v>
      </c>
      <c r="F699" s="200" t="s">
        <v>826</v>
      </c>
      <c r="G699" s="142" t="n">
        <v>45505</v>
      </c>
      <c r="H699" s="142" t="n">
        <v>45512</v>
      </c>
      <c r="I699" s="19" t="n">
        <f aca="false">H699-G699</f>
        <v>7</v>
      </c>
      <c r="J699" s="149" t="n">
        <f aca="false">TRUNC(I699/30,0)</f>
        <v>0</v>
      </c>
      <c r="K699" s="183" t="s">
        <v>95</v>
      </c>
      <c r="L699" s="146" t="n">
        <v>19</v>
      </c>
      <c r="M699" s="147" t="n">
        <v>4.57</v>
      </c>
      <c r="N699" s="148" t="s">
        <v>975</v>
      </c>
      <c r="O699" s="149" t="s">
        <v>303</v>
      </c>
      <c r="P699" s="150" t="n">
        <v>0.0534255</v>
      </c>
      <c r="Q699" s="150"/>
      <c r="R699" s="151" t="s">
        <v>914</v>
      </c>
      <c r="S699" s="152"/>
      <c r="T699" s="151"/>
      <c r="U699" s="152"/>
      <c r="V699" s="152" t="n">
        <v>0.055726</v>
      </c>
      <c r="W699" s="152" t="n">
        <v>0.001115</v>
      </c>
      <c r="X699" s="152" t="n">
        <v>0.002891</v>
      </c>
      <c r="Y699" s="152" t="n">
        <v>0.043293</v>
      </c>
      <c r="Z699" s="152" t="n">
        <v>0.002</v>
      </c>
      <c r="AA699" s="152" t="n">
        <v>0.002</v>
      </c>
      <c r="AB699" s="154" t="n">
        <f aca="false">S699-Z699</f>
        <v>-0.002</v>
      </c>
      <c r="AC699" s="154" t="n">
        <f aca="false">U699-Z699-AA699</f>
        <v>-0.004</v>
      </c>
      <c r="AD699" s="155" t="n">
        <v>0.05</v>
      </c>
      <c r="AE699" s="153" t="n">
        <v>0.043293</v>
      </c>
      <c r="AF699" s="153" t="n">
        <f aca="false">AD699-AE699</f>
        <v>0.00670700000000001</v>
      </c>
      <c r="AG699" s="184" t="n">
        <f aca="false">IF(AF699="","",AE699+AF699)</f>
        <v>0.05</v>
      </c>
      <c r="AH699" s="185" t="n">
        <v>45505</v>
      </c>
      <c r="AI699" s="35" t="n">
        <v>1</v>
      </c>
      <c r="AJ699" s="19" t="str">
        <f aca="false">IF(AG699="","N","Y")</f>
        <v>Y</v>
      </c>
      <c r="AK699" s="238" t="s">
        <v>964</v>
      </c>
    </row>
    <row r="700" customFormat="false" ht="20.25" hidden="false" customHeight="true" outlineLevel="0" collapsed="false">
      <c r="A700" s="19" t="n">
        <v>174</v>
      </c>
      <c r="B700" s="141" t="n">
        <v>45509</v>
      </c>
      <c r="C700" s="63" t="s">
        <v>862</v>
      </c>
      <c r="D700" s="63" t="s">
        <v>932</v>
      </c>
      <c r="E700" s="63" t="s">
        <v>970</v>
      </c>
      <c r="F700" s="393" t="s">
        <v>864</v>
      </c>
      <c r="G700" s="142" t="n">
        <v>45509</v>
      </c>
      <c r="H700" s="142" t="n">
        <v>45540</v>
      </c>
      <c r="I700" s="19" t="n">
        <f aca="false">H700-G700</f>
        <v>31</v>
      </c>
      <c r="J700" s="149" t="n">
        <f aca="false">TRUNC(I700/30,0)</f>
        <v>1</v>
      </c>
      <c r="K700" s="189" t="s">
        <v>99</v>
      </c>
      <c r="L700" s="146" t="n">
        <v>2</v>
      </c>
      <c r="M700" s="147" t="n">
        <v>4.15</v>
      </c>
      <c r="N700" s="148"/>
      <c r="O700" s="149" t="s">
        <v>303</v>
      </c>
      <c r="P700" s="150" t="n">
        <v>0.0535204</v>
      </c>
      <c r="Q700" s="150"/>
      <c r="R700" s="151" t="s">
        <v>914</v>
      </c>
      <c r="S700" s="152"/>
      <c r="T700" s="151"/>
      <c r="U700" s="152"/>
      <c r="V700" s="152" t="n">
        <v>0.057716</v>
      </c>
      <c r="W700" s="152" t="n">
        <v>0.00404</v>
      </c>
      <c r="X700" s="152" t="n">
        <v>0.008956</v>
      </c>
      <c r="Y700" s="152" t="n">
        <v>0.04334</v>
      </c>
      <c r="Z700" s="152" t="n">
        <v>0.002</v>
      </c>
      <c r="AA700" s="152" t="n">
        <v>0.002</v>
      </c>
      <c r="AB700" s="154" t="n">
        <f aca="false">S700-Z700</f>
        <v>-0.002</v>
      </c>
      <c r="AC700" s="154" t="n">
        <f aca="false">U700-Z700-AA700</f>
        <v>-0.004</v>
      </c>
      <c r="AD700" s="224" t="n">
        <v>0.044</v>
      </c>
      <c r="AE700" s="153" t="n">
        <v>0.041458</v>
      </c>
      <c r="AF700" s="153" t="n">
        <f aca="false">AD700-AE700</f>
        <v>0.002542</v>
      </c>
      <c r="AG700" s="184" t="n">
        <f aca="false">IF(AF700="","",AE700+AF700)</f>
        <v>0.044</v>
      </c>
      <c r="AH700" s="185" t="n">
        <v>45509</v>
      </c>
      <c r="AI700" s="35" t="n">
        <v>1</v>
      </c>
      <c r="AJ700" s="19" t="str">
        <f aca="false">IF(AG700="","N","Y")</f>
        <v>Y</v>
      </c>
      <c r="AK700" s="238" t="s">
        <v>964</v>
      </c>
    </row>
    <row r="701" customFormat="false" ht="20.25" hidden="false" customHeight="true" outlineLevel="0" collapsed="false">
      <c r="A701" s="19" t="n">
        <v>175</v>
      </c>
      <c r="B701" s="141" t="n">
        <v>45512</v>
      </c>
      <c r="C701" s="63" t="s">
        <v>209</v>
      </c>
      <c r="D701" s="63" t="s">
        <v>913</v>
      </c>
      <c r="E701" s="63" t="s">
        <v>966</v>
      </c>
      <c r="F701" s="63" t="s">
        <v>697</v>
      </c>
      <c r="G701" s="142" t="n">
        <v>45512</v>
      </c>
      <c r="H701" s="142" t="n">
        <v>45543</v>
      </c>
      <c r="I701" s="19" t="n">
        <f aca="false">H701-G701</f>
        <v>31</v>
      </c>
      <c r="J701" s="149" t="n">
        <f aca="false">TRUNC(I701/30,0)</f>
        <v>1</v>
      </c>
      <c r="K701" s="183" t="s">
        <v>95</v>
      </c>
      <c r="L701" s="146" t="n">
        <v>7</v>
      </c>
      <c r="M701" s="147" t="n">
        <v>4.83</v>
      </c>
      <c r="N701" s="148" t="s">
        <v>941</v>
      </c>
      <c r="O701" s="149" t="s">
        <v>303</v>
      </c>
      <c r="P701" s="150" t="n">
        <v>0.0532501</v>
      </c>
      <c r="Q701" s="150"/>
      <c r="R701" s="151" t="s">
        <v>914</v>
      </c>
      <c r="S701" s="152"/>
      <c r="T701" s="151"/>
      <c r="U701" s="152"/>
      <c r="V701" s="152" t="n">
        <v>0.056887</v>
      </c>
      <c r="W701" s="152" t="n">
        <v>0.001138</v>
      </c>
      <c r="X701" s="152" t="n">
        <v>0.003029</v>
      </c>
      <c r="Y701" s="152" t="n">
        <v>0.047485</v>
      </c>
      <c r="Z701" s="152" t="n">
        <v>0.002</v>
      </c>
      <c r="AA701" s="152" t="n">
        <v>0.002</v>
      </c>
      <c r="AB701" s="154" t="n">
        <f aca="false">S701-Z701</f>
        <v>-0.002</v>
      </c>
      <c r="AC701" s="154" t="n">
        <f aca="false">U701-Z701-AA701</f>
        <v>-0.004</v>
      </c>
      <c r="AD701" s="155" t="n">
        <v>0.051</v>
      </c>
      <c r="AE701" s="153" t="n">
        <f aca="false">IF(Y701="","",Y701)</f>
        <v>0.047485</v>
      </c>
      <c r="AF701" s="153" t="n">
        <f aca="false">AD701-AE701</f>
        <v>0.003515</v>
      </c>
      <c r="AG701" s="184" t="n">
        <f aca="false">IF(AF701="","",AE701+AF701)</f>
        <v>0.051</v>
      </c>
      <c r="AH701" s="185" t="n">
        <v>45512</v>
      </c>
      <c r="AI701" s="35" t="n">
        <v>1</v>
      </c>
      <c r="AJ701" s="19" t="str">
        <f aca="false">IF(AG701="","N","Y")</f>
        <v>Y</v>
      </c>
      <c r="AK701" s="159" t="n">
        <v>5.4</v>
      </c>
    </row>
    <row r="702" customFormat="false" ht="20.25" hidden="false" customHeight="true" outlineLevel="0" collapsed="false">
      <c r="A702" s="19" t="n">
        <v>176</v>
      </c>
      <c r="B702" s="141" t="n">
        <v>45512</v>
      </c>
      <c r="C702" s="63" t="s">
        <v>209</v>
      </c>
      <c r="D702" s="63" t="s">
        <v>913</v>
      </c>
      <c r="E702" s="63" t="s">
        <v>966</v>
      </c>
      <c r="F702" s="63" t="s">
        <v>697</v>
      </c>
      <c r="G702" s="142" t="n">
        <v>45512</v>
      </c>
      <c r="H702" s="142" t="n">
        <v>45543</v>
      </c>
      <c r="I702" s="19" t="n">
        <f aca="false">H702-G702</f>
        <v>31</v>
      </c>
      <c r="J702" s="149" t="n">
        <f aca="false">TRUNC(I702/30,0)</f>
        <v>1</v>
      </c>
      <c r="K702" s="183" t="s">
        <v>95</v>
      </c>
      <c r="L702" s="146" t="n">
        <v>1</v>
      </c>
      <c r="M702" s="147" t="n">
        <v>4.83</v>
      </c>
      <c r="N702" s="148" t="s">
        <v>941</v>
      </c>
      <c r="O702" s="149" t="s">
        <v>303</v>
      </c>
      <c r="P702" s="150" t="n">
        <v>0.0532501</v>
      </c>
      <c r="Q702" s="150"/>
      <c r="R702" s="151" t="s">
        <v>914</v>
      </c>
      <c r="S702" s="152"/>
      <c r="T702" s="151"/>
      <c r="U702" s="152"/>
      <c r="V702" s="152" t="n">
        <v>0.056887</v>
      </c>
      <c r="W702" s="152" t="n">
        <v>0.001138</v>
      </c>
      <c r="X702" s="152" t="n">
        <v>0.003029</v>
      </c>
      <c r="Y702" s="152" t="n">
        <v>0.047485</v>
      </c>
      <c r="Z702" s="152" t="n">
        <v>0.002</v>
      </c>
      <c r="AA702" s="152" t="n">
        <v>0.002</v>
      </c>
      <c r="AB702" s="154" t="n">
        <f aca="false">S702-Z702</f>
        <v>-0.002</v>
      </c>
      <c r="AC702" s="154" t="n">
        <f aca="false">U702-Z702-AA702</f>
        <v>-0.004</v>
      </c>
      <c r="AD702" s="155" t="n">
        <v>0.051</v>
      </c>
      <c r="AE702" s="153" t="n">
        <f aca="false">IF(Y702="","",Y702)</f>
        <v>0.047485</v>
      </c>
      <c r="AF702" s="153" t="n">
        <f aca="false">AD702-AE702</f>
        <v>0.003515</v>
      </c>
      <c r="AG702" s="184" t="n">
        <f aca="false">IF(AF702="","",AE702+AF702)</f>
        <v>0.051</v>
      </c>
      <c r="AH702" s="185" t="n">
        <v>45512</v>
      </c>
      <c r="AI702" s="35" t="n">
        <v>2</v>
      </c>
      <c r="AJ702" s="19" t="str">
        <f aca="false">IF(AG702="","N","Y")</f>
        <v>Y</v>
      </c>
      <c r="AK702" s="159" t="n">
        <v>5.4</v>
      </c>
    </row>
    <row r="703" customFormat="false" ht="20.25" hidden="false" customHeight="true" outlineLevel="0" collapsed="false">
      <c r="A703" s="19" t="n">
        <v>177</v>
      </c>
      <c r="B703" s="141" t="n">
        <v>45513</v>
      </c>
      <c r="C703" s="63" t="s">
        <v>100</v>
      </c>
      <c r="D703" s="63" t="s">
        <v>922</v>
      </c>
      <c r="E703" s="63" t="s">
        <v>974</v>
      </c>
      <c r="F703" s="200" t="s">
        <v>826</v>
      </c>
      <c r="G703" s="142" t="n">
        <v>45513</v>
      </c>
      <c r="H703" s="142" t="n">
        <v>45538</v>
      </c>
      <c r="I703" s="19" t="n">
        <f aca="false">H703-G703</f>
        <v>25</v>
      </c>
      <c r="J703" s="149" t="n">
        <f aca="false">TRUNC(I703/30,0)</f>
        <v>0</v>
      </c>
      <c r="K703" s="183" t="s">
        <v>95</v>
      </c>
      <c r="L703" s="146" t="n">
        <v>25</v>
      </c>
      <c r="M703" s="147" t="n">
        <v>4.83</v>
      </c>
      <c r="N703" s="148" t="s">
        <v>941</v>
      </c>
      <c r="O703" s="149" t="s">
        <v>303</v>
      </c>
      <c r="P703" s="150" t="n">
        <v>0.0532666</v>
      </c>
      <c r="Q703" s="150"/>
      <c r="R703" s="151" t="s">
        <v>914</v>
      </c>
      <c r="S703" s="152"/>
      <c r="T703" s="151"/>
      <c r="U703" s="152"/>
      <c r="V703" s="152" t="n">
        <v>0.056889</v>
      </c>
      <c r="W703" s="152" t="n">
        <v>0.001138</v>
      </c>
      <c r="X703" s="152" t="n">
        <v>0.004031</v>
      </c>
      <c r="Y703" s="152" t="n">
        <v>0.043262</v>
      </c>
      <c r="Z703" s="152" t="n">
        <v>0.002</v>
      </c>
      <c r="AA703" s="152" t="n">
        <v>0.002</v>
      </c>
      <c r="AB703" s="154" t="n">
        <f aca="false">S703-Z703</f>
        <v>-0.002</v>
      </c>
      <c r="AC703" s="154" t="n">
        <f aca="false">U703-Z703-AA703</f>
        <v>-0.004</v>
      </c>
      <c r="AD703" s="155" t="n">
        <v>0.05</v>
      </c>
      <c r="AE703" s="153" t="n">
        <f aca="false">IF(Y703="","",Y703)</f>
        <v>0.043262</v>
      </c>
      <c r="AF703" s="153" t="n">
        <f aca="false">AD703-AE703</f>
        <v>0.006738</v>
      </c>
      <c r="AG703" s="184" t="n">
        <f aca="false">IF(AF703="","",AE703+AF703)</f>
        <v>0.05</v>
      </c>
      <c r="AH703" s="185" t="n">
        <v>45513</v>
      </c>
      <c r="AI703" s="35" t="n">
        <v>1</v>
      </c>
      <c r="AJ703" s="19" t="str">
        <f aca="false">IF(AG703="","N","Y")</f>
        <v>Y</v>
      </c>
      <c r="AK703" s="159" t="s">
        <v>976</v>
      </c>
    </row>
    <row r="704" customFormat="false" ht="20.25" hidden="false" customHeight="true" outlineLevel="0" collapsed="false">
      <c r="A704" s="19" t="n">
        <v>178</v>
      </c>
      <c r="B704" s="141" t="n">
        <v>45517</v>
      </c>
      <c r="C704" s="63" t="s">
        <v>977</v>
      </c>
      <c r="D704" s="63" t="s">
        <v>978</v>
      </c>
      <c r="E704" s="63" t="s">
        <v>979</v>
      </c>
      <c r="F704" s="63" t="s">
        <v>980</v>
      </c>
      <c r="G704" s="142" t="n">
        <v>45517</v>
      </c>
      <c r="H704" s="142" t="n">
        <v>45609</v>
      </c>
      <c r="I704" s="19" t="n">
        <f aca="false">H704-G704</f>
        <v>92</v>
      </c>
      <c r="J704" s="149" t="n">
        <f aca="false">TRUNC(I704/30,0)</f>
        <v>3</v>
      </c>
      <c r="K704" s="183" t="s">
        <v>95</v>
      </c>
      <c r="L704" s="146" t="n">
        <v>2</v>
      </c>
      <c r="M704" s="147" t="n">
        <v>4.75713</v>
      </c>
      <c r="N704" s="148" t="s">
        <v>981</v>
      </c>
      <c r="O704" s="149" t="s">
        <v>303</v>
      </c>
      <c r="P704" s="150" t="n">
        <v>0.0533777</v>
      </c>
      <c r="Q704" s="150"/>
      <c r="R704" s="151" t="s">
        <v>914</v>
      </c>
      <c r="S704" s="152"/>
      <c r="T704" s="151"/>
      <c r="U704" s="152"/>
      <c r="V704" s="152" t="n">
        <v>0.056606</v>
      </c>
      <c r="W704" s="152" t="n">
        <v>0.001132</v>
      </c>
      <c r="X704" s="152" t="n">
        <v>0.003254</v>
      </c>
      <c r="Y704" s="152" t="n">
        <v>0.047236</v>
      </c>
      <c r="Z704" s="152" t="n">
        <v>0.002</v>
      </c>
      <c r="AA704" s="152" t="n">
        <v>0.002</v>
      </c>
      <c r="AB704" s="154" t="n">
        <f aca="false">S704-Z704</f>
        <v>-0.002</v>
      </c>
      <c r="AC704" s="154" t="n">
        <f aca="false">U704-Z704-AA704</f>
        <v>-0.004</v>
      </c>
      <c r="AD704" s="155" t="n">
        <v>0.0505</v>
      </c>
      <c r="AE704" s="153" t="n">
        <v>0.047236</v>
      </c>
      <c r="AF704" s="153" t="n">
        <f aca="false">AD704-AE704</f>
        <v>0.003264</v>
      </c>
      <c r="AG704" s="184" t="n">
        <f aca="false">IF(AF704="","",AE704+AF704)</f>
        <v>0.0505</v>
      </c>
      <c r="AH704" s="185" t="n">
        <v>45517</v>
      </c>
      <c r="AI704" s="35" t="n">
        <v>1</v>
      </c>
      <c r="AJ704" s="19" t="str">
        <f aca="false">IF(AG704="","N","Y")</f>
        <v>Y</v>
      </c>
      <c r="AK704" s="159" t="s">
        <v>982</v>
      </c>
    </row>
    <row r="705" customFormat="false" ht="20.25" hidden="false" customHeight="true" outlineLevel="0" collapsed="false">
      <c r="A705" s="19" t="n">
        <v>179</v>
      </c>
      <c r="B705" s="141" t="n">
        <v>45518</v>
      </c>
      <c r="C705" s="63" t="s">
        <v>96</v>
      </c>
      <c r="D705" s="63" t="s">
        <v>983</v>
      </c>
      <c r="E705" s="63" t="s">
        <v>984</v>
      </c>
      <c r="F705" s="63" t="s">
        <v>683</v>
      </c>
      <c r="G705" s="142" t="n">
        <v>45518</v>
      </c>
      <c r="H705" s="142" t="n">
        <v>45610</v>
      </c>
      <c r="I705" s="19" t="n">
        <f aca="false">H705-G705</f>
        <v>92</v>
      </c>
      <c r="J705" s="149" t="n">
        <f aca="false">TRUNC(I705/30,0)</f>
        <v>3</v>
      </c>
      <c r="K705" s="183" t="s">
        <v>95</v>
      </c>
      <c r="L705" s="146" t="n">
        <v>3.5</v>
      </c>
      <c r="M705" s="147" t="n">
        <v>4.75176</v>
      </c>
      <c r="N705" s="148" t="s">
        <v>985</v>
      </c>
      <c r="O705" s="149" t="s">
        <v>303</v>
      </c>
      <c r="P705" s="150" t="n">
        <v>0.0533689</v>
      </c>
      <c r="Q705" s="150"/>
      <c r="R705" s="151" t="s">
        <v>914</v>
      </c>
      <c r="S705" s="152"/>
      <c r="T705" s="151"/>
      <c r="U705" s="152"/>
      <c r="V705" s="152" t="n">
        <v>0.056639</v>
      </c>
      <c r="W705" s="152" t="n">
        <v>0.001133</v>
      </c>
      <c r="X705" s="152" t="n">
        <v>0.003286</v>
      </c>
      <c r="Y705" s="152" t="n">
        <v>0.047257</v>
      </c>
      <c r="Z705" s="152" t="n">
        <v>0.002</v>
      </c>
      <c r="AA705" s="152" t="n">
        <v>0.002</v>
      </c>
      <c r="AB705" s="154" t="n">
        <f aca="false">S705-Z705</f>
        <v>-0.002</v>
      </c>
      <c r="AC705" s="154" t="n">
        <f aca="false">U705-Z705-AA705</f>
        <v>-0.004</v>
      </c>
      <c r="AD705" s="155" t="n">
        <v>0.0505</v>
      </c>
      <c r="AE705" s="153" t="n">
        <v>0.047257</v>
      </c>
      <c r="AF705" s="153" t="n">
        <f aca="false">AD705-AE705</f>
        <v>0.003243</v>
      </c>
      <c r="AG705" s="184" t="n">
        <f aca="false">IF(AF705="","",AE705+AF705)</f>
        <v>0.0505</v>
      </c>
      <c r="AH705" s="185" t="n">
        <v>45518</v>
      </c>
      <c r="AI705" s="35" t="n">
        <v>1</v>
      </c>
      <c r="AJ705" s="19" t="str">
        <f aca="false">IF(AG705="","N","Y")</f>
        <v>Y</v>
      </c>
      <c r="AK705" s="159" t="s">
        <v>986</v>
      </c>
    </row>
    <row r="706" customFormat="false" ht="20.25" hidden="false" customHeight="true" outlineLevel="0" collapsed="false">
      <c r="A706" s="19" t="n">
        <v>180</v>
      </c>
      <c r="B706" s="141" t="n">
        <v>45520</v>
      </c>
      <c r="C706" s="63" t="s">
        <v>96</v>
      </c>
      <c r="D706" s="63" t="s">
        <v>983</v>
      </c>
      <c r="E706" s="63" t="s">
        <v>987</v>
      </c>
      <c r="F706" s="63" t="s">
        <v>754</v>
      </c>
      <c r="G706" s="142" t="n">
        <v>45520</v>
      </c>
      <c r="H706" s="142" t="n">
        <v>45614</v>
      </c>
      <c r="I706" s="19" t="n">
        <f aca="false">H706-G706</f>
        <v>94</v>
      </c>
      <c r="J706" s="149" t="n">
        <f aca="false">TRUNC(I706/30,0)</f>
        <v>3</v>
      </c>
      <c r="K706" s="183" t="s">
        <v>95</v>
      </c>
      <c r="L706" s="146" t="n">
        <v>2</v>
      </c>
      <c r="M706" s="147" t="n">
        <v>4.73</v>
      </c>
      <c r="N706" s="148" t="s">
        <v>988</v>
      </c>
      <c r="O706" s="149" t="s">
        <v>303</v>
      </c>
      <c r="P706" s="150" t="n">
        <v>0.0534157</v>
      </c>
      <c r="Q706" s="150"/>
      <c r="R706" s="151" t="s">
        <v>914</v>
      </c>
      <c r="S706" s="152"/>
      <c r="T706" s="151"/>
      <c r="U706" s="152"/>
      <c r="V706" s="152" t="n">
        <v>0.056659</v>
      </c>
      <c r="W706" s="152" t="n">
        <v>0.001133</v>
      </c>
      <c r="X706" s="152" t="n">
        <v>0.003806</v>
      </c>
      <c r="Y706" s="152" t="n">
        <v>0.047095</v>
      </c>
      <c r="Z706" s="152" t="n">
        <v>0.002</v>
      </c>
      <c r="AA706" s="152" t="n">
        <v>0.002</v>
      </c>
      <c r="AB706" s="154" t="n">
        <f aca="false">S706-Z706</f>
        <v>-0.002</v>
      </c>
      <c r="AC706" s="154" t="n">
        <f aca="false">U706-Z706-AA706</f>
        <v>-0.004</v>
      </c>
      <c r="AD706" s="155" t="n">
        <v>0.05</v>
      </c>
      <c r="AE706" s="153" t="n">
        <f aca="false">IF(Y706="","",Y706)</f>
        <v>0.047095</v>
      </c>
      <c r="AF706" s="153" t="n">
        <f aca="false">AD706-AE706</f>
        <v>0.00290500000000001</v>
      </c>
      <c r="AG706" s="184" t="n">
        <f aca="false">IF(AF706="","",AE706+AF706)</f>
        <v>0.05</v>
      </c>
      <c r="AH706" s="185" t="n">
        <v>45520</v>
      </c>
      <c r="AI706" s="35" t="n">
        <v>1</v>
      </c>
      <c r="AJ706" s="19" t="str">
        <f aca="false">IF(AG706="","N","Y")</f>
        <v>Y</v>
      </c>
      <c r="AK706" s="159" t="s">
        <v>989</v>
      </c>
    </row>
    <row r="707" customFormat="false" ht="20.25" hidden="false" customHeight="true" outlineLevel="0" collapsed="false">
      <c r="A707" s="19" t="n">
        <v>181</v>
      </c>
      <c r="B707" s="141" t="n">
        <v>45525</v>
      </c>
      <c r="C707" s="63" t="s">
        <v>96</v>
      </c>
      <c r="D707" s="63" t="s">
        <v>983</v>
      </c>
      <c r="E707" s="63" t="s">
        <v>987</v>
      </c>
      <c r="F707" s="63" t="s">
        <v>754</v>
      </c>
      <c r="G707" s="142" t="n">
        <v>45525</v>
      </c>
      <c r="H707" s="142" t="n">
        <v>45617</v>
      </c>
      <c r="I707" s="19" t="n">
        <f aca="false">H707-G707</f>
        <v>92</v>
      </c>
      <c r="J707" s="149" t="n">
        <f aca="false">TRUNC(I707/30,0)</f>
        <v>3</v>
      </c>
      <c r="K707" s="183" t="s">
        <v>95</v>
      </c>
      <c r="L707" s="146" t="n">
        <v>3</v>
      </c>
      <c r="M707" s="147" t="n">
        <v>4.74</v>
      </c>
      <c r="N707" s="148" t="s">
        <v>985</v>
      </c>
      <c r="O707" s="149" t="s">
        <v>303</v>
      </c>
      <c r="P707" s="150" t="n">
        <v>0.0531145</v>
      </c>
      <c r="Q707" s="150"/>
      <c r="R707" s="151" t="s">
        <v>914</v>
      </c>
      <c r="S707" s="152"/>
      <c r="T707" s="151"/>
      <c r="U707" s="152"/>
      <c r="V707" s="152" t="n">
        <v>0.056742</v>
      </c>
      <c r="W707" s="152" t="n">
        <v>0.001135</v>
      </c>
      <c r="X707" s="152" t="n">
        <v>0.005387</v>
      </c>
      <c r="Y707" s="152" t="n">
        <v>0.047286</v>
      </c>
      <c r="Z707" s="152" t="n">
        <v>0.002</v>
      </c>
      <c r="AA707" s="152" t="n">
        <v>0.002</v>
      </c>
      <c r="AB707" s="154" t="n">
        <f aca="false">S707-Z707</f>
        <v>-0.002</v>
      </c>
      <c r="AC707" s="154" t="n">
        <f aca="false">U707-Z707-AA707</f>
        <v>-0.004</v>
      </c>
      <c r="AD707" s="155" t="n">
        <v>0.0485</v>
      </c>
      <c r="AE707" s="153" t="n">
        <v>0.047286</v>
      </c>
      <c r="AF707" s="153" t="n">
        <f aca="false">AD707-AE707</f>
        <v>0.001214</v>
      </c>
      <c r="AG707" s="184" t="n">
        <f aca="false">IF(AF707="","",AE707+AF707)</f>
        <v>0.0485</v>
      </c>
      <c r="AH707" s="185" t="n">
        <v>45525</v>
      </c>
      <c r="AI707" s="35" t="n">
        <v>1</v>
      </c>
      <c r="AJ707" s="19" t="str">
        <f aca="false">IF(AG707="","N","Y")</f>
        <v>Y</v>
      </c>
      <c r="AK707" s="159" t="s">
        <v>990</v>
      </c>
    </row>
    <row r="708" customFormat="false" ht="20.25" hidden="false" customHeight="true" outlineLevel="0" collapsed="false">
      <c r="A708" s="19" t="n">
        <v>183</v>
      </c>
      <c r="B708" s="141" t="n">
        <v>45530</v>
      </c>
      <c r="C708" s="63" t="s">
        <v>96</v>
      </c>
      <c r="D708" s="63" t="s">
        <v>934</v>
      </c>
      <c r="E708" s="63" t="s">
        <v>935</v>
      </c>
      <c r="F708" s="63" t="s">
        <v>662</v>
      </c>
      <c r="G708" s="142" t="n">
        <v>45530</v>
      </c>
      <c r="H708" s="142" t="n">
        <v>45561</v>
      </c>
      <c r="I708" s="19" t="n">
        <f aca="false">H708-G708</f>
        <v>31</v>
      </c>
      <c r="J708" s="149" t="n">
        <f aca="false">TRUNC(I708/30,0)</f>
        <v>1</v>
      </c>
      <c r="K708" s="183" t="s">
        <v>95</v>
      </c>
      <c r="L708" s="146" t="n">
        <v>10</v>
      </c>
      <c r="M708" s="147" t="n">
        <v>4.79</v>
      </c>
      <c r="N708" s="148" t="s">
        <v>991</v>
      </c>
      <c r="O708" s="149" t="s">
        <v>303</v>
      </c>
      <c r="P708" s="150" t="n">
        <v>0.0527601</v>
      </c>
      <c r="Q708" s="150"/>
      <c r="R708" s="151" t="s">
        <v>914</v>
      </c>
      <c r="S708" s="152"/>
      <c r="T708" s="151"/>
      <c r="U708" s="152"/>
      <c r="V708" s="152" t="n">
        <v>0.056775</v>
      </c>
      <c r="W708" s="152" t="n">
        <v>0.001135</v>
      </c>
      <c r="X708" s="152" t="n">
        <v>0.003919</v>
      </c>
      <c r="Y708" s="152" t="n">
        <v>0.047004</v>
      </c>
      <c r="Z708" s="152" t="n">
        <v>0.002</v>
      </c>
      <c r="AA708" s="152" t="n">
        <v>0.002</v>
      </c>
      <c r="AB708" s="154" t="n">
        <f aca="false">S708-Z708</f>
        <v>-0.002</v>
      </c>
      <c r="AC708" s="154" t="n">
        <f aca="false">U708-Z708-AA708</f>
        <v>-0.004</v>
      </c>
      <c r="AD708" s="155" t="n">
        <v>0.05</v>
      </c>
      <c r="AE708" s="153" t="n">
        <f aca="false">IF(Y708="","",Y708)</f>
        <v>0.047004</v>
      </c>
      <c r="AF708" s="153" t="n">
        <f aca="false">AD708-AE708</f>
        <v>0.00299600000000001</v>
      </c>
      <c r="AG708" s="184" t="n">
        <f aca="false">IF(AF708="","",AE708+AF708)</f>
        <v>0.05</v>
      </c>
      <c r="AH708" s="185" t="n">
        <v>45530</v>
      </c>
      <c r="AI708" s="35" t="n">
        <v>1</v>
      </c>
      <c r="AJ708" s="19" t="str">
        <f aca="false">IF(AG708="","N","Y")</f>
        <v>Y</v>
      </c>
      <c r="AK708" s="159" t="s">
        <v>992</v>
      </c>
    </row>
    <row r="709" customFormat="false" ht="20.25" hidden="false" customHeight="true" outlineLevel="0" collapsed="false">
      <c r="A709" s="19" t="n">
        <v>184</v>
      </c>
      <c r="B709" s="141" t="n">
        <v>45530</v>
      </c>
      <c r="C709" s="63" t="s">
        <v>993</v>
      </c>
      <c r="D709" s="63" t="s">
        <v>994</v>
      </c>
      <c r="E709" s="63" t="s">
        <v>995</v>
      </c>
      <c r="F709" s="63" t="s">
        <v>996</v>
      </c>
      <c r="G709" s="142" t="n">
        <v>45530</v>
      </c>
      <c r="H709" s="142" t="n">
        <v>45895</v>
      </c>
      <c r="I709" s="19" t="n">
        <f aca="false">H709-G709</f>
        <v>365</v>
      </c>
      <c r="J709" s="149" t="n">
        <f aca="false">TRUNC(I709/30,0)</f>
        <v>12</v>
      </c>
      <c r="K709" s="183" t="s">
        <v>95</v>
      </c>
      <c r="L709" s="146" t="n">
        <v>4</v>
      </c>
      <c r="M709" s="147" t="n">
        <v>4.11</v>
      </c>
      <c r="N709" s="148" t="s">
        <v>997</v>
      </c>
      <c r="O709" s="149" t="s">
        <v>998</v>
      </c>
      <c r="P709" s="150" t="n">
        <v>0.0430022</v>
      </c>
      <c r="Q709" s="150"/>
      <c r="R709" s="151" t="s">
        <v>914</v>
      </c>
      <c r="S709" s="152"/>
      <c r="T709" s="151"/>
      <c r="U709" s="152"/>
      <c r="V709" s="152" t="n">
        <v>0.053636</v>
      </c>
      <c r="W709" s="152" t="n">
        <v>0.001073</v>
      </c>
      <c r="X709" s="152" t="n">
        <v>0.006343</v>
      </c>
      <c r="Y709" s="152" t="n">
        <v>0.039742</v>
      </c>
      <c r="Z709" s="152" t="n">
        <v>0.002</v>
      </c>
      <c r="AA709" s="152" t="n">
        <v>0.002</v>
      </c>
      <c r="AB709" s="154" t="n">
        <f aca="false">S709-Z709</f>
        <v>-0.002</v>
      </c>
      <c r="AC709" s="154" t="n">
        <f aca="false">U709-Z709-AA709</f>
        <v>-0.004</v>
      </c>
      <c r="AD709" s="155" t="n">
        <v>0.0445</v>
      </c>
      <c r="AE709" s="153" t="n">
        <v>0.039742</v>
      </c>
      <c r="AF709" s="153" t="n">
        <f aca="false">AD709-AE709</f>
        <v>0.004758</v>
      </c>
      <c r="AG709" s="184" t="n">
        <f aca="false">IF(AF709="","",AE709+AF709)</f>
        <v>0.0445</v>
      </c>
      <c r="AH709" s="185" t="n">
        <v>45530</v>
      </c>
      <c r="AI709" s="35" t="n">
        <v>2</v>
      </c>
      <c r="AJ709" s="19" t="str">
        <f aca="false">IF(AG709="","N","Y")</f>
        <v>Y</v>
      </c>
      <c r="AK709" s="159" t="s">
        <v>999</v>
      </c>
    </row>
    <row r="710" customFormat="false" ht="20.25" hidden="false" customHeight="true" outlineLevel="0" collapsed="false">
      <c r="A710" s="19" t="n">
        <v>185</v>
      </c>
      <c r="B710" s="141" t="n">
        <v>45532</v>
      </c>
      <c r="C710" s="63" t="s">
        <v>96</v>
      </c>
      <c r="D710" s="63" t="s">
        <v>934</v>
      </c>
      <c r="E710" s="63" t="s">
        <v>935</v>
      </c>
      <c r="F710" s="63" t="s">
        <v>662</v>
      </c>
      <c r="G710" s="142" t="n">
        <v>45532</v>
      </c>
      <c r="H710" s="142" t="n">
        <v>45565</v>
      </c>
      <c r="I710" s="19" t="n">
        <v>37</v>
      </c>
      <c r="J710" s="149" t="n">
        <v>1</v>
      </c>
      <c r="K710" s="183" t="s">
        <v>95</v>
      </c>
      <c r="L710" s="146" t="n">
        <v>10</v>
      </c>
      <c r="M710" s="147" t="n">
        <v>4.77</v>
      </c>
      <c r="N710" s="148" t="s">
        <v>1000</v>
      </c>
      <c r="O710" s="149" t="s">
        <v>303</v>
      </c>
      <c r="P710" s="150" t="n">
        <v>0.0525213</v>
      </c>
      <c r="Q710" s="150"/>
      <c r="R710" s="151" t="s">
        <v>914</v>
      </c>
      <c r="S710" s="152"/>
      <c r="T710" s="151"/>
      <c r="U710" s="152"/>
      <c r="V710" s="152" t="n">
        <v>0.056512</v>
      </c>
      <c r="W710" s="152" t="n">
        <v>0.00113</v>
      </c>
      <c r="X710" s="152" t="n">
        <v>0.003662</v>
      </c>
      <c r="Y710" s="152" t="n">
        <v>0.04677</v>
      </c>
      <c r="Z710" s="152" t="n">
        <v>0.002</v>
      </c>
      <c r="AA710" s="152" t="n">
        <v>0.002</v>
      </c>
      <c r="AB710" s="154" t="n">
        <v>-0.002</v>
      </c>
      <c r="AC710" s="154" t="n">
        <v>-0.004</v>
      </c>
      <c r="AD710" s="155" t="n">
        <v>0.05</v>
      </c>
      <c r="AE710" s="153" t="n">
        <v>0.04677</v>
      </c>
      <c r="AF710" s="153" t="n">
        <v>0.003662</v>
      </c>
      <c r="AG710" s="184" t="n">
        <v>0.05</v>
      </c>
      <c r="AH710" s="185" t="n">
        <v>45532</v>
      </c>
      <c r="AI710" s="35" t="n">
        <v>1</v>
      </c>
      <c r="AJ710" s="19" t="s">
        <v>466</v>
      </c>
      <c r="AK710" s="159" t="s">
        <v>1001</v>
      </c>
    </row>
    <row r="711" customFormat="false" ht="20.25" hidden="false" customHeight="true" outlineLevel="0" collapsed="false">
      <c r="A711" s="19" t="n">
        <v>186</v>
      </c>
      <c r="B711" s="141" t="n">
        <v>45532</v>
      </c>
      <c r="C711" s="63" t="s">
        <v>1002</v>
      </c>
      <c r="D711" s="63" t="s">
        <v>1003</v>
      </c>
      <c r="E711" s="63" t="s">
        <v>1004</v>
      </c>
      <c r="F711" s="63" t="s">
        <v>773</v>
      </c>
      <c r="G711" s="142" t="n">
        <v>45532</v>
      </c>
      <c r="H711" s="142" t="n">
        <v>45565</v>
      </c>
      <c r="I711" s="19" t="n">
        <v>37</v>
      </c>
      <c r="J711" s="149" t="n">
        <v>1</v>
      </c>
      <c r="K711" s="183" t="s">
        <v>95</v>
      </c>
      <c r="L711" s="146" t="n">
        <v>1</v>
      </c>
      <c r="M711" s="147" t="n">
        <v>4.77</v>
      </c>
      <c r="N711" s="148" t="s">
        <v>1000</v>
      </c>
      <c r="O711" s="149" t="s">
        <v>303</v>
      </c>
      <c r="P711" s="150" t="n">
        <v>0.0525213</v>
      </c>
      <c r="Q711" s="150"/>
      <c r="R711" s="151" t="s">
        <v>914</v>
      </c>
      <c r="S711" s="152"/>
      <c r="T711" s="151"/>
      <c r="U711" s="152"/>
      <c r="V711" s="152" t="n">
        <v>0.056512</v>
      </c>
      <c r="W711" s="152" t="n">
        <v>0.00113</v>
      </c>
      <c r="X711" s="152" t="n">
        <v>0.003662</v>
      </c>
      <c r="Y711" s="152" t="n">
        <v>0.04677</v>
      </c>
      <c r="Z711" s="152" t="n">
        <v>0.002</v>
      </c>
      <c r="AA711" s="152" t="n">
        <v>0.002</v>
      </c>
      <c r="AB711" s="154" t="n">
        <f aca="false">S711-Z711</f>
        <v>-0.002</v>
      </c>
      <c r="AC711" s="154" t="n">
        <f aca="false">U711-Z711-AA711</f>
        <v>-0.004</v>
      </c>
      <c r="AD711" s="155" t="n">
        <v>0.05</v>
      </c>
      <c r="AE711" s="153" t="n">
        <f aca="false">IF(Y711="","",Y711)</f>
        <v>0.04677</v>
      </c>
      <c r="AF711" s="153" t="n">
        <f aca="false">AD711-AE711</f>
        <v>0.00323</v>
      </c>
      <c r="AG711" s="184" t="n">
        <f aca="false">IF(AF711="","",AE711+AF711)</f>
        <v>0.05</v>
      </c>
      <c r="AH711" s="185" t="n">
        <v>45532</v>
      </c>
      <c r="AI711" s="35" t="n">
        <v>2</v>
      </c>
      <c r="AJ711" s="19" t="str">
        <f aca="false">IF(AG711="","N","Y")</f>
        <v>Y</v>
      </c>
      <c r="AK711" s="159" t="s">
        <v>1001</v>
      </c>
    </row>
    <row r="712" customFormat="false" ht="20.25" hidden="false" customHeight="true" outlineLevel="0" collapsed="false">
      <c r="A712" s="19" t="n">
        <v>187</v>
      </c>
      <c r="B712" s="141" t="n">
        <v>45532</v>
      </c>
      <c r="C712" s="63" t="s">
        <v>116</v>
      </c>
      <c r="D712" s="63" t="s">
        <v>1005</v>
      </c>
      <c r="E712" s="63" t="s">
        <v>1006</v>
      </c>
      <c r="F712" s="63" t="s">
        <v>1007</v>
      </c>
      <c r="G712" s="142" t="n">
        <v>45532</v>
      </c>
      <c r="H712" s="142" t="n">
        <v>45562</v>
      </c>
      <c r="I712" s="19" t="n">
        <f aca="false">H712-G712</f>
        <v>30</v>
      </c>
      <c r="J712" s="149" t="n">
        <f aca="false">TRUNC(I712/30,0)</f>
        <v>1</v>
      </c>
      <c r="K712" s="189" t="s">
        <v>99</v>
      </c>
      <c r="L712" s="146" t="n">
        <v>3</v>
      </c>
      <c r="M712" s="147" t="n">
        <v>4.50557</v>
      </c>
      <c r="N712" s="148"/>
      <c r="O712" s="149" t="s">
        <v>303</v>
      </c>
      <c r="P712" s="150" t="n">
        <v>0.0525213</v>
      </c>
      <c r="Q712" s="150"/>
      <c r="R712" s="151" t="s">
        <v>914</v>
      </c>
      <c r="S712" s="152"/>
      <c r="T712" s="151"/>
      <c r="U712" s="152"/>
      <c r="V712" s="152" t="n">
        <v>0.05631</v>
      </c>
      <c r="W712" s="152" t="n">
        <v>0.003942</v>
      </c>
      <c r="X712" s="152" t="n">
        <v>0.004648</v>
      </c>
      <c r="Y712" s="152" t="n">
        <v>0.041192</v>
      </c>
      <c r="Z712" s="152" t="n">
        <v>0.002</v>
      </c>
      <c r="AA712" s="152" t="n">
        <v>0.002</v>
      </c>
      <c r="AB712" s="154" t="n">
        <f aca="false">S712-Z712</f>
        <v>-0.002</v>
      </c>
      <c r="AC712" s="154" t="n">
        <f aca="false">U712-Z712-AA712</f>
        <v>-0.004</v>
      </c>
      <c r="AD712" s="155" t="n">
        <v>0.046</v>
      </c>
      <c r="AE712" s="153" t="n">
        <f aca="false">IF(Y712="","",Y712)</f>
        <v>0.041192</v>
      </c>
      <c r="AF712" s="153" t="n">
        <f aca="false">AD712-AE712</f>
        <v>0.004808</v>
      </c>
      <c r="AG712" s="184" t="n">
        <f aca="false">IF(AF712="","",AE712+AF712)</f>
        <v>0.046</v>
      </c>
      <c r="AH712" s="185" t="n">
        <v>45532</v>
      </c>
      <c r="AI712" s="35" t="n">
        <v>3</v>
      </c>
      <c r="AJ712" s="19" t="str">
        <f aca="false">IF(AG712="","N","Y")</f>
        <v>Y</v>
      </c>
      <c r="AK712" s="238" t="s">
        <v>964</v>
      </c>
    </row>
    <row r="713" customFormat="false" ht="20.25" hidden="false" customHeight="true" outlineLevel="0" collapsed="false">
      <c r="A713" s="19" t="n">
        <v>188</v>
      </c>
      <c r="B713" s="141" t="n">
        <v>45534</v>
      </c>
      <c r="C713" s="63" t="s">
        <v>103</v>
      </c>
      <c r="D713" s="63" t="s">
        <v>943</v>
      </c>
      <c r="E713" s="63" t="s">
        <v>1008</v>
      </c>
      <c r="F713" s="63" t="s">
        <v>901</v>
      </c>
      <c r="G713" s="142" t="n">
        <v>45531</v>
      </c>
      <c r="H713" s="142" t="n">
        <v>45562</v>
      </c>
      <c r="I713" s="19" t="n">
        <v>32</v>
      </c>
      <c r="J713" s="149" t="n">
        <v>1</v>
      </c>
      <c r="K713" s="189" t="s">
        <v>99</v>
      </c>
      <c r="L713" s="146" t="n">
        <v>7.2</v>
      </c>
      <c r="M713" s="147" t="n">
        <v>4.51</v>
      </c>
      <c r="N713" s="148"/>
      <c r="O713" s="149" t="s">
        <v>303</v>
      </c>
      <c r="P713" s="150" t="n">
        <v>0.0520555</v>
      </c>
      <c r="Q713" s="150"/>
      <c r="R713" s="151" t="s">
        <v>914</v>
      </c>
      <c r="S713" s="152" t="n">
        <v>0</v>
      </c>
      <c r="T713" s="151"/>
      <c r="U713" s="152"/>
      <c r="V713" s="152" t="n">
        <v>0.056529</v>
      </c>
      <c r="W713" s="152" t="n">
        <v>0.003957</v>
      </c>
      <c r="X713" s="152" t="n">
        <v>0.004852</v>
      </c>
      <c r="Y713" s="152" t="n">
        <v>0.041167</v>
      </c>
      <c r="Z713" s="152" t="n">
        <v>0.002</v>
      </c>
      <c r="AA713" s="152" t="n">
        <v>0.002</v>
      </c>
      <c r="AB713" s="154" t="n">
        <v>-0.002</v>
      </c>
      <c r="AC713" s="154" t="n">
        <v>-0.004</v>
      </c>
      <c r="AD713" s="155" t="n">
        <v>0.046</v>
      </c>
      <c r="AE713" s="153" t="n">
        <f aca="false">IF(Y713="","",Y713)</f>
        <v>0.041167</v>
      </c>
      <c r="AF713" s="153" t="n">
        <f aca="false">AD713-AE713</f>
        <v>0.004833</v>
      </c>
      <c r="AG713" s="184" t="n">
        <f aca="false">IF(AF713="","",AE713+AF713)</f>
        <v>0.046</v>
      </c>
      <c r="AH713" s="185" t="n">
        <v>45534</v>
      </c>
      <c r="AI713" s="35" t="n">
        <v>1</v>
      </c>
      <c r="AJ713" s="19" t="str">
        <f aca="false">IF(AG713="","N","Y")</f>
        <v>Y</v>
      </c>
      <c r="AK713" s="238" t="s">
        <v>964</v>
      </c>
    </row>
    <row r="714" customFormat="false" ht="20.25" hidden="false" customHeight="true" outlineLevel="0" collapsed="false">
      <c r="A714" s="19" t="n">
        <v>189</v>
      </c>
      <c r="B714" s="141" t="n">
        <v>45539</v>
      </c>
      <c r="C714" s="63" t="s">
        <v>1002</v>
      </c>
      <c r="D714" s="63" t="s">
        <v>1009</v>
      </c>
      <c r="E714" s="63" t="s">
        <v>1004</v>
      </c>
      <c r="F714" s="63" t="s">
        <v>773</v>
      </c>
      <c r="G714" s="142" t="n">
        <v>45539</v>
      </c>
      <c r="H714" s="142" t="n">
        <v>45630</v>
      </c>
      <c r="I714" s="19" t="n">
        <f aca="false">H714-G714</f>
        <v>91</v>
      </c>
      <c r="J714" s="149" t="n">
        <f aca="false">TRUNC(I714/30,0)</f>
        <v>3</v>
      </c>
      <c r="K714" s="183" t="s">
        <v>95</v>
      </c>
      <c r="L714" s="146" t="n">
        <v>2</v>
      </c>
      <c r="M714" s="147" t="n">
        <v>4.65</v>
      </c>
      <c r="N714" s="148"/>
      <c r="O714" s="149" t="s">
        <v>300</v>
      </c>
      <c r="P714" s="150" t="n">
        <v>0.0501153</v>
      </c>
      <c r="Q714" s="150"/>
      <c r="R714" s="151" t="s">
        <v>914</v>
      </c>
      <c r="S714" s="152"/>
      <c r="T714" s="151"/>
      <c r="U714" s="152"/>
      <c r="V714" s="152" t="n">
        <v>0.055167</v>
      </c>
      <c r="W714" s="152" t="n">
        <v>0.001103</v>
      </c>
      <c r="X714" s="152" t="n">
        <v>0.003844</v>
      </c>
      <c r="Y714" s="152" t="n">
        <v>0.046212</v>
      </c>
      <c r="Z714" s="152" t="n">
        <v>0.002</v>
      </c>
      <c r="AA714" s="152" t="n">
        <v>0.002</v>
      </c>
      <c r="AB714" s="154" t="n">
        <f aca="false">S714-Z714</f>
        <v>-0.002</v>
      </c>
      <c r="AC714" s="154" t="n">
        <f aca="false">U714-Z714-AA714</f>
        <v>-0.004</v>
      </c>
      <c r="AD714" s="155" t="n">
        <v>0.0485</v>
      </c>
      <c r="AE714" s="153" t="n">
        <f aca="false">IF(Y714="","",Y714)</f>
        <v>0.046212</v>
      </c>
      <c r="AF714" s="153" t="n">
        <f aca="false">AD714-AE714</f>
        <v>0.002288</v>
      </c>
      <c r="AG714" s="184" t="n">
        <f aca="false">IF(AF714="","",AE714+AF714)</f>
        <v>0.0485</v>
      </c>
      <c r="AH714" s="185" t="n">
        <v>45539</v>
      </c>
      <c r="AI714" s="35" t="n">
        <v>1</v>
      </c>
      <c r="AJ714" s="19" t="str">
        <f aca="false">IF(AG714="","N","Y")</f>
        <v>Y</v>
      </c>
      <c r="AK714" s="159" t="s">
        <v>1010</v>
      </c>
    </row>
    <row r="715" customFormat="false" ht="20.25" hidden="false" customHeight="true" outlineLevel="0" collapsed="false">
      <c r="A715" s="19" t="n">
        <v>190</v>
      </c>
      <c r="B715" s="141" t="n">
        <v>45540</v>
      </c>
      <c r="C715" s="63" t="s">
        <v>862</v>
      </c>
      <c r="D715" s="63" t="s">
        <v>932</v>
      </c>
      <c r="E715" s="63" t="s">
        <v>970</v>
      </c>
      <c r="F715" s="394" t="s">
        <v>864</v>
      </c>
      <c r="G715" s="142" t="n">
        <v>45540</v>
      </c>
      <c r="H715" s="142" t="n">
        <v>45570</v>
      </c>
      <c r="I715" s="19" t="n">
        <f aca="false">H715-G715</f>
        <v>30</v>
      </c>
      <c r="J715" s="149" t="n">
        <f aca="false">TRUNC(I715/30,0)</f>
        <v>1</v>
      </c>
      <c r="K715" s="189" t="s">
        <v>99</v>
      </c>
      <c r="L715" s="146" t="n">
        <v>1</v>
      </c>
      <c r="M715" s="147"/>
      <c r="N715" s="148"/>
      <c r="O715" s="149" t="s">
        <v>303</v>
      </c>
      <c r="P715" s="150" t="n">
        <v>0.0516249</v>
      </c>
      <c r="Q715" s="150"/>
      <c r="R715" s="151" t="s">
        <v>914</v>
      </c>
      <c r="S715" s="152"/>
      <c r="T715" s="151"/>
      <c r="U715" s="152"/>
      <c r="V715" s="152" t="n">
        <v>0.055218</v>
      </c>
      <c r="W715" s="152" t="n">
        <v>0.003865</v>
      </c>
      <c r="X715" s="152" t="n">
        <v>0.005633</v>
      </c>
      <c r="Y715" s="152" t="n">
        <v>0.04102</v>
      </c>
      <c r="Z715" s="152" t="n">
        <v>0.002</v>
      </c>
      <c r="AA715" s="152" t="n">
        <v>0.002</v>
      </c>
      <c r="AB715" s="154" t="n">
        <f aca="false">S715-Z715</f>
        <v>-0.002</v>
      </c>
      <c r="AC715" s="154" t="n">
        <f aca="false">U715-Z715-AA715</f>
        <v>-0.004</v>
      </c>
      <c r="AD715" s="155" t="n">
        <v>0.044</v>
      </c>
      <c r="AE715" s="153" t="n">
        <f aca="false">IF(Y715="","",Y715)</f>
        <v>0.04102</v>
      </c>
      <c r="AF715" s="153" t="n">
        <f aca="false">AD715-AE715</f>
        <v>0.00298</v>
      </c>
      <c r="AG715" s="184" t="n">
        <f aca="false">IF(AF715="","",AE715+AF715)</f>
        <v>0.044</v>
      </c>
      <c r="AH715" s="185" t="n">
        <v>45540</v>
      </c>
      <c r="AI715" s="35" t="n">
        <v>1</v>
      </c>
      <c r="AJ715" s="19" t="str">
        <f aca="false">IF(AG715="","N","Y")</f>
        <v>Y</v>
      </c>
      <c r="AK715" s="238" t="s">
        <v>964</v>
      </c>
    </row>
    <row r="716" customFormat="false" ht="20.25" hidden="false" customHeight="true" outlineLevel="0" collapsed="false">
      <c r="A716" s="19" t="n">
        <v>191</v>
      </c>
      <c r="B716" s="141" t="n">
        <v>45555</v>
      </c>
      <c r="C716" s="63" t="s">
        <v>977</v>
      </c>
      <c r="D716" s="63" t="s">
        <v>978</v>
      </c>
      <c r="E716" s="63" t="s">
        <v>1011</v>
      </c>
      <c r="F716" s="63" t="s">
        <v>980</v>
      </c>
      <c r="G716" s="142" t="n">
        <v>45555</v>
      </c>
      <c r="H716" s="142" t="n">
        <v>45646</v>
      </c>
      <c r="I716" s="19" t="n">
        <f aca="false">H716-G716</f>
        <v>91</v>
      </c>
      <c r="J716" s="149" t="n">
        <f aca="false">TRUNC(I716/30,0)</f>
        <v>3</v>
      </c>
      <c r="K716" s="183" t="s">
        <v>95</v>
      </c>
      <c r="L716" s="146" t="n">
        <v>1</v>
      </c>
      <c r="M716" s="147" t="n">
        <v>4.41</v>
      </c>
      <c r="N716" s="148" t="s">
        <v>827</v>
      </c>
      <c r="O716" s="149" t="s">
        <v>303</v>
      </c>
      <c r="P716" s="150" t="n">
        <v>0.0491991</v>
      </c>
      <c r="Q716" s="150"/>
      <c r="R716" s="151" t="s">
        <v>914</v>
      </c>
      <c r="S716" s="152"/>
      <c r="T716" s="151"/>
      <c r="U716" s="152"/>
      <c r="V716" s="152" t="n">
        <v>0.053135</v>
      </c>
      <c r="W716" s="152" t="n">
        <v>0.001063</v>
      </c>
      <c r="X716" s="152" t="n">
        <v>0.003852</v>
      </c>
      <c r="Y716" s="152" t="n">
        <v>0.043682</v>
      </c>
      <c r="Z716" s="152" t="n">
        <v>0.002</v>
      </c>
      <c r="AA716" s="152" t="n">
        <v>0.002</v>
      </c>
      <c r="AB716" s="154" t="n">
        <f aca="false">S716-Z716</f>
        <v>-0.002</v>
      </c>
      <c r="AC716" s="154" t="n">
        <f aca="false">U716-Z716-AA716</f>
        <v>-0.004</v>
      </c>
      <c r="AD716" s="155" t="n">
        <v>0.0465</v>
      </c>
      <c r="AE716" s="153" t="n">
        <v>0.043682</v>
      </c>
      <c r="AF716" s="153" t="n">
        <f aca="false">AD716-AE716</f>
        <v>0.002818</v>
      </c>
      <c r="AG716" s="184" t="n">
        <f aca="false">IF(AF716="","",AE716+AF716)</f>
        <v>0.0465</v>
      </c>
      <c r="AH716" s="185" t="n">
        <v>45555</v>
      </c>
      <c r="AI716" s="35" t="n">
        <v>1</v>
      </c>
      <c r="AJ716" s="19" t="str">
        <f aca="false">IF(AG716="","N","Y")</f>
        <v>Y</v>
      </c>
      <c r="AK716" s="159" t="s">
        <v>1012</v>
      </c>
    </row>
    <row r="717" customFormat="false" ht="20.25" hidden="false" customHeight="true" outlineLevel="0" collapsed="false">
      <c r="A717" s="19" t="n">
        <v>192</v>
      </c>
      <c r="B717" s="141" t="n">
        <v>45561</v>
      </c>
      <c r="C717" s="63" t="s">
        <v>116</v>
      </c>
      <c r="D717" s="63" t="s">
        <v>1005</v>
      </c>
      <c r="E717" s="63" t="s">
        <v>1006</v>
      </c>
      <c r="F717" s="63" t="s">
        <v>1007</v>
      </c>
      <c r="G717" s="142" t="n">
        <v>45563</v>
      </c>
      <c r="H717" s="142" t="n">
        <v>45590</v>
      </c>
      <c r="I717" s="19" t="n">
        <f aca="false">H717-G717</f>
        <v>27</v>
      </c>
      <c r="J717" s="149" t="n">
        <f aca="false">TRUNC(I717/30,0)</f>
        <v>0</v>
      </c>
      <c r="K717" s="189" t="s">
        <v>99</v>
      </c>
      <c r="L717" s="146" t="n">
        <v>4</v>
      </c>
      <c r="M717" s="147"/>
      <c r="N717" s="148"/>
      <c r="O717" s="149" t="s">
        <v>303</v>
      </c>
      <c r="P717" s="150" t="n">
        <v>0.0485528</v>
      </c>
      <c r="Q717" s="150"/>
      <c r="R717" s="151" t="s">
        <v>914</v>
      </c>
      <c r="S717" s="152"/>
      <c r="T717" s="151"/>
      <c r="U717" s="152"/>
      <c r="V717" s="152" t="n">
        <v>0.053185</v>
      </c>
      <c r="W717" s="152" t="n">
        <v>0.003723</v>
      </c>
      <c r="X717" s="152" t="n">
        <v>0.005742</v>
      </c>
      <c r="Y717" s="152" t="n">
        <v>0.036741</v>
      </c>
      <c r="Z717" s="152" t="n">
        <v>0.002</v>
      </c>
      <c r="AA717" s="152" t="n">
        <v>0.002</v>
      </c>
      <c r="AB717" s="154" t="n">
        <f aca="false">S717-Z717</f>
        <v>-0.002</v>
      </c>
      <c r="AC717" s="154" t="n">
        <f aca="false">U717-Z717-AA717</f>
        <v>-0.004</v>
      </c>
      <c r="AD717" s="155" t="n">
        <v>0.042</v>
      </c>
      <c r="AE717" s="153" t="n">
        <f aca="false">IF(Y717="","",Y717)</f>
        <v>0.036741</v>
      </c>
      <c r="AF717" s="153" t="n">
        <f aca="false">AD717-AE717</f>
        <v>0.005259</v>
      </c>
      <c r="AG717" s="184" t="n">
        <f aca="false">IF(AF717="","",AE717+AF717)</f>
        <v>0.042</v>
      </c>
      <c r="AH717" s="185" t="n">
        <v>45561</v>
      </c>
      <c r="AI717" s="35" t="n">
        <v>1</v>
      </c>
      <c r="AJ717" s="19" t="str">
        <f aca="false">IF(AG717="","N","Y")</f>
        <v>Y</v>
      </c>
      <c r="AK717" s="159" t="s">
        <v>1013</v>
      </c>
    </row>
    <row r="718" s="382" customFormat="true" ht="20.25" hidden="false" customHeight="true" outlineLevel="0" collapsed="false">
      <c r="A718" s="364" t="n">
        <v>193</v>
      </c>
      <c r="B718" s="363" t="n">
        <v>45562</v>
      </c>
      <c r="C718" s="364" t="s">
        <v>644</v>
      </c>
      <c r="D718" s="364" t="s">
        <v>1014</v>
      </c>
      <c r="E718" s="364" t="s">
        <v>1015</v>
      </c>
      <c r="F718" s="364" t="s">
        <v>1016</v>
      </c>
      <c r="G718" s="365" t="n">
        <v>45562</v>
      </c>
      <c r="H718" s="365" t="n">
        <v>45593</v>
      </c>
      <c r="I718" s="364" t="n">
        <f aca="false">H718-G718</f>
        <v>31</v>
      </c>
      <c r="J718" s="366" t="n">
        <f aca="false">TRUNC(I718/30,0)</f>
        <v>1</v>
      </c>
      <c r="K718" s="395" t="s">
        <v>95</v>
      </c>
      <c r="L718" s="368" t="n">
        <v>4</v>
      </c>
      <c r="M718" s="369"/>
      <c r="N718" s="370"/>
      <c r="O718" s="366" t="s">
        <v>303</v>
      </c>
      <c r="P718" s="371" t="n">
        <v>0.048441</v>
      </c>
      <c r="Q718" s="371"/>
      <c r="R718" s="372" t="s">
        <v>914</v>
      </c>
      <c r="S718" s="373"/>
      <c r="T718" s="372"/>
      <c r="U718" s="373"/>
      <c r="V718" s="373" t="n">
        <v>0.051773</v>
      </c>
      <c r="W718" s="373" t="n">
        <v>0.001035</v>
      </c>
      <c r="X718" s="373" t="n">
        <v>0.002518</v>
      </c>
      <c r="Y718" s="373" t="n">
        <v>0.036741</v>
      </c>
      <c r="Z718" s="373" t="n">
        <v>0.002</v>
      </c>
      <c r="AA718" s="373" t="n">
        <v>0.002</v>
      </c>
      <c r="AB718" s="374" t="n">
        <f aca="false">S718-Z718</f>
        <v>-0.002</v>
      </c>
      <c r="AC718" s="374" t="n">
        <f aca="false">U718-Z718-AA718</f>
        <v>-0.004</v>
      </c>
      <c r="AD718" s="375" t="n">
        <v>0.0465</v>
      </c>
      <c r="AE718" s="376" t="n">
        <v>0.042785</v>
      </c>
      <c r="AF718" s="376" t="n">
        <v>0.002769</v>
      </c>
      <c r="AG718" s="377" t="n">
        <v>0.0465</v>
      </c>
      <c r="AH718" s="378" t="n">
        <v>45562</v>
      </c>
      <c r="AI718" s="379" t="n">
        <v>1</v>
      </c>
      <c r="AJ718" s="380" t="str">
        <f aca="false">IF(AG718="","N","Y")</f>
        <v>Y</v>
      </c>
      <c r="AK718" s="396" t="s">
        <v>1013</v>
      </c>
      <c r="AL718" s="397"/>
    </row>
    <row r="719" customFormat="false" ht="20.25" hidden="false" customHeight="true" outlineLevel="0" collapsed="false">
      <c r="A719" s="19" t="n">
        <v>194</v>
      </c>
      <c r="B719" s="141" t="n">
        <v>45565</v>
      </c>
      <c r="C719" s="63" t="s">
        <v>1002</v>
      </c>
      <c r="D719" s="63" t="s">
        <v>1003</v>
      </c>
      <c r="E719" s="63" t="s">
        <v>1004</v>
      </c>
      <c r="F719" s="63" t="s">
        <v>773</v>
      </c>
      <c r="G719" s="142" t="n">
        <v>45565</v>
      </c>
      <c r="H719" s="142" t="n">
        <v>45595</v>
      </c>
      <c r="I719" s="19" t="n">
        <v>37</v>
      </c>
      <c r="J719" s="149" t="n">
        <v>1</v>
      </c>
      <c r="K719" s="183" t="s">
        <v>95</v>
      </c>
      <c r="L719" s="146" t="n">
        <v>1</v>
      </c>
      <c r="M719" s="147" t="n">
        <v>4.33</v>
      </c>
      <c r="N719" s="148" t="s">
        <v>1017</v>
      </c>
      <c r="O719" s="149" t="s">
        <v>303</v>
      </c>
      <c r="P719" s="150" t="n">
        <v>0.0484544</v>
      </c>
      <c r="Q719" s="150"/>
      <c r="R719" s="151" t="s">
        <v>914</v>
      </c>
      <c r="S719" s="152"/>
      <c r="T719" s="151"/>
      <c r="U719" s="152"/>
      <c r="V719" s="152" t="n">
        <v>0.051932</v>
      </c>
      <c r="W719" s="152" t="n">
        <v>0.001039</v>
      </c>
      <c r="X719" s="152" t="n">
        <v>0.003174</v>
      </c>
      <c r="Y719" s="152" t="n">
        <v>0.042785</v>
      </c>
      <c r="Z719" s="152" t="n">
        <v>0.002</v>
      </c>
      <c r="AA719" s="152" t="n">
        <v>0.002</v>
      </c>
      <c r="AB719" s="154" t="n">
        <f aca="false">S719-Z719</f>
        <v>-0.002</v>
      </c>
      <c r="AC719" s="154" t="n">
        <f aca="false">U719-Z719-AA719</f>
        <v>-0.004</v>
      </c>
      <c r="AD719" s="155" t="n">
        <v>0.046</v>
      </c>
      <c r="AE719" s="153" t="n">
        <f aca="false">IF(Y719="","",Y719)</f>
        <v>0.042785</v>
      </c>
      <c r="AF719" s="153" t="n">
        <f aca="false">AD719-AE719</f>
        <v>0.003215</v>
      </c>
      <c r="AG719" s="184" t="n">
        <f aca="false">IF(AF719="","",AE719+AF719)</f>
        <v>0.046</v>
      </c>
      <c r="AH719" s="185" t="n">
        <v>45565</v>
      </c>
      <c r="AI719" s="35" t="n">
        <v>1</v>
      </c>
      <c r="AJ719" s="19" t="str">
        <f aca="false">IF(AG719="","N","Y")</f>
        <v>Y</v>
      </c>
      <c r="AK719" s="396" t="s">
        <v>1013</v>
      </c>
    </row>
    <row r="720" customFormat="false" ht="20.25" hidden="false" customHeight="true" outlineLevel="0" collapsed="false">
      <c r="A720" s="19" t="n">
        <v>195</v>
      </c>
      <c r="B720" s="141" t="n">
        <v>45567</v>
      </c>
      <c r="C720" s="63" t="s">
        <v>100</v>
      </c>
      <c r="D720" s="63" t="s">
        <v>922</v>
      </c>
      <c r="E720" s="63" t="s">
        <v>974</v>
      </c>
      <c r="F720" s="200" t="s">
        <v>826</v>
      </c>
      <c r="G720" s="142" t="n">
        <v>45567</v>
      </c>
      <c r="H720" s="142" t="n">
        <v>45581</v>
      </c>
      <c r="I720" s="19" t="n">
        <f aca="false">H720-G720</f>
        <v>14</v>
      </c>
      <c r="J720" s="149" t="n">
        <f aca="false">TRUNC(I720/30,0)</f>
        <v>0</v>
      </c>
      <c r="K720" s="183" t="s">
        <v>95</v>
      </c>
      <c r="L720" s="146" t="n">
        <v>80</v>
      </c>
      <c r="M720" s="147" t="n">
        <v>4.08</v>
      </c>
      <c r="N720" s="148" t="s">
        <v>1018</v>
      </c>
      <c r="O720" s="149" t="s">
        <v>303</v>
      </c>
      <c r="P720" s="150" t="n">
        <v>0.0484954</v>
      </c>
      <c r="Q720" s="150"/>
      <c r="R720" s="151" t="s">
        <v>914</v>
      </c>
      <c r="S720" s="152"/>
      <c r="T720" s="151"/>
      <c r="U720" s="152"/>
      <c r="V720" s="152" t="n">
        <v>0.050021</v>
      </c>
      <c r="W720" s="152" t="n">
        <v>0.001</v>
      </c>
      <c r="X720" s="152" t="n">
        <v>0.00172</v>
      </c>
      <c r="Y720" s="152" t="n">
        <v>0.039615</v>
      </c>
      <c r="Z720" s="152" t="n">
        <v>0.002</v>
      </c>
      <c r="AA720" s="152" t="n">
        <v>0.002</v>
      </c>
      <c r="AB720" s="154" t="n">
        <f aca="false">S720-Z720</f>
        <v>-0.002</v>
      </c>
      <c r="AC720" s="154" t="n">
        <f aca="false">U720-Z720-AA720</f>
        <v>-0.004</v>
      </c>
      <c r="AD720" s="155" t="n">
        <v>0.0465</v>
      </c>
      <c r="AE720" s="153" t="n">
        <f aca="false">IF(Y720="","",Y720)</f>
        <v>0.039615</v>
      </c>
      <c r="AF720" s="153" t="n">
        <f aca="false">AD720-AE720</f>
        <v>0.006885</v>
      </c>
      <c r="AG720" s="184" t="n">
        <f aca="false">IF(AF720="","",AE720+AF720)</f>
        <v>0.0465</v>
      </c>
      <c r="AH720" s="185" t="n">
        <v>45567</v>
      </c>
      <c r="AI720" s="35" t="n">
        <v>1</v>
      </c>
      <c r="AJ720" s="19" t="str">
        <f aca="false">IF(AG720="","N","Y")</f>
        <v>Y</v>
      </c>
      <c r="AK720" s="159"/>
    </row>
    <row r="721" customFormat="false" ht="20.25" hidden="false" customHeight="true" outlineLevel="0" collapsed="false">
      <c r="A721" s="19" t="n">
        <v>196</v>
      </c>
      <c r="B721" s="141" t="n">
        <v>45572</v>
      </c>
      <c r="C721" s="63" t="s">
        <v>862</v>
      </c>
      <c r="D721" s="63" t="s">
        <v>932</v>
      </c>
      <c r="E721" s="63" t="s">
        <v>970</v>
      </c>
      <c r="F721" s="394" t="s">
        <v>864</v>
      </c>
      <c r="G721" s="142" t="n">
        <v>45572</v>
      </c>
      <c r="H721" s="142" t="n">
        <v>45603</v>
      </c>
      <c r="I721" s="19" t="n">
        <f aca="false">H721-G721</f>
        <v>31</v>
      </c>
      <c r="J721" s="149" t="n">
        <f aca="false">TRUNC(I721/30,0)</f>
        <v>1</v>
      </c>
      <c r="K721" s="189" t="s">
        <v>99</v>
      </c>
      <c r="L721" s="146" t="n">
        <v>1</v>
      </c>
      <c r="M721" s="147"/>
      <c r="N721" s="148"/>
      <c r="O721" s="149" t="s">
        <v>303</v>
      </c>
      <c r="P721" s="150" t="n">
        <v>0.0484558</v>
      </c>
      <c r="Q721" s="150"/>
      <c r="R721" s="151" t="s">
        <v>914</v>
      </c>
      <c r="S721" s="152"/>
      <c r="T721" s="151"/>
      <c r="U721" s="152"/>
      <c r="V721" s="152" t="n">
        <v>0.050442</v>
      </c>
      <c r="W721" s="152" t="n">
        <v>0.003531</v>
      </c>
      <c r="X721" s="152" t="n">
        <v>0.004191</v>
      </c>
      <c r="Y721" s="152" t="n">
        <v>0.036796</v>
      </c>
      <c r="Z721" s="152" t="n">
        <v>0.002</v>
      </c>
      <c r="AA721" s="152" t="n">
        <v>0.002</v>
      </c>
      <c r="AB721" s="154" t="n">
        <f aca="false">S721-Z721</f>
        <v>-0.002</v>
      </c>
      <c r="AC721" s="154" t="n">
        <f aca="false">U721-Z721-AA721</f>
        <v>-0.004</v>
      </c>
      <c r="AD721" s="155" t="n">
        <v>0.041</v>
      </c>
      <c r="AE721" s="153" t="n">
        <f aca="false">IF(Y721="","",Y721)</f>
        <v>0.036796</v>
      </c>
      <c r="AF721" s="153" t="n">
        <f aca="false">AD721-AE721</f>
        <v>0.004204</v>
      </c>
      <c r="AG721" s="184" t="n">
        <f aca="false">IF(AF721="","",AE721+AF721)</f>
        <v>0.041</v>
      </c>
      <c r="AH721" s="185" t="n">
        <v>45572</v>
      </c>
      <c r="AI721" s="35" t="n">
        <v>1</v>
      </c>
      <c r="AJ721" s="19" t="str">
        <f aca="false">IF(AG721="","N","Y")</f>
        <v>Y</v>
      </c>
      <c r="AK721" s="238" t="s">
        <v>964</v>
      </c>
    </row>
    <row r="722" customFormat="false" ht="20.25" hidden="false" customHeight="true" outlineLevel="0" collapsed="false">
      <c r="A722" s="19" t="n">
        <v>197</v>
      </c>
      <c r="B722" s="141" t="n">
        <v>45575</v>
      </c>
      <c r="C722" s="63" t="s">
        <v>862</v>
      </c>
      <c r="D722" s="63" t="s">
        <v>932</v>
      </c>
      <c r="E722" s="63" t="s">
        <v>970</v>
      </c>
      <c r="F722" s="63" t="s">
        <v>906</v>
      </c>
      <c r="G722" s="142" t="n">
        <v>45575</v>
      </c>
      <c r="H722" s="142" t="n">
        <v>45607</v>
      </c>
      <c r="I722" s="19" t="n">
        <f aca="false">H722-G722</f>
        <v>32</v>
      </c>
      <c r="J722" s="149" t="n">
        <f aca="false">TRUNC(I722/30,0)</f>
        <v>1</v>
      </c>
      <c r="K722" s="189" t="s">
        <v>99</v>
      </c>
      <c r="L722" s="146" t="n">
        <v>5</v>
      </c>
      <c r="M722" s="147"/>
      <c r="N722" s="148"/>
      <c r="O722" s="149" t="s">
        <v>303</v>
      </c>
      <c r="P722" s="150" t="n">
        <v>0.0482299</v>
      </c>
      <c r="Q722" s="150"/>
      <c r="R722" s="151" t="s">
        <v>914</v>
      </c>
      <c r="S722" s="152"/>
      <c r="T722" s="151"/>
      <c r="U722" s="152"/>
      <c r="V722" s="152" t="n">
        <v>0.050523</v>
      </c>
      <c r="W722" s="152" t="n">
        <v>0.003537</v>
      </c>
      <c r="X722" s="152" t="n">
        <v>0.003266</v>
      </c>
      <c r="Y722" s="152" t="n">
        <v>0.036779</v>
      </c>
      <c r="Z722" s="152" t="n">
        <v>0.002</v>
      </c>
      <c r="AA722" s="152" t="n">
        <v>0.002</v>
      </c>
      <c r="AB722" s="154" t="n">
        <f aca="false">S722-Z722</f>
        <v>-0.002</v>
      </c>
      <c r="AC722" s="154" t="n">
        <f aca="false">U722-Z722-AA722</f>
        <v>-0.004</v>
      </c>
      <c r="AD722" s="155" t="n">
        <v>0.042</v>
      </c>
      <c r="AE722" s="153" t="n">
        <v>0.036679</v>
      </c>
      <c r="AF722" s="153" t="n">
        <f aca="false">AD722-AE722</f>
        <v>0.005321</v>
      </c>
      <c r="AG722" s="184" t="n">
        <f aca="false">IF(AF722="","",AE722+AF722)</f>
        <v>0.042</v>
      </c>
      <c r="AH722" s="185" t="n">
        <v>45575</v>
      </c>
      <c r="AI722" s="35" t="n">
        <v>1</v>
      </c>
      <c r="AJ722" s="19" t="str">
        <f aca="false">IF(AG722="","N","Y")</f>
        <v>Y</v>
      </c>
      <c r="AK722" s="396" t="s">
        <v>1019</v>
      </c>
    </row>
    <row r="723" customFormat="false" ht="20.25" hidden="false" customHeight="true" outlineLevel="0" collapsed="false">
      <c r="A723" s="19" t="n">
        <v>198</v>
      </c>
      <c r="B723" s="141" t="n">
        <v>45579</v>
      </c>
      <c r="C723" s="63" t="s">
        <v>916</v>
      </c>
      <c r="D723" s="63" t="s">
        <v>917</v>
      </c>
      <c r="E723" s="63" t="s">
        <v>918</v>
      </c>
      <c r="F723" s="63" t="s">
        <v>1020</v>
      </c>
      <c r="G723" s="142" t="n">
        <v>45579</v>
      </c>
      <c r="H723" s="142" t="n">
        <v>45743</v>
      </c>
      <c r="I723" s="19" t="n">
        <f aca="false">H723-G723</f>
        <v>164</v>
      </c>
      <c r="J723" s="149" t="n">
        <f aca="false">TRUNC(I723/30,0)</f>
        <v>5</v>
      </c>
      <c r="K723" s="183" t="s">
        <v>95</v>
      </c>
      <c r="L723" s="146" t="n">
        <v>2.48</v>
      </c>
      <c r="M723" s="147" t="n">
        <v>4.21</v>
      </c>
      <c r="N723" s="148" t="s">
        <v>1021</v>
      </c>
      <c r="O723" s="149" t="s">
        <v>1022</v>
      </c>
      <c r="P723" s="150" t="n">
        <v>0.0451149</v>
      </c>
      <c r="Q723" s="150"/>
      <c r="R723" s="151" t="s">
        <v>914</v>
      </c>
      <c r="S723" s="152"/>
      <c r="T723" s="151"/>
      <c r="U723" s="152"/>
      <c r="V723" s="152" t="n">
        <v>0.049306</v>
      </c>
      <c r="W723" s="152" t="n">
        <v>0.000986</v>
      </c>
      <c r="X723" s="152" t="n">
        <v>0.0026</v>
      </c>
      <c r="Y723" s="152" t="n">
        <v>0.042643</v>
      </c>
      <c r="Z723" s="152" t="n">
        <v>0.002</v>
      </c>
      <c r="AA723" s="152" t="n">
        <v>0.002</v>
      </c>
      <c r="AB723" s="154" t="n">
        <f aca="false">S723-Z723</f>
        <v>-0.002</v>
      </c>
      <c r="AC723" s="154" t="n">
        <f aca="false">U723-Z723-AA723</f>
        <v>-0.004</v>
      </c>
      <c r="AD723" s="155" t="n">
        <v>0.044</v>
      </c>
      <c r="AE723" s="153" t="n">
        <f aca="false">IF(Y723="","",Y723)</f>
        <v>0.042643</v>
      </c>
      <c r="AF723" s="153" t="n">
        <f aca="false">AD723-AE723</f>
        <v>0.001357</v>
      </c>
      <c r="AG723" s="184" t="n">
        <f aca="false">IF(AF723="","",AE723+AF723)</f>
        <v>0.044</v>
      </c>
      <c r="AH723" s="185" t="n">
        <v>45579</v>
      </c>
      <c r="AI723" s="35" t="n">
        <v>1</v>
      </c>
      <c r="AJ723" s="19" t="str">
        <f aca="false">IF(AG723="","N","Y")</f>
        <v>Y</v>
      </c>
      <c r="AK723" s="396" t="s">
        <v>1023</v>
      </c>
    </row>
    <row r="724" customFormat="false" ht="20.25" hidden="false" customHeight="true" outlineLevel="0" collapsed="false">
      <c r="A724" s="19" t="n">
        <f aca="false">IF(B724="","",IF((YEAR(B724)-YEAR(B723))=0,A723+1,1))</f>
        <v>199</v>
      </c>
      <c r="B724" s="141" t="n">
        <v>45580</v>
      </c>
      <c r="C724" s="63" t="s">
        <v>925</v>
      </c>
      <c r="D724" s="63" t="s">
        <v>926</v>
      </c>
      <c r="E724" s="63" t="s">
        <v>1024</v>
      </c>
      <c r="F724" s="63" t="s">
        <v>779</v>
      </c>
      <c r="G724" s="142" t="n">
        <v>45580</v>
      </c>
      <c r="H724" s="142" t="n">
        <v>45611</v>
      </c>
      <c r="I724" s="19" t="n">
        <f aca="false">H724-G724</f>
        <v>31</v>
      </c>
      <c r="J724" s="149" t="n">
        <f aca="false">TRUNC(I724/30,0)</f>
        <v>1</v>
      </c>
      <c r="K724" s="189" t="s">
        <v>99</v>
      </c>
      <c r="L724" s="146" t="n">
        <v>1</v>
      </c>
      <c r="M724" s="147" t="n">
        <v>4.02</v>
      </c>
      <c r="N724" s="148"/>
      <c r="O724" s="149" t="s">
        <v>303</v>
      </c>
      <c r="P724" s="150" t="n">
        <v>0.0478592</v>
      </c>
      <c r="Q724" s="150"/>
      <c r="R724" s="151" t="s">
        <v>914</v>
      </c>
      <c r="S724" s="152"/>
      <c r="T724" s="151"/>
      <c r="U724" s="152"/>
      <c r="V724" s="152" t="n">
        <v>0.050417</v>
      </c>
      <c r="W724" s="152" t="n">
        <v>0.003529</v>
      </c>
      <c r="X724" s="152" t="n">
        <v>0.004168</v>
      </c>
      <c r="Y724" s="152" t="n">
        <v>0.03646</v>
      </c>
      <c r="Z724" s="152" t="n">
        <v>0.002</v>
      </c>
      <c r="AA724" s="152" t="n">
        <v>0.002</v>
      </c>
      <c r="AB724" s="154" t="n">
        <f aca="false">S724-Z724</f>
        <v>-0.002</v>
      </c>
      <c r="AC724" s="154" t="n">
        <f aca="false">U724-Z724-AA724</f>
        <v>-0.004</v>
      </c>
      <c r="AD724" s="155" t="n">
        <v>0.041</v>
      </c>
      <c r="AE724" s="153" t="n">
        <v>0.03646</v>
      </c>
      <c r="AF724" s="153" t="n">
        <f aca="false">AD724-AE724</f>
        <v>0.00454</v>
      </c>
      <c r="AG724" s="184" t="n">
        <f aca="false">IF(AF724="","",AE724+AF724)</f>
        <v>0.041</v>
      </c>
      <c r="AH724" s="185" t="n">
        <v>45580</v>
      </c>
      <c r="AI724" s="35" t="n">
        <v>1</v>
      </c>
      <c r="AJ724" s="19" t="str">
        <f aca="false">IF(AG724="","N","Y")</f>
        <v>Y</v>
      </c>
      <c r="AK724" s="159" t="s">
        <v>1025</v>
      </c>
    </row>
    <row r="725" customFormat="false" ht="20.25" hidden="false" customHeight="true" outlineLevel="0" collapsed="false">
      <c r="A725" s="19" t="n">
        <v>200</v>
      </c>
      <c r="B725" s="141" t="n">
        <v>45581</v>
      </c>
      <c r="C725" s="63" t="s">
        <v>209</v>
      </c>
      <c r="D725" s="63" t="s">
        <v>913</v>
      </c>
      <c r="E725" s="63" t="s">
        <v>1026</v>
      </c>
      <c r="F725" s="63" t="s">
        <v>697</v>
      </c>
      <c r="G725" s="142" t="n">
        <v>45581</v>
      </c>
      <c r="H725" s="142" t="n">
        <v>45611</v>
      </c>
      <c r="I725" s="19" t="n">
        <f aca="false">H725-G725</f>
        <v>30</v>
      </c>
      <c r="J725" s="149" t="n">
        <f aca="false">TRUNC(I725/30,0)</f>
        <v>1</v>
      </c>
      <c r="K725" s="189" t="s">
        <v>99</v>
      </c>
      <c r="L725" s="146" t="n">
        <v>7</v>
      </c>
      <c r="M725" s="147"/>
      <c r="N725" s="148"/>
      <c r="O725" s="149" t="s">
        <v>303</v>
      </c>
      <c r="P725" s="150" t="n">
        <v>0.0478385</v>
      </c>
      <c r="Q725" s="150"/>
      <c r="R725" s="151" t="s">
        <v>914</v>
      </c>
      <c r="S725" s="152"/>
      <c r="T725" s="151"/>
      <c r="U725" s="152"/>
      <c r="V725" s="152" t="n">
        <v>0.050417</v>
      </c>
      <c r="W725" s="152" t="n">
        <v>0.003529</v>
      </c>
      <c r="X725" s="152" t="n">
        <v>0.005168</v>
      </c>
      <c r="Y725" s="152" t="n">
        <v>0.036382</v>
      </c>
      <c r="Z725" s="152" t="n">
        <v>0.002</v>
      </c>
      <c r="AA725" s="152" t="n">
        <v>0.002</v>
      </c>
      <c r="AB725" s="154" t="n">
        <f aca="false">S725-Z725</f>
        <v>-0.002</v>
      </c>
      <c r="AC725" s="154" t="n">
        <f aca="false">U725-Z725-AA725</f>
        <v>-0.004</v>
      </c>
      <c r="AD725" s="155" t="n">
        <v>0.04</v>
      </c>
      <c r="AE725" s="153" t="n">
        <f aca="false">IF(Y725="","",Y725)</f>
        <v>0.036382</v>
      </c>
      <c r="AF725" s="153" t="n">
        <f aca="false">AD725-AE725</f>
        <v>0.003618</v>
      </c>
      <c r="AG725" s="184" t="n">
        <f aca="false">IF(AF725="","",AE725+AF725)</f>
        <v>0.04</v>
      </c>
      <c r="AH725" s="185" t="n">
        <v>45581</v>
      </c>
      <c r="AI725" s="35" t="n">
        <v>1</v>
      </c>
      <c r="AJ725" s="19" t="str">
        <f aca="false">IF(AG725="","N","Y")</f>
        <v>Y</v>
      </c>
      <c r="AK725" s="159" t="s">
        <v>1025</v>
      </c>
    </row>
    <row r="726" customFormat="false" ht="20.25" hidden="false" customHeight="true" outlineLevel="0" collapsed="false">
      <c r="A726" s="19" t="n">
        <v>201</v>
      </c>
      <c r="B726" s="141" t="n">
        <v>45587</v>
      </c>
      <c r="C726" s="63" t="s">
        <v>96</v>
      </c>
      <c r="D726" s="63" t="s">
        <v>934</v>
      </c>
      <c r="E726" s="63" t="s">
        <v>935</v>
      </c>
      <c r="F726" s="63" t="s">
        <v>662</v>
      </c>
      <c r="G726" s="142" t="n">
        <v>45587</v>
      </c>
      <c r="H726" s="142" t="n">
        <v>45618</v>
      </c>
      <c r="I726" s="19" t="n">
        <f aca="false">H726-G726</f>
        <v>31</v>
      </c>
      <c r="J726" s="149" t="n">
        <f aca="false">TRUNC(I726/30,0)</f>
        <v>1</v>
      </c>
      <c r="K726" s="189" t="s">
        <v>99</v>
      </c>
      <c r="L726" s="146" t="n">
        <v>10</v>
      </c>
      <c r="M726" s="147"/>
      <c r="N726" s="148"/>
      <c r="O726" s="149" t="s">
        <v>303</v>
      </c>
      <c r="P726" s="150" t="n">
        <v>0.0474333</v>
      </c>
      <c r="Q726" s="150"/>
      <c r="R726" s="151" t="s">
        <v>914</v>
      </c>
      <c r="S726" s="152"/>
      <c r="T726" s="151"/>
      <c r="U726" s="152"/>
      <c r="V726" s="152" t="n">
        <v>0.050206</v>
      </c>
      <c r="W726" s="152" t="n">
        <v>0.003514</v>
      </c>
      <c r="X726" s="152" t="n">
        <v>0.003971</v>
      </c>
      <c r="Y726" s="152" t="n">
        <v>0.036378</v>
      </c>
      <c r="Z726" s="152" t="n">
        <v>0.002</v>
      </c>
      <c r="AA726" s="152" t="n">
        <v>0.002</v>
      </c>
      <c r="AB726" s="154" t="n">
        <f aca="false">S726-Z726</f>
        <v>-0.002</v>
      </c>
      <c r="AC726" s="154" t="n">
        <f aca="false">U726-Z726-AA726</f>
        <v>-0.004</v>
      </c>
      <c r="AD726" s="155" t="n">
        <v>0.041</v>
      </c>
      <c r="AE726" s="153" t="n">
        <v>0.036378</v>
      </c>
      <c r="AF726" s="153" t="n">
        <f aca="false">AD726-AE726</f>
        <v>0.004622</v>
      </c>
      <c r="AG726" s="184" t="n">
        <f aca="false">IF(AF726="","",AE726+AF726)</f>
        <v>0.041</v>
      </c>
      <c r="AH726" s="185" t="n">
        <v>45587</v>
      </c>
      <c r="AI726" s="35" t="n">
        <v>1</v>
      </c>
      <c r="AJ726" s="19" t="str">
        <f aca="false">IF(AG726="","N","Y")</f>
        <v>Y</v>
      </c>
      <c r="AK726" s="159"/>
    </row>
    <row r="727" customFormat="false" ht="20.25" hidden="false" customHeight="true" outlineLevel="0" collapsed="false">
      <c r="A727" s="19" t="n">
        <v>202</v>
      </c>
      <c r="B727" s="141" t="n">
        <v>45589</v>
      </c>
      <c r="C727" s="63" t="s">
        <v>96</v>
      </c>
      <c r="D727" s="63" t="s">
        <v>934</v>
      </c>
      <c r="E727" s="63" t="s">
        <v>935</v>
      </c>
      <c r="F727" s="63" t="s">
        <v>1027</v>
      </c>
      <c r="G727" s="142" t="n">
        <v>45589</v>
      </c>
      <c r="H727" s="142" t="n">
        <v>45618</v>
      </c>
      <c r="I727" s="19" t="n">
        <f aca="false">H727-G727</f>
        <v>29</v>
      </c>
      <c r="J727" s="149" t="n">
        <f aca="false">TRUNC(I727/30,0)</f>
        <v>0</v>
      </c>
      <c r="K727" s="189" t="s">
        <v>99</v>
      </c>
      <c r="L727" s="146" t="n">
        <v>4</v>
      </c>
      <c r="M727" s="147"/>
      <c r="N727" s="148"/>
      <c r="O727" s="149" t="s">
        <v>303</v>
      </c>
      <c r="P727" s="150" t="n">
        <v>0.0473759</v>
      </c>
      <c r="Q727" s="150"/>
      <c r="R727" s="151" t="s">
        <v>914</v>
      </c>
      <c r="S727" s="152"/>
      <c r="T727" s="151"/>
      <c r="U727" s="152"/>
      <c r="V727" s="152" t="n">
        <v>0.050697</v>
      </c>
      <c r="W727" s="152" t="n">
        <v>0.003549</v>
      </c>
      <c r="X727" s="152" t="n">
        <v>0.004428</v>
      </c>
      <c r="Y727" s="152" t="n">
        <v>0.036441</v>
      </c>
      <c r="Z727" s="152" t="n">
        <v>0.002</v>
      </c>
      <c r="AA727" s="152" t="n">
        <v>0.002</v>
      </c>
      <c r="AB727" s="154" t="n">
        <f aca="false">S727-Z727</f>
        <v>-0.002</v>
      </c>
      <c r="AC727" s="154" t="n">
        <f aca="false">U727-Z727-AA727</f>
        <v>-0.004</v>
      </c>
      <c r="AD727" s="155" t="n">
        <v>0.041</v>
      </c>
      <c r="AE727" s="153" t="n">
        <v>0.036441</v>
      </c>
      <c r="AF727" s="153" t="n">
        <f aca="false">AD727-AE727</f>
        <v>0.004559</v>
      </c>
      <c r="AG727" s="184" t="n">
        <f aca="false">IF(AF727="","",AE727+AF727)</f>
        <v>0.041</v>
      </c>
      <c r="AH727" s="185" t="n">
        <v>45589</v>
      </c>
      <c r="AI727" s="35" t="n">
        <v>1</v>
      </c>
      <c r="AJ727" s="19" t="str">
        <f aca="false">IF(AG727="","N","Y")</f>
        <v>Y</v>
      </c>
      <c r="AK727" s="159"/>
    </row>
    <row r="728" customFormat="false" ht="20.25" hidden="false" customHeight="true" outlineLevel="0" collapsed="false">
      <c r="A728" s="19" t="n">
        <v>203</v>
      </c>
      <c r="B728" s="141" t="n">
        <v>45590</v>
      </c>
      <c r="C728" s="63" t="s">
        <v>116</v>
      </c>
      <c r="D728" s="63" t="s">
        <v>1005</v>
      </c>
      <c r="E728" s="63" t="s">
        <v>1006</v>
      </c>
      <c r="F728" s="63" t="s">
        <v>1007</v>
      </c>
      <c r="G728" s="142" t="n">
        <v>45590</v>
      </c>
      <c r="H728" s="142" t="n">
        <v>45621</v>
      </c>
      <c r="I728" s="19" t="n">
        <f aca="false">H728-G728</f>
        <v>31</v>
      </c>
      <c r="J728" s="149" t="n">
        <f aca="false">TRUNC(I728/30,0)</f>
        <v>1</v>
      </c>
      <c r="K728" s="189" t="s">
        <v>99</v>
      </c>
      <c r="L728" s="146" t="n">
        <v>7.8</v>
      </c>
      <c r="M728" s="147"/>
      <c r="N728" s="148"/>
      <c r="O728" s="149" t="s">
        <v>303</v>
      </c>
      <c r="P728" s="150" t="n">
        <v>0.0471767</v>
      </c>
      <c r="Q728" s="150"/>
      <c r="R728" s="151" t="s">
        <v>914</v>
      </c>
      <c r="S728" s="152"/>
      <c r="T728" s="151"/>
      <c r="U728" s="152"/>
      <c r="V728" s="152" t="n">
        <v>0.050071</v>
      </c>
      <c r="W728" s="152" t="n">
        <v>0.003505</v>
      </c>
      <c r="X728" s="152" t="n">
        <v>0.002846</v>
      </c>
      <c r="Y728" s="152" t="n">
        <v>0.036402</v>
      </c>
      <c r="Z728" s="152" t="n">
        <v>0.002</v>
      </c>
      <c r="AA728" s="152" t="n">
        <v>0.002</v>
      </c>
      <c r="AB728" s="154" t="n">
        <f aca="false">S728-Z728</f>
        <v>-0.002</v>
      </c>
      <c r="AC728" s="154" t="n">
        <f aca="false">U728-Z728-AA728</f>
        <v>-0.004</v>
      </c>
      <c r="AD728" s="155" t="n">
        <v>0.042</v>
      </c>
      <c r="AE728" s="153" t="n">
        <f aca="false">IF(Y728="","",Y728)</f>
        <v>0.036402</v>
      </c>
      <c r="AF728" s="153" t="n">
        <f aca="false">AD728-AE728</f>
        <v>0.00559800000000001</v>
      </c>
      <c r="AG728" s="184" t="n">
        <f aca="false">IF(AF728="","",AE728+AF728)</f>
        <v>0.042</v>
      </c>
      <c r="AH728" s="185" t="n">
        <v>45590</v>
      </c>
      <c r="AI728" s="35" t="n">
        <v>1</v>
      </c>
      <c r="AJ728" s="19" t="str">
        <f aca="false">IF(AG728="","N","Y")</f>
        <v>Y</v>
      </c>
      <c r="AK728" s="159" t="s">
        <v>1025</v>
      </c>
    </row>
    <row r="729" customFormat="false" ht="20.25" hidden="false" customHeight="true" outlineLevel="0" collapsed="false">
      <c r="A729" s="19" t="n">
        <v>204</v>
      </c>
      <c r="B729" s="141" t="n">
        <v>45595</v>
      </c>
      <c r="C729" s="63" t="s">
        <v>1002</v>
      </c>
      <c r="D729" s="63" t="s">
        <v>1003</v>
      </c>
      <c r="E729" s="63" t="s">
        <v>1004</v>
      </c>
      <c r="F729" s="63" t="s">
        <v>773</v>
      </c>
      <c r="G729" s="142" t="n">
        <v>45595</v>
      </c>
      <c r="H729" s="142" t="n">
        <v>45688</v>
      </c>
      <c r="I729" s="19" t="n">
        <f aca="false">H729-G729</f>
        <v>93</v>
      </c>
      <c r="J729" s="149" t="n">
        <f aca="false">TRUNC(I729/30,0)</f>
        <v>3</v>
      </c>
      <c r="K729" s="183" t="s">
        <v>95</v>
      </c>
      <c r="L729" s="146" t="n">
        <v>1</v>
      </c>
      <c r="M729" s="147" t="n">
        <v>4.21</v>
      </c>
      <c r="N729" s="148" t="s">
        <v>1028</v>
      </c>
      <c r="O729" s="149" t="s">
        <v>300</v>
      </c>
      <c r="P729" s="150" t="n">
        <v>0.042036</v>
      </c>
      <c r="Q729" s="150"/>
      <c r="R729" s="151" t="s">
        <v>914</v>
      </c>
      <c r="S729" s="152"/>
      <c r="T729" s="151"/>
      <c r="U729" s="152"/>
      <c r="V729" s="152" t="n">
        <v>0.049882</v>
      </c>
      <c r="W729" s="152" t="n">
        <v>0.000998</v>
      </c>
      <c r="X729" s="152" t="n">
        <v>0.002164</v>
      </c>
      <c r="Y729" s="152" t="n">
        <v>0.042036</v>
      </c>
      <c r="Z729" s="152" t="n">
        <v>0.002</v>
      </c>
      <c r="AA729" s="152" t="n">
        <v>0.002</v>
      </c>
      <c r="AB729" s="154" t="n">
        <f aca="false">S729-Z729</f>
        <v>-0.002</v>
      </c>
      <c r="AC729" s="154" t="n">
        <f aca="false">U729-Z729-AA729</f>
        <v>-0.004</v>
      </c>
      <c r="AD729" s="155" t="n">
        <v>0.045</v>
      </c>
      <c r="AE729" s="153" t="n">
        <f aca="false">IF(Y729="","",Y729)</f>
        <v>0.042036</v>
      </c>
      <c r="AF729" s="153" t="n">
        <f aca="false">AD729-AE729</f>
        <v>0.002964</v>
      </c>
      <c r="AG729" s="184" t="n">
        <f aca="false">IF(AF729="","",AE729+AF729)</f>
        <v>0.045</v>
      </c>
      <c r="AH729" s="185" t="n">
        <v>45595</v>
      </c>
      <c r="AI729" s="35" t="n">
        <v>1</v>
      </c>
      <c r="AJ729" s="19" t="str">
        <f aca="false">IF(AG729="","N","Y")</f>
        <v>Y</v>
      </c>
      <c r="AK729" s="396" t="s">
        <v>1029</v>
      </c>
    </row>
    <row r="730" s="382" customFormat="true" ht="20.25" hidden="false" customHeight="true" outlineLevel="0" collapsed="false">
      <c r="A730" s="364" t="n">
        <v>205</v>
      </c>
      <c r="B730" s="363" t="n">
        <v>45597</v>
      </c>
      <c r="C730" s="364" t="s">
        <v>644</v>
      </c>
      <c r="D730" s="364" t="s">
        <v>1014</v>
      </c>
      <c r="E730" s="364" t="s">
        <v>1015</v>
      </c>
      <c r="F730" s="364" t="s">
        <v>1016</v>
      </c>
      <c r="G730" s="365" t="n">
        <v>45597</v>
      </c>
      <c r="H730" s="365" t="n">
        <v>45628</v>
      </c>
      <c r="I730" s="364" t="n">
        <f aca="false">H730-G730</f>
        <v>31</v>
      </c>
      <c r="J730" s="366" t="n">
        <f aca="false">TRUNC(I730/30,0)</f>
        <v>1</v>
      </c>
      <c r="K730" s="395" t="s">
        <v>95</v>
      </c>
      <c r="L730" s="368" t="n">
        <v>4</v>
      </c>
      <c r="M730" s="369"/>
      <c r="N730" s="370"/>
      <c r="O730" s="366" t="s">
        <v>303</v>
      </c>
      <c r="P730" s="371" t="n">
        <v>0.0465606</v>
      </c>
      <c r="Q730" s="371"/>
      <c r="R730" s="372" t="s">
        <v>914</v>
      </c>
      <c r="S730" s="373"/>
      <c r="T730" s="372"/>
      <c r="U730" s="373"/>
      <c r="V730" s="373" t="n">
        <v>0.051773</v>
      </c>
      <c r="W730" s="373" t="n">
        <v>0.001035</v>
      </c>
      <c r="X730" s="373" t="n">
        <v>0.002518</v>
      </c>
      <c r="Y730" s="373" t="n">
        <v>0.036741</v>
      </c>
      <c r="Z730" s="373" t="n">
        <v>0.002</v>
      </c>
      <c r="AA730" s="373" t="n">
        <v>0.002</v>
      </c>
      <c r="AB730" s="374" t="n">
        <f aca="false">S730-Z730</f>
        <v>-0.002</v>
      </c>
      <c r="AC730" s="374" t="n">
        <f aca="false">U730-Z730-AA730</f>
        <v>-0.004</v>
      </c>
      <c r="AD730" s="375" t="n">
        <v>0.046</v>
      </c>
      <c r="AE730" s="376" t="n">
        <v>0.040929</v>
      </c>
      <c r="AF730" s="376" t="n">
        <v>0.002769</v>
      </c>
      <c r="AG730" s="377" t="n">
        <v>0.046</v>
      </c>
      <c r="AH730" s="378" t="n">
        <v>45597</v>
      </c>
      <c r="AI730" s="379" t="n">
        <v>2</v>
      </c>
      <c r="AJ730" s="380" t="str">
        <f aca="false">IF(AG730="","N","Y")</f>
        <v>Y</v>
      </c>
      <c r="AK730" s="396" t="s">
        <v>1030</v>
      </c>
      <c r="AL730" s="397"/>
    </row>
    <row r="731" s="398" customFormat="true" ht="19.5" hidden="false" customHeight="true" outlineLevel="0" collapsed="false">
      <c r="A731" s="19" t="n">
        <v>206</v>
      </c>
      <c r="B731" s="141" t="n">
        <v>45597</v>
      </c>
      <c r="C731" s="63" t="s">
        <v>100</v>
      </c>
      <c r="D731" s="63" t="s">
        <v>922</v>
      </c>
      <c r="E731" s="63" t="s">
        <v>974</v>
      </c>
      <c r="F731" s="200" t="s">
        <v>826</v>
      </c>
      <c r="G731" s="142" t="n">
        <v>45597</v>
      </c>
      <c r="H731" s="142" t="n">
        <v>45603</v>
      </c>
      <c r="I731" s="19" t="n">
        <v>6</v>
      </c>
      <c r="J731" s="149" t="s">
        <v>1031</v>
      </c>
      <c r="K731" s="183" t="s">
        <v>95</v>
      </c>
      <c r="L731" s="146" t="n">
        <v>30</v>
      </c>
      <c r="M731" s="147"/>
      <c r="N731" s="148" t="s">
        <v>1032</v>
      </c>
      <c r="O731" s="149" t="s">
        <v>303</v>
      </c>
      <c r="P731" s="150" t="n">
        <v>0.0465606</v>
      </c>
      <c r="Q731" s="150"/>
      <c r="R731" s="151" t="s">
        <v>914</v>
      </c>
      <c r="S731" s="152"/>
      <c r="T731" s="151"/>
      <c r="U731" s="152"/>
      <c r="V731" s="152" t="n">
        <v>0.050021</v>
      </c>
      <c r="W731" s="152" t="n">
        <v>0.001</v>
      </c>
      <c r="X731" s="152" t="n">
        <v>0.00172</v>
      </c>
      <c r="Y731" s="152" t="n">
        <v>0.039615</v>
      </c>
      <c r="Z731" s="152" t="n">
        <v>0.002</v>
      </c>
      <c r="AA731" s="152" t="n">
        <v>0.002</v>
      </c>
      <c r="AB731" s="154" t="n">
        <v>-0.002</v>
      </c>
      <c r="AC731" s="154" t="n">
        <v>-0.004</v>
      </c>
      <c r="AD731" s="155" t="n">
        <v>0.045</v>
      </c>
      <c r="AE731" s="153" t="n">
        <v>0.038136</v>
      </c>
      <c r="AF731" s="153" t="n">
        <v>0.006864</v>
      </c>
      <c r="AG731" s="184" t="n">
        <v>0.045</v>
      </c>
      <c r="AH731" s="185" t="n">
        <v>45597</v>
      </c>
      <c r="AI731" s="35" t="n">
        <v>4</v>
      </c>
      <c r="AJ731" s="19" t="s">
        <v>466</v>
      </c>
      <c r="AK731" s="398" t="s">
        <v>1033</v>
      </c>
    </row>
    <row r="732" customFormat="false" ht="20.25" hidden="false" customHeight="true" outlineLevel="0" collapsed="false">
      <c r="A732" s="19" t="n">
        <v>207</v>
      </c>
      <c r="B732" s="141" t="n">
        <v>45601</v>
      </c>
      <c r="C732" s="63" t="s">
        <v>862</v>
      </c>
      <c r="D732" s="63" t="s">
        <v>932</v>
      </c>
      <c r="E732" s="63" t="s">
        <v>970</v>
      </c>
      <c r="F732" s="394" t="s">
        <v>864</v>
      </c>
      <c r="G732" s="142" t="n">
        <v>45601</v>
      </c>
      <c r="H732" s="142" t="n">
        <v>45631</v>
      </c>
      <c r="I732" s="19" t="n">
        <f aca="false">H732-G732</f>
        <v>30</v>
      </c>
      <c r="J732" s="149" t="n">
        <f aca="false">TRUNC(I732/30,0)</f>
        <v>1</v>
      </c>
      <c r="K732" s="189" t="s">
        <v>99</v>
      </c>
      <c r="L732" s="146" t="n">
        <v>1</v>
      </c>
      <c r="M732" s="147"/>
      <c r="N732" s="148"/>
      <c r="O732" s="149" t="s">
        <v>303</v>
      </c>
      <c r="P732" s="150" t="n">
        <v>0.0464045</v>
      </c>
      <c r="Q732" s="150"/>
      <c r="R732" s="151" t="s">
        <v>914</v>
      </c>
      <c r="S732" s="152"/>
      <c r="T732" s="151"/>
      <c r="U732" s="152"/>
      <c r="V732" s="152" t="n">
        <v>0.048528</v>
      </c>
      <c r="W732" s="152" t="n">
        <v>0.003397</v>
      </c>
      <c r="X732" s="152" t="n">
        <v>0.003411</v>
      </c>
      <c r="Y732" s="152" t="n">
        <v>0.036475</v>
      </c>
      <c r="Z732" s="152" t="n">
        <v>0.002</v>
      </c>
      <c r="AA732" s="152" t="n">
        <v>0.002</v>
      </c>
      <c r="AB732" s="154" t="n">
        <f aca="false">S732-Z732</f>
        <v>-0.002</v>
      </c>
      <c r="AC732" s="154" t="n">
        <f aca="false">U732-Z732-AA732</f>
        <v>-0.004</v>
      </c>
      <c r="AD732" s="155" t="n">
        <v>0.04</v>
      </c>
      <c r="AE732" s="153" t="n">
        <f aca="false">IF(Y732="","",Y732)</f>
        <v>0.036475</v>
      </c>
      <c r="AF732" s="153" t="n">
        <f aca="false">AD732-AE732</f>
        <v>0.003525</v>
      </c>
      <c r="AG732" s="184" t="n">
        <f aca="false">IF(AF732="","",AE732+AF732)</f>
        <v>0.04</v>
      </c>
      <c r="AH732" s="185" t="n">
        <v>45601</v>
      </c>
      <c r="AI732" s="35" t="n">
        <v>1</v>
      </c>
      <c r="AJ732" s="19" t="str">
        <f aca="false">IF(AG732="","N","Y")</f>
        <v>Y</v>
      </c>
      <c r="AK732" s="159" t="s">
        <v>1025</v>
      </c>
    </row>
    <row r="733" customFormat="false" ht="19.5" hidden="false" customHeight="true" outlineLevel="0" collapsed="false">
      <c r="A733" s="19" t="n">
        <v>208</v>
      </c>
      <c r="B733" s="141" t="n">
        <v>45603</v>
      </c>
      <c r="C733" s="63" t="s">
        <v>124</v>
      </c>
      <c r="D733" s="63" t="s">
        <v>1034</v>
      </c>
      <c r="E733" s="63" t="s">
        <v>883</v>
      </c>
      <c r="F733" s="63" t="s">
        <v>885</v>
      </c>
      <c r="G733" s="142" t="n">
        <v>45603</v>
      </c>
      <c r="H733" s="142" t="n">
        <v>45968</v>
      </c>
      <c r="I733" s="19" t="n">
        <f aca="false">H733-G733</f>
        <v>365</v>
      </c>
      <c r="J733" s="149" t="n">
        <f aca="false">TRUNC(I733/30,0)</f>
        <v>12</v>
      </c>
      <c r="K733" s="183" t="s">
        <v>95</v>
      </c>
      <c r="L733" s="146" t="n">
        <v>2</v>
      </c>
      <c r="M733" s="147" t="n">
        <v>3.94</v>
      </c>
      <c r="N733" s="148" t="s">
        <v>1035</v>
      </c>
      <c r="O733" s="149" t="s">
        <v>340</v>
      </c>
      <c r="P733" s="150" t="n">
        <v>0.0419947</v>
      </c>
      <c r="Q733" s="150"/>
      <c r="R733" s="151" t="s">
        <v>340</v>
      </c>
      <c r="S733" s="152"/>
      <c r="T733" s="151"/>
      <c r="U733" s="152"/>
      <c r="V733" s="152" t="n">
        <v>0.048512</v>
      </c>
      <c r="W733" s="152" t="n">
        <v>0.00097</v>
      </c>
      <c r="X733" s="152" t="n">
        <v>0.004722</v>
      </c>
      <c r="Y733" s="152" t="n">
        <v>0.0387548</v>
      </c>
      <c r="Z733" s="152" t="n">
        <v>0.002</v>
      </c>
      <c r="AA733" s="152" t="n">
        <v>0.002</v>
      </c>
      <c r="AB733" s="154" t="n">
        <f aca="false">S733-Z733</f>
        <v>-0.002</v>
      </c>
      <c r="AC733" s="154" t="n">
        <f aca="false">U733-Z733-AA733</f>
        <v>-0.004</v>
      </c>
      <c r="AD733" s="155" t="n">
        <v>0.0411</v>
      </c>
      <c r="AE733" s="153" t="n">
        <f aca="false">IF(Y733="","",Y733)</f>
        <v>0.0387548</v>
      </c>
      <c r="AF733" s="153" t="n">
        <f aca="false">AD733-AE733</f>
        <v>0.0023452</v>
      </c>
      <c r="AG733" s="184" t="n">
        <f aca="false">IF(AF733="","",AE733+AF733)</f>
        <v>0.0411</v>
      </c>
      <c r="AH733" s="185" t="n">
        <v>45237</v>
      </c>
      <c r="AI733" s="35" t="n">
        <v>1</v>
      </c>
      <c r="AJ733" s="19" t="str">
        <f aca="false">IF(AG733="","N","Y")</f>
        <v>Y</v>
      </c>
      <c r="AK733" s="361" t="s">
        <v>1036</v>
      </c>
      <c r="AL733" s="361"/>
      <c r="AM733" s="361"/>
      <c r="AN733" s="361"/>
      <c r="AO733" s="361"/>
      <c r="AP733" s="361"/>
      <c r="AQ733" s="361"/>
      <c r="AR733" s="361"/>
    </row>
    <row r="734" customFormat="false" ht="20.25" hidden="false" customHeight="true" outlineLevel="0" collapsed="false">
      <c r="A734" s="19" t="n">
        <v>209</v>
      </c>
      <c r="B734" s="141" t="n">
        <v>45608</v>
      </c>
      <c r="C734" s="63" t="s">
        <v>862</v>
      </c>
      <c r="D734" s="63" t="s">
        <v>932</v>
      </c>
      <c r="E734" s="63" t="s">
        <v>970</v>
      </c>
      <c r="F734" s="63" t="s">
        <v>906</v>
      </c>
      <c r="G734" s="142" t="n">
        <v>45608</v>
      </c>
      <c r="H734" s="142" t="n">
        <v>45638</v>
      </c>
      <c r="I734" s="19" t="n">
        <f aca="false">H734-G734</f>
        <v>30</v>
      </c>
      <c r="J734" s="149" t="n">
        <f aca="false">TRUNC(I734/30,0)</f>
        <v>1</v>
      </c>
      <c r="K734" s="189" t="s">
        <v>99</v>
      </c>
      <c r="L734" s="146" t="n">
        <v>5</v>
      </c>
      <c r="M734" s="147"/>
      <c r="N734" s="148"/>
      <c r="O734" s="149" t="s">
        <v>303</v>
      </c>
      <c r="P734" s="150" t="n">
        <v>0.0461648</v>
      </c>
      <c r="Q734" s="150"/>
      <c r="R734" s="151" t="s">
        <v>914</v>
      </c>
      <c r="S734" s="152"/>
      <c r="T734" s="151"/>
      <c r="U734" s="152"/>
      <c r="V734" s="152" t="n">
        <v>0.048507</v>
      </c>
      <c r="W734" s="152" t="n">
        <v>0.003395</v>
      </c>
      <c r="X734" s="152" t="n">
        <v>0.003266</v>
      </c>
      <c r="Y734" s="152" t="n">
        <v>0.036134</v>
      </c>
      <c r="Z734" s="152" t="n">
        <v>0.002</v>
      </c>
      <c r="AA734" s="152" t="n">
        <v>0.002</v>
      </c>
      <c r="AB734" s="154" t="n">
        <f aca="false">S734-Z734</f>
        <v>-0.002</v>
      </c>
      <c r="AC734" s="154" t="n">
        <f aca="false">U734-Z734-AA734</f>
        <v>-0.004</v>
      </c>
      <c r="AD734" s="155" t="n">
        <v>0.04</v>
      </c>
      <c r="AE734" s="153" t="n">
        <v>0.036679</v>
      </c>
      <c r="AF734" s="153" t="n">
        <f aca="false">AD734-AE734</f>
        <v>0.003321</v>
      </c>
      <c r="AG734" s="184" t="n">
        <f aca="false">IF(AF734="","",AE734+AF734)</f>
        <v>0.04</v>
      </c>
      <c r="AH734" s="185" t="n">
        <v>45608</v>
      </c>
      <c r="AI734" s="35" t="n">
        <v>1</v>
      </c>
      <c r="AJ734" s="19" t="str">
        <f aca="false">IF(AG734="","N","Y")</f>
        <v>Y</v>
      </c>
      <c r="AK734" s="159" t="s">
        <v>1037</v>
      </c>
    </row>
    <row r="735" customFormat="false" ht="20.25" hidden="false" customHeight="true" outlineLevel="0" collapsed="false">
      <c r="A735" s="19" t="n">
        <v>210</v>
      </c>
      <c r="B735" s="141" t="n">
        <v>45609</v>
      </c>
      <c r="C735" s="63" t="s">
        <v>977</v>
      </c>
      <c r="D735" s="63" t="s">
        <v>978</v>
      </c>
      <c r="E735" s="63" t="s">
        <v>1011</v>
      </c>
      <c r="F735" s="63" t="s">
        <v>980</v>
      </c>
      <c r="G735" s="142" t="n">
        <v>45609</v>
      </c>
      <c r="H735" s="142" t="n">
        <v>45701</v>
      </c>
      <c r="I735" s="19" t="n">
        <f aca="false">H735-G735</f>
        <v>92</v>
      </c>
      <c r="J735" s="149" t="n">
        <f aca="false">TRUNC(I735/30,0)</f>
        <v>3</v>
      </c>
      <c r="K735" s="183" t="s">
        <v>95</v>
      </c>
      <c r="L735" s="146" t="n">
        <v>2</v>
      </c>
      <c r="M735" s="147" t="n">
        <v>4.11</v>
      </c>
      <c r="N735" s="148" t="s">
        <v>783</v>
      </c>
      <c r="O735" s="149" t="s">
        <v>303</v>
      </c>
      <c r="P735" s="150" t="n">
        <v>0.0460769</v>
      </c>
      <c r="Q735" s="150"/>
      <c r="R735" s="151" t="s">
        <v>914</v>
      </c>
      <c r="S735" s="152"/>
      <c r="T735" s="151"/>
      <c r="U735" s="152"/>
      <c r="V735" s="152" t="n">
        <v>0.049157</v>
      </c>
      <c r="W735" s="152" t="n">
        <v>0.000983</v>
      </c>
      <c r="X735" s="152" t="n">
        <v>0.002453</v>
      </c>
      <c r="Y735" s="152" t="n">
        <v>0.041364</v>
      </c>
      <c r="Z735" s="152" t="n">
        <v>0.002</v>
      </c>
      <c r="AA735" s="152" t="n">
        <v>0.002</v>
      </c>
      <c r="AB735" s="154" t="n">
        <f aca="false">S735-Z735</f>
        <v>-0.002</v>
      </c>
      <c r="AC735" s="154" t="n">
        <f aca="false">U735-Z735-AA735</f>
        <v>-0.004</v>
      </c>
      <c r="AD735" s="155" t="n">
        <v>0.044</v>
      </c>
      <c r="AE735" s="153" t="n">
        <v>0.041364</v>
      </c>
      <c r="AF735" s="153" t="n">
        <f aca="false">AD735-AE735</f>
        <v>0.002636</v>
      </c>
      <c r="AG735" s="184" t="n">
        <f aca="false">IF(AF735="","",AE735+AF735)</f>
        <v>0.044</v>
      </c>
      <c r="AH735" s="185" t="n">
        <v>45609</v>
      </c>
      <c r="AI735" s="35" t="n">
        <v>2</v>
      </c>
      <c r="AJ735" s="19" t="str">
        <f aca="false">IF(AG735="","N","Y")</f>
        <v>Y</v>
      </c>
      <c r="AK735" s="159" t="s">
        <v>1038</v>
      </c>
    </row>
    <row r="736" customFormat="false" ht="20.25" hidden="false" customHeight="true" outlineLevel="0" collapsed="false">
      <c r="A736" s="19" t="n">
        <v>211</v>
      </c>
      <c r="B736" s="141" t="n">
        <v>45610</v>
      </c>
      <c r="C736" s="63" t="s">
        <v>96</v>
      </c>
      <c r="D736" s="63" t="s">
        <v>983</v>
      </c>
      <c r="E736" s="63" t="s">
        <v>984</v>
      </c>
      <c r="F736" s="63" t="s">
        <v>683</v>
      </c>
      <c r="G736" s="142" t="n">
        <v>45610</v>
      </c>
      <c r="H736" s="142" t="n">
        <v>45702</v>
      </c>
      <c r="I736" s="19" t="n">
        <f aca="false">H736-G736</f>
        <v>92</v>
      </c>
      <c r="J736" s="149" t="n">
        <f aca="false">TRUNC(I736/30,0)</f>
        <v>3</v>
      </c>
      <c r="K736" s="183" t="s">
        <v>95</v>
      </c>
      <c r="L736" s="146" t="n">
        <v>3.5</v>
      </c>
      <c r="M736" s="147" t="n">
        <v>4.11</v>
      </c>
      <c r="N736" s="148" t="s">
        <v>783</v>
      </c>
      <c r="O736" s="149" t="s">
        <v>300</v>
      </c>
      <c r="P736" s="150" t="n">
        <v>0.0452346</v>
      </c>
      <c r="Q736" s="150"/>
      <c r="R736" s="151" t="s">
        <v>914</v>
      </c>
      <c r="S736" s="152"/>
      <c r="T736" s="151"/>
      <c r="U736" s="152"/>
      <c r="V736" s="152" t="n">
        <v>0.049164</v>
      </c>
      <c r="W736" s="152" t="n">
        <v>0.000983</v>
      </c>
      <c r="X736" s="152" t="n">
        <v>0.00246</v>
      </c>
      <c r="Y736" s="152" t="n">
        <v>0.041429</v>
      </c>
      <c r="Z736" s="152" t="n">
        <v>0.002</v>
      </c>
      <c r="AA736" s="152" t="n">
        <v>0.002</v>
      </c>
      <c r="AB736" s="154" t="n">
        <f aca="false">S736-Z736</f>
        <v>-0.002</v>
      </c>
      <c r="AC736" s="154" t="n">
        <f aca="false">U736-Z736-AA736</f>
        <v>-0.004</v>
      </c>
      <c r="AD736" s="155" t="n">
        <v>0.044</v>
      </c>
      <c r="AE736" s="153" t="n">
        <v>0.041429</v>
      </c>
      <c r="AF736" s="153" t="n">
        <f aca="false">AD736-AE736</f>
        <v>0.002571</v>
      </c>
      <c r="AG736" s="184" t="n">
        <f aca="false">IF(AF736="","",AE736+AF736)</f>
        <v>0.044</v>
      </c>
      <c r="AH736" s="185" t="n">
        <v>45610</v>
      </c>
      <c r="AI736" s="35" t="n">
        <v>1</v>
      </c>
      <c r="AJ736" s="19" t="str">
        <f aca="false">IF(AG736="","N","Y")</f>
        <v>Y</v>
      </c>
      <c r="AK736" s="159" t="s">
        <v>1038</v>
      </c>
    </row>
    <row r="737" customFormat="false" ht="20.25" hidden="false" customHeight="true" outlineLevel="0" collapsed="false">
      <c r="A737" s="19" t="n">
        <v>212</v>
      </c>
      <c r="B737" s="141" t="n">
        <v>45614</v>
      </c>
      <c r="C737" s="63" t="s">
        <v>96</v>
      </c>
      <c r="D737" s="63" t="s">
        <v>983</v>
      </c>
      <c r="E737" s="63" t="s">
        <v>987</v>
      </c>
      <c r="F737" s="63" t="s">
        <v>754</v>
      </c>
      <c r="G737" s="142" t="n">
        <v>45614</v>
      </c>
      <c r="H737" s="142" t="n">
        <v>45706</v>
      </c>
      <c r="I737" s="19" t="n">
        <f aca="false">H737-G737</f>
        <v>92</v>
      </c>
      <c r="J737" s="149" t="n">
        <f aca="false">TRUNC(I737/30,0)</f>
        <v>3</v>
      </c>
      <c r="K737" s="183" t="s">
        <v>95</v>
      </c>
      <c r="L737" s="146" t="n">
        <v>2</v>
      </c>
      <c r="M737" s="147" t="n">
        <v>4.08</v>
      </c>
      <c r="N737" s="148" t="s">
        <v>997</v>
      </c>
      <c r="O737" s="149" t="s">
        <v>300</v>
      </c>
      <c r="P737" s="150" t="n">
        <v>0.0449113</v>
      </c>
      <c r="Q737" s="150"/>
      <c r="R737" s="151" t="s">
        <v>914</v>
      </c>
      <c r="S737" s="152"/>
      <c r="T737" s="151"/>
      <c r="U737" s="152"/>
      <c r="V737" s="152" t="n">
        <v>0.04885</v>
      </c>
      <c r="W737" s="152" t="n">
        <v>0.000977</v>
      </c>
      <c r="X737" s="152" t="n">
        <v>0.002153</v>
      </c>
      <c r="Y737" s="152" t="n">
        <v>0.041113</v>
      </c>
      <c r="Z737" s="152" t="n">
        <v>0.002</v>
      </c>
      <c r="AA737" s="152" t="n">
        <v>0.002</v>
      </c>
      <c r="AB737" s="154" t="n">
        <f aca="false">S737-Z737</f>
        <v>-0.002</v>
      </c>
      <c r="AC737" s="154" t="n">
        <f aca="false">U737-Z737-AA737</f>
        <v>-0.004</v>
      </c>
      <c r="AD737" s="155" t="n">
        <v>0.044</v>
      </c>
      <c r="AE737" s="153" t="n">
        <f aca="false">IF(Y737="","",Y737)</f>
        <v>0.041113</v>
      </c>
      <c r="AF737" s="153" t="n">
        <f aca="false">AD737-AE737</f>
        <v>0.002887</v>
      </c>
      <c r="AG737" s="184" t="n">
        <f aca="false">IF(AF737="","",AE737+AF737)</f>
        <v>0.044</v>
      </c>
      <c r="AH737" s="185" t="n">
        <v>45614</v>
      </c>
      <c r="AI737" s="35" t="n">
        <v>1</v>
      </c>
      <c r="AJ737" s="19" t="str">
        <f aca="false">IF(AG737="","N","Y")</f>
        <v>Y</v>
      </c>
      <c r="AK737" s="159" t="s">
        <v>1038</v>
      </c>
    </row>
    <row r="738" s="268" customFormat="true" ht="20.25" hidden="false" customHeight="true" outlineLevel="0" collapsed="false">
      <c r="A738" s="249" t="n">
        <v>213</v>
      </c>
      <c r="B738" s="248" t="n">
        <v>45621</v>
      </c>
      <c r="C738" s="249" t="s">
        <v>116</v>
      </c>
      <c r="D738" s="249" t="s">
        <v>1005</v>
      </c>
      <c r="E738" s="249" t="s">
        <v>1006</v>
      </c>
      <c r="F738" s="249" t="s">
        <v>1007</v>
      </c>
      <c r="G738" s="250" t="n">
        <v>45621</v>
      </c>
      <c r="H738" s="250" t="n">
        <v>45650</v>
      </c>
      <c r="I738" s="249" t="n">
        <f aca="false">H738-G738</f>
        <v>29</v>
      </c>
      <c r="J738" s="251" t="n">
        <f aca="false">TRUNC(I738/30,0)</f>
        <v>0</v>
      </c>
      <c r="K738" s="399" t="s">
        <v>99</v>
      </c>
      <c r="L738" s="253" t="n">
        <v>10.16</v>
      </c>
      <c r="M738" s="254"/>
      <c r="N738" s="255"/>
      <c r="O738" s="251" t="s">
        <v>303</v>
      </c>
      <c r="P738" s="256" t="n">
        <v>0.0471767</v>
      </c>
      <c r="Q738" s="256"/>
      <c r="R738" s="257" t="s">
        <v>914</v>
      </c>
      <c r="S738" s="258"/>
      <c r="T738" s="257"/>
      <c r="U738" s="258"/>
      <c r="V738" s="258" t="n">
        <v>0.050188</v>
      </c>
      <c r="W738" s="258" t="n">
        <v>0.003513</v>
      </c>
      <c r="X738" s="258" t="n">
        <v>0.005454</v>
      </c>
      <c r="Y738" s="258" t="n">
        <v>0.034236</v>
      </c>
      <c r="Z738" s="258" t="n">
        <v>0.002</v>
      </c>
      <c r="AA738" s="258" t="n">
        <v>0.002</v>
      </c>
      <c r="AB738" s="259" t="n">
        <f aca="false">S738-Z738</f>
        <v>-0.002</v>
      </c>
      <c r="AC738" s="259" t="n">
        <f aca="false">U738-Z738-AA738</f>
        <v>-0.004</v>
      </c>
      <c r="AD738" s="260" t="n">
        <v>0.0395</v>
      </c>
      <c r="AE738" s="261" t="n">
        <v>0.034236</v>
      </c>
      <c r="AF738" s="261" t="n">
        <f aca="false">AD738-AE738</f>
        <v>0.005264</v>
      </c>
      <c r="AG738" s="262" t="n">
        <f aca="false">IF(AF738="","",AE738+AF738)</f>
        <v>0.0395</v>
      </c>
      <c r="AH738" s="263" t="n">
        <v>45621</v>
      </c>
      <c r="AI738" s="264" t="n">
        <v>1</v>
      </c>
      <c r="AJ738" s="265" t="str">
        <f aca="false">IF(AG738="","N","Y")</f>
        <v>Y</v>
      </c>
      <c r="AK738" s="400" t="s">
        <v>1037</v>
      </c>
      <c r="AL738" s="267"/>
    </row>
    <row r="739" customFormat="false" ht="20.25" hidden="false" customHeight="true" outlineLevel="0" collapsed="false">
      <c r="A739" s="19" t="n">
        <v>214</v>
      </c>
      <c r="B739" s="141" t="n">
        <v>45622</v>
      </c>
      <c r="C739" s="63" t="s">
        <v>866</v>
      </c>
      <c r="D739" s="63" t="s">
        <v>1039</v>
      </c>
      <c r="E739" s="63" t="s">
        <v>867</v>
      </c>
      <c r="F739" s="63" t="s">
        <v>1040</v>
      </c>
      <c r="G739" s="142" t="n">
        <v>45622</v>
      </c>
      <c r="H739" s="142" t="n">
        <v>45652</v>
      </c>
      <c r="I739" s="19" t="n">
        <f aca="false">H739-G739</f>
        <v>30</v>
      </c>
      <c r="J739" s="149" t="n">
        <f aca="false">TRUNC(I739/30,0)</f>
        <v>1</v>
      </c>
      <c r="K739" s="189" t="s">
        <v>99</v>
      </c>
      <c r="L739" s="146" t="n">
        <v>4.5</v>
      </c>
      <c r="M739" s="147"/>
      <c r="N739" s="148"/>
      <c r="O739" s="149" t="s">
        <v>303</v>
      </c>
      <c r="P739" s="150" t="n">
        <v>0.0458557</v>
      </c>
      <c r="Q739" s="150"/>
      <c r="R739" s="151" t="s">
        <v>914</v>
      </c>
      <c r="S739" s="152"/>
      <c r="T739" s="151"/>
      <c r="U739" s="152"/>
      <c r="V739" s="152" t="n">
        <v>0.05012</v>
      </c>
      <c r="W739" s="152" t="n">
        <v>0.003508</v>
      </c>
      <c r="X739" s="152" t="n">
        <v>0.008892</v>
      </c>
      <c r="Y739" s="152" t="n">
        <v>0.03423</v>
      </c>
      <c r="Z739" s="152" t="n">
        <v>0.002</v>
      </c>
      <c r="AA739" s="152" t="n">
        <v>0.002</v>
      </c>
      <c r="AB739" s="154" t="n">
        <f aca="false">S739-Z739</f>
        <v>-0.002</v>
      </c>
      <c r="AC739" s="154" t="n">
        <f aca="false">U739-Z739-AA739</f>
        <v>-0.004</v>
      </c>
      <c r="AD739" s="155" t="n">
        <v>0.036</v>
      </c>
      <c r="AE739" s="153" t="n">
        <v>0.03423</v>
      </c>
      <c r="AF739" s="153" t="n">
        <f aca="false">AD739-AE739</f>
        <v>0.00177</v>
      </c>
      <c r="AG739" s="184" t="n">
        <f aca="false">IF(AF739="","",AE739+AF739)</f>
        <v>0.036</v>
      </c>
      <c r="AH739" s="185" t="n">
        <v>45622</v>
      </c>
      <c r="AI739" s="35" t="n">
        <v>1</v>
      </c>
      <c r="AJ739" s="19" t="str">
        <f aca="false">IF(AG739="","N","Y")</f>
        <v>Y</v>
      </c>
      <c r="AK739" s="159" t="s">
        <v>1037</v>
      </c>
    </row>
    <row r="740" customFormat="false" ht="20.25" hidden="false" customHeight="true" outlineLevel="0" collapsed="false">
      <c r="A740" s="19" t="n">
        <v>215</v>
      </c>
      <c r="B740" s="141" t="n">
        <v>45623</v>
      </c>
      <c r="C740" s="63" t="s">
        <v>1041</v>
      </c>
      <c r="D740" s="63" t="s">
        <v>1042</v>
      </c>
      <c r="E740" s="63" t="s">
        <v>1043</v>
      </c>
      <c r="F740" s="63" t="s">
        <v>1044</v>
      </c>
      <c r="G740" s="142" t="n">
        <v>45623</v>
      </c>
      <c r="H740" s="142" t="n">
        <v>45988</v>
      </c>
      <c r="I740" s="19" t="n">
        <f aca="false">H740-G740</f>
        <v>365</v>
      </c>
      <c r="J740" s="149" t="n">
        <f aca="false">TRUNC(I740/30,0)</f>
        <v>12</v>
      </c>
      <c r="K740" s="183" t="s">
        <v>95</v>
      </c>
      <c r="L740" s="146" t="n">
        <v>1.8</v>
      </c>
      <c r="M740" s="147"/>
      <c r="N740" s="148"/>
      <c r="O740" s="149" t="s">
        <v>396</v>
      </c>
      <c r="P740" s="150" t="n">
        <v>0.0430411</v>
      </c>
      <c r="Q740" s="150"/>
      <c r="R740" s="151" t="s">
        <v>914</v>
      </c>
      <c r="S740" s="152"/>
      <c r="T740" s="151"/>
      <c r="U740" s="152"/>
      <c r="V740" s="152" t="n">
        <v>0.050258</v>
      </c>
      <c r="W740" s="152" t="n">
        <v>0.001005</v>
      </c>
      <c r="X740" s="152" t="n">
        <v>0.004333</v>
      </c>
      <c r="Y740" s="152" t="n">
        <v>0.03978</v>
      </c>
      <c r="Z740" s="152" t="n">
        <v>0.002</v>
      </c>
      <c r="AA740" s="152" t="n">
        <v>0.002</v>
      </c>
      <c r="AB740" s="154" t="n">
        <f aca="false">S740-Z740</f>
        <v>-0.002</v>
      </c>
      <c r="AC740" s="154" t="n">
        <f aca="false">U740-Z740-AA740</f>
        <v>-0.004</v>
      </c>
      <c r="AD740" s="155" t="n">
        <v>0.0432</v>
      </c>
      <c r="AE740" s="153" t="n">
        <v>0.03978</v>
      </c>
      <c r="AF740" s="153" t="n">
        <f aca="false">AD740-AE740</f>
        <v>0.00342</v>
      </c>
      <c r="AG740" s="184" t="n">
        <f aca="false">IF(AF740="","",AE740+AF740)</f>
        <v>0.0432</v>
      </c>
      <c r="AH740" s="185" t="n">
        <v>45623</v>
      </c>
      <c r="AI740" s="35" t="n">
        <v>1</v>
      </c>
      <c r="AJ740" s="19" t="str">
        <f aca="false">IF(AG740="","N","Y")</f>
        <v>Y</v>
      </c>
      <c r="AK740" s="159" t="s">
        <v>1045</v>
      </c>
    </row>
    <row r="741" customFormat="false" ht="20.25" hidden="false" customHeight="true" outlineLevel="0" collapsed="false">
      <c r="A741" s="19" t="n">
        <v>216</v>
      </c>
      <c r="B741" s="141" t="n">
        <v>45623</v>
      </c>
      <c r="C741" s="63" t="s">
        <v>1041</v>
      </c>
      <c r="D741" s="63" t="s">
        <v>1042</v>
      </c>
      <c r="E741" s="63" t="s">
        <v>1046</v>
      </c>
      <c r="F741" s="63" t="s">
        <v>1044</v>
      </c>
      <c r="G741" s="142" t="n">
        <v>45623</v>
      </c>
      <c r="H741" s="142" t="n">
        <v>45988</v>
      </c>
      <c r="I741" s="19" t="n">
        <f aca="false">H741-G741</f>
        <v>365</v>
      </c>
      <c r="J741" s="149" t="n">
        <f aca="false">TRUNC(I741/30,0)</f>
        <v>12</v>
      </c>
      <c r="K741" s="183" t="s">
        <v>95</v>
      </c>
      <c r="L741" s="146" t="n">
        <v>2.07</v>
      </c>
      <c r="M741" s="147" t="n">
        <v>4.04</v>
      </c>
      <c r="N741" s="148" t="s">
        <v>1047</v>
      </c>
      <c r="O741" s="149" t="s">
        <v>396</v>
      </c>
      <c r="P741" s="150" t="n">
        <v>0.0430411</v>
      </c>
      <c r="Q741" s="150"/>
      <c r="R741" s="151" t="s">
        <v>914</v>
      </c>
      <c r="S741" s="152"/>
      <c r="T741" s="151"/>
      <c r="U741" s="152"/>
      <c r="V741" s="152" t="n">
        <v>0.050258</v>
      </c>
      <c r="W741" s="152" t="n">
        <v>0.001005</v>
      </c>
      <c r="X741" s="152" t="n">
        <v>0.004333</v>
      </c>
      <c r="Y741" s="152" t="n">
        <v>0.03978</v>
      </c>
      <c r="Z741" s="152" t="n">
        <v>0.002</v>
      </c>
      <c r="AA741" s="152" t="n">
        <v>0.002</v>
      </c>
      <c r="AB741" s="154" t="n">
        <f aca="false">S741-Z741</f>
        <v>-0.002</v>
      </c>
      <c r="AC741" s="154" t="n">
        <f aca="false">U741-Z741-AA741</f>
        <v>-0.004</v>
      </c>
      <c r="AD741" s="155" t="n">
        <v>0.0432</v>
      </c>
      <c r="AE741" s="153" t="n">
        <v>0.03978</v>
      </c>
      <c r="AF741" s="153" t="n">
        <f aca="false">AD741-AE741</f>
        <v>0.00342</v>
      </c>
      <c r="AG741" s="184" t="n">
        <f aca="false">IF(AF741="","",AE741+AF741)</f>
        <v>0.0432</v>
      </c>
      <c r="AH741" s="185" t="n">
        <v>45623</v>
      </c>
      <c r="AI741" s="35" t="n">
        <v>1</v>
      </c>
      <c r="AJ741" s="19" t="str">
        <f aca="false">IF(AG741="","N","Y")</f>
        <v>Y</v>
      </c>
      <c r="AK741" s="159" t="s">
        <v>1045</v>
      </c>
    </row>
    <row r="742" s="382" customFormat="true" ht="20.25" hidden="false" customHeight="true" outlineLevel="0" collapsed="false">
      <c r="A742" s="364" t="n">
        <v>217</v>
      </c>
      <c r="B742" s="363" t="n">
        <v>45629</v>
      </c>
      <c r="C742" s="364" t="s">
        <v>644</v>
      </c>
      <c r="D742" s="364" t="s">
        <v>1014</v>
      </c>
      <c r="E742" s="364" t="s">
        <v>1015</v>
      </c>
      <c r="F742" s="364" t="s">
        <v>1016</v>
      </c>
      <c r="G742" s="365" t="n">
        <v>45629</v>
      </c>
      <c r="H742" s="365" t="n">
        <v>45660</v>
      </c>
      <c r="I742" s="364" t="n">
        <f aca="false">H742-G742</f>
        <v>31</v>
      </c>
      <c r="J742" s="366" t="n">
        <f aca="false">TRUNC(I742/30,0)</f>
        <v>1</v>
      </c>
      <c r="K742" s="395" t="s">
        <v>95</v>
      </c>
      <c r="L742" s="368" t="n">
        <v>2</v>
      </c>
      <c r="M742" s="369"/>
      <c r="N742" s="370"/>
      <c r="O742" s="366" t="s">
        <v>303</v>
      </c>
      <c r="P742" s="371" t="n">
        <v>0.0452397</v>
      </c>
      <c r="Q742" s="371"/>
      <c r="R742" s="372" t="s">
        <v>914</v>
      </c>
      <c r="S742" s="373"/>
      <c r="T742" s="372"/>
      <c r="U742" s="373"/>
      <c r="V742" s="373" t="n">
        <v>0.047817</v>
      </c>
      <c r="W742" s="373" t="n">
        <v>0.000956</v>
      </c>
      <c r="X742" s="373" t="n">
        <v>0.001641</v>
      </c>
      <c r="Y742" s="373" t="n">
        <v>0.039634</v>
      </c>
      <c r="Z742" s="373" t="n">
        <v>0.002</v>
      </c>
      <c r="AA742" s="373" t="n">
        <v>0.002</v>
      </c>
      <c r="AB742" s="374" t="n">
        <f aca="false">S742-Z742</f>
        <v>-0.002</v>
      </c>
      <c r="AC742" s="374" t="n">
        <f aca="false">U742-Z742-AA742</f>
        <v>-0.004</v>
      </c>
      <c r="AD742" s="375" t="n">
        <v>0.0435</v>
      </c>
      <c r="AE742" s="376" t="n">
        <v>0.039634</v>
      </c>
      <c r="AF742" s="153" t="n">
        <f aca="false">AD742-AE742</f>
        <v>0.00386599999999999</v>
      </c>
      <c r="AG742" s="377" t="n">
        <v>0.0435</v>
      </c>
      <c r="AH742" s="378" t="n">
        <v>45629</v>
      </c>
      <c r="AI742" s="379" t="n">
        <v>2</v>
      </c>
      <c r="AJ742" s="380" t="str">
        <f aca="false">IF(AG742="","N","Y")</f>
        <v>Y</v>
      </c>
      <c r="AK742" s="396" t="s">
        <v>1048</v>
      </c>
      <c r="AL742" s="397"/>
    </row>
    <row r="743" s="382" customFormat="true" ht="20.25" hidden="false" customHeight="true" outlineLevel="0" collapsed="false">
      <c r="A743" s="364" t="n">
        <v>218</v>
      </c>
      <c r="B743" s="363" t="n">
        <v>45629</v>
      </c>
      <c r="C743" s="364" t="s">
        <v>644</v>
      </c>
      <c r="D743" s="364" t="s">
        <v>1014</v>
      </c>
      <c r="E743" s="364" t="s">
        <v>1015</v>
      </c>
      <c r="F743" s="364" t="s">
        <v>1016</v>
      </c>
      <c r="G743" s="365" t="n">
        <v>45629</v>
      </c>
      <c r="H743" s="365" t="n">
        <v>45660</v>
      </c>
      <c r="I743" s="364" t="n">
        <f aca="false">H743-G743</f>
        <v>31</v>
      </c>
      <c r="J743" s="366" t="n">
        <f aca="false">TRUNC(I743/30,0)</f>
        <v>1</v>
      </c>
      <c r="K743" s="395" t="s">
        <v>95</v>
      </c>
      <c r="L743" s="368" t="n">
        <v>2</v>
      </c>
      <c r="M743" s="369"/>
      <c r="N743" s="370"/>
      <c r="O743" s="366" t="s">
        <v>303</v>
      </c>
      <c r="P743" s="371" t="n">
        <v>0.0452397</v>
      </c>
      <c r="Q743" s="371"/>
      <c r="R743" s="372" t="s">
        <v>914</v>
      </c>
      <c r="S743" s="373"/>
      <c r="T743" s="372"/>
      <c r="U743" s="373"/>
      <c r="V743" s="373" t="n">
        <v>0.047817</v>
      </c>
      <c r="W743" s="373" t="n">
        <v>0.000956</v>
      </c>
      <c r="X743" s="373" t="n">
        <v>0.001641</v>
      </c>
      <c r="Y743" s="373" t="n">
        <v>0.039634</v>
      </c>
      <c r="Z743" s="373" t="n">
        <v>0.002</v>
      </c>
      <c r="AA743" s="373" t="n">
        <v>0.002</v>
      </c>
      <c r="AB743" s="374" t="n">
        <f aca="false">S743-Z743</f>
        <v>-0.002</v>
      </c>
      <c r="AC743" s="374" t="n">
        <f aca="false">U743-Z743-AA743</f>
        <v>-0.004</v>
      </c>
      <c r="AD743" s="375" t="n">
        <v>0.0435</v>
      </c>
      <c r="AE743" s="376" t="n">
        <v>0.039634</v>
      </c>
      <c r="AF743" s="153" t="n">
        <f aca="false">AD743-AE743</f>
        <v>0.00386599999999999</v>
      </c>
      <c r="AG743" s="377" t="n">
        <v>0.0435</v>
      </c>
      <c r="AH743" s="378" t="n">
        <v>45629</v>
      </c>
      <c r="AI743" s="379" t="n">
        <v>4</v>
      </c>
      <c r="AJ743" s="380" t="str">
        <f aca="false">IF(AG743="","N","Y")</f>
        <v>Y</v>
      </c>
      <c r="AK743" s="396" t="s">
        <v>1048</v>
      </c>
      <c r="AL743" s="397"/>
    </row>
    <row r="744" s="382" customFormat="true" ht="20.25" hidden="false" customHeight="true" outlineLevel="0" collapsed="false">
      <c r="A744" s="364" t="n">
        <v>219</v>
      </c>
      <c r="B744" s="363" t="n">
        <v>45630</v>
      </c>
      <c r="C744" s="364" t="s">
        <v>187</v>
      </c>
      <c r="D744" s="364" t="s">
        <v>875</v>
      </c>
      <c r="E744" s="364" t="s">
        <v>1049</v>
      </c>
      <c r="F744" s="364" t="s">
        <v>1050</v>
      </c>
      <c r="G744" s="365" t="n">
        <v>45630</v>
      </c>
      <c r="H744" s="365" t="n">
        <v>45637</v>
      </c>
      <c r="I744" s="364" t="n">
        <f aca="false">H744-G744</f>
        <v>7</v>
      </c>
      <c r="J744" s="366" t="n">
        <f aca="false">TRUNC(I744/30,0)</f>
        <v>0</v>
      </c>
      <c r="K744" s="395" t="s">
        <v>95</v>
      </c>
      <c r="L744" s="368" t="n">
        <v>6.6</v>
      </c>
      <c r="M744" s="369"/>
      <c r="N744" s="370"/>
      <c r="O744" s="366" t="s">
        <v>303</v>
      </c>
      <c r="P744" s="371" t="n">
        <v>0.0452397</v>
      </c>
      <c r="Q744" s="371"/>
      <c r="R744" s="372" t="s">
        <v>914</v>
      </c>
      <c r="S744" s="373"/>
      <c r="T744" s="372"/>
      <c r="U744" s="373"/>
      <c r="V744" s="373" t="n">
        <v>0.048202</v>
      </c>
      <c r="W744" s="373" t="n">
        <v>0.003374</v>
      </c>
      <c r="X744" s="373" t="n">
        <v>0.003869</v>
      </c>
      <c r="Y744" s="373" t="n">
        <v>0.036631</v>
      </c>
      <c r="Z744" s="373" t="n">
        <v>0.002</v>
      </c>
      <c r="AA744" s="373" t="n">
        <v>0.002</v>
      </c>
      <c r="AB744" s="374" t="n">
        <f aca="false">S744-Z744</f>
        <v>-0.002</v>
      </c>
      <c r="AC744" s="374" t="n">
        <f aca="false">U744-Z744-AA744</f>
        <v>-0.004</v>
      </c>
      <c r="AD744" s="375" t="n">
        <v>0.0405</v>
      </c>
      <c r="AE744" s="376" t="n">
        <v>0.036631</v>
      </c>
      <c r="AF744" s="153" t="n">
        <f aca="false">AD744-AE744</f>
        <v>0.003869</v>
      </c>
      <c r="AG744" s="377" t="n">
        <v>0.0405</v>
      </c>
      <c r="AH744" s="378" t="n">
        <v>45630</v>
      </c>
      <c r="AI744" s="379" t="n">
        <v>2</v>
      </c>
      <c r="AJ744" s="380" t="str">
        <f aca="false">IF(AG744="","N","Y")</f>
        <v>Y</v>
      </c>
      <c r="AK744" s="159" t="s">
        <v>1037</v>
      </c>
      <c r="AL744" s="397"/>
    </row>
    <row r="745" s="382" customFormat="true" ht="20.25" hidden="false" customHeight="true" outlineLevel="0" collapsed="false">
      <c r="A745" s="364" t="n">
        <v>220</v>
      </c>
      <c r="B745" s="363" t="n">
        <v>45630</v>
      </c>
      <c r="C745" s="364" t="s">
        <v>1002</v>
      </c>
      <c r="D745" s="364" t="s">
        <v>1051</v>
      </c>
      <c r="E745" s="364" t="s">
        <v>1052</v>
      </c>
      <c r="F745" s="63" t="s">
        <v>773</v>
      </c>
      <c r="G745" s="365" t="n">
        <v>45630</v>
      </c>
      <c r="H745" s="365" t="n">
        <v>45720</v>
      </c>
      <c r="I745" s="364" t="n">
        <f aca="false">H745-G745</f>
        <v>90</v>
      </c>
      <c r="J745" s="366" t="n">
        <f aca="false">TRUNC(I745/30,0)</f>
        <v>3</v>
      </c>
      <c r="K745" s="395" t="s">
        <v>95</v>
      </c>
      <c r="L745" s="368" t="n">
        <v>2</v>
      </c>
      <c r="M745" s="369"/>
      <c r="N745" s="370"/>
      <c r="O745" s="366" t="s">
        <v>300</v>
      </c>
      <c r="P745" s="371" t="n">
        <v>0.0447178</v>
      </c>
      <c r="Q745" s="371"/>
      <c r="R745" s="372" t="s">
        <v>914</v>
      </c>
      <c r="S745" s="373"/>
      <c r="T745" s="372"/>
      <c r="U745" s="373"/>
      <c r="V745" s="373" t="n">
        <v>0.048629</v>
      </c>
      <c r="W745" s="373" t="n">
        <v>0.000973</v>
      </c>
      <c r="X745" s="373" t="n">
        <v>0.00172</v>
      </c>
      <c r="Y745" s="373" t="n">
        <v>0.040923</v>
      </c>
      <c r="Z745" s="373" t="n">
        <v>0.002</v>
      </c>
      <c r="AA745" s="373" t="n">
        <v>0.002</v>
      </c>
      <c r="AB745" s="374" t="n">
        <f aca="false">S745-Z745</f>
        <v>-0.002</v>
      </c>
      <c r="AC745" s="374" t="n">
        <f aca="false">U745-Z745-AA745</f>
        <v>-0.004</v>
      </c>
      <c r="AD745" s="375" t="n">
        <v>0.0442</v>
      </c>
      <c r="AE745" s="376" t="n">
        <v>0.040923</v>
      </c>
      <c r="AF745" s="153" t="n">
        <f aca="false">AD745-AE745</f>
        <v>0.003277</v>
      </c>
      <c r="AG745" s="377" t="n">
        <v>0.0442</v>
      </c>
      <c r="AH745" s="378" t="n">
        <v>45630</v>
      </c>
      <c r="AI745" s="379" t="n">
        <v>3</v>
      </c>
      <c r="AJ745" s="380" t="str">
        <f aca="false">IF(AG745="","N","Y")</f>
        <v>Y</v>
      </c>
      <c r="AK745" s="396" t="s">
        <v>1053</v>
      </c>
      <c r="AL745" s="397"/>
    </row>
    <row r="746" s="382" customFormat="true" ht="20.25" hidden="false" customHeight="true" outlineLevel="0" collapsed="false">
      <c r="A746" s="364" t="n">
        <v>221</v>
      </c>
      <c r="B746" s="363" t="n">
        <v>45630</v>
      </c>
      <c r="C746" s="364" t="s">
        <v>209</v>
      </c>
      <c r="D746" s="364" t="s">
        <v>1054</v>
      </c>
      <c r="E746" s="364" t="s">
        <v>1055</v>
      </c>
      <c r="F746" s="63" t="s">
        <v>697</v>
      </c>
      <c r="G746" s="365" t="n">
        <v>45630</v>
      </c>
      <c r="H746" s="365" t="n">
        <v>45660</v>
      </c>
      <c r="I746" s="364" t="n">
        <f aca="false">H746-G746</f>
        <v>30</v>
      </c>
      <c r="J746" s="366" t="n">
        <f aca="false">TRUNC(I746/30,0)</f>
        <v>1</v>
      </c>
      <c r="K746" s="367" t="s">
        <v>99</v>
      </c>
      <c r="L746" s="368" t="n">
        <v>7.15</v>
      </c>
      <c r="M746" s="369"/>
      <c r="N746" s="370"/>
      <c r="O746" s="366" t="s">
        <v>303</v>
      </c>
      <c r="P746" s="371" t="n">
        <v>0.0452397</v>
      </c>
      <c r="Q746" s="371"/>
      <c r="R746" s="372" t="s">
        <v>914</v>
      </c>
      <c r="S746" s="373"/>
      <c r="T746" s="372"/>
      <c r="U746" s="373"/>
      <c r="V746" s="373" t="n">
        <v>0.048202</v>
      </c>
      <c r="W746" s="373" t="n">
        <v>0.003374</v>
      </c>
      <c r="X746" s="373" t="n">
        <v>0.00172</v>
      </c>
      <c r="Y746" s="373" t="n">
        <v>0.034631</v>
      </c>
      <c r="Z746" s="373" t="n">
        <v>0.002</v>
      </c>
      <c r="AA746" s="373" t="n">
        <v>0.002</v>
      </c>
      <c r="AB746" s="374" t="n">
        <f aca="false">S746-Z746</f>
        <v>-0.002</v>
      </c>
      <c r="AC746" s="374" t="n">
        <f aca="false">U746-Z746-AA746</f>
        <v>-0.004</v>
      </c>
      <c r="AD746" s="375" t="n">
        <v>0.0395</v>
      </c>
      <c r="AE746" s="376" t="n">
        <v>0.034631</v>
      </c>
      <c r="AF746" s="153" t="n">
        <f aca="false">AD746-AE746</f>
        <v>0.004869</v>
      </c>
      <c r="AG746" s="377" t="n">
        <v>0.0395</v>
      </c>
      <c r="AH746" s="378" t="n">
        <v>45630</v>
      </c>
      <c r="AI746" s="379" t="n">
        <v>1</v>
      </c>
      <c r="AJ746" s="380" t="str">
        <f aca="false">IF(AG746="","N","Y")</f>
        <v>Y</v>
      </c>
      <c r="AK746" s="159" t="s">
        <v>1037</v>
      </c>
      <c r="AL746" s="397"/>
    </row>
    <row r="747" customFormat="false" ht="20.25" hidden="false" customHeight="true" outlineLevel="0" collapsed="false">
      <c r="A747" s="19" t="n">
        <v>222</v>
      </c>
      <c r="B747" s="141" t="n">
        <v>45632</v>
      </c>
      <c r="C747" s="63" t="s">
        <v>862</v>
      </c>
      <c r="D747" s="63" t="s">
        <v>932</v>
      </c>
      <c r="E747" s="63" t="s">
        <v>970</v>
      </c>
      <c r="F747" s="394" t="s">
        <v>864</v>
      </c>
      <c r="G747" s="142" t="n">
        <v>45632</v>
      </c>
      <c r="H747" s="142" t="n">
        <v>45663</v>
      </c>
      <c r="I747" s="19" t="n">
        <f aca="false">H747-G747</f>
        <v>31</v>
      </c>
      <c r="J747" s="149" t="n">
        <f aca="false">TRUNC(I747/30,0)</f>
        <v>1</v>
      </c>
      <c r="K747" s="189" t="s">
        <v>99</v>
      </c>
      <c r="L747" s="146" t="n">
        <v>1</v>
      </c>
      <c r="M747" s="147"/>
      <c r="N747" s="148"/>
      <c r="O747" s="149" t="s">
        <v>303</v>
      </c>
      <c r="P747" s="150" t="n">
        <v>0.0448252</v>
      </c>
      <c r="Q747" s="150"/>
      <c r="R747" s="151" t="s">
        <v>914</v>
      </c>
      <c r="S747" s="152"/>
      <c r="T747" s="151"/>
      <c r="U747" s="152"/>
      <c r="V747" s="152" t="n">
        <v>0.048528</v>
      </c>
      <c r="W747" s="152" t="n">
        <v>0.003361</v>
      </c>
      <c r="X747" s="152" t="n">
        <v>0.003427</v>
      </c>
      <c r="Y747" s="152" t="n">
        <v>0.03418</v>
      </c>
      <c r="Z747" s="152" t="n">
        <v>0.002</v>
      </c>
      <c r="AA747" s="152" t="n">
        <v>0.002</v>
      </c>
      <c r="AB747" s="154" t="n">
        <f aca="false">S747-Z747</f>
        <v>-0.002</v>
      </c>
      <c r="AC747" s="154" t="n">
        <f aca="false">U747-Z747-AA747</f>
        <v>-0.004</v>
      </c>
      <c r="AD747" s="155" t="n">
        <v>0.0395</v>
      </c>
      <c r="AE747" s="153" t="n">
        <f aca="false">IF(Y747="","",Y747)</f>
        <v>0.03418</v>
      </c>
      <c r="AF747" s="153" t="n">
        <f aca="false">AD747-AE747</f>
        <v>0.00532</v>
      </c>
      <c r="AG747" s="184" t="n">
        <f aca="false">IF(AF747="","",AE747+AF747)</f>
        <v>0.0395</v>
      </c>
      <c r="AH747" s="185" t="n">
        <v>45632</v>
      </c>
      <c r="AI747" s="35" t="n">
        <v>1</v>
      </c>
      <c r="AJ747" s="19" t="str">
        <f aca="false">IF(AG747="","N","Y")</f>
        <v>Y</v>
      </c>
      <c r="AK747" s="159" t="s">
        <v>1037</v>
      </c>
    </row>
    <row r="748" customFormat="false" ht="20.25" hidden="false" customHeight="true" outlineLevel="0" collapsed="false">
      <c r="A748" s="19" t="n">
        <v>223</v>
      </c>
      <c r="B748" s="141" t="n">
        <v>45632</v>
      </c>
      <c r="C748" s="63" t="s">
        <v>96</v>
      </c>
      <c r="D748" s="63" t="s">
        <v>934</v>
      </c>
      <c r="E748" s="63" t="s">
        <v>935</v>
      </c>
      <c r="F748" s="63" t="s">
        <v>1027</v>
      </c>
      <c r="G748" s="142" t="n">
        <v>45632</v>
      </c>
      <c r="H748" s="142" t="n">
        <v>45663</v>
      </c>
      <c r="I748" s="19" t="n">
        <f aca="false">H748-G748</f>
        <v>31</v>
      </c>
      <c r="J748" s="149" t="n">
        <f aca="false">TRUNC(I748/30,0)</f>
        <v>1</v>
      </c>
      <c r="K748" s="189" t="s">
        <v>99</v>
      </c>
      <c r="L748" s="146" t="n">
        <v>10</v>
      </c>
      <c r="M748" s="147"/>
      <c r="N748" s="148"/>
      <c r="O748" s="149" t="s">
        <v>303</v>
      </c>
      <c r="P748" s="150" t="n">
        <v>0.0448252</v>
      </c>
      <c r="Q748" s="150"/>
      <c r="R748" s="151" t="s">
        <v>914</v>
      </c>
      <c r="S748" s="152"/>
      <c r="T748" s="151"/>
      <c r="U748" s="152"/>
      <c r="V748" s="152" t="n">
        <v>0.048528</v>
      </c>
      <c r="W748" s="152" t="n">
        <v>0.003361</v>
      </c>
      <c r="X748" s="152" t="n">
        <v>0.003927</v>
      </c>
      <c r="Y748" s="152" t="n">
        <v>0.03418</v>
      </c>
      <c r="Z748" s="152" t="n">
        <v>0.002</v>
      </c>
      <c r="AA748" s="152" t="n">
        <v>0.002</v>
      </c>
      <c r="AB748" s="154" t="n">
        <f aca="false">S748-Z748</f>
        <v>-0.002</v>
      </c>
      <c r="AC748" s="154" t="n">
        <f aca="false">U748-Z748-AA748</f>
        <v>-0.004</v>
      </c>
      <c r="AD748" s="155" t="n">
        <v>0.039</v>
      </c>
      <c r="AE748" s="153" t="n">
        <v>0.03418</v>
      </c>
      <c r="AF748" s="153" t="n">
        <f aca="false">AD748-AE748</f>
        <v>0.00482</v>
      </c>
      <c r="AG748" s="184" t="n">
        <f aca="false">IF(AF748="","",AE748+AF748)</f>
        <v>0.039</v>
      </c>
      <c r="AH748" s="185" t="n">
        <v>45632</v>
      </c>
      <c r="AI748" s="35" t="n">
        <v>1</v>
      </c>
      <c r="AJ748" s="19" t="str">
        <f aca="false">IF(AG748="","N","Y")</f>
        <v>Y</v>
      </c>
      <c r="AK748" s="159" t="s">
        <v>1037</v>
      </c>
    </row>
    <row r="749" s="382" customFormat="true" ht="20.25" hidden="false" customHeight="true" outlineLevel="0" collapsed="false">
      <c r="A749" s="364" t="n">
        <v>224</v>
      </c>
      <c r="B749" s="363" t="n">
        <v>45635</v>
      </c>
      <c r="C749" s="364" t="s">
        <v>209</v>
      </c>
      <c r="D749" s="364" t="s">
        <v>1054</v>
      </c>
      <c r="E749" s="364" t="s">
        <v>1055</v>
      </c>
      <c r="F749" s="63" t="s">
        <v>697</v>
      </c>
      <c r="G749" s="365" t="n">
        <v>45635</v>
      </c>
      <c r="H749" s="365" t="n">
        <v>45666</v>
      </c>
      <c r="I749" s="364" t="n">
        <f aca="false">H749-G749</f>
        <v>31</v>
      </c>
      <c r="J749" s="366" t="n">
        <f aca="false">TRUNC(I749/30,0)</f>
        <v>1</v>
      </c>
      <c r="K749" s="395" t="s">
        <v>95</v>
      </c>
      <c r="L749" s="368" t="n">
        <v>8</v>
      </c>
      <c r="M749" s="369"/>
      <c r="N749" s="370"/>
      <c r="O749" s="366" t="s">
        <v>303</v>
      </c>
      <c r="P749" s="371" t="n">
        <v>0.044773</v>
      </c>
      <c r="Q749" s="371"/>
      <c r="R749" s="372" t="s">
        <v>914</v>
      </c>
      <c r="S749" s="373"/>
      <c r="T749" s="372"/>
      <c r="U749" s="373"/>
      <c r="V749" s="373" t="n">
        <v>0.047334</v>
      </c>
      <c r="W749" s="373" t="n">
        <v>0.000947</v>
      </c>
      <c r="X749" s="373" t="n">
        <v>0.00172</v>
      </c>
      <c r="Y749" s="373" t="n">
        <v>0.039177</v>
      </c>
      <c r="Z749" s="373" t="n">
        <v>0.002</v>
      </c>
      <c r="AA749" s="373" t="n">
        <v>0.002</v>
      </c>
      <c r="AB749" s="374" t="n">
        <f aca="false">S749-Z749</f>
        <v>-0.002</v>
      </c>
      <c r="AC749" s="374" t="n">
        <f aca="false">U749-Z749-AA749</f>
        <v>-0.004</v>
      </c>
      <c r="AD749" s="375" t="n">
        <v>0.0427</v>
      </c>
      <c r="AE749" s="376" t="n">
        <v>0.039177</v>
      </c>
      <c r="AF749" s="153" t="n">
        <f aca="false">AD749-AE749</f>
        <v>0.00352300000000001</v>
      </c>
      <c r="AG749" s="377" t="n">
        <v>0.0427</v>
      </c>
      <c r="AH749" s="378" t="n">
        <v>45635</v>
      </c>
      <c r="AI749" s="379" t="n">
        <v>1</v>
      </c>
      <c r="AJ749" s="380" t="str">
        <f aca="false">IF(AG749="","N","Y")</f>
        <v>Y</v>
      </c>
      <c r="AK749" s="396" t="s">
        <v>1048</v>
      </c>
      <c r="AL749" s="397"/>
    </row>
    <row r="750" s="382" customFormat="true" ht="20.25" hidden="false" customHeight="true" outlineLevel="0" collapsed="false">
      <c r="A750" s="364" t="n">
        <v>225</v>
      </c>
      <c r="B750" s="363" t="n">
        <v>45637</v>
      </c>
      <c r="C750" s="364" t="s">
        <v>187</v>
      </c>
      <c r="D750" s="364" t="s">
        <v>875</v>
      </c>
      <c r="E750" s="364" t="s">
        <v>1049</v>
      </c>
      <c r="F750" s="364" t="s">
        <v>1050</v>
      </c>
      <c r="G750" s="365" t="n">
        <v>45637</v>
      </c>
      <c r="H750" s="365" t="n">
        <v>45644</v>
      </c>
      <c r="I750" s="364" t="n">
        <f aca="false">H750-G750</f>
        <v>7</v>
      </c>
      <c r="J750" s="366" t="n">
        <f aca="false">TRUNC(I750/30,0)</f>
        <v>0</v>
      </c>
      <c r="K750" s="395" t="s">
        <v>95</v>
      </c>
      <c r="L750" s="368" t="n">
        <v>14.9</v>
      </c>
      <c r="M750" s="369"/>
      <c r="N750" s="370"/>
      <c r="O750" s="366" t="s">
        <v>305</v>
      </c>
      <c r="P750" s="371" t="n">
        <v>0.0459204</v>
      </c>
      <c r="Q750" s="371"/>
      <c r="R750" s="372" t="s">
        <v>914</v>
      </c>
      <c r="S750" s="373"/>
      <c r="T750" s="372"/>
      <c r="U750" s="373"/>
      <c r="V750" s="373" t="n">
        <v>0.046994</v>
      </c>
      <c r="W750" s="373" t="n">
        <v>0.003374</v>
      </c>
      <c r="X750" s="373" t="n">
        <v>0.003869</v>
      </c>
      <c r="Y750" s="373" t="n">
        <v>0.036405</v>
      </c>
      <c r="Z750" s="373" t="n">
        <v>0.002</v>
      </c>
      <c r="AA750" s="373" t="n">
        <v>0.002</v>
      </c>
      <c r="AB750" s="374" t="n">
        <f aca="false">S750-Z750</f>
        <v>-0.002</v>
      </c>
      <c r="AC750" s="374" t="n">
        <f aca="false">U750-Z750-AA750</f>
        <v>-0.004</v>
      </c>
      <c r="AD750" s="375" t="n">
        <v>0.0405</v>
      </c>
      <c r="AE750" s="376" t="n">
        <v>0.036405</v>
      </c>
      <c r="AF750" s="153" t="n">
        <f aca="false">AD750-AE750</f>
        <v>0.004095</v>
      </c>
      <c r="AG750" s="377" t="n">
        <v>0.0405</v>
      </c>
      <c r="AH750" s="378" t="n">
        <v>45637</v>
      </c>
      <c r="AI750" s="379" t="n">
        <v>1</v>
      </c>
      <c r="AJ750" s="380" t="str">
        <f aca="false">IF(AG750="","N","Y")</f>
        <v>Y</v>
      </c>
      <c r="AK750" s="159" t="s">
        <v>1037</v>
      </c>
      <c r="AL750" s="397"/>
    </row>
    <row r="751" customFormat="false" ht="20.25" hidden="false" customHeight="true" outlineLevel="0" collapsed="false">
      <c r="A751" s="19" t="n">
        <v>226</v>
      </c>
      <c r="B751" s="141" t="n">
        <v>45638</v>
      </c>
      <c r="C751" s="63" t="s">
        <v>862</v>
      </c>
      <c r="D751" s="63" t="s">
        <v>932</v>
      </c>
      <c r="E751" s="63" t="s">
        <v>970</v>
      </c>
      <c r="F751" s="63" t="s">
        <v>906</v>
      </c>
      <c r="G751" s="142" t="n">
        <v>45638</v>
      </c>
      <c r="H751" s="142" t="n">
        <v>45670</v>
      </c>
      <c r="I751" s="19" t="n">
        <f aca="false">H751-G751</f>
        <v>32</v>
      </c>
      <c r="J751" s="149" t="n">
        <f aca="false">TRUNC(I751/30,0)</f>
        <v>1</v>
      </c>
      <c r="K751" s="189" t="s">
        <v>99</v>
      </c>
      <c r="L751" s="146" t="n">
        <v>5.6</v>
      </c>
      <c r="M751" s="147"/>
      <c r="N751" s="148"/>
      <c r="O751" s="149" t="s">
        <v>303</v>
      </c>
      <c r="P751" s="150" t="n">
        <v>0.0444351</v>
      </c>
      <c r="Q751" s="150"/>
      <c r="R751" s="151" t="s">
        <v>914</v>
      </c>
      <c r="S751" s="152"/>
      <c r="T751" s="151"/>
      <c r="U751" s="152"/>
      <c r="V751" s="152" t="n">
        <v>0.047469</v>
      </c>
      <c r="W751" s="152" t="n">
        <v>0.003323</v>
      </c>
      <c r="X751" s="152" t="n">
        <v>0.002926</v>
      </c>
      <c r="Y751" s="152" t="n">
        <v>0.034473</v>
      </c>
      <c r="Z751" s="152" t="n">
        <v>0.002</v>
      </c>
      <c r="AA751" s="152" t="n">
        <v>0.002</v>
      </c>
      <c r="AB751" s="154" t="n">
        <f aca="false">S751-Z751</f>
        <v>-0.002</v>
      </c>
      <c r="AC751" s="154" t="n">
        <f aca="false">U751-Z751-AA751</f>
        <v>-0.004</v>
      </c>
      <c r="AD751" s="155" t="n">
        <v>0.0395</v>
      </c>
      <c r="AE751" s="153" t="n">
        <v>0.034473</v>
      </c>
      <c r="AF751" s="153" t="n">
        <f aca="false">AD751-AE751</f>
        <v>0.005027</v>
      </c>
      <c r="AG751" s="184" t="n">
        <f aca="false">IF(AF751="","",AE751+AF751)</f>
        <v>0.0395</v>
      </c>
      <c r="AH751" s="185" t="n">
        <v>45638</v>
      </c>
      <c r="AI751" s="35" t="n">
        <v>1</v>
      </c>
      <c r="AJ751" s="19" t="str">
        <f aca="false">IF(AG751="","N","Y")</f>
        <v>Y</v>
      </c>
      <c r="AK751" s="159" t="s">
        <v>1037</v>
      </c>
    </row>
    <row r="752" s="382" customFormat="true" ht="20.25" hidden="false" customHeight="true" outlineLevel="0" collapsed="false">
      <c r="A752" s="364" t="n">
        <v>227</v>
      </c>
      <c r="B752" s="363" t="n">
        <v>45644</v>
      </c>
      <c r="C752" s="364" t="s">
        <v>187</v>
      </c>
      <c r="D752" s="364" t="s">
        <v>875</v>
      </c>
      <c r="E752" s="364" t="s">
        <v>1049</v>
      </c>
      <c r="F752" s="364" t="s">
        <v>1050</v>
      </c>
      <c r="G752" s="365" t="n">
        <v>45644</v>
      </c>
      <c r="H752" s="365" t="n">
        <v>45652</v>
      </c>
      <c r="I752" s="364" t="n">
        <f aca="false">H752-G752</f>
        <v>8</v>
      </c>
      <c r="J752" s="366" t="n">
        <f aca="false">TRUNC(I752/30,0)</f>
        <v>0</v>
      </c>
      <c r="K752" s="395" t="s">
        <v>95</v>
      </c>
      <c r="L752" s="368" t="n">
        <v>14.9</v>
      </c>
      <c r="M752" s="369"/>
      <c r="N752" s="370"/>
      <c r="O752" s="366" t="s">
        <v>305</v>
      </c>
      <c r="P752" s="371" t="n">
        <v>0.0459131</v>
      </c>
      <c r="Q752" s="371"/>
      <c r="R752" s="372" t="s">
        <v>914</v>
      </c>
      <c r="S752" s="373"/>
      <c r="T752" s="372"/>
      <c r="U752" s="373"/>
      <c r="V752" s="373" t="n">
        <v>0.04681</v>
      </c>
      <c r="W752" s="373" t="n">
        <v>0.000936</v>
      </c>
      <c r="X752" s="373" t="n">
        <v>0.00172</v>
      </c>
      <c r="Y752" s="373" t="n">
        <v>0.036399</v>
      </c>
      <c r="Z752" s="373" t="n">
        <v>0.002</v>
      </c>
      <c r="AA752" s="373" t="n">
        <v>0.002</v>
      </c>
      <c r="AB752" s="374" t="n">
        <f aca="false">S752-Z752</f>
        <v>-0.002</v>
      </c>
      <c r="AC752" s="374" t="n">
        <f aca="false">U752-Z752-AA752</f>
        <v>-0.004</v>
      </c>
      <c r="AD752" s="375" t="n">
        <v>0.0405</v>
      </c>
      <c r="AE752" s="376" t="n">
        <v>0.036399</v>
      </c>
      <c r="AF752" s="153" t="n">
        <f aca="false">AD752-AE752</f>
        <v>0.004101</v>
      </c>
      <c r="AG752" s="377" t="n">
        <v>0.0405</v>
      </c>
      <c r="AH752" s="378" t="n">
        <v>45644</v>
      </c>
      <c r="AI752" s="35" t="n">
        <v>1</v>
      </c>
      <c r="AJ752" s="380" t="str">
        <f aca="false">IF(AG752="","N","Y")</f>
        <v>Y</v>
      </c>
      <c r="AK752" s="159" t="s">
        <v>1037</v>
      </c>
      <c r="AL752" s="397"/>
    </row>
    <row r="753" customFormat="false" ht="20.25" hidden="false" customHeight="true" outlineLevel="0" collapsed="false">
      <c r="A753" s="19" t="n">
        <v>228</v>
      </c>
      <c r="B753" s="141" t="n">
        <v>45646</v>
      </c>
      <c r="C753" s="63" t="s">
        <v>977</v>
      </c>
      <c r="D753" s="63" t="s">
        <v>978</v>
      </c>
      <c r="E753" s="63" t="s">
        <v>1011</v>
      </c>
      <c r="F753" s="63" t="s">
        <v>980</v>
      </c>
      <c r="G753" s="142" t="n">
        <v>45646</v>
      </c>
      <c r="H753" s="142" t="n">
        <v>45677</v>
      </c>
      <c r="I753" s="19" t="n">
        <f aca="false">H753-G753</f>
        <v>31</v>
      </c>
      <c r="J753" s="149" t="n">
        <f aca="false">TRUNC(I753/30,0)</f>
        <v>1</v>
      </c>
      <c r="K753" s="395" t="s">
        <v>95</v>
      </c>
      <c r="L753" s="146" t="n">
        <v>1</v>
      </c>
      <c r="M753" s="147"/>
      <c r="N753" s="148"/>
      <c r="O753" s="149" t="s">
        <v>303</v>
      </c>
      <c r="P753" s="150" t="n">
        <v>0.0435603</v>
      </c>
      <c r="Q753" s="150"/>
      <c r="R753" s="151" t="s">
        <v>914</v>
      </c>
      <c r="S753" s="152"/>
      <c r="T753" s="151"/>
      <c r="U753" s="152"/>
      <c r="V753" s="152" t="n">
        <v>0.046216</v>
      </c>
      <c r="W753" s="152" t="n">
        <v>0.000924</v>
      </c>
      <c r="X753" s="152" t="n">
        <v>0.00172</v>
      </c>
      <c r="Y753" s="152" t="n">
        <v>0.037989</v>
      </c>
      <c r="Z753" s="373" t="n">
        <v>0.002</v>
      </c>
      <c r="AA753" s="373" t="n">
        <v>0.002</v>
      </c>
      <c r="AB753" s="154" t="n">
        <f aca="false">S753-Z753</f>
        <v>-0.002</v>
      </c>
      <c r="AC753" s="154" t="n">
        <f aca="false">U753-Z753-AA753</f>
        <v>-0.004</v>
      </c>
      <c r="AD753" s="155" t="n">
        <v>0.0415</v>
      </c>
      <c r="AE753" s="153" t="n">
        <f aca="false">IF(Y753="","",Y753)</f>
        <v>0.037989</v>
      </c>
      <c r="AF753" s="153" t="n">
        <f aca="false">AD753-AE753</f>
        <v>0.003511</v>
      </c>
      <c r="AG753" s="184" t="n">
        <f aca="false">IF(AF753="","",AE753+AF753)</f>
        <v>0.0415</v>
      </c>
      <c r="AH753" s="185" t="n">
        <v>45646</v>
      </c>
      <c r="AI753" s="35" t="n">
        <v>1</v>
      </c>
      <c r="AJ753" s="19" t="str">
        <f aca="false">IF(AG753="","N","Y")</f>
        <v>Y</v>
      </c>
      <c r="AK753" s="396" t="s">
        <v>1048</v>
      </c>
    </row>
    <row r="754" customFormat="false" ht="20.25" hidden="false" customHeight="true" outlineLevel="0" collapsed="false">
      <c r="A754" s="19" t="n">
        <v>229</v>
      </c>
      <c r="B754" s="141" t="n">
        <v>45650</v>
      </c>
      <c r="C754" s="63" t="s">
        <v>116</v>
      </c>
      <c r="D754" s="63" t="s">
        <v>1005</v>
      </c>
      <c r="E754" s="63" t="s">
        <v>763</v>
      </c>
      <c r="F754" s="63" t="s">
        <v>1056</v>
      </c>
      <c r="G754" s="142" t="n">
        <v>45650</v>
      </c>
      <c r="H754" s="142" t="n">
        <v>45680</v>
      </c>
      <c r="I754" s="19" t="n">
        <f aca="false">H754-G754</f>
        <v>30</v>
      </c>
      <c r="J754" s="149" t="n">
        <f aca="false">TRUNC(I754/30,0)</f>
        <v>1</v>
      </c>
      <c r="K754" s="189" t="s">
        <v>99</v>
      </c>
      <c r="L754" s="146" t="n">
        <v>10</v>
      </c>
      <c r="M754" s="147"/>
      <c r="N754" s="148"/>
      <c r="O754" s="366" t="s">
        <v>305</v>
      </c>
      <c r="P754" s="150" t="n">
        <v>0.043</v>
      </c>
      <c r="Q754" s="150"/>
      <c r="R754" s="151" t="s">
        <v>914</v>
      </c>
      <c r="S754" s="152"/>
      <c r="T754" s="151"/>
      <c r="U754" s="152"/>
      <c r="V754" s="152" t="n">
        <v>0.046583</v>
      </c>
      <c r="W754" s="152" t="n">
        <v>0.003261</v>
      </c>
      <c r="X754" s="152" t="n">
        <v>0.00172</v>
      </c>
      <c r="Y754" s="152" t="n">
        <v>0.0317</v>
      </c>
      <c r="Z754" s="373" t="n">
        <v>0.002</v>
      </c>
      <c r="AA754" s="373" t="n">
        <v>0.002</v>
      </c>
      <c r="AB754" s="154" t="n">
        <f aca="false">S754-Z754</f>
        <v>-0.002</v>
      </c>
      <c r="AC754" s="154" t="n">
        <f aca="false">U754-Z754-AA754</f>
        <v>-0.004</v>
      </c>
      <c r="AD754" s="155" t="n">
        <v>0.0386</v>
      </c>
      <c r="AE754" s="153" t="n">
        <f aca="false">IF(Y754="","",Y754)</f>
        <v>0.0317</v>
      </c>
      <c r="AF754" s="153" t="n">
        <f aca="false">AD754-AE754</f>
        <v>0.0069</v>
      </c>
      <c r="AG754" s="184" t="n">
        <f aca="false">IF(AF754="","",AE754+AF754)</f>
        <v>0.0386</v>
      </c>
      <c r="AH754" s="185" t="n">
        <v>45650</v>
      </c>
      <c r="AI754" s="35" t="n">
        <v>1</v>
      </c>
      <c r="AJ754" s="19" t="str">
        <f aca="false">IF(AG754="","N","Y")</f>
        <v>Y</v>
      </c>
      <c r="AK754" s="159" t="s">
        <v>1057</v>
      </c>
    </row>
    <row r="755" s="382" customFormat="true" ht="20.25" hidden="false" customHeight="true" outlineLevel="0" collapsed="false">
      <c r="A755" s="364" t="n">
        <v>230</v>
      </c>
      <c r="B755" s="363" t="n">
        <v>45652</v>
      </c>
      <c r="C755" s="364" t="s">
        <v>187</v>
      </c>
      <c r="D755" s="364" t="s">
        <v>875</v>
      </c>
      <c r="E755" s="364" t="s">
        <v>1049</v>
      </c>
      <c r="F755" s="364" t="s">
        <v>1050</v>
      </c>
      <c r="G755" s="365" t="n">
        <v>45652</v>
      </c>
      <c r="H755" s="365" t="n">
        <v>45660</v>
      </c>
      <c r="I755" s="364" t="n">
        <f aca="false">H755-G755</f>
        <v>8</v>
      </c>
      <c r="J755" s="366" t="n">
        <f aca="false">TRUNC(I755/30,0)</f>
        <v>0</v>
      </c>
      <c r="K755" s="395" t="s">
        <v>95</v>
      </c>
      <c r="L755" s="368" t="n">
        <v>14.9</v>
      </c>
      <c r="M755" s="369"/>
      <c r="N755" s="370"/>
      <c r="O755" s="366" t="s">
        <v>305</v>
      </c>
      <c r="P755" s="371" t="n">
        <v>0.0431575</v>
      </c>
      <c r="Q755" s="371"/>
      <c r="R755" s="372" t="s">
        <v>914</v>
      </c>
      <c r="S755" s="373"/>
      <c r="T755" s="372"/>
      <c r="U755" s="373"/>
      <c r="V755" s="373" t="n">
        <v>0.044444</v>
      </c>
      <c r="W755" s="373" t="n">
        <v>0.000889</v>
      </c>
      <c r="X755" s="373" t="n">
        <v>0.00172</v>
      </c>
      <c r="Y755" s="373" t="n">
        <v>0.033836</v>
      </c>
      <c r="Z755" s="373" t="n">
        <v>0.002</v>
      </c>
      <c r="AA755" s="373" t="n">
        <v>0.002</v>
      </c>
      <c r="AB755" s="374" t="n">
        <f aca="false">S755-Z755</f>
        <v>-0.002</v>
      </c>
      <c r="AC755" s="374" t="n">
        <f aca="false">U755-Z755-AA755</f>
        <v>-0.004</v>
      </c>
      <c r="AD755" s="375" t="n">
        <v>0.039</v>
      </c>
      <c r="AE755" s="376" t="n">
        <v>0.033836</v>
      </c>
      <c r="AF755" s="153" t="n">
        <f aca="false">AD755-AE755</f>
        <v>0.005164</v>
      </c>
      <c r="AG755" s="377" t="n">
        <v>0.039</v>
      </c>
      <c r="AH755" s="378" t="n">
        <v>45652</v>
      </c>
      <c r="AI755" s="35" t="n">
        <v>1</v>
      </c>
      <c r="AJ755" s="380" t="str">
        <f aca="false">IF(AG755="","N","Y")</f>
        <v>Y</v>
      </c>
      <c r="AK755" s="159" t="s">
        <v>1057</v>
      </c>
      <c r="AL755" s="397"/>
    </row>
    <row r="756" customFormat="false" ht="20.25" hidden="false" customHeight="true" outlineLevel="0" collapsed="false">
      <c r="A756" s="19" t="n">
        <v>231</v>
      </c>
      <c r="B756" s="141" t="n">
        <v>45653</v>
      </c>
      <c r="C756" s="63" t="s">
        <v>866</v>
      </c>
      <c r="D756" s="63" t="s">
        <v>1039</v>
      </c>
      <c r="E756" s="63" t="s">
        <v>867</v>
      </c>
      <c r="F756" s="63" t="s">
        <v>1040</v>
      </c>
      <c r="G756" s="142" t="n">
        <v>45653</v>
      </c>
      <c r="H756" s="142" t="n">
        <v>45684</v>
      </c>
      <c r="I756" s="19" t="n">
        <f aca="false">H756-G756</f>
        <v>31</v>
      </c>
      <c r="J756" s="149" t="n">
        <f aca="false">TRUNC(I756/30,0)</f>
        <v>1</v>
      </c>
      <c r="K756" s="189" t="s">
        <v>99</v>
      </c>
      <c r="L756" s="146" t="n">
        <v>4.5</v>
      </c>
      <c r="M756" s="147"/>
      <c r="N756" s="148"/>
      <c r="O756" s="149" t="s">
        <v>303</v>
      </c>
      <c r="P756" s="150" t="n">
        <v>0.0434464</v>
      </c>
      <c r="Q756" s="150"/>
      <c r="R756" s="151" t="s">
        <v>914</v>
      </c>
      <c r="S756" s="152"/>
      <c r="T756" s="151"/>
      <c r="U756" s="152"/>
      <c r="V756" s="152" t="n">
        <v>0.046586</v>
      </c>
      <c r="W756" s="152" t="n">
        <v>0.003261</v>
      </c>
      <c r="X756" s="152" t="n">
        <v>0.005605</v>
      </c>
      <c r="Y756" s="152" t="n">
        <v>0.032513</v>
      </c>
      <c r="Z756" s="152" t="n">
        <v>0.002</v>
      </c>
      <c r="AA756" s="152" t="n">
        <v>0.002</v>
      </c>
      <c r="AB756" s="154" t="n">
        <f aca="false">S756-Z756</f>
        <v>-0.002</v>
      </c>
      <c r="AC756" s="154" t="n">
        <f aca="false">U756-Z756-AA756</f>
        <v>-0.004</v>
      </c>
      <c r="AD756" s="155" t="n">
        <v>0.036</v>
      </c>
      <c r="AE756" s="153" t="n">
        <v>0.032513</v>
      </c>
      <c r="AF756" s="153" t="n">
        <f aca="false">AD756-AE756</f>
        <v>0.003487</v>
      </c>
      <c r="AG756" s="184" t="n">
        <f aca="false">IF(AF756="","",AE756+AF756)</f>
        <v>0.036</v>
      </c>
      <c r="AH756" s="185" t="n">
        <v>45653</v>
      </c>
      <c r="AI756" s="35" t="n">
        <v>1</v>
      </c>
      <c r="AJ756" s="19" t="str">
        <f aca="false">IF(AG756="","N","Y")</f>
        <v>Y</v>
      </c>
      <c r="AK756" s="396" t="s">
        <v>1058</v>
      </c>
    </row>
    <row r="757" customFormat="false" ht="20.25" hidden="false" customHeight="true" outlineLevel="0" collapsed="false">
      <c r="A757" s="19" t="n">
        <v>232</v>
      </c>
      <c r="B757" s="141" t="n">
        <v>45659</v>
      </c>
      <c r="C757" s="63" t="s">
        <v>187</v>
      </c>
      <c r="D757" s="63" t="s">
        <v>1059</v>
      </c>
      <c r="E757" s="63" t="s">
        <v>911</v>
      </c>
      <c r="F757" s="63" t="s">
        <v>457</v>
      </c>
      <c r="G757" s="142" t="n">
        <v>45659</v>
      </c>
      <c r="H757" s="142" t="n">
        <v>46024</v>
      </c>
      <c r="I757" s="19" t="n">
        <f aca="false">H757-G757</f>
        <v>365</v>
      </c>
      <c r="J757" s="149" t="n">
        <f aca="false">TRUNC(I757/30,0)</f>
        <v>12</v>
      </c>
      <c r="K757" s="183" t="s">
        <v>95</v>
      </c>
      <c r="L757" s="146" t="n">
        <v>1.064603</v>
      </c>
      <c r="M757" s="147" t="n">
        <v>3.91</v>
      </c>
      <c r="N757" s="148" t="s">
        <v>1060</v>
      </c>
      <c r="O757" s="149" t="s">
        <v>396</v>
      </c>
      <c r="P757" s="150" t="n">
        <v>0.04175</v>
      </c>
      <c r="Q757" s="150"/>
      <c r="R757" s="151" t="s">
        <v>340</v>
      </c>
      <c r="S757" s="152"/>
      <c r="T757" s="151"/>
      <c r="U757" s="152"/>
      <c r="V757" s="152" t="n">
        <v>0.049568</v>
      </c>
      <c r="W757" s="152" t="n">
        <v>0.000991</v>
      </c>
      <c r="X757" s="152" t="n">
        <v>0.004857</v>
      </c>
      <c r="Y757" s="152" t="n">
        <v>0.038515</v>
      </c>
      <c r="Z757" s="152" t="n">
        <v>0.002</v>
      </c>
      <c r="AA757" s="152" t="n">
        <v>0.002</v>
      </c>
      <c r="AB757" s="154" t="n">
        <f aca="false">S757-Z757</f>
        <v>-0.002</v>
      </c>
      <c r="AC757" s="154" t="n">
        <f aca="false">U757-Z757-AA757</f>
        <v>-0.004</v>
      </c>
      <c r="AD757" s="155" t="n">
        <v>0.042</v>
      </c>
      <c r="AE757" s="153" t="n">
        <v>0.038515</v>
      </c>
      <c r="AF757" s="153" t="n">
        <f aca="false">AD757-AE757</f>
        <v>0.003485</v>
      </c>
      <c r="AG757" s="184" t="n">
        <f aca="false">IF(AF757="","",AE757+AF757)</f>
        <v>0.042</v>
      </c>
      <c r="AH757" s="185" t="n">
        <v>45659</v>
      </c>
      <c r="AI757" s="35" t="n">
        <v>2</v>
      </c>
      <c r="AJ757" s="19" t="str">
        <f aca="false">IF(AG757="","N","Y")</f>
        <v>Y</v>
      </c>
      <c r="AK757" s="238" t="s">
        <v>1061</v>
      </c>
    </row>
    <row r="758" s="382" customFormat="true" ht="20.25" hidden="false" customHeight="true" outlineLevel="0" collapsed="false">
      <c r="A758" s="364" t="n">
        <v>233</v>
      </c>
      <c r="B758" s="363" t="n">
        <v>45660</v>
      </c>
      <c r="C758" s="364" t="s">
        <v>644</v>
      </c>
      <c r="D758" s="364" t="s">
        <v>1014</v>
      </c>
      <c r="E758" s="364" t="s">
        <v>492</v>
      </c>
      <c r="F758" s="364" t="s">
        <v>1016</v>
      </c>
      <c r="G758" s="365" t="n">
        <v>45660</v>
      </c>
      <c r="H758" s="365" t="n">
        <v>45691</v>
      </c>
      <c r="I758" s="364" t="n">
        <f aca="false">H758-G758</f>
        <v>31</v>
      </c>
      <c r="J758" s="366" t="n">
        <f aca="false">TRUNC(I758/30,0)</f>
        <v>1</v>
      </c>
      <c r="K758" s="189" t="s">
        <v>99</v>
      </c>
      <c r="L758" s="146" t="n">
        <v>4.012</v>
      </c>
      <c r="M758" s="369"/>
      <c r="N758" s="370"/>
      <c r="O758" s="366" t="s">
        <v>303</v>
      </c>
      <c r="P758" s="371" t="n">
        <v>0.0432556</v>
      </c>
      <c r="Q758" s="371"/>
      <c r="R758" s="372" t="s">
        <v>914</v>
      </c>
      <c r="S758" s="373"/>
      <c r="T758" s="372"/>
      <c r="U758" s="373"/>
      <c r="V758" s="373" t="n">
        <v>0.04695</v>
      </c>
      <c r="W758" s="373" t="n">
        <v>0.003286</v>
      </c>
      <c r="X758" s="373" t="n">
        <v>0.003943</v>
      </c>
      <c r="Y758" s="373" t="n">
        <v>0.03314</v>
      </c>
      <c r="Z758" s="373" t="n">
        <v>0.002</v>
      </c>
      <c r="AA758" s="373" t="n">
        <v>0.002</v>
      </c>
      <c r="AB758" s="374" t="n">
        <f aca="false">S758-Z758</f>
        <v>-0.002</v>
      </c>
      <c r="AC758" s="374" t="n">
        <f aca="false">U758-Z758-AA758</f>
        <v>-0.004</v>
      </c>
      <c r="AD758" s="375" t="n">
        <v>0.038</v>
      </c>
      <c r="AE758" s="376" t="n">
        <v>0.03314</v>
      </c>
      <c r="AF758" s="153" t="n">
        <f aca="false">AD758-AE758</f>
        <v>0.00486</v>
      </c>
      <c r="AG758" s="377" t="n">
        <v>0.038</v>
      </c>
      <c r="AH758" s="378" t="n">
        <v>45660</v>
      </c>
      <c r="AI758" s="379" t="n">
        <v>6</v>
      </c>
      <c r="AJ758" s="380" t="str">
        <f aca="false">IF(AG758="","N","Y")</f>
        <v>Y</v>
      </c>
      <c r="AK758" s="159" t="s">
        <v>1057</v>
      </c>
      <c r="AL758" s="397"/>
    </row>
    <row r="759" s="382" customFormat="true" ht="20.25" hidden="false" customHeight="true" outlineLevel="0" collapsed="false">
      <c r="A759" s="364" t="n">
        <v>234</v>
      </c>
      <c r="B759" s="363" t="n">
        <v>45660</v>
      </c>
      <c r="C759" s="364" t="s">
        <v>187</v>
      </c>
      <c r="D759" s="364" t="s">
        <v>1062</v>
      </c>
      <c r="E759" s="364" t="s">
        <v>876</v>
      </c>
      <c r="F759" s="364" t="s">
        <v>1050</v>
      </c>
      <c r="G759" s="365" t="n">
        <v>45660</v>
      </c>
      <c r="H759" s="365" t="n">
        <v>45667</v>
      </c>
      <c r="I759" s="364" t="n">
        <f aca="false">H759-G759</f>
        <v>7</v>
      </c>
      <c r="J759" s="366" t="n">
        <f aca="false">TRUNC(I759/30,0)</f>
        <v>0</v>
      </c>
      <c r="K759" s="395" t="s">
        <v>95</v>
      </c>
      <c r="L759" s="368" t="n">
        <v>14.9</v>
      </c>
      <c r="M759" s="369"/>
      <c r="N759" s="370"/>
      <c r="O759" s="366" t="s">
        <v>305</v>
      </c>
      <c r="P759" s="371" t="n">
        <v>0.0445598</v>
      </c>
      <c r="Q759" s="371"/>
      <c r="R759" s="372" t="s">
        <v>914</v>
      </c>
      <c r="S759" s="373"/>
      <c r="T759" s="372"/>
      <c r="U759" s="373"/>
      <c r="V759" s="373" t="n">
        <v>0.045022</v>
      </c>
      <c r="W759" s="373" t="n">
        <v>0.0009</v>
      </c>
      <c r="X759" s="373" t="n">
        <v>0.003783</v>
      </c>
      <c r="Y759" s="373" t="n">
        <v>0.03514</v>
      </c>
      <c r="Z759" s="373" t="n">
        <v>0.002</v>
      </c>
      <c r="AA759" s="373" t="n">
        <v>0.002</v>
      </c>
      <c r="AB759" s="374" t="n">
        <f aca="false">S759-Z759</f>
        <v>-0.002</v>
      </c>
      <c r="AC759" s="374" t="n">
        <f aca="false">U759-Z759-AA759</f>
        <v>-0.004</v>
      </c>
      <c r="AD759" s="375" t="n">
        <v>0.039</v>
      </c>
      <c r="AE759" s="376" t="n">
        <v>0.03514</v>
      </c>
      <c r="AF759" s="153" t="n">
        <f aca="false">AD759-AE759</f>
        <v>0.00386</v>
      </c>
      <c r="AG759" s="377" t="n">
        <v>0.039</v>
      </c>
      <c r="AH759" s="378" t="n">
        <v>45660</v>
      </c>
      <c r="AI759" s="35" t="n">
        <v>3</v>
      </c>
      <c r="AJ759" s="380" t="str">
        <f aca="false">IF(AG759="","N","Y")</f>
        <v>Y</v>
      </c>
      <c r="AK759" s="159" t="s">
        <v>1057</v>
      </c>
      <c r="AL759" s="397"/>
    </row>
    <row r="760" customFormat="false" ht="20.25" hidden="false" customHeight="true" outlineLevel="0" collapsed="false">
      <c r="A760" s="19" t="n">
        <v>235</v>
      </c>
      <c r="B760" s="141" t="n">
        <v>45660</v>
      </c>
      <c r="C760" s="63" t="s">
        <v>96</v>
      </c>
      <c r="D760" s="63" t="s">
        <v>1063</v>
      </c>
      <c r="E760" s="63" t="s">
        <v>1064</v>
      </c>
      <c r="F760" s="63" t="s">
        <v>662</v>
      </c>
      <c r="G760" s="142" t="n">
        <v>45660</v>
      </c>
      <c r="H760" s="142" t="n">
        <v>45693</v>
      </c>
      <c r="I760" s="19" t="n">
        <f aca="false">H760-G760</f>
        <v>33</v>
      </c>
      <c r="J760" s="149" t="n">
        <f aca="false">TRUNC(I760/30,0)</f>
        <v>1</v>
      </c>
      <c r="K760" s="395" t="s">
        <v>95</v>
      </c>
      <c r="L760" s="146" t="n">
        <v>20</v>
      </c>
      <c r="M760" s="147"/>
      <c r="N760" s="148"/>
      <c r="O760" s="366" t="s">
        <v>303</v>
      </c>
      <c r="P760" s="371" t="n">
        <v>0.0432556</v>
      </c>
      <c r="Q760" s="150"/>
      <c r="R760" s="151" t="s">
        <v>914</v>
      </c>
      <c r="S760" s="152"/>
      <c r="T760" s="151"/>
      <c r="U760" s="152"/>
      <c r="V760" s="152" t="n">
        <v>0.046337</v>
      </c>
      <c r="W760" s="152" t="n">
        <v>0.000927</v>
      </c>
      <c r="X760" s="152" t="n">
        <v>0.00199</v>
      </c>
      <c r="Y760" s="152" t="n">
        <v>0.03769</v>
      </c>
      <c r="Z760" s="152" t="n">
        <v>0.002</v>
      </c>
      <c r="AA760" s="152" t="n">
        <v>0.002</v>
      </c>
      <c r="AB760" s="154" t="n">
        <f aca="false">S760-Z760</f>
        <v>-0.002</v>
      </c>
      <c r="AC760" s="154" t="n">
        <f aca="false">U760-Z760-AA760</f>
        <v>-0.004</v>
      </c>
      <c r="AD760" s="155" t="n">
        <v>0.0417</v>
      </c>
      <c r="AE760" s="153" t="n">
        <v>0.03769</v>
      </c>
      <c r="AF760" s="153" t="n">
        <f aca="false">AD760-AE760</f>
        <v>0.00401</v>
      </c>
      <c r="AG760" s="184" t="n">
        <f aca="false">IF(AF760="","",AE760+AF760)</f>
        <v>0.0417</v>
      </c>
      <c r="AH760" s="185" t="n">
        <v>45660</v>
      </c>
      <c r="AI760" s="35" t="n">
        <v>4</v>
      </c>
      <c r="AJ760" s="19" t="str">
        <f aca="false">IF(AG760="","N","Y")</f>
        <v>Y</v>
      </c>
      <c r="AK760" s="396" t="s">
        <v>1065</v>
      </c>
    </row>
    <row r="761" customFormat="false" ht="20.25" hidden="false" customHeight="true" outlineLevel="0" collapsed="false">
      <c r="A761" s="19" t="n">
        <v>236</v>
      </c>
      <c r="B761" s="141" t="n">
        <v>45663</v>
      </c>
      <c r="C761" s="63" t="s">
        <v>1066</v>
      </c>
      <c r="D761" s="63" t="s">
        <v>932</v>
      </c>
      <c r="E761" s="63" t="s">
        <v>1067</v>
      </c>
      <c r="F761" s="394" t="s">
        <v>864</v>
      </c>
      <c r="G761" s="142" t="n">
        <v>45663</v>
      </c>
      <c r="H761" s="142" t="n">
        <v>45694</v>
      </c>
      <c r="I761" s="19" t="n">
        <f aca="false">H761-G761</f>
        <v>31</v>
      </c>
      <c r="J761" s="149" t="n">
        <f aca="false">TRUNC(I761/30,0)</f>
        <v>1</v>
      </c>
      <c r="K761" s="189" t="s">
        <v>99</v>
      </c>
      <c r="L761" s="146" t="n">
        <v>1.02</v>
      </c>
      <c r="M761" s="147"/>
      <c r="N761" s="148"/>
      <c r="O761" s="149" t="s">
        <v>303</v>
      </c>
      <c r="P761" s="150" t="n">
        <v>0.0431543</v>
      </c>
      <c r="Q761" s="150"/>
      <c r="R761" s="151" t="s">
        <v>914</v>
      </c>
      <c r="S761" s="152"/>
      <c r="T761" s="151"/>
      <c r="U761" s="152"/>
      <c r="V761" s="152" t="n">
        <v>0.04687</v>
      </c>
      <c r="W761" s="152" t="n">
        <v>0.003281</v>
      </c>
      <c r="X761" s="152" t="n">
        <v>0.003869</v>
      </c>
      <c r="Y761" s="152" t="n">
        <v>0.032457</v>
      </c>
      <c r="Z761" s="152" t="n">
        <v>0.002</v>
      </c>
      <c r="AA761" s="152" t="n">
        <v>0.002</v>
      </c>
      <c r="AB761" s="154" t="n">
        <f aca="false">S761-Z761</f>
        <v>-0.002</v>
      </c>
      <c r="AC761" s="154" t="n">
        <f aca="false">U761-Z761-AA761</f>
        <v>-0.004</v>
      </c>
      <c r="AD761" s="155" t="n">
        <v>0.038</v>
      </c>
      <c r="AE761" s="153" t="n">
        <f aca="false">IF(Y761="","",Y761)</f>
        <v>0.032457</v>
      </c>
      <c r="AF761" s="153" t="n">
        <f aca="false">AD761-AE761</f>
        <v>0.005543</v>
      </c>
      <c r="AG761" s="184" t="n">
        <f aca="false">IF(AF761="","",AE761+AF761)</f>
        <v>0.038</v>
      </c>
      <c r="AH761" s="185" t="n">
        <v>45663</v>
      </c>
      <c r="AI761" s="35" t="n">
        <v>1</v>
      </c>
      <c r="AJ761" s="19" t="str">
        <f aca="false">IF(AG761="","N","Y")</f>
        <v>Y</v>
      </c>
      <c r="AK761" s="159" t="s">
        <v>1057</v>
      </c>
    </row>
    <row r="762" customFormat="false" ht="20.25" hidden="false" customHeight="true" outlineLevel="0" collapsed="false">
      <c r="A762" s="19" t="n">
        <v>237</v>
      </c>
      <c r="B762" s="141" t="n">
        <v>45663</v>
      </c>
      <c r="C762" s="63" t="s">
        <v>96</v>
      </c>
      <c r="D762" s="63" t="s">
        <v>1068</v>
      </c>
      <c r="E762" s="63" t="s">
        <v>1069</v>
      </c>
      <c r="F762" s="63" t="s">
        <v>1027</v>
      </c>
      <c r="G762" s="142" t="n">
        <v>45663</v>
      </c>
      <c r="H762" s="142" t="n">
        <v>45694</v>
      </c>
      <c r="I762" s="19" t="n">
        <f aca="false">H762-G762</f>
        <v>31</v>
      </c>
      <c r="J762" s="149" t="n">
        <f aca="false">TRUNC(I762/30,0)</f>
        <v>1</v>
      </c>
      <c r="K762" s="189" t="s">
        <v>99</v>
      </c>
      <c r="L762" s="146" t="n">
        <v>2.8</v>
      </c>
      <c r="M762" s="147"/>
      <c r="N762" s="148"/>
      <c r="O762" s="149" t="s">
        <v>303</v>
      </c>
      <c r="P762" s="150" t="n">
        <v>0.0431543</v>
      </c>
      <c r="Q762" s="150"/>
      <c r="R762" s="151" t="s">
        <v>914</v>
      </c>
      <c r="S762" s="152"/>
      <c r="T762" s="151"/>
      <c r="U762" s="152"/>
      <c r="V762" s="152" t="n">
        <v>0.04687</v>
      </c>
      <c r="W762" s="152" t="n">
        <v>0.003281</v>
      </c>
      <c r="X762" s="152" t="n">
        <v>0.003869</v>
      </c>
      <c r="Y762" s="152" t="n">
        <v>0.032457</v>
      </c>
      <c r="Z762" s="152" t="n">
        <v>0.002</v>
      </c>
      <c r="AA762" s="152" t="n">
        <v>0.002</v>
      </c>
      <c r="AB762" s="154" t="n">
        <f aca="false">S762-Z762</f>
        <v>-0.002</v>
      </c>
      <c r="AC762" s="154" t="n">
        <f aca="false">U762-Z762-AA762</f>
        <v>-0.004</v>
      </c>
      <c r="AD762" s="155" t="n">
        <v>0.038</v>
      </c>
      <c r="AE762" s="153" t="n">
        <v>0.032457</v>
      </c>
      <c r="AF762" s="153" t="n">
        <f aca="false">AD762-AE762</f>
        <v>0.005543</v>
      </c>
      <c r="AG762" s="184" t="n">
        <f aca="false">IF(AF762="","",AE762+AF762)</f>
        <v>0.038</v>
      </c>
      <c r="AH762" s="185" t="n">
        <v>45663</v>
      </c>
      <c r="AI762" s="35" t="n">
        <v>4</v>
      </c>
      <c r="AJ762" s="19" t="str">
        <f aca="false">IF(AG762="","N","Y")</f>
        <v>Y</v>
      </c>
      <c r="AK762" s="159" t="s">
        <v>1057</v>
      </c>
    </row>
    <row r="763" s="382" customFormat="true" ht="20.25" hidden="false" customHeight="true" outlineLevel="0" collapsed="false">
      <c r="A763" s="364" t="n">
        <v>238</v>
      </c>
      <c r="B763" s="363" t="n">
        <v>45665</v>
      </c>
      <c r="C763" s="364" t="s">
        <v>644</v>
      </c>
      <c r="D763" s="364" t="s">
        <v>1070</v>
      </c>
      <c r="E763" s="364" t="s">
        <v>1071</v>
      </c>
      <c r="F763" s="364" t="s">
        <v>1072</v>
      </c>
      <c r="G763" s="365" t="n">
        <v>45665</v>
      </c>
      <c r="H763" s="365" t="n">
        <v>45698</v>
      </c>
      <c r="I763" s="364" t="n">
        <f aca="false">H763-G763</f>
        <v>33</v>
      </c>
      <c r="J763" s="366" t="n">
        <f aca="false">TRUNC(I763/30,0)</f>
        <v>1</v>
      </c>
      <c r="K763" s="395" t="s">
        <v>95</v>
      </c>
      <c r="L763" s="368" t="n">
        <v>1.5</v>
      </c>
      <c r="M763" s="369"/>
      <c r="N763" s="370"/>
      <c r="O763" s="366" t="s">
        <v>303</v>
      </c>
      <c r="P763" s="371" t="n">
        <v>0.0429764</v>
      </c>
      <c r="Q763" s="371"/>
      <c r="R763" s="372" t="s">
        <v>914</v>
      </c>
      <c r="S763" s="373"/>
      <c r="T763" s="372"/>
      <c r="U763" s="373"/>
      <c r="V763" s="373" t="n">
        <v>0.045987</v>
      </c>
      <c r="W763" s="373" t="n">
        <v>0.00092</v>
      </c>
      <c r="X763" s="373" t="n">
        <v>0.002347</v>
      </c>
      <c r="Y763" s="373" t="n">
        <v>0.037416</v>
      </c>
      <c r="Z763" s="373" t="n">
        <v>0.002</v>
      </c>
      <c r="AA763" s="373" t="n">
        <v>0.002</v>
      </c>
      <c r="AB763" s="374" t="n">
        <f aca="false">S763-Z763</f>
        <v>-0.002</v>
      </c>
      <c r="AC763" s="374" t="n">
        <f aca="false">U763-Z763-AA763</f>
        <v>-0.004</v>
      </c>
      <c r="AD763" s="375" t="n">
        <v>0.041</v>
      </c>
      <c r="AE763" s="376" t="n">
        <v>0.037416</v>
      </c>
      <c r="AF763" s="376" t="n">
        <f aca="false">AD763-AE763</f>
        <v>0.003584</v>
      </c>
      <c r="AG763" s="377" t="n">
        <f aca="false">IF(AF763="","",AE763+AF763)</f>
        <v>0.041</v>
      </c>
      <c r="AH763" s="378" t="n">
        <v>45665</v>
      </c>
      <c r="AI763" s="379" t="n">
        <v>1</v>
      </c>
      <c r="AJ763" s="380" t="str">
        <f aca="false">IF(AG763="","N","Y")</f>
        <v>Y</v>
      </c>
      <c r="AK763" s="396" t="s">
        <v>1065</v>
      </c>
      <c r="AL763" s="397"/>
    </row>
    <row r="764" s="382" customFormat="true" ht="20.25" hidden="false" customHeight="true" outlineLevel="0" collapsed="false">
      <c r="A764" s="364" t="n">
        <v>239</v>
      </c>
      <c r="B764" s="363" t="n">
        <v>45666</v>
      </c>
      <c r="C764" s="364" t="s">
        <v>209</v>
      </c>
      <c r="D764" s="364" t="s">
        <v>1054</v>
      </c>
      <c r="E764" s="364" t="s">
        <v>1055</v>
      </c>
      <c r="F764" s="364" t="s">
        <v>697</v>
      </c>
      <c r="G764" s="365" t="n">
        <v>45666</v>
      </c>
      <c r="H764" s="365" t="n">
        <v>45698</v>
      </c>
      <c r="I764" s="364" t="n">
        <f aca="false">H764-G764</f>
        <v>32</v>
      </c>
      <c r="J764" s="366" t="n">
        <f aca="false">TRUNC(I764/30,0)</f>
        <v>1</v>
      </c>
      <c r="K764" s="395" t="s">
        <v>95</v>
      </c>
      <c r="L764" s="368" t="n">
        <v>9</v>
      </c>
      <c r="M764" s="369"/>
      <c r="N764" s="370"/>
      <c r="O764" s="366" t="s">
        <v>303</v>
      </c>
      <c r="P764" s="371" t="n">
        <v>0.0429764</v>
      </c>
      <c r="Q764" s="371"/>
      <c r="R764" s="372" t="s">
        <v>914</v>
      </c>
      <c r="S764" s="373"/>
      <c r="T764" s="372"/>
      <c r="U764" s="373"/>
      <c r="V764" s="373" t="n">
        <v>0.045987</v>
      </c>
      <c r="W764" s="373" t="n">
        <v>0.00092</v>
      </c>
      <c r="X764" s="373" t="n">
        <v>0.002147</v>
      </c>
      <c r="Y764" s="373" t="n">
        <v>0.037416</v>
      </c>
      <c r="Z764" s="373" t="n">
        <v>0.002</v>
      </c>
      <c r="AA764" s="373" t="n">
        <v>0.002</v>
      </c>
      <c r="AB764" s="374" t="n">
        <f aca="false">S764-Z764</f>
        <v>-0.002</v>
      </c>
      <c r="AC764" s="374" t="n">
        <f aca="false">U764-Z764-AA764</f>
        <v>-0.004</v>
      </c>
      <c r="AD764" s="375" t="n">
        <v>0.0412</v>
      </c>
      <c r="AE764" s="376" t="n">
        <v>0.037416</v>
      </c>
      <c r="AF764" s="376" t="n">
        <f aca="false">AD764-AE764</f>
        <v>0.003784</v>
      </c>
      <c r="AG764" s="377" t="n">
        <v>0.0412</v>
      </c>
      <c r="AH764" s="378" t="n">
        <v>45666</v>
      </c>
      <c r="AI764" s="379" t="n">
        <v>1</v>
      </c>
      <c r="AJ764" s="380" t="str">
        <f aca="false">IF(AG764="","N","Y")</f>
        <v>Y</v>
      </c>
      <c r="AK764" s="396" t="s">
        <v>1065</v>
      </c>
      <c r="AL764" s="397"/>
    </row>
    <row r="765" s="382" customFormat="true" ht="20.25" hidden="false" customHeight="true" outlineLevel="0" collapsed="false">
      <c r="A765" s="364" t="n">
        <v>240</v>
      </c>
      <c r="B765" s="363" t="n">
        <v>45666</v>
      </c>
      <c r="C765" s="364" t="s">
        <v>925</v>
      </c>
      <c r="D765" s="364" t="s">
        <v>1073</v>
      </c>
      <c r="E765" s="364" t="s">
        <v>1074</v>
      </c>
      <c r="F765" s="364" t="s">
        <v>1075</v>
      </c>
      <c r="G765" s="365" t="n">
        <v>45666</v>
      </c>
      <c r="H765" s="365" t="n">
        <v>45698</v>
      </c>
      <c r="I765" s="364" t="n">
        <f aca="false">H765-G765</f>
        <v>32</v>
      </c>
      <c r="J765" s="366" t="n">
        <f aca="false">TRUNC(I765/30,0)</f>
        <v>1</v>
      </c>
      <c r="K765" s="367" t="s">
        <v>99</v>
      </c>
      <c r="L765" s="368" t="n">
        <v>2.5</v>
      </c>
      <c r="M765" s="369"/>
      <c r="N765" s="370"/>
      <c r="O765" s="366" t="s">
        <v>303</v>
      </c>
      <c r="P765" s="371" t="n">
        <v>0.0429764</v>
      </c>
      <c r="Q765" s="371"/>
      <c r="R765" s="372" t="s">
        <v>914</v>
      </c>
      <c r="S765" s="373"/>
      <c r="T765" s="372"/>
      <c r="U765" s="373"/>
      <c r="V765" s="373" t="n">
        <v>0.046676</v>
      </c>
      <c r="W765" s="373" t="n">
        <v>0.00092</v>
      </c>
      <c r="X765" s="373" t="n">
        <v>0.003689</v>
      </c>
      <c r="Y765" s="373" t="n">
        <v>0.031464</v>
      </c>
      <c r="Z765" s="373" t="n">
        <v>0.002</v>
      </c>
      <c r="AA765" s="373" t="n">
        <v>0.002</v>
      </c>
      <c r="AB765" s="374" t="n">
        <f aca="false">S765-Z765</f>
        <v>-0.002</v>
      </c>
      <c r="AC765" s="374" t="n">
        <f aca="false">U765-Z765-AA765</f>
        <v>-0.004</v>
      </c>
      <c r="AD765" s="375" t="n">
        <v>0.038</v>
      </c>
      <c r="AE765" s="376" t="n">
        <v>0.031464</v>
      </c>
      <c r="AF765" s="376" t="n">
        <f aca="false">AD765-AE765</f>
        <v>0.006536</v>
      </c>
      <c r="AG765" s="377" t="n">
        <f aca="false">IF(AF765="","",AE765+AF765)</f>
        <v>0.038</v>
      </c>
      <c r="AH765" s="378" t="n">
        <v>45666</v>
      </c>
      <c r="AI765" s="379" t="n">
        <v>2</v>
      </c>
      <c r="AJ765" s="380" t="str">
        <f aca="false">IF(AG765="","N","Y")</f>
        <v>Y</v>
      </c>
      <c r="AK765" s="396" t="s">
        <v>1057</v>
      </c>
      <c r="AL765" s="397"/>
    </row>
    <row r="766" s="382" customFormat="true" ht="20.25" hidden="false" customHeight="true" outlineLevel="0" collapsed="false">
      <c r="A766" s="364" t="n">
        <v>241</v>
      </c>
      <c r="B766" s="363" t="n">
        <v>45667</v>
      </c>
      <c r="C766" s="364" t="s">
        <v>124</v>
      </c>
      <c r="D766" s="364" t="s">
        <v>216</v>
      </c>
      <c r="E766" s="364" t="s">
        <v>1076</v>
      </c>
      <c r="F766" s="63" t="s">
        <v>1077</v>
      </c>
      <c r="G766" s="365" t="n">
        <v>45667</v>
      </c>
      <c r="H766" s="365" t="n">
        <v>46034</v>
      </c>
      <c r="I766" s="364" t="n">
        <f aca="false">H766-G766</f>
        <v>367</v>
      </c>
      <c r="J766" s="366" t="n">
        <f aca="false">TRUNC(I766/30,0)</f>
        <v>12</v>
      </c>
      <c r="K766" s="183" t="s">
        <v>1078</v>
      </c>
      <c r="L766" s="368" t="n">
        <v>1.11</v>
      </c>
      <c r="M766" s="369"/>
      <c r="N766" s="370"/>
      <c r="O766" s="366" t="s">
        <v>396</v>
      </c>
      <c r="P766" s="371" t="n">
        <v>0.0419237</v>
      </c>
      <c r="Q766" s="371"/>
      <c r="R766" s="372" t="s">
        <v>914</v>
      </c>
      <c r="S766" s="373"/>
      <c r="T766" s="372"/>
      <c r="U766" s="373"/>
      <c r="V766" s="373" t="n">
        <v>0.049597</v>
      </c>
      <c r="W766" s="373" t="n">
        <v>0.000992</v>
      </c>
      <c r="X766" s="373" t="n">
        <v>0.004885</v>
      </c>
      <c r="Y766" s="373" t="n">
        <v>0.03897</v>
      </c>
      <c r="Z766" s="373" t="n">
        <v>0.002</v>
      </c>
      <c r="AA766" s="373" t="n">
        <v>0.002</v>
      </c>
      <c r="AB766" s="374" t="n">
        <f aca="false">S766-Z766</f>
        <v>-0.002</v>
      </c>
      <c r="AC766" s="374" t="n">
        <f aca="false">U766-Z766-AA766</f>
        <v>-0.004</v>
      </c>
      <c r="AD766" s="375" t="n">
        <v>0.042</v>
      </c>
      <c r="AE766" s="376" t="n">
        <v>0.03897</v>
      </c>
      <c r="AF766" s="153" t="n">
        <f aca="false">AD766-AE766</f>
        <v>0.00303000000000001</v>
      </c>
      <c r="AG766" s="377" t="n">
        <v>0.042</v>
      </c>
      <c r="AH766" s="378" t="n">
        <v>45667</v>
      </c>
      <c r="AI766" s="379" t="n">
        <v>8</v>
      </c>
      <c r="AJ766" s="380" t="str">
        <f aca="false">IF(AG766="","N","Y")</f>
        <v>Y</v>
      </c>
      <c r="AK766" s="396" t="s">
        <v>1079</v>
      </c>
      <c r="AL766" s="397"/>
    </row>
    <row r="767" s="382" customFormat="true" ht="20.25" hidden="false" customHeight="true" outlineLevel="0" collapsed="false">
      <c r="A767" s="364" t="n">
        <v>242</v>
      </c>
      <c r="B767" s="363" t="n">
        <v>45667</v>
      </c>
      <c r="C767" s="364" t="s">
        <v>187</v>
      </c>
      <c r="D767" s="364" t="s">
        <v>1062</v>
      </c>
      <c r="E767" s="364" t="s">
        <v>876</v>
      </c>
      <c r="F767" s="364" t="s">
        <v>1050</v>
      </c>
      <c r="G767" s="365" t="n">
        <v>45667</v>
      </c>
      <c r="H767" s="365" t="n">
        <v>45674</v>
      </c>
      <c r="I767" s="364" t="n">
        <f aca="false">H767-G767</f>
        <v>7</v>
      </c>
      <c r="J767" s="366" t="n">
        <f aca="false">TRUNC(I767/30,0)</f>
        <v>0</v>
      </c>
      <c r="K767" s="395" t="s">
        <v>95</v>
      </c>
      <c r="L767" s="368" t="n">
        <v>14.9</v>
      </c>
      <c r="M767" s="369"/>
      <c r="N767" s="370"/>
      <c r="O767" s="366" t="s">
        <v>305</v>
      </c>
      <c r="P767" s="371" t="n">
        <v>0.042925</v>
      </c>
      <c r="Q767" s="371"/>
      <c r="R767" s="372" t="s">
        <v>914</v>
      </c>
      <c r="S767" s="373"/>
      <c r="T767" s="372"/>
      <c r="U767" s="373"/>
      <c r="V767" s="373" t="n">
        <v>0.044157</v>
      </c>
      <c r="W767" s="373" t="n">
        <v>0.000883</v>
      </c>
      <c r="X767" s="373" t="n">
        <v>0.002554</v>
      </c>
      <c r="Y767" s="373" t="n">
        <v>0.03362</v>
      </c>
      <c r="Z767" s="373" t="n">
        <v>0.002</v>
      </c>
      <c r="AA767" s="373" t="n">
        <v>0.002</v>
      </c>
      <c r="AB767" s="374" t="n">
        <f aca="false">S767-Z767</f>
        <v>-0.002</v>
      </c>
      <c r="AC767" s="374" t="n">
        <f aca="false">U767-Z767-AA767</f>
        <v>-0.004</v>
      </c>
      <c r="AD767" s="375" t="n">
        <v>0.039</v>
      </c>
      <c r="AE767" s="376" t="n">
        <v>0.03362</v>
      </c>
      <c r="AF767" s="153" t="n">
        <f aca="false">AD767-AE767</f>
        <v>0.00538</v>
      </c>
      <c r="AG767" s="377" t="n">
        <v>0.039</v>
      </c>
      <c r="AH767" s="378" t="n">
        <v>45667</v>
      </c>
      <c r="AI767" s="35" t="n">
        <v>6</v>
      </c>
      <c r="AJ767" s="380" t="str">
        <f aca="false">IF(AG767="","N","Y")</f>
        <v>Y</v>
      </c>
      <c r="AK767" s="159" t="s">
        <v>1057</v>
      </c>
      <c r="AL767" s="397"/>
    </row>
    <row r="768" s="382" customFormat="true" ht="20.25" hidden="false" customHeight="true" outlineLevel="0" collapsed="false">
      <c r="A768" s="364" t="n">
        <v>243</v>
      </c>
      <c r="B768" s="363" t="n">
        <v>45671</v>
      </c>
      <c r="C768" s="364" t="s">
        <v>187</v>
      </c>
      <c r="D768" s="364" t="s">
        <v>1062</v>
      </c>
      <c r="E768" s="364" t="s">
        <v>876</v>
      </c>
      <c r="F768" s="364" t="s">
        <v>1050</v>
      </c>
      <c r="G768" s="365" t="n">
        <v>45671</v>
      </c>
      <c r="H768" s="365" t="n">
        <v>45681</v>
      </c>
      <c r="I768" s="364" t="n">
        <f aca="false">H768-G768</f>
        <v>10</v>
      </c>
      <c r="J768" s="366" t="n">
        <f aca="false">TRUNC(I768/30,0)</f>
        <v>0</v>
      </c>
      <c r="K768" s="395" t="s">
        <v>95</v>
      </c>
      <c r="L768" s="368" t="n">
        <v>9.09</v>
      </c>
      <c r="M768" s="369"/>
      <c r="N768" s="370"/>
      <c r="O768" s="366" t="s">
        <v>305</v>
      </c>
      <c r="P768" s="371" t="n">
        <v>0.0430129</v>
      </c>
      <c r="Q768" s="371"/>
      <c r="R768" s="372" t="s">
        <v>914</v>
      </c>
      <c r="S768" s="373"/>
      <c r="T768" s="372"/>
      <c r="U768" s="373"/>
      <c r="V768" s="373" t="n">
        <v>0.044613</v>
      </c>
      <c r="W768" s="258" t="n">
        <v>0.000892</v>
      </c>
      <c r="X768" s="258" t="n">
        <v>0.003</v>
      </c>
      <c r="Y768" s="373" t="n">
        <v>0.03371</v>
      </c>
      <c r="Z768" s="373" t="n">
        <v>0.002</v>
      </c>
      <c r="AA768" s="373" t="n">
        <v>0.002</v>
      </c>
      <c r="AB768" s="374" t="n">
        <f aca="false">S768-Z768</f>
        <v>-0.002</v>
      </c>
      <c r="AC768" s="374" t="n">
        <f aca="false">U768-Z768-AA768</f>
        <v>-0.004</v>
      </c>
      <c r="AD768" s="375" t="n">
        <v>0.039</v>
      </c>
      <c r="AE768" s="376" t="n">
        <v>0.03371</v>
      </c>
      <c r="AF768" s="376" t="n">
        <f aca="false">AD768-AE768</f>
        <v>0.00529</v>
      </c>
      <c r="AG768" s="377" t="n">
        <v>0.039</v>
      </c>
      <c r="AH768" s="378" t="n">
        <v>45671</v>
      </c>
      <c r="AI768" s="379" t="n">
        <v>1</v>
      </c>
      <c r="AJ768" s="380" t="str">
        <f aca="false">IF(AG768="","N","Y")</f>
        <v>Y</v>
      </c>
      <c r="AK768" s="396" t="s">
        <v>1080</v>
      </c>
      <c r="AL768" s="397"/>
    </row>
    <row r="769" s="382" customFormat="true" ht="20.25" hidden="false" customHeight="true" outlineLevel="0" collapsed="false">
      <c r="A769" s="364" t="n">
        <v>244</v>
      </c>
      <c r="B769" s="363" t="n">
        <v>45671</v>
      </c>
      <c r="C769" s="364" t="s">
        <v>862</v>
      </c>
      <c r="D769" s="364" t="s">
        <v>932</v>
      </c>
      <c r="E769" s="364" t="s">
        <v>970</v>
      </c>
      <c r="F769" s="364" t="s">
        <v>906</v>
      </c>
      <c r="G769" s="365" t="n">
        <v>45671</v>
      </c>
      <c r="H769" s="365" t="n">
        <v>45702</v>
      </c>
      <c r="I769" s="364" t="n">
        <f aca="false">H769-G769</f>
        <v>31</v>
      </c>
      <c r="J769" s="366" t="n">
        <f aca="false">TRUNC(I769/30,0)</f>
        <v>1</v>
      </c>
      <c r="K769" s="367" t="s">
        <v>99</v>
      </c>
      <c r="L769" s="368" t="n">
        <v>4.789</v>
      </c>
      <c r="M769" s="369"/>
      <c r="N769" s="370"/>
      <c r="O769" s="366" t="s">
        <v>303</v>
      </c>
      <c r="P769" s="371" t="n">
        <v>0.0430624</v>
      </c>
      <c r="Q769" s="371"/>
      <c r="R769" s="372" t="s">
        <v>914</v>
      </c>
      <c r="S769" s="373"/>
      <c r="T769" s="372"/>
      <c r="U769" s="373"/>
      <c r="V769" s="373" t="n">
        <v>0.046711</v>
      </c>
      <c r="W769" s="373" t="n">
        <v>0.00327</v>
      </c>
      <c r="X769" s="373" t="n">
        <v>0.002721</v>
      </c>
      <c r="Y769" s="373" t="n">
        <v>0.031701</v>
      </c>
      <c r="Z769" s="373" t="n">
        <v>0.002</v>
      </c>
      <c r="AA769" s="373" t="n">
        <v>0.002</v>
      </c>
      <c r="AB769" s="374" t="n">
        <f aca="false">S769-Z769</f>
        <v>-0.002</v>
      </c>
      <c r="AC769" s="374" t="n">
        <f aca="false">U769-Z769-AA769</f>
        <v>-0.004</v>
      </c>
      <c r="AD769" s="375" t="n">
        <v>0.039</v>
      </c>
      <c r="AE769" s="376" t="n">
        <v>0.031701</v>
      </c>
      <c r="AF769" s="376" t="n">
        <f aca="false">AD769-AE769</f>
        <v>0.007299</v>
      </c>
      <c r="AG769" s="377" t="n">
        <f aca="false">IF(AF769="","",AE769+AF769)</f>
        <v>0.039</v>
      </c>
      <c r="AH769" s="378" t="n">
        <v>45671</v>
      </c>
      <c r="AI769" s="379" t="n">
        <v>2</v>
      </c>
      <c r="AJ769" s="380" t="str">
        <f aca="false">IF(AG769="","N","Y")</f>
        <v>Y</v>
      </c>
      <c r="AK769" s="396" t="s">
        <v>1057</v>
      </c>
      <c r="AL769" s="397"/>
    </row>
    <row r="770" s="382" customFormat="true" ht="20.25" hidden="false" customHeight="true" outlineLevel="0" collapsed="false">
      <c r="A770" s="364" t="n">
        <f aca="false">IF(B770="","",IF((YEAR(B770)-YEAR(B769))=0,A769+1,1))</f>
        <v>245</v>
      </c>
      <c r="B770" s="363" t="n">
        <v>45671</v>
      </c>
      <c r="C770" s="364" t="s">
        <v>1081</v>
      </c>
      <c r="D770" s="364" t="s">
        <v>1082</v>
      </c>
      <c r="E770" s="364" t="s">
        <v>900</v>
      </c>
      <c r="F770" s="364" t="s">
        <v>1083</v>
      </c>
      <c r="G770" s="365" t="n">
        <v>45671</v>
      </c>
      <c r="H770" s="365" t="n">
        <v>45702</v>
      </c>
      <c r="I770" s="364" t="n">
        <f aca="false">H770-G770</f>
        <v>31</v>
      </c>
      <c r="J770" s="366" t="n">
        <f aca="false">TRUNC(I770/30,0)</f>
        <v>1</v>
      </c>
      <c r="K770" s="367" t="s">
        <v>99</v>
      </c>
      <c r="L770" s="368" t="n">
        <v>1</v>
      </c>
      <c r="M770" s="369"/>
      <c r="N770" s="370"/>
      <c r="O770" s="366" t="s">
        <v>303</v>
      </c>
      <c r="P770" s="371" t="n">
        <v>0.0430624</v>
      </c>
      <c r="Q770" s="371"/>
      <c r="R770" s="372" t="s">
        <v>914</v>
      </c>
      <c r="S770" s="373"/>
      <c r="T770" s="372"/>
      <c r="U770" s="373"/>
      <c r="V770" s="373" t="n">
        <v>0.046711</v>
      </c>
      <c r="W770" s="373" t="n">
        <v>0.00327</v>
      </c>
      <c r="X770" s="373" t="n">
        <v>0.003721</v>
      </c>
      <c r="Y770" s="373" t="n">
        <v>0.031701</v>
      </c>
      <c r="Z770" s="373" t="n">
        <v>0.002</v>
      </c>
      <c r="AA770" s="373" t="n">
        <v>0.002</v>
      </c>
      <c r="AB770" s="374" t="n">
        <f aca="false">S770-Z770</f>
        <v>-0.002</v>
      </c>
      <c r="AC770" s="374" t="n">
        <f aca="false">U770-Z770-AA770</f>
        <v>-0.004</v>
      </c>
      <c r="AD770" s="375" t="n">
        <v>0.038</v>
      </c>
      <c r="AE770" s="376" t="n">
        <v>0.031701</v>
      </c>
      <c r="AF770" s="376" t="n">
        <f aca="false">AD770-AE770</f>
        <v>0.006299</v>
      </c>
      <c r="AG770" s="377" t="n">
        <f aca="false">IF(AF770="","",AE770+AF770)</f>
        <v>0.038</v>
      </c>
      <c r="AH770" s="378" t="n">
        <v>45671</v>
      </c>
      <c r="AI770" s="379" t="n">
        <v>3</v>
      </c>
      <c r="AJ770" s="380" t="str">
        <f aca="false">IF(AG770="","N","Y")</f>
        <v>Y</v>
      </c>
      <c r="AK770" s="396" t="s">
        <v>1057</v>
      </c>
      <c r="AL770" s="397"/>
    </row>
    <row r="771" s="382" customFormat="true" ht="20.25" hidden="false" customHeight="true" outlineLevel="0" collapsed="false">
      <c r="A771" s="364" t="n">
        <v>246</v>
      </c>
      <c r="B771" s="363" t="n">
        <v>45674</v>
      </c>
      <c r="C771" s="364" t="s">
        <v>187</v>
      </c>
      <c r="D771" s="364" t="s">
        <v>1062</v>
      </c>
      <c r="E771" s="364" t="s">
        <v>876</v>
      </c>
      <c r="F771" s="364" t="s">
        <v>1050</v>
      </c>
      <c r="G771" s="365" t="n">
        <v>45674</v>
      </c>
      <c r="H771" s="365" t="n">
        <v>45681</v>
      </c>
      <c r="I771" s="364" t="n">
        <f aca="false">H771-G771</f>
        <v>7</v>
      </c>
      <c r="J771" s="366" t="n">
        <f aca="false">TRUNC(I771/30,0)</f>
        <v>0</v>
      </c>
      <c r="K771" s="395" t="s">
        <v>95</v>
      </c>
      <c r="L771" s="368" t="n">
        <v>13.24</v>
      </c>
      <c r="M771" s="369"/>
      <c r="N771" s="370"/>
      <c r="O771" s="366" t="s">
        <v>305</v>
      </c>
      <c r="P771" s="371" t="n">
        <v>0.0428387</v>
      </c>
      <c r="Q771" s="371"/>
      <c r="R771" s="372" t="s">
        <v>914</v>
      </c>
      <c r="S771" s="373"/>
      <c r="T771" s="372"/>
      <c r="U771" s="373"/>
      <c r="V771" s="373" t="n">
        <v>0.044613</v>
      </c>
      <c r="W771" s="373" t="n">
        <v>0.000885</v>
      </c>
      <c r="X771" s="373" t="n">
        <v>0.003139</v>
      </c>
      <c r="Y771" s="373" t="n">
        <v>0.033539</v>
      </c>
      <c r="Z771" s="373" t="n">
        <v>0.002</v>
      </c>
      <c r="AA771" s="373" t="n">
        <v>0.002</v>
      </c>
      <c r="AB771" s="374" t="n">
        <f aca="false">S771-Z771</f>
        <v>-0.002</v>
      </c>
      <c r="AC771" s="374" t="n">
        <f aca="false">U771-Z771-AA771</f>
        <v>-0.004</v>
      </c>
      <c r="AD771" s="375" t="n">
        <v>0.0385</v>
      </c>
      <c r="AE771" s="376" t="n">
        <v>0.033539</v>
      </c>
      <c r="AF771" s="376" t="n">
        <f aca="false">AD771-AE771</f>
        <v>0.004961</v>
      </c>
      <c r="AG771" s="377" t="n">
        <v>0.0385</v>
      </c>
      <c r="AH771" s="378" t="n">
        <v>45674</v>
      </c>
      <c r="AI771" s="379" t="n">
        <v>1</v>
      </c>
      <c r="AJ771" s="380" t="str">
        <f aca="false">IF(AG771="","N","Y")</f>
        <v>Y</v>
      </c>
      <c r="AK771" s="396" t="s">
        <v>1084</v>
      </c>
      <c r="AL771" s="397"/>
    </row>
    <row r="772" customFormat="false" ht="20.25" hidden="false" customHeight="true" outlineLevel="0" collapsed="false">
      <c r="A772" s="19" t="n">
        <v>247</v>
      </c>
      <c r="B772" s="141" t="n">
        <v>45677</v>
      </c>
      <c r="C772" s="63" t="s">
        <v>977</v>
      </c>
      <c r="D772" s="63" t="s">
        <v>978</v>
      </c>
      <c r="E772" s="63" t="s">
        <v>1011</v>
      </c>
      <c r="F772" s="63" t="s">
        <v>980</v>
      </c>
      <c r="G772" s="142" t="n">
        <v>45677</v>
      </c>
      <c r="H772" s="142" t="n">
        <v>45708</v>
      </c>
      <c r="I772" s="19" t="n">
        <f aca="false">H772-G772</f>
        <v>31</v>
      </c>
      <c r="J772" s="149" t="n">
        <f aca="false">TRUNC(I772/30,0)</f>
        <v>1</v>
      </c>
      <c r="K772" s="183" t="s">
        <v>95</v>
      </c>
      <c r="L772" s="146" t="n">
        <v>1</v>
      </c>
      <c r="M772" s="147" t="n">
        <v>3.8</v>
      </c>
      <c r="N772" s="148" t="s">
        <v>1085</v>
      </c>
      <c r="O772" s="149" t="s">
        <v>303</v>
      </c>
      <c r="P772" s="150" t="n">
        <v>0.043004</v>
      </c>
      <c r="Q772" s="150"/>
      <c r="R772" s="151" t="s">
        <v>914</v>
      </c>
      <c r="S772" s="152"/>
      <c r="T772" s="151"/>
      <c r="U772" s="152"/>
      <c r="V772" s="152" t="n">
        <v>0.046001</v>
      </c>
      <c r="W772" s="152" t="n">
        <v>0.00092</v>
      </c>
      <c r="X772" s="152" t="n">
        <v>0.002361</v>
      </c>
      <c r="Y772" s="152" t="n">
        <v>0.037443</v>
      </c>
      <c r="Z772" s="152" t="n">
        <v>0.002</v>
      </c>
      <c r="AA772" s="152" t="n">
        <v>0.002</v>
      </c>
      <c r="AB772" s="154" t="n">
        <f aca="false">S772-Z772</f>
        <v>-0.002</v>
      </c>
      <c r="AC772" s="154" t="n">
        <f aca="false">U772-Z772-AA772</f>
        <v>-0.004</v>
      </c>
      <c r="AD772" s="155" t="n">
        <v>0.041</v>
      </c>
      <c r="AE772" s="153" t="n">
        <v>0.037443</v>
      </c>
      <c r="AF772" s="153" t="n">
        <f aca="false">AD772-AE772</f>
        <v>0.003557</v>
      </c>
      <c r="AG772" s="184" t="n">
        <f aca="false">IF(AF772="","",AE772+AF772)</f>
        <v>0.041</v>
      </c>
      <c r="AH772" s="185" t="n">
        <v>45677</v>
      </c>
      <c r="AI772" s="35" t="n">
        <v>1</v>
      </c>
      <c r="AJ772" s="19" t="str">
        <f aca="false">IF(AG772="","N","Y")</f>
        <v>Y</v>
      </c>
      <c r="AK772" s="396" t="s">
        <v>1065</v>
      </c>
    </row>
    <row r="773" customFormat="false" ht="20.25" hidden="false" customHeight="true" outlineLevel="0" collapsed="false">
      <c r="A773" s="19" t="n">
        <v>248</v>
      </c>
      <c r="B773" s="141" t="n">
        <v>45680</v>
      </c>
      <c r="C773" s="63" t="s">
        <v>116</v>
      </c>
      <c r="D773" s="63" t="s">
        <v>1005</v>
      </c>
      <c r="E773" s="63" t="s">
        <v>763</v>
      </c>
      <c r="F773" s="63" t="s">
        <v>1056</v>
      </c>
      <c r="G773" s="142" t="n">
        <v>45680</v>
      </c>
      <c r="H773" s="142" t="n">
        <v>45711</v>
      </c>
      <c r="I773" s="19" t="n">
        <f aca="false">H773-G773</f>
        <v>31</v>
      </c>
      <c r="J773" s="149" t="n">
        <f aca="false">TRUNC(I773/30,0)</f>
        <v>1</v>
      </c>
      <c r="K773" s="189" t="s">
        <v>99</v>
      </c>
      <c r="L773" s="146" t="n">
        <v>10</v>
      </c>
      <c r="M773" s="147"/>
      <c r="N773" s="148"/>
      <c r="O773" s="366" t="s">
        <v>305</v>
      </c>
      <c r="P773" s="150" t="n">
        <v>0.043</v>
      </c>
      <c r="Q773" s="150"/>
      <c r="R773" s="151" t="s">
        <v>914</v>
      </c>
      <c r="S773" s="152"/>
      <c r="T773" s="151"/>
      <c r="U773" s="152"/>
      <c r="V773" s="152" t="n">
        <v>0.046583</v>
      </c>
      <c r="W773" s="152" t="n">
        <v>0.003261</v>
      </c>
      <c r="X773" s="152" t="n">
        <v>0.00172</v>
      </c>
      <c r="Y773" s="152" t="n">
        <v>0.0317</v>
      </c>
      <c r="Z773" s="373" t="n">
        <v>0.002</v>
      </c>
      <c r="AA773" s="373" t="n">
        <v>0.002</v>
      </c>
      <c r="AB773" s="154" t="n">
        <f aca="false">S773-Z773</f>
        <v>-0.002</v>
      </c>
      <c r="AC773" s="154" t="n">
        <f aca="false">U773-Z773-AA773</f>
        <v>-0.004</v>
      </c>
      <c r="AD773" s="155" t="n">
        <v>0.0386</v>
      </c>
      <c r="AE773" s="153" t="n">
        <f aca="false">IF(Y773="","",Y773)</f>
        <v>0.0317</v>
      </c>
      <c r="AF773" s="153" t="n">
        <f aca="false">AD773-AE773</f>
        <v>0.0069</v>
      </c>
      <c r="AG773" s="184" t="n">
        <f aca="false">IF(AF773="","",AE773+AF773)</f>
        <v>0.0386</v>
      </c>
      <c r="AH773" s="185" t="n">
        <v>45680</v>
      </c>
      <c r="AI773" s="35" t="n">
        <v>1</v>
      </c>
      <c r="AJ773" s="19" t="str">
        <f aca="false">IF(AG773="","N","Y")</f>
        <v>Y</v>
      </c>
      <c r="AK773" s="159" t="s">
        <v>1057</v>
      </c>
    </row>
    <row r="774" s="382" customFormat="true" ht="20.25" hidden="false" customHeight="true" outlineLevel="0" collapsed="false">
      <c r="A774" s="364" t="n">
        <v>249</v>
      </c>
      <c r="B774" s="363" t="n">
        <v>45681</v>
      </c>
      <c r="C774" s="364" t="s">
        <v>187</v>
      </c>
      <c r="D774" s="364" t="s">
        <v>1062</v>
      </c>
      <c r="E774" s="364" t="s">
        <v>876</v>
      </c>
      <c r="F774" s="364" t="s">
        <v>1050</v>
      </c>
      <c r="G774" s="365" t="n">
        <v>45681</v>
      </c>
      <c r="H774" s="365" t="n">
        <v>45691</v>
      </c>
      <c r="I774" s="364" t="n">
        <f aca="false">H774-G774</f>
        <v>10</v>
      </c>
      <c r="J774" s="366" t="n">
        <f aca="false">TRUNC(I774/30,0)</f>
        <v>0</v>
      </c>
      <c r="K774" s="395" t="s">
        <v>95</v>
      </c>
      <c r="L774" s="368" t="n">
        <v>22.3</v>
      </c>
      <c r="M774" s="369"/>
      <c r="N774" s="370"/>
      <c r="O774" s="149" t="s">
        <v>303</v>
      </c>
      <c r="P774" s="150" t="n">
        <v>0.0431064</v>
      </c>
      <c r="Q774" s="371"/>
      <c r="R774" s="372" t="s">
        <v>914</v>
      </c>
      <c r="S774" s="373"/>
      <c r="T774" s="372"/>
      <c r="U774" s="373"/>
      <c r="V774" s="373" t="n">
        <v>0.044551</v>
      </c>
      <c r="W774" s="373" t="n">
        <v>0.000892</v>
      </c>
      <c r="X774" s="373" t="n">
        <v>0.00344</v>
      </c>
      <c r="Y774" s="373" t="n">
        <v>0.03371</v>
      </c>
      <c r="Z774" s="373" t="n">
        <v>0.002</v>
      </c>
      <c r="AA774" s="373" t="n">
        <v>0.002</v>
      </c>
      <c r="AB774" s="374" t="n">
        <f aca="false">S774-Z774</f>
        <v>-0.002</v>
      </c>
      <c r="AC774" s="374" t="n">
        <f aca="false">U774-Z774-AA774</f>
        <v>-0.004</v>
      </c>
      <c r="AD774" s="375" t="n">
        <v>0.0385</v>
      </c>
      <c r="AE774" s="376" t="n">
        <v>0.03371</v>
      </c>
      <c r="AF774" s="376" t="n">
        <f aca="false">AD774-AE774</f>
        <v>0.00479</v>
      </c>
      <c r="AG774" s="377" t="n">
        <v>0.0385</v>
      </c>
      <c r="AH774" s="378" t="n">
        <v>45681</v>
      </c>
      <c r="AI774" s="379" t="n">
        <v>2</v>
      </c>
      <c r="AJ774" s="380" t="str">
        <f aca="false">IF(AG774="","N","Y")</f>
        <v>Y</v>
      </c>
      <c r="AK774" s="396" t="s">
        <v>1086</v>
      </c>
      <c r="AL774" s="397"/>
    </row>
    <row r="775" customFormat="false" ht="20.25" hidden="false" customHeight="true" outlineLevel="0" collapsed="false">
      <c r="A775" s="19" t="n">
        <v>250</v>
      </c>
      <c r="B775" s="141" t="n">
        <v>45688</v>
      </c>
      <c r="C775" s="63" t="s">
        <v>925</v>
      </c>
      <c r="D775" s="63" t="s">
        <v>1073</v>
      </c>
      <c r="E775" s="63" t="s">
        <v>1074</v>
      </c>
      <c r="F775" s="63" t="s">
        <v>1075</v>
      </c>
      <c r="G775" s="142" t="n">
        <v>45688</v>
      </c>
      <c r="H775" s="142" t="n">
        <v>45716</v>
      </c>
      <c r="I775" s="19" t="n">
        <f aca="false">H775-G775</f>
        <v>28</v>
      </c>
      <c r="J775" s="149" t="n">
        <f aca="false">TRUNC(I775/30,0)</f>
        <v>0</v>
      </c>
      <c r="K775" s="395" t="s">
        <v>95</v>
      </c>
      <c r="L775" s="146" t="n">
        <v>5</v>
      </c>
      <c r="M775" s="147"/>
      <c r="N775" s="148"/>
      <c r="O775" s="149" t="s">
        <v>303</v>
      </c>
      <c r="P775" s="150" t="n">
        <v>0.0430861</v>
      </c>
      <c r="Q775" s="150"/>
      <c r="R775" s="151" t="s">
        <v>914</v>
      </c>
      <c r="S775" s="152"/>
      <c r="T775" s="151"/>
      <c r="U775" s="152"/>
      <c r="V775" s="152" t="n">
        <v>0.045933</v>
      </c>
      <c r="W775" s="152" t="n">
        <v>0.000919</v>
      </c>
      <c r="X775" s="152" t="n">
        <v>0.001894</v>
      </c>
      <c r="Y775" s="152" t="n">
        <v>0.037524</v>
      </c>
      <c r="Z775" s="152" t="n">
        <v>0.002</v>
      </c>
      <c r="AA775" s="152" t="n">
        <v>0.002</v>
      </c>
      <c r="AB775" s="154" t="n">
        <f aca="false">S775-Z775</f>
        <v>-0.002</v>
      </c>
      <c r="AC775" s="154" t="n">
        <f aca="false">U775-Z775-AA775</f>
        <v>-0.004</v>
      </c>
      <c r="AD775" s="155" t="n">
        <v>0.0414</v>
      </c>
      <c r="AE775" s="153" t="n">
        <v>0.037524</v>
      </c>
      <c r="AF775" s="153" t="n">
        <f aca="false">AD775-AE775</f>
        <v>0.003876</v>
      </c>
      <c r="AG775" s="184" t="n">
        <v>0.0414</v>
      </c>
      <c r="AH775" s="185" t="n">
        <v>45688</v>
      </c>
      <c r="AI775" s="35" t="n">
        <v>1</v>
      </c>
      <c r="AJ775" s="19" t="str">
        <f aca="false">IF(AG775="","N","Y")</f>
        <v>Y</v>
      </c>
      <c r="AK775" s="159" t="s">
        <v>1087</v>
      </c>
    </row>
    <row r="776" customFormat="false" ht="21" hidden="false" customHeight="true" outlineLevel="0" collapsed="false">
      <c r="A776" s="19" t="n">
        <v>251</v>
      </c>
      <c r="B776" s="141" t="n">
        <v>45688</v>
      </c>
      <c r="C776" s="63" t="s">
        <v>925</v>
      </c>
      <c r="D776" s="63" t="s">
        <v>1073</v>
      </c>
      <c r="E776" s="63" t="s">
        <v>1074</v>
      </c>
      <c r="F776" s="63" t="s">
        <v>1075</v>
      </c>
      <c r="G776" s="142" t="n">
        <v>45688</v>
      </c>
      <c r="H776" s="142" t="n">
        <v>45777</v>
      </c>
      <c r="I776" s="19" t="n">
        <f aca="false">H776-G776</f>
        <v>89</v>
      </c>
      <c r="J776" s="149" t="n">
        <f aca="false">TRUNC(I776/30,0)</f>
        <v>2</v>
      </c>
      <c r="K776" s="395" t="s">
        <v>95</v>
      </c>
      <c r="L776" s="146" t="n">
        <v>5</v>
      </c>
      <c r="M776" s="147"/>
      <c r="N776" s="148"/>
      <c r="O776" s="149" t="s">
        <v>300</v>
      </c>
      <c r="P776" s="150" t="n">
        <v>0.0429071</v>
      </c>
      <c r="Q776" s="150"/>
      <c r="R776" s="151" t="s">
        <v>914</v>
      </c>
      <c r="S776" s="152"/>
      <c r="T776" s="151"/>
      <c r="U776" s="152"/>
      <c r="V776" s="152" t="n">
        <v>0.047449</v>
      </c>
      <c r="W776" s="152" t="n">
        <v>0.000949</v>
      </c>
      <c r="X776" s="152" t="n">
        <v>0.00218</v>
      </c>
      <c r="Y776" s="152" t="n">
        <v>0.039148</v>
      </c>
      <c r="Z776" s="152" t="n">
        <v>0.002</v>
      </c>
      <c r="AA776" s="152" t="n">
        <v>0.002</v>
      </c>
      <c r="AB776" s="154" t="n">
        <f aca="false">S776-Z776</f>
        <v>-0.002</v>
      </c>
      <c r="AC776" s="154" t="n">
        <f aca="false">U776-Z776-AA776</f>
        <v>-0.004</v>
      </c>
      <c r="AD776" s="155" t="n">
        <v>0.0426</v>
      </c>
      <c r="AE776" s="153" t="n">
        <v>0.039148</v>
      </c>
      <c r="AF776" s="153" t="n">
        <f aca="false">AD776-AE776</f>
        <v>0.003452</v>
      </c>
      <c r="AG776" s="184" t="n">
        <v>0.0426</v>
      </c>
      <c r="AH776" s="185" t="n">
        <v>45688</v>
      </c>
      <c r="AI776" s="35" t="n">
        <v>2</v>
      </c>
      <c r="AJ776" s="19" t="str">
        <f aca="false">IF(AG776="","N","Y")</f>
        <v>Y</v>
      </c>
      <c r="AK776" s="159" t="s">
        <v>1088</v>
      </c>
    </row>
    <row r="777" s="382" customFormat="true" ht="20.25" hidden="false" customHeight="true" outlineLevel="0" collapsed="false">
      <c r="A777" s="364" t="n">
        <v>252</v>
      </c>
      <c r="B777" s="363" t="n">
        <v>45688</v>
      </c>
      <c r="C777" s="364" t="s">
        <v>1002</v>
      </c>
      <c r="D777" s="364" t="s">
        <v>1003</v>
      </c>
      <c r="E777" s="364" t="s">
        <v>1004</v>
      </c>
      <c r="F777" s="364" t="s">
        <v>773</v>
      </c>
      <c r="G777" s="365" t="n">
        <v>45688</v>
      </c>
      <c r="H777" s="365" t="n">
        <v>45777</v>
      </c>
      <c r="I777" s="364" t="n">
        <f aca="false">H777-G777</f>
        <v>89</v>
      </c>
      <c r="J777" s="366" t="n">
        <f aca="false">TRUNC(I777/30,0)</f>
        <v>2</v>
      </c>
      <c r="K777" s="395" t="s">
        <v>95</v>
      </c>
      <c r="L777" s="368" t="n">
        <v>1</v>
      </c>
      <c r="M777" s="369" t="n">
        <v>3.87</v>
      </c>
      <c r="N777" s="370" t="s">
        <v>1089</v>
      </c>
      <c r="O777" s="366" t="s">
        <v>300</v>
      </c>
      <c r="P777" s="371" t="n">
        <v>0.0429071</v>
      </c>
      <c r="Q777" s="371"/>
      <c r="R777" s="372" t="s">
        <v>914</v>
      </c>
      <c r="S777" s="373"/>
      <c r="T777" s="372"/>
      <c r="U777" s="373"/>
      <c r="V777" s="373" t="n">
        <v>0.047449</v>
      </c>
      <c r="W777" s="373" t="n">
        <v>0.000949</v>
      </c>
      <c r="X777" s="373" t="n">
        <v>0.00228</v>
      </c>
      <c r="Y777" s="373" t="n">
        <v>0.039148</v>
      </c>
      <c r="Z777" s="373" t="n">
        <v>0.002</v>
      </c>
      <c r="AA777" s="373" t="n">
        <v>0.002</v>
      </c>
      <c r="AB777" s="374" t="n">
        <f aca="false">S777-Z777</f>
        <v>-0.002</v>
      </c>
      <c r="AC777" s="374" t="n">
        <f aca="false">U777-Z777-AA777</f>
        <v>-0.004</v>
      </c>
      <c r="AD777" s="375" t="n">
        <v>0.0425</v>
      </c>
      <c r="AE777" s="376" t="n">
        <f aca="false">IF(Y777="","",Y777)</f>
        <v>0.039148</v>
      </c>
      <c r="AF777" s="376" t="n">
        <f aca="false">AD777-AE777</f>
        <v>0.003352</v>
      </c>
      <c r="AG777" s="377" t="n">
        <f aca="false">IF(AF777="","",AE777+AF777)</f>
        <v>0.0425</v>
      </c>
      <c r="AH777" s="378" t="n">
        <v>45688</v>
      </c>
      <c r="AI777" s="379" t="n">
        <v>1</v>
      </c>
      <c r="AJ777" s="380" t="str">
        <f aca="false">IF(AG777="","N","Y")</f>
        <v>Y</v>
      </c>
      <c r="AK777" s="396" t="s">
        <v>1088</v>
      </c>
      <c r="AL777" s="397"/>
    </row>
    <row r="778" s="382" customFormat="true" ht="20.25" hidden="false" customHeight="true" outlineLevel="0" collapsed="false">
      <c r="A778" s="364" t="n">
        <v>253</v>
      </c>
      <c r="B778" s="363" t="n">
        <v>45691</v>
      </c>
      <c r="C778" s="364" t="s">
        <v>187</v>
      </c>
      <c r="D778" s="364" t="s">
        <v>1062</v>
      </c>
      <c r="E778" s="364" t="s">
        <v>876</v>
      </c>
      <c r="F778" s="364" t="s">
        <v>1050</v>
      </c>
      <c r="G778" s="365" t="n">
        <v>45691</v>
      </c>
      <c r="H778" s="365" t="n">
        <v>45698</v>
      </c>
      <c r="I778" s="364" t="n">
        <f aca="false">H778-G778</f>
        <v>7</v>
      </c>
      <c r="J778" s="366" t="n">
        <f aca="false">TRUNC(I778/30,0)</f>
        <v>0</v>
      </c>
      <c r="K778" s="395" t="s">
        <v>95</v>
      </c>
      <c r="L778" s="368" t="n">
        <v>22.387</v>
      </c>
      <c r="M778" s="369"/>
      <c r="N778" s="370"/>
      <c r="O778" s="149" t="s">
        <v>305</v>
      </c>
      <c r="P778" s="150" t="n">
        <v>0.0435029</v>
      </c>
      <c r="Q778" s="371"/>
      <c r="R778" s="372" t="s">
        <v>914</v>
      </c>
      <c r="S778" s="373"/>
      <c r="T778" s="372"/>
      <c r="U778" s="373"/>
      <c r="V778" s="373" t="n">
        <v>0.044814</v>
      </c>
      <c r="W778" s="373" t="n">
        <v>0.000896</v>
      </c>
      <c r="X778" s="373" t="n">
        <v>0.003698</v>
      </c>
      <c r="Y778" s="373" t="n">
        <v>0.034157</v>
      </c>
      <c r="Z778" s="373" t="n">
        <v>0.002</v>
      </c>
      <c r="AA778" s="373" t="n">
        <v>0.002</v>
      </c>
      <c r="AB778" s="374" t="n">
        <f aca="false">S778-Z778</f>
        <v>-0.002</v>
      </c>
      <c r="AC778" s="374" t="n">
        <f aca="false">U778-Z778-AA778</f>
        <v>-0.004</v>
      </c>
      <c r="AD778" s="375" t="n">
        <v>0.0385</v>
      </c>
      <c r="AE778" s="376" t="n">
        <v>0.034157</v>
      </c>
      <c r="AF778" s="376" t="n">
        <f aca="false">AD778-AE778</f>
        <v>0.004343</v>
      </c>
      <c r="AG778" s="377" t="n">
        <v>0.0385</v>
      </c>
      <c r="AH778" s="378" t="n">
        <v>45691</v>
      </c>
      <c r="AI778" s="379" t="n">
        <v>1</v>
      </c>
      <c r="AJ778" s="380" t="str">
        <f aca="false">IF(AG778="","N","Y")</f>
        <v>Y</v>
      </c>
      <c r="AK778" s="396" t="s">
        <v>1084</v>
      </c>
      <c r="AL778" s="397"/>
    </row>
    <row r="779" s="382" customFormat="true" ht="20.25" hidden="false" customHeight="true" outlineLevel="0" collapsed="false">
      <c r="A779" s="364" t="n">
        <v>254</v>
      </c>
      <c r="B779" s="363" t="n">
        <v>45691</v>
      </c>
      <c r="C779" s="364" t="s">
        <v>644</v>
      </c>
      <c r="D779" s="364" t="s">
        <v>1014</v>
      </c>
      <c r="E779" s="364" t="s">
        <v>492</v>
      </c>
      <c r="F779" s="364" t="s">
        <v>1016</v>
      </c>
      <c r="G779" s="365" t="n">
        <v>45691</v>
      </c>
      <c r="H779" s="365" t="n">
        <v>45720</v>
      </c>
      <c r="I779" s="364" t="n">
        <f aca="false">H779-G779</f>
        <v>29</v>
      </c>
      <c r="J779" s="366" t="n">
        <f aca="false">TRUNC(I779/30,0)</f>
        <v>0</v>
      </c>
      <c r="K779" s="367" t="s">
        <v>99</v>
      </c>
      <c r="L779" s="368" t="n">
        <v>4.012</v>
      </c>
      <c r="M779" s="369"/>
      <c r="N779" s="370"/>
      <c r="O779" s="366" t="s">
        <v>303</v>
      </c>
      <c r="P779" s="371" t="n">
        <v>0.0431308</v>
      </c>
      <c r="Q779" s="371"/>
      <c r="R779" s="372" t="s">
        <v>914</v>
      </c>
      <c r="S779" s="373"/>
      <c r="T779" s="372"/>
      <c r="U779" s="373"/>
      <c r="V779" s="373" t="n">
        <v>0.047884</v>
      </c>
      <c r="W779" s="373" t="n">
        <v>0.003286</v>
      </c>
      <c r="X779" s="373" t="n">
        <v>0.003943</v>
      </c>
      <c r="Y779" s="373" t="n">
        <v>0.032157</v>
      </c>
      <c r="Z779" s="373" t="n">
        <v>0.002</v>
      </c>
      <c r="AA779" s="373" t="n">
        <v>0.002</v>
      </c>
      <c r="AB779" s="374" t="n">
        <f aca="false">S779-Z779</f>
        <v>-0.002</v>
      </c>
      <c r="AC779" s="374" t="n">
        <f aca="false">U779-Z779-AA779</f>
        <v>-0.004</v>
      </c>
      <c r="AD779" s="375" t="n">
        <v>0.0385</v>
      </c>
      <c r="AE779" s="376" t="n">
        <v>0.032157</v>
      </c>
      <c r="AF779" s="376" t="n">
        <f aca="false">AD779-AE779</f>
        <v>0.006343</v>
      </c>
      <c r="AG779" s="377" t="n">
        <v>0.0385</v>
      </c>
      <c r="AH779" s="378" t="n">
        <v>45691</v>
      </c>
      <c r="AI779" s="379" t="n">
        <v>2</v>
      </c>
      <c r="AJ779" s="380" t="str">
        <f aca="false">IF(AG779="","N","Y")</f>
        <v>Y</v>
      </c>
      <c r="AK779" s="396" t="s">
        <v>1057</v>
      </c>
      <c r="AL779" s="397"/>
    </row>
    <row r="780" s="382" customFormat="true" ht="20.25" hidden="false" customHeight="true" outlineLevel="0" collapsed="false">
      <c r="A780" s="364" t="n">
        <v>255</v>
      </c>
      <c r="B780" s="363" t="n">
        <v>45693</v>
      </c>
      <c r="C780" s="364" t="s">
        <v>96</v>
      </c>
      <c r="D780" s="364" t="s">
        <v>1063</v>
      </c>
      <c r="E780" s="364" t="s">
        <v>1090</v>
      </c>
      <c r="F780" s="364" t="s">
        <v>662</v>
      </c>
      <c r="G780" s="365" t="n">
        <v>45693</v>
      </c>
      <c r="H780" s="365" t="n">
        <v>45754</v>
      </c>
      <c r="I780" s="364" t="n">
        <f aca="false">H780-G780</f>
        <v>61</v>
      </c>
      <c r="J780" s="366" t="n">
        <f aca="false">TRUNC(I780/30,0)</f>
        <v>2</v>
      </c>
      <c r="K780" s="395" t="s">
        <v>95</v>
      </c>
      <c r="L780" s="368" t="n">
        <v>10</v>
      </c>
      <c r="M780" s="369"/>
      <c r="N780" s="370"/>
      <c r="O780" s="366" t="s">
        <v>936</v>
      </c>
      <c r="P780" s="371" t="n">
        <v>0.0430461</v>
      </c>
      <c r="Q780" s="371"/>
      <c r="R780" s="372" t="s">
        <v>914</v>
      </c>
      <c r="S780" s="373"/>
      <c r="T780" s="372"/>
      <c r="U780" s="373"/>
      <c r="V780" s="373" t="n">
        <v>0.046833</v>
      </c>
      <c r="W780" s="373" t="n">
        <v>0.000927</v>
      </c>
      <c r="X780" s="373" t="n">
        <v>0.002176</v>
      </c>
      <c r="Y780" s="373" t="n">
        <v>0.037511</v>
      </c>
      <c r="Z780" s="373" t="n">
        <v>0.002</v>
      </c>
      <c r="AA780" s="373" t="n">
        <v>0.002</v>
      </c>
      <c r="AB780" s="374" t="n">
        <f aca="false">S780-Z780</f>
        <v>-0.002</v>
      </c>
      <c r="AC780" s="374" t="n">
        <f aca="false">U780-Z780-AA780</f>
        <v>-0.004</v>
      </c>
      <c r="AD780" s="375" t="n">
        <v>0.042</v>
      </c>
      <c r="AE780" s="376" t="n">
        <v>0.037511</v>
      </c>
      <c r="AF780" s="376" t="n">
        <f aca="false">AD780-AE780</f>
        <v>0.004489</v>
      </c>
      <c r="AG780" s="377" t="n">
        <f aca="false">IF(AF780="","",AE780+AF780)</f>
        <v>0.042</v>
      </c>
      <c r="AH780" s="378" t="n">
        <v>45693</v>
      </c>
      <c r="AI780" s="379" t="n">
        <v>1</v>
      </c>
      <c r="AJ780" s="380" t="str">
        <f aca="false">IF(AG780="","N","Y")</f>
        <v>Y</v>
      </c>
      <c r="AK780" s="396" t="s">
        <v>1091</v>
      </c>
      <c r="AL780" s="397"/>
    </row>
    <row r="781" s="401" customFormat="true" ht="19.5" hidden="false" customHeight="true" outlineLevel="0" collapsed="false">
      <c r="A781" s="364" t="n">
        <v>256</v>
      </c>
      <c r="B781" s="363" t="n">
        <v>45694</v>
      </c>
      <c r="C781" s="364" t="s">
        <v>100</v>
      </c>
      <c r="D781" s="364" t="s">
        <v>922</v>
      </c>
      <c r="E781" s="364" t="s">
        <v>974</v>
      </c>
      <c r="F781" s="364" t="s">
        <v>826</v>
      </c>
      <c r="G781" s="365" t="n">
        <v>45694</v>
      </c>
      <c r="H781" s="365" t="n">
        <v>45701</v>
      </c>
      <c r="I781" s="364" t="n">
        <v>6</v>
      </c>
      <c r="J781" s="366" t="s">
        <v>1031</v>
      </c>
      <c r="K781" s="395" t="s">
        <v>95</v>
      </c>
      <c r="L781" s="368" t="n">
        <v>15</v>
      </c>
      <c r="M781" s="369"/>
      <c r="N781" s="370" t="s">
        <v>1092</v>
      </c>
      <c r="O781" s="366" t="s">
        <v>303</v>
      </c>
      <c r="P781" s="371" t="n">
        <v>0.0432542</v>
      </c>
      <c r="Q781" s="371"/>
      <c r="R781" s="372" t="s">
        <v>914</v>
      </c>
      <c r="S781" s="373"/>
      <c r="T781" s="372"/>
      <c r="U781" s="373"/>
      <c r="V781" s="373" t="n">
        <v>0.044812</v>
      </c>
      <c r="W781" s="373" t="n">
        <v>0.000896</v>
      </c>
      <c r="X781" s="373" t="n">
        <v>0.003196</v>
      </c>
      <c r="Y781" s="373" t="n">
        <v>0.033926</v>
      </c>
      <c r="Z781" s="373" t="n">
        <v>0.002</v>
      </c>
      <c r="AA781" s="373" t="n">
        <v>0.002</v>
      </c>
      <c r="AB781" s="374" t="n">
        <v>-0.002</v>
      </c>
      <c r="AC781" s="374" t="n">
        <v>-0.004</v>
      </c>
      <c r="AD781" s="375" t="n">
        <v>0.039</v>
      </c>
      <c r="AE781" s="376" t="n">
        <v>0.033926</v>
      </c>
      <c r="AF781" s="376" t="n">
        <v>0.006864</v>
      </c>
      <c r="AG781" s="377" t="n">
        <v>0.039</v>
      </c>
      <c r="AH781" s="378" t="n">
        <v>45694</v>
      </c>
      <c r="AI781" s="379" t="n">
        <v>1</v>
      </c>
      <c r="AJ781" s="380" t="s">
        <v>466</v>
      </c>
      <c r="AK781" s="401" t="s">
        <v>1093</v>
      </c>
    </row>
    <row r="782" s="382" customFormat="true" ht="20.25" hidden="false" customHeight="true" outlineLevel="0" collapsed="false">
      <c r="A782" s="364" t="n">
        <v>257</v>
      </c>
      <c r="B782" s="363" t="n">
        <v>45695</v>
      </c>
      <c r="C782" s="364" t="s">
        <v>1066</v>
      </c>
      <c r="D782" s="364" t="s">
        <v>932</v>
      </c>
      <c r="E782" s="364" t="s">
        <v>1067</v>
      </c>
      <c r="F782" s="402" t="s">
        <v>864</v>
      </c>
      <c r="G782" s="365" t="n">
        <v>45695</v>
      </c>
      <c r="H782" s="365" t="n">
        <v>45723</v>
      </c>
      <c r="I782" s="364" t="n">
        <f aca="false">H782-G782</f>
        <v>28</v>
      </c>
      <c r="J782" s="366" t="n">
        <f aca="false">TRUNC(I782/30,0)</f>
        <v>0</v>
      </c>
      <c r="K782" s="367" t="s">
        <v>99</v>
      </c>
      <c r="L782" s="368" t="n">
        <v>3</v>
      </c>
      <c r="M782" s="369"/>
      <c r="N782" s="370"/>
      <c r="O782" s="366" t="s">
        <v>303</v>
      </c>
      <c r="P782" s="371" t="n">
        <v>0.0431014</v>
      </c>
      <c r="Q782" s="371"/>
      <c r="R782" s="372" t="s">
        <v>914</v>
      </c>
      <c r="S782" s="373"/>
      <c r="T782" s="372"/>
      <c r="U782" s="373"/>
      <c r="V782" s="373" t="n">
        <v>0.048077</v>
      </c>
      <c r="W782" s="373" t="n">
        <v>0.003365</v>
      </c>
      <c r="X782" s="373" t="n">
        <v>0.004491</v>
      </c>
      <c r="Y782" s="373" t="n">
        <v>0.032457</v>
      </c>
      <c r="Z782" s="373" t="n">
        <v>0.002</v>
      </c>
      <c r="AA782" s="373" t="n">
        <v>0.002</v>
      </c>
      <c r="AB782" s="374" t="n">
        <f aca="false">S782-Z782</f>
        <v>-0.002</v>
      </c>
      <c r="AC782" s="374" t="n">
        <f aca="false">U782-Z782-AA782</f>
        <v>-0.004</v>
      </c>
      <c r="AD782" s="375" t="n">
        <v>0.0385</v>
      </c>
      <c r="AE782" s="376" t="n">
        <v>0.03193</v>
      </c>
      <c r="AF782" s="376" t="n">
        <f aca="false">AD782-AE782</f>
        <v>0.00657</v>
      </c>
      <c r="AG782" s="377" t="n">
        <f aca="false">IF(AF782="","",AE782+AF782)</f>
        <v>0.0385</v>
      </c>
      <c r="AH782" s="378" t="n">
        <v>45695</v>
      </c>
      <c r="AI782" s="379" t="n">
        <v>1</v>
      </c>
      <c r="AJ782" s="380" t="str">
        <f aca="false">IF(AG782="","N","Y")</f>
        <v>Y</v>
      </c>
      <c r="AK782" s="396" t="s">
        <v>1057</v>
      </c>
      <c r="AL782" s="397"/>
    </row>
    <row r="783" s="382" customFormat="true" ht="20.25" hidden="false" customHeight="true" outlineLevel="0" collapsed="false">
      <c r="A783" s="364" t="n">
        <v>258</v>
      </c>
      <c r="B783" s="363" t="n">
        <v>45698</v>
      </c>
      <c r="C783" s="364" t="s">
        <v>187</v>
      </c>
      <c r="D783" s="364" t="s">
        <v>1062</v>
      </c>
      <c r="E783" s="364" t="s">
        <v>876</v>
      </c>
      <c r="F783" s="364" t="s">
        <v>1050</v>
      </c>
      <c r="G783" s="365" t="n">
        <v>45698</v>
      </c>
      <c r="H783" s="365" t="n">
        <v>45705</v>
      </c>
      <c r="I783" s="364" t="n">
        <f aca="false">H783-G783</f>
        <v>7</v>
      </c>
      <c r="J783" s="366" t="n">
        <f aca="false">TRUNC(I783/30,0)</f>
        <v>0</v>
      </c>
      <c r="K783" s="395" t="s">
        <v>95</v>
      </c>
      <c r="L783" s="368" t="n">
        <v>22.3</v>
      </c>
      <c r="M783" s="369"/>
      <c r="N783" s="370"/>
      <c r="O783" s="366" t="s">
        <v>303</v>
      </c>
      <c r="P783" s="371" t="n">
        <v>0.0435073</v>
      </c>
      <c r="Q783" s="371"/>
      <c r="R783" s="372" t="s">
        <v>914</v>
      </c>
      <c r="S783" s="373"/>
      <c r="T783" s="372"/>
      <c r="U783" s="373"/>
      <c r="V783" s="373" t="n">
        <v>0.044659</v>
      </c>
      <c r="W783" s="373" t="n">
        <v>0.000893</v>
      </c>
      <c r="X783" s="373" t="n">
        <v>0.003546</v>
      </c>
      <c r="Y783" s="373" t="n">
        <v>0.03371</v>
      </c>
      <c r="Z783" s="373" t="n">
        <v>0.002</v>
      </c>
      <c r="AA783" s="373" t="n">
        <v>0.002</v>
      </c>
      <c r="AB783" s="374" t="n">
        <f aca="false">S783-Z783</f>
        <v>-0.002</v>
      </c>
      <c r="AC783" s="374" t="n">
        <f aca="false">U783-Z783-AA783</f>
        <v>-0.004</v>
      </c>
      <c r="AD783" s="375" t="n">
        <v>0.0385</v>
      </c>
      <c r="AE783" s="376" t="n">
        <v>0.034161</v>
      </c>
      <c r="AF783" s="376" t="n">
        <f aca="false">AD783-AE783</f>
        <v>0.004339</v>
      </c>
      <c r="AG783" s="377" t="n">
        <v>0.0385</v>
      </c>
      <c r="AH783" s="378" t="n">
        <v>45698</v>
      </c>
      <c r="AI783" s="379" t="n">
        <v>1</v>
      </c>
      <c r="AJ783" s="380" t="str">
        <f aca="false">IF(AG783="","N","Y")</f>
        <v>Y</v>
      </c>
      <c r="AK783" s="396" t="s">
        <v>1094</v>
      </c>
      <c r="AL783" s="397"/>
    </row>
    <row r="784" s="382" customFormat="true" ht="20.25" hidden="false" customHeight="true" outlineLevel="0" collapsed="false">
      <c r="A784" s="364" t="n">
        <v>259</v>
      </c>
      <c r="B784" s="363" t="n">
        <v>45698</v>
      </c>
      <c r="C784" s="364" t="s">
        <v>209</v>
      </c>
      <c r="D784" s="364" t="s">
        <v>1054</v>
      </c>
      <c r="E784" s="364" t="s">
        <v>1055</v>
      </c>
      <c r="F784" s="364" t="s">
        <v>697</v>
      </c>
      <c r="G784" s="365" t="n">
        <v>45698</v>
      </c>
      <c r="H784" s="365" t="n">
        <v>45726</v>
      </c>
      <c r="I784" s="364" t="n">
        <f aca="false">H784-G784</f>
        <v>28</v>
      </c>
      <c r="J784" s="366" t="n">
        <f aca="false">TRUNC(I784/30,0)</f>
        <v>0</v>
      </c>
      <c r="K784" s="395" t="s">
        <v>95</v>
      </c>
      <c r="L784" s="368" t="n">
        <v>12</v>
      </c>
      <c r="M784" s="369"/>
      <c r="N784" s="370"/>
      <c r="O784" s="366" t="s">
        <v>303</v>
      </c>
      <c r="P784" s="371" t="n">
        <v>0.0431519</v>
      </c>
      <c r="Q784" s="371"/>
      <c r="R784" s="372" t="s">
        <v>914</v>
      </c>
      <c r="S784" s="373"/>
      <c r="T784" s="372"/>
      <c r="U784" s="373"/>
      <c r="V784" s="373" t="n">
        <v>0.045953</v>
      </c>
      <c r="W784" s="373" t="n">
        <v>0.000919</v>
      </c>
      <c r="X784" s="373" t="n">
        <v>0.002113</v>
      </c>
      <c r="Y784" s="373" t="n">
        <v>0.037416</v>
      </c>
      <c r="Z784" s="373" t="n">
        <v>0.002</v>
      </c>
      <c r="AA784" s="373" t="n">
        <v>0.002</v>
      </c>
      <c r="AB784" s="374" t="n">
        <f aca="false">S784-Z784</f>
        <v>-0.002</v>
      </c>
      <c r="AC784" s="374" t="n">
        <f aca="false">U784-Z784-AA784</f>
        <v>-0.004</v>
      </c>
      <c r="AD784" s="375" t="n">
        <v>0.0412</v>
      </c>
      <c r="AE784" s="376" t="n">
        <v>0.037416</v>
      </c>
      <c r="AF784" s="376" t="n">
        <f aca="false">AD784-AE784</f>
        <v>0.003784</v>
      </c>
      <c r="AG784" s="377" t="n">
        <v>0.0412</v>
      </c>
      <c r="AH784" s="378" t="n">
        <v>45698</v>
      </c>
      <c r="AI784" s="379" t="n">
        <v>2</v>
      </c>
      <c r="AJ784" s="380" t="str">
        <f aca="false">IF(AG784="","N","Y")</f>
        <v>Y</v>
      </c>
      <c r="AK784" s="396" t="s">
        <v>1095</v>
      </c>
      <c r="AL784" s="397"/>
    </row>
    <row r="785" s="382" customFormat="true" ht="20.25" hidden="false" customHeight="true" outlineLevel="0" collapsed="false">
      <c r="A785" s="364" t="n">
        <v>260</v>
      </c>
      <c r="B785" s="363" t="n">
        <v>45698</v>
      </c>
      <c r="C785" s="364" t="s">
        <v>644</v>
      </c>
      <c r="D785" s="364" t="s">
        <v>1070</v>
      </c>
      <c r="E785" s="364" t="s">
        <v>1071</v>
      </c>
      <c r="F785" s="364" t="s">
        <v>1072</v>
      </c>
      <c r="G785" s="365" t="n">
        <v>45698</v>
      </c>
      <c r="H785" s="365" t="n">
        <v>45726</v>
      </c>
      <c r="I785" s="364" t="n">
        <f aca="false">H785-G785</f>
        <v>28</v>
      </c>
      <c r="J785" s="366" t="n">
        <f aca="false">TRUNC(I785/30,0)</f>
        <v>0</v>
      </c>
      <c r="K785" s="395" t="s">
        <v>95</v>
      </c>
      <c r="L785" s="368" t="n">
        <v>1.5</v>
      </c>
      <c r="M785" s="369"/>
      <c r="N785" s="370"/>
      <c r="O785" s="366" t="s">
        <v>303</v>
      </c>
      <c r="P785" s="371" t="n">
        <v>0.0431519</v>
      </c>
      <c r="Q785" s="371"/>
      <c r="R785" s="372" t="s">
        <v>914</v>
      </c>
      <c r="S785" s="373"/>
      <c r="T785" s="372"/>
      <c r="U785" s="373"/>
      <c r="V785" s="373" t="n">
        <v>0.045953</v>
      </c>
      <c r="W785" s="373" t="n">
        <v>0.00092</v>
      </c>
      <c r="X785" s="373" t="n">
        <v>0.002347</v>
      </c>
      <c r="Y785" s="373" t="n">
        <v>0.037416</v>
      </c>
      <c r="Z785" s="373" t="n">
        <v>0.002</v>
      </c>
      <c r="AA785" s="373" t="n">
        <v>0.002</v>
      </c>
      <c r="AB785" s="374" t="n">
        <f aca="false">S785-Z785</f>
        <v>-0.002</v>
      </c>
      <c r="AC785" s="374" t="n">
        <f aca="false">U785-Z785-AA785</f>
        <v>-0.004</v>
      </c>
      <c r="AD785" s="375" t="n">
        <v>0.041</v>
      </c>
      <c r="AE785" s="376" t="n">
        <v>0.037416</v>
      </c>
      <c r="AF785" s="376" t="n">
        <f aca="false">AD785-AE785</f>
        <v>0.003584</v>
      </c>
      <c r="AG785" s="377" t="n">
        <f aca="false">IF(AF785="","",AE785+AF785)</f>
        <v>0.041</v>
      </c>
      <c r="AH785" s="378" t="n">
        <v>45698</v>
      </c>
      <c r="AI785" s="379" t="n">
        <v>3</v>
      </c>
      <c r="AJ785" s="380" t="str">
        <f aca="false">IF(AG785="","N","Y")</f>
        <v>Y</v>
      </c>
      <c r="AK785" s="396" t="s">
        <v>1095</v>
      </c>
      <c r="AL785" s="397"/>
    </row>
    <row r="786" customFormat="false" ht="20.25" hidden="false" customHeight="true" outlineLevel="0" collapsed="false">
      <c r="A786" s="19" t="n">
        <v>261</v>
      </c>
      <c r="B786" s="141" t="n">
        <v>45699</v>
      </c>
      <c r="C786" s="63" t="s">
        <v>925</v>
      </c>
      <c r="D786" s="63" t="s">
        <v>1073</v>
      </c>
      <c r="E786" s="63" t="s">
        <v>1074</v>
      </c>
      <c r="F786" s="63" t="s">
        <v>1075</v>
      </c>
      <c r="G786" s="142" t="n">
        <v>45699</v>
      </c>
      <c r="H786" s="142" t="n">
        <v>45727</v>
      </c>
      <c r="I786" s="19" t="n">
        <f aca="false">H786-G786</f>
        <v>28</v>
      </c>
      <c r="J786" s="149" t="n">
        <f aca="false">TRUNC(I786/30,0)</f>
        <v>0</v>
      </c>
      <c r="K786" s="367" t="s">
        <v>99</v>
      </c>
      <c r="L786" s="146" t="n">
        <v>1</v>
      </c>
      <c r="M786" s="147"/>
      <c r="N786" s="148"/>
      <c r="O786" s="149" t="s">
        <v>303</v>
      </c>
      <c r="P786" s="150" t="n">
        <v>0.0430861</v>
      </c>
      <c r="Q786" s="150"/>
      <c r="R786" s="151" t="s">
        <v>914</v>
      </c>
      <c r="S786" s="152"/>
      <c r="T786" s="151"/>
      <c r="U786" s="152"/>
      <c r="V786" s="152" t="n">
        <v>0.045933</v>
      </c>
      <c r="W786" s="152" t="n">
        <v>0.000919</v>
      </c>
      <c r="X786" s="152" t="n">
        <v>0.001894</v>
      </c>
      <c r="Y786" s="152" t="n">
        <v>0.037524</v>
      </c>
      <c r="Z786" s="152" t="n">
        <v>0.002</v>
      </c>
      <c r="AA786" s="152" t="n">
        <v>0.002</v>
      </c>
      <c r="AB786" s="154" t="n">
        <f aca="false">S786-Z786</f>
        <v>-0.002</v>
      </c>
      <c r="AC786" s="154" t="n">
        <f aca="false">U786-Z786-AA786</f>
        <v>-0.004</v>
      </c>
      <c r="AD786" s="155" t="n">
        <v>0.0385</v>
      </c>
      <c r="AE786" s="153" t="n">
        <v>0.037524</v>
      </c>
      <c r="AF786" s="153" t="n">
        <f aca="false">AD786-AE786</f>
        <v>0.000975999999999998</v>
      </c>
      <c r="AG786" s="184" t="n">
        <v>0.0385</v>
      </c>
      <c r="AH786" s="185" t="n">
        <v>45699</v>
      </c>
      <c r="AI786" s="35" t="n">
        <v>1</v>
      </c>
      <c r="AJ786" s="19" t="str">
        <f aca="false">IF(AG786="","N","Y")</f>
        <v>Y</v>
      </c>
      <c r="AK786" s="159" t="s">
        <v>1057</v>
      </c>
    </row>
    <row r="787" s="382" customFormat="true" ht="20.25" hidden="false" customHeight="true" outlineLevel="0" collapsed="false">
      <c r="A787" s="364" t="n">
        <v>262</v>
      </c>
      <c r="B787" s="363" t="n">
        <v>45700</v>
      </c>
      <c r="C787" s="364" t="s">
        <v>187</v>
      </c>
      <c r="D787" s="364" t="s">
        <v>1062</v>
      </c>
      <c r="E787" s="364" t="s">
        <v>876</v>
      </c>
      <c r="F787" s="364" t="s">
        <v>1050</v>
      </c>
      <c r="G787" s="365" t="n">
        <v>45700</v>
      </c>
      <c r="H787" s="365" t="n">
        <v>45712</v>
      </c>
      <c r="I787" s="364" t="n">
        <f aca="false">H787-G787</f>
        <v>12</v>
      </c>
      <c r="J787" s="366" t="n">
        <f aca="false">TRUNC(I787/30,0)</f>
        <v>0</v>
      </c>
      <c r="K787" s="395" t="s">
        <v>95</v>
      </c>
      <c r="L787" s="368" t="n">
        <v>8.6</v>
      </c>
      <c r="M787" s="369"/>
      <c r="N787" s="370"/>
      <c r="O787" s="366" t="s">
        <v>303</v>
      </c>
      <c r="P787" s="371" t="n">
        <v>0.0431738</v>
      </c>
      <c r="Q787" s="371"/>
      <c r="R787" s="372" t="s">
        <v>914</v>
      </c>
      <c r="S787" s="373"/>
      <c r="T787" s="372"/>
      <c r="U787" s="373"/>
      <c r="V787" s="373" t="n">
        <v>0.045123</v>
      </c>
      <c r="W787" s="373" t="n">
        <v>0.000902</v>
      </c>
      <c r="X787" s="373" t="n">
        <v>0.004001</v>
      </c>
      <c r="Y787" s="373" t="n">
        <v>0.034092</v>
      </c>
      <c r="Z787" s="373" t="n">
        <v>0.002</v>
      </c>
      <c r="AA787" s="373" t="n">
        <v>0.002</v>
      </c>
      <c r="AB787" s="374" t="n">
        <f aca="false">S787-Z787</f>
        <v>-0.002</v>
      </c>
      <c r="AC787" s="374" t="n">
        <f aca="false">U787-Z787-AA787</f>
        <v>-0.004</v>
      </c>
      <c r="AD787" s="375" t="n">
        <v>0.0385</v>
      </c>
      <c r="AE787" s="376" t="n">
        <v>0.034092</v>
      </c>
      <c r="AF787" s="376" t="n">
        <f aca="false">AD787-AE787</f>
        <v>0.004408</v>
      </c>
      <c r="AG787" s="377" t="n">
        <v>0.0385</v>
      </c>
      <c r="AH787" s="378" t="n">
        <v>45700</v>
      </c>
      <c r="AI787" s="379" t="n">
        <v>1</v>
      </c>
      <c r="AJ787" s="380" t="str">
        <f aca="false">IF(AG787="","N","Y")</f>
        <v>Y</v>
      </c>
      <c r="AK787" s="396" t="s">
        <v>1094</v>
      </c>
      <c r="AL787" s="397"/>
    </row>
    <row r="788" s="382" customFormat="true" ht="20.25" hidden="false" customHeight="true" outlineLevel="0" collapsed="false">
      <c r="A788" s="364" t="n">
        <v>263</v>
      </c>
      <c r="B788" s="363" t="n">
        <v>45701</v>
      </c>
      <c r="C788" s="364" t="s">
        <v>977</v>
      </c>
      <c r="D788" s="364" t="s">
        <v>978</v>
      </c>
      <c r="E788" s="364" t="s">
        <v>1011</v>
      </c>
      <c r="F788" s="364" t="s">
        <v>980</v>
      </c>
      <c r="G788" s="365" t="n">
        <v>45701</v>
      </c>
      <c r="H788" s="365" t="n">
        <v>45729</v>
      </c>
      <c r="I788" s="364" t="n">
        <f aca="false">H788-G788</f>
        <v>28</v>
      </c>
      <c r="J788" s="366" t="n">
        <f aca="false">TRUNC(I788/30,0)</f>
        <v>0</v>
      </c>
      <c r="K788" s="395" t="s">
        <v>95</v>
      </c>
      <c r="L788" s="368" t="n">
        <v>1</v>
      </c>
      <c r="M788" s="369" t="n">
        <v>3.797</v>
      </c>
      <c r="N788" s="370" t="s">
        <v>1096</v>
      </c>
      <c r="O788" s="366" t="s">
        <v>303</v>
      </c>
      <c r="P788" s="371" t="n">
        <v>0.0431439</v>
      </c>
      <c r="Q788" s="371"/>
      <c r="R788" s="372" t="s">
        <v>914</v>
      </c>
      <c r="S788" s="373"/>
      <c r="T788" s="372"/>
      <c r="U788" s="373"/>
      <c r="V788" s="373" t="n">
        <v>0.046035</v>
      </c>
      <c r="W788" s="373" t="n">
        <v>0.00092</v>
      </c>
      <c r="X788" s="373" t="n">
        <v>0.002395</v>
      </c>
      <c r="Y788" s="373" t="n">
        <v>0.037581</v>
      </c>
      <c r="Z788" s="373" t="n">
        <v>0.002</v>
      </c>
      <c r="AA788" s="373" t="n">
        <v>0.002</v>
      </c>
      <c r="AB788" s="374" t="n">
        <f aca="false">S788-Z788</f>
        <v>-0.002</v>
      </c>
      <c r="AC788" s="374" t="n">
        <f aca="false">U788-Z788-AA788</f>
        <v>-0.004</v>
      </c>
      <c r="AD788" s="375" t="n">
        <v>0.041</v>
      </c>
      <c r="AE788" s="376" t="n">
        <v>0.037581</v>
      </c>
      <c r="AF788" s="376" t="n">
        <f aca="false">AD788-AE788</f>
        <v>0.003419</v>
      </c>
      <c r="AG788" s="377" t="n">
        <f aca="false">IF(AF788="","",AE788+AF788)</f>
        <v>0.041</v>
      </c>
      <c r="AH788" s="378" t="n">
        <v>45701</v>
      </c>
      <c r="AI788" s="379" t="n">
        <v>1</v>
      </c>
      <c r="AJ788" s="380" t="str">
        <f aca="false">IF(AG788="","N","Y")</f>
        <v>Y</v>
      </c>
      <c r="AK788" s="396" t="s">
        <v>1097</v>
      </c>
      <c r="AL788" s="397"/>
    </row>
    <row r="789" s="382" customFormat="true" ht="20.25" hidden="false" customHeight="true" outlineLevel="0" collapsed="false">
      <c r="A789" s="364" t="n">
        <v>264</v>
      </c>
      <c r="B789" s="363" t="n">
        <v>45701</v>
      </c>
      <c r="C789" s="364" t="s">
        <v>96</v>
      </c>
      <c r="D789" s="364" t="s">
        <v>1063</v>
      </c>
      <c r="E789" s="364" t="s">
        <v>1064</v>
      </c>
      <c r="F789" s="364" t="s">
        <v>1098</v>
      </c>
      <c r="G789" s="365" t="n">
        <v>45701</v>
      </c>
      <c r="H789" s="365" t="n">
        <v>45729</v>
      </c>
      <c r="I789" s="364" t="n">
        <f aca="false">H789-G789</f>
        <v>28</v>
      </c>
      <c r="J789" s="366" t="n">
        <f aca="false">TRUNC(I789/30,0)</f>
        <v>0</v>
      </c>
      <c r="K789" s="395" t="s">
        <v>95</v>
      </c>
      <c r="L789" s="368" t="n">
        <v>1</v>
      </c>
      <c r="M789" s="369" t="n">
        <v>3.797</v>
      </c>
      <c r="N789" s="370" t="s">
        <v>1096</v>
      </c>
      <c r="O789" s="366" t="s">
        <v>303</v>
      </c>
      <c r="P789" s="371" t="n">
        <v>0.0431439</v>
      </c>
      <c r="Q789" s="371"/>
      <c r="R789" s="372" t="s">
        <v>914</v>
      </c>
      <c r="S789" s="373"/>
      <c r="T789" s="372"/>
      <c r="U789" s="373"/>
      <c r="V789" s="373" t="n">
        <v>0.046035</v>
      </c>
      <c r="W789" s="373" t="n">
        <v>0.000927</v>
      </c>
      <c r="X789" s="373" t="n">
        <v>0.002195</v>
      </c>
      <c r="Y789" s="373" t="n">
        <v>0.037581</v>
      </c>
      <c r="Z789" s="373" t="n">
        <v>0.002</v>
      </c>
      <c r="AA789" s="373" t="n">
        <v>0.002</v>
      </c>
      <c r="AB789" s="374" t="n">
        <f aca="false">S789-Z789</f>
        <v>-0.002</v>
      </c>
      <c r="AC789" s="374" t="n">
        <f aca="false">U789-Z789-AA789</f>
        <v>-0.004</v>
      </c>
      <c r="AD789" s="375" t="n">
        <v>0.0412</v>
      </c>
      <c r="AE789" s="376" t="n">
        <v>0.037581</v>
      </c>
      <c r="AF789" s="376" t="n">
        <f aca="false">AD789-AE789</f>
        <v>0.003619</v>
      </c>
      <c r="AG789" s="377" t="n">
        <f aca="false">IF(AF789="","",AE789+AF789)</f>
        <v>0.0412</v>
      </c>
      <c r="AH789" s="378" t="n">
        <v>45701</v>
      </c>
      <c r="AI789" s="379" t="n">
        <v>2</v>
      </c>
      <c r="AJ789" s="380" t="str">
        <f aca="false">IF(AG789="","N","Y")</f>
        <v>Y</v>
      </c>
      <c r="AK789" s="396" t="s">
        <v>1097</v>
      </c>
      <c r="AL789" s="397"/>
    </row>
    <row r="790" s="382" customFormat="true" ht="20.25" hidden="false" customHeight="true" outlineLevel="0" collapsed="false">
      <c r="A790" s="364" t="n">
        <f aca="false">IF(B790="","",IF((YEAR(B790)-YEAR(B789))=0,A789+1,1))</f>
        <v>265</v>
      </c>
      <c r="B790" s="363" t="n">
        <v>45702</v>
      </c>
      <c r="C790" s="364" t="s">
        <v>1081</v>
      </c>
      <c r="D790" s="364" t="s">
        <v>1082</v>
      </c>
      <c r="E790" s="364" t="s">
        <v>900</v>
      </c>
      <c r="F790" s="364" t="s">
        <v>1083</v>
      </c>
      <c r="G790" s="365" t="n">
        <v>45702</v>
      </c>
      <c r="H790" s="365" t="n">
        <v>45730</v>
      </c>
      <c r="I790" s="364" t="n">
        <f aca="false">H790-G790</f>
        <v>28</v>
      </c>
      <c r="J790" s="366" t="n">
        <f aca="false">TRUNC(I790/30,0)</f>
        <v>0</v>
      </c>
      <c r="K790" s="367" t="s">
        <v>99</v>
      </c>
      <c r="L790" s="368" t="n">
        <v>1</v>
      </c>
      <c r="M790" s="369"/>
      <c r="N790" s="370"/>
      <c r="O790" s="366" t="s">
        <v>303</v>
      </c>
      <c r="P790" s="371" t="n">
        <v>0.0431186</v>
      </c>
      <c r="Q790" s="371"/>
      <c r="R790" s="372" t="s">
        <v>914</v>
      </c>
      <c r="S790" s="373"/>
      <c r="T790" s="372"/>
      <c r="U790" s="373"/>
      <c r="V790" s="373" t="n">
        <v>0.046711</v>
      </c>
      <c r="W790" s="373" t="n">
        <v>0.003372</v>
      </c>
      <c r="X790" s="373" t="n">
        <v>0.004573</v>
      </c>
      <c r="Y790" s="373" t="n">
        <v>0.03186</v>
      </c>
      <c r="Z790" s="373" t="n">
        <v>0.002</v>
      </c>
      <c r="AA790" s="373" t="n">
        <v>0.002</v>
      </c>
      <c r="AB790" s="374" t="n">
        <f aca="false">S790-Z790</f>
        <v>-0.002</v>
      </c>
      <c r="AC790" s="374" t="n">
        <f aca="false">U790-Z790-AA790</f>
        <v>-0.004</v>
      </c>
      <c r="AD790" s="375" t="n">
        <v>0.0385</v>
      </c>
      <c r="AE790" s="376" t="n">
        <v>0.03186</v>
      </c>
      <c r="AF790" s="376" t="n">
        <f aca="false">AD790-AE790</f>
        <v>0.00664</v>
      </c>
      <c r="AG790" s="377" t="n">
        <f aca="false">IF(AF790="","",AE790+AF790)</f>
        <v>0.0385</v>
      </c>
      <c r="AH790" s="378" t="n">
        <v>45702</v>
      </c>
      <c r="AI790" s="379" t="n">
        <v>1</v>
      </c>
      <c r="AJ790" s="380" t="str">
        <f aca="false">IF(AG790="","N","Y")</f>
        <v>Y</v>
      </c>
      <c r="AK790" s="396" t="s">
        <v>1057</v>
      </c>
      <c r="AL790" s="397"/>
    </row>
    <row r="791" s="382" customFormat="true" ht="20.25" hidden="false" customHeight="true" outlineLevel="0" collapsed="false">
      <c r="A791" s="364" t="n">
        <v>266</v>
      </c>
      <c r="B791" s="363" t="n">
        <v>45702</v>
      </c>
      <c r="C791" s="364" t="s">
        <v>862</v>
      </c>
      <c r="D791" s="364" t="s">
        <v>932</v>
      </c>
      <c r="E791" s="364" t="s">
        <v>970</v>
      </c>
      <c r="F791" s="364" t="s">
        <v>906</v>
      </c>
      <c r="G791" s="365" t="n">
        <v>45702</v>
      </c>
      <c r="H791" s="365" t="n">
        <v>45730</v>
      </c>
      <c r="I791" s="364" t="n">
        <f aca="false">H791-G791</f>
        <v>28</v>
      </c>
      <c r="J791" s="366" t="n">
        <f aca="false">TRUNC(I791/30,0)</f>
        <v>0</v>
      </c>
      <c r="K791" s="367" t="s">
        <v>99</v>
      </c>
      <c r="L791" s="368" t="n">
        <v>4.789</v>
      </c>
      <c r="M791" s="369"/>
      <c r="N791" s="370"/>
      <c r="O791" s="366" t="s">
        <v>303</v>
      </c>
      <c r="P791" s="371" t="n">
        <v>0.0431186</v>
      </c>
      <c r="Q791" s="371"/>
      <c r="R791" s="372" t="s">
        <v>914</v>
      </c>
      <c r="S791" s="373"/>
      <c r="T791" s="372"/>
      <c r="U791" s="373"/>
      <c r="V791" s="373" t="n">
        <v>0.046711</v>
      </c>
      <c r="W791" s="373" t="n">
        <v>0.003372</v>
      </c>
      <c r="X791" s="373" t="n">
        <v>0.004573</v>
      </c>
      <c r="Y791" s="373" t="n">
        <v>0.03186</v>
      </c>
      <c r="Z791" s="373" t="n">
        <v>0.002</v>
      </c>
      <c r="AA791" s="373" t="n">
        <v>0.002</v>
      </c>
      <c r="AB791" s="374" t="n">
        <f aca="false">S791-Z791</f>
        <v>-0.002</v>
      </c>
      <c r="AC791" s="374" t="n">
        <f aca="false">U791-Z791-AA791</f>
        <v>-0.004</v>
      </c>
      <c r="AD791" s="375" t="n">
        <v>0.0385</v>
      </c>
      <c r="AE791" s="376" t="n">
        <v>0.03186</v>
      </c>
      <c r="AF791" s="376" t="n">
        <f aca="false">AD791-AE791</f>
        <v>0.00664</v>
      </c>
      <c r="AG791" s="377" t="n">
        <f aca="false">IF(AF791="","",AE791+AF791)</f>
        <v>0.0385</v>
      </c>
      <c r="AH791" s="378" t="n">
        <v>45702</v>
      </c>
      <c r="AI791" s="379" t="n">
        <v>2</v>
      </c>
      <c r="AJ791" s="380" t="str">
        <f aca="false">IF(AG791="","N","Y")</f>
        <v>Y</v>
      </c>
      <c r="AK791" s="396" t="s">
        <v>1057</v>
      </c>
      <c r="AL791" s="397"/>
    </row>
    <row r="792" s="382" customFormat="true" ht="20.25" hidden="false" customHeight="true" outlineLevel="0" collapsed="false">
      <c r="A792" s="364" t="n">
        <v>267</v>
      </c>
      <c r="B792" s="363" t="n">
        <v>45705</v>
      </c>
      <c r="C792" s="364" t="s">
        <v>187</v>
      </c>
      <c r="D792" s="364" t="s">
        <v>1062</v>
      </c>
      <c r="E792" s="364" t="s">
        <v>876</v>
      </c>
      <c r="F792" s="364" t="s">
        <v>1099</v>
      </c>
      <c r="G792" s="365" t="n">
        <v>45705</v>
      </c>
      <c r="H792" s="365" t="n">
        <v>45712</v>
      </c>
      <c r="I792" s="364" t="n">
        <f aca="false">H792-G792</f>
        <v>7</v>
      </c>
      <c r="J792" s="366" t="n">
        <f aca="false">TRUNC(I792/30,0)</f>
        <v>0</v>
      </c>
      <c r="K792" s="395" t="s">
        <v>95</v>
      </c>
      <c r="L792" s="368" t="n">
        <v>22.3</v>
      </c>
      <c r="M792" s="369"/>
      <c r="N792" s="370"/>
      <c r="O792" s="149" t="s">
        <v>305</v>
      </c>
      <c r="P792" s="150" t="n">
        <v>0.0432662</v>
      </c>
      <c r="Q792" s="371"/>
      <c r="R792" s="372" t="s">
        <v>914</v>
      </c>
      <c r="S792" s="373"/>
      <c r="T792" s="372"/>
      <c r="U792" s="373"/>
      <c r="V792" s="373" t="n">
        <v>0.044583</v>
      </c>
      <c r="W792" s="373" t="n">
        <v>0.000892</v>
      </c>
      <c r="X792" s="373" t="n">
        <v>0.003471</v>
      </c>
      <c r="Y792" s="373" t="n">
        <v>0.033937</v>
      </c>
      <c r="Z792" s="373" t="n">
        <v>0.002</v>
      </c>
      <c r="AA792" s="373" t="n">
        <v>0.002</v>
      </c>
      <c r="AB792" s="374" t="n">
        <f aca="false">S792-Z792</f>
        <v>-0.002</v>
      </c>
      <c r="AC792" s="374" t="n">
        <f aca="false">U792-Z792-AA792</f>
        <v>-0.004</v>
      </c>
      <c r="AD792" s="375" t="n">
        <v>0.0385</v>
      </c>
      <c r="AE792" s="376" t="n">
        <v>0.033937</v>
      </c>
      <c r="AF792" s="376" t="n">
        <f aca="false">AD792-AE792</f>
        <v>0.004563</v>
      </c>
      <c r="AG792" s="377" t="n">
        <v>0.0385</v>
      </c>
      <c r="AH792" s="378" t="n">
        <v>45702</v>
      </c>
      <c r="AI792" s="379" t="n">
        <v>1</v>
      </c>
      <c r="AJ792" s="380" t="str">
        <f aca="false">IF(AG792="","N","Y")</f>
        <v>Y</v>
      </c>
      <c r="AK792" s="396" t="s">
        <v>1100</v>
      </c>
      <c r="AL792" s="397"/>
    </row>
    <row r="793" customFormat="false" ht="20.25" hidden="false" customHeight="true" outlineLevel="0" collapsed="false">
      <c r="A793" s="19" t="n">
        <v>268</v>
      </c>
      <c r="B793" s="141" t="n">
        <v>45706</v>
      </c>
      <c r="C793" s="63" t="s">
        <v>96</v>
      </c>
      <c r="D793" s="63" t="s">
        <v>1063</v>
      </c>
      <c r="E793" s="63" t="s">
        <v>987</v>
      </c>
      <c r="F793" s="63" t="s">
        <v>754</v>
      </c>
      <c r="G793" s="142" t="n">
        <v>45706</v>
      </c>
      <c r="H793" s="142" t="n">
        <v>45796</v>
      </c>
      <c r="I793" s="19" t="n">
        <f aca="false">H793-G793</f>
        <v>90</v>
      </c>
      <c r="J793" s="149" t="n">
        <f aca="false">TRUNC(I793/30,0)</f>
        <v>3</v>
      </c>
      <c r="K793" s="183" t="s">
        <v>95</v>
      </c>
      <c r="L793" s="146" t="n">
        <v>2.04</v>
      </c>
      <c r="M793" s="147" t="n">
        <v>3.89</v>
      </c>
      <c r="N793" s="148" t="s">
        <v>1060</v>
      </c>
      <c r="O793" s="149" t="s">
        <v>300</v>
      </c>
      <c r="P793" s="150" t="n">
        <v>0.0432299</v>
      </c>
      <c r="Q793" s="150"/>
      <c r="R793" s="151" t="s">
        <v>914</v>
      </c>
      <c r="S793" s="152"/>
      <c r="T793" s="151"/>
      <c r="U793" s="152"/>
      <c r="V793" s="152" t="n">
        <v>0.047671</v>
      </c>
      <c r="W793" s="152" t="n">
        <v>0.000953</v>
      </c>
      <c r="X793" s="152" t="n">
        <v>0.00172</v>
      </c>
      <c r="Y793" s="152" t="n">
        <v>0.039465</v>
      </c>
      <c r="Z793" s="152" t="n">
        <v>0.002</v>
      </c>
      <c r="AA793" s="152" t="n">
        <v>0.002</v>
      </c>
      <c r="AB793" s="154" t="n">
        <f aca="false">S793-Z793</f>
        <v>-0.002</v>
      </c>
      <c r="AC793" s="154" t="n">
        <f aca="false">U793-Z793-AA793</f>
        <v>-0.004</v>
      </c>
      <c r="AD793" s="155" t="n">
        <v>0.0425</v>
      </c>
      <c r="AE793" s="153" t="n">
        <v>0.039465</v>
      </c>
      <c r="AF793" s="153" t="n">
        <f aca="false">AD793-AE793</f>
        <v>0.003035</v>
      </c>
      <c r="AG793" s="184" t="n">
        <f aca="false">IF(AF793="","",AE793+AF793)</f>
        <v>0.0425</v>
      </c>
      <c r="AH793" s="185" t="n">
        <v>45706</v>
      </c>
      <c r="AI793" s="35" t="n">
        <v>2</v>
      </c>
      <c r="AJ793" s="19" t="str">
        <f aca="false">IF(AG793="","N","Y")</f>
        <v>Y</v>
      </c>
      <c r="AK793" s="159" t="s">
        <v>1101</v>
      </c>
    </row>
    <row r="794" customFormat="false" ht="20.25" hidden="false" customHeight="true" outlineLevel="0" collapsed="false">
      <c r="A794" s="19" t="n">
        <v>269</v>
      </c>
      <c r="B794" s="141" t="n">
        <v>45708</v>
      </c>
      <c r="C794" s="63" t="s">
        <v>977</v>
      </c>
      <c r="D794" s="63" t="s">
        <v>978</v>
      </c>
      <c r="E794" s="63" t="s">
        <v>1011</v>
      </c>
      <c r="F794" s="63" t="s">
        <v>980</v>
      </c>
      <c r="G794" s="142" t="n">
        <v>45708</v>
      </c>
      <c r="H794" s="142" t="n">
        <v>45736</v>
      </c>
      <c r="I794" s="19" t="n">
        <f aca="false">H794-G794</f>
        <v>28</v>
      </c>
      <c r="J794" s="149" t="n">
        <f aca="false">TRUNC(I794/30,0)</f>
        <v>0</v>
      </c>
      <c r="K794" s="183" t="s">
        <v>95</v>
      </c>
      <c r="L794" s="146" t="n">
        <v>1</v>
      </c>
      <c r="M794" s="147" t="n">
        <v>3.79</v>
      </c>
      <c r="N794" s="148" t="s">
        <v>1102</v>
      </c>
      <c r="O794" s="149" t="s">
        <v>303</v>
      </c>
      <c r="P794" s="150" t="n">
        <v>0.0432021</v>
      </c>
      <c r="Q794" s="150"/>
      <c r="R794" s="151" t="s">
        <v>914</v>
      </c>
      <c r="S794" s="152"/>
      <c r="T794" s="151"/>
      <c r="U794" s="152"/>
      <c r="V794" s="152" t="n">
        <v>0.046001</v>
      </c>
      <c r="W794" s="152" t="n">
        <v>0.000919</v>
      </c>
      <c r="X794" s="152" t="n">
        <v>0.002328</v>
      </c>
      <c r="Y794" s="152" t="n">
        <v>0.037638</v>
      </c>
      <c r="Z794" s="152" t="n">
        <v>0.002</v>
      </c>
      <c r="AA794" s="152" t="n">
        <v>0.002</v>
      </c>
      <c r="AB794" s="154" t="n">
        <f aca="false">S794-Z794</f>
        <v>-0.002</v>
      </c>
      <c r="AC794" s="154" t="n">
        <f aca="false">U794-Z794-AA794</f>
        <v>-0.004</v>
      </c>
      <c r="AD794" s="155" t="n">
        <v>0.041</v>
      </c>
      <c r="AE794" s="153" t="n">
        <v>0.037638</v>
      </c>
      <c r="AF794" s="153" t="n">
        <f aca="false">AD794-AE794</f>
        <v>0.003362</v>
      </c>
      <c r="AG794" s="184" t="n">
        <f aca="false">IF(AF794="","",AE794+AF794)</f>
        <v>0.041</v>
      </c>
      <c r="AH794" s="185" t="n">
        <v>45708</v>
      </c>
      <c r="AI794" s="35" t="n">
        <v>1</v>
      </c>
      <c r="AJ794" s="19" t="str">
        <f aca="false">IF(AG794="","N","Y")</f>
        <v>Y</v>
      </c>
      <c r="AK794" s="396" t="s">
        <v>1065</v>
      </c>
    </row>
    <row r="795" customFormat="false" ht="20.25" hidden="false" customHeight="true" outlineLevel="0" collapsed="false">
      <c r="A795" s="19" t="n">
        <v>270</v>
      </c>
      <c r="B795" s="141" t="n">
        <v>45708</v>
      </c>
      <c r="C795" s="63" t="s">
        <v>96</v>
      </c>
      <c r="D795" s="63" t="s">
        <v>983</v>
      </c>
      <c r="E795" s="63" t="s">
        <v>1103</v>
      </c>
      <c r="F795" s="63" t="s">
        <v>683</v>
      </c>
      <c r="G795" s="142" t="n">
        <v>45708</v>
      </c>
      <c r="H795" s="142" t="n">
        <v>45797</v>
      </c>
      <c r="I795" s="19" t="n">
        <f aca="false">H795-G795</f>
        <v>89</v>
      </c>
      <c r="J795" s="149" t="n">
        <f aca="false">TRUNC(I795/30,0)</f>
        <v>2</v>
      </c>
      <c r="K795" s="183" t="s">
        <v>95</v>
      </c>
      <c r="L795" s="146" t="n">
        <v>3.5</v>
      </c>
      <c r="M795" s="147" t="n">
        <v>3.89</v>
      </c>
      <c r="N795" s="148" t="s">
        <v>1060</v>
      </c>
      <c r="O795" s="149" t="s">
        <v>300</v>
      </c>
      <c r="P795" s="150" t="n">
        <v>0.0433003</v>
      </c>
      <c r="Q795" s="150"/>
      <c r="R795" s="151" t="s">
        <v>914</v>
      </c>
      <c r="S795" s="152"/>
      <c r="T795" s="151"/>
      <c r="U795" s="152"/>
      <c r="V795" s="152" t="n">
        <v>0.04766</v>
      </c>
      <c r="W795" s="152" t="n">
        <v>0.000953</v>
      </c>
      <c r="X795" s="152" t="n">
        <v>0.001987</v>
      </c>
      <c r="Y795" s="152" t="n">
        <v>0.039534</v>
      </c>
      <c r="Z795" s="152" t="n">
        <v>0.002</v>
      </c>
      <c r="AA795" s="152" t="n">
        <v>0.002</v>
      </c>
      <c r="AB795" s="154" t="n">
        <f aca="false">S795-Z795</f>
        <v>-0.002</v>
      </c>
      <c r="AC795" s="154" t="n">
        <f aca="false">U795-Z795-AA795</f>
        <v>-0.004</v>
      </c>
      <c r="AD795" s="155" t="n">
        <v>0.043</v>
      </c>
      <c r="AE795" s="153" t="n">
        <v>0.039534</v>
      </c>
      <c r="AF795" s="153" t="n">
        <f aca="false">AD795-AE795</f>
        <v>0.003466</v>
      </c>
      <c r="AG795" s="184" t="n">
        <f aca="false">IF(AF795="","",AE795+AF795)</f>
        <v>0.043</v>
      </c>
      <c r="AH795" s="185" t="n">
        <v>45708</v>
      </c>
      <c r="AI795" s="35" t="n">
        <v>2</v>
      </c>
      <c r="AJ795" s="19" t="str">
        <f aca="false">IF(AG795="","N","Y")</f>
        <v>Y</v>
      </c>
      <c r="AK795" s="159" t="s">
        <v>1101</v>
      </c>
    </row>
    <row r="796" s="382" customFormat="true" ht="20.25" hidden="false" customHeight="true" outlineLevel="0" collapsed="false">
      <c r="A796" s="364" t="n">
        <v>271</v>
      </c>
      <c r="B796" s="363" t="n">
        <v>45712</v>
      </c>
      <c r="C796" s="364" t="s">
        <v>116</v>
      </c>
      <c r="D796" s="364" t="s">
        <v>1005</v>
      </c>
      <c r="E796" s="364" t="s">
        <v>763</v>
      </c>
      <c r="F796" s="364" t="s">
        <v>1056</v>
      </c>
      <c r="G796" s="365" t="n">
        <v>45712</v>
      </c>
      <c r="H796" s="365" t="n">
        <v>45740</v>
      </c>
      <c r="I796" s="364" t="n">
        <f aca="false">H796-G796</f>
        <v>28</v>
      </c>
      <c r="J796" s="366" t="n">
        <f aca="false">TRUNC(I796/30,0)</f>
        <v>0</v>
      </c>
      <c r="K796" s="367" t="s">
        <v>99</v>
      </c>
      <c r="L796" s="368" t="n">
        <v>12.46</v>
      </c>
      <c r="M796" s="369"/>
      <c r="N796" s="370"/>
      <c r="O796" s="366" t="s">
        <v>303</v>
      </c>
      <c r="P796" s="371" t="n">
        <v>0.037629</v>
      </c>
      <c r="Q796" s="371"/>
      <c r="R796" s="372" t="s">
        <v>914</v>
      </c>
      <c r="S796" s="373"/>
      <c r="T796" s="372"/>
      <c r="U796" s="373"/>
      <c r="V796" s="373" t="n">
        <v>0.048242</v>
      </c>
      <c r="W796" s="373" t="n">
        <v>0.003377</v>
      </c>
      <c r="X796" s="373" t="n">
        <v>0.004645</v>
      </c>
      <c r="Y796" s="373" t="n">
        <v>0.031948</v>
      </c>
      <c r="Z796" s="373" t="n">
        <v>0.002</v>
      </c>
      <c r="AA796" s="373" t="n">
        <v>0.002</v>
      </c>
      <c r="AB796" s="374" t="n">
        <f aca="false">S796-Z796</f>
        <v>-0.002</v>
      </c>
      <c r="AC796" s="374" t="n">
        <f aca="false">U796-Z796-AA796</f>
        <v>-0.004</v>
      </c>
      <c r="AD796" s="375" t="n">
        <v>0.0385</v>
      </c>
      <c r="AE796" s="376" t="n">
        <f aca="false">IF(Y796="","",Y796)</f>
        <v>0.031948</v>
      </c>
      <c r="AF796" s="376" t="n">
        <f aca="false">AD796-AE796</f>
        <v>0.006552</v>
      </c>
      <c r="AG796" s="377" t="n">
        <f aca="false">IF(AF796="","",AE796+AF796)</f>
        <v>0.0385</v>
      </c>
      <c r="AH796" s="378" t="n">
        <v>45712</v>
      </c>
      <c r="AI796" s="379" t="n">
        <v>1</v>
      </c>
      <c r="AJ796" s="380" t="str">
        <f aca="false">IF(AG796="","N","Y")</f>
        <v>Y</v>
      </c>
      <c r="AK796" s="396" t="s">
        <v>1057</v>
      </c>
      <c r="AL796" s="397"/>
    </row>
    <row r="797" s="382" customFormat="true" ht="20.25" hidden="false" customHeight="true" outlineLevel="0" collapsed="false">
      <c r="A797" s="364" t="n">
        <v>272</v>
      </c>
      <c r="B797" s="363" t="n">
        <v>45712</v>
      </c>
      <c r="C797" s="364" t="s">
        <v>187</v>
      </c>
      <c r="D797" s="364" t="s">
        <v>1062</v>
      </c>
      <c r="E797" s="364" t="s">
        <v>876</v>
      </c>
      <c r="F797" s="364" t="s">
        <v>1050</v>
      </c>
      <c r="G797" s="365" t="n">
        <v>45712</v>
      </c>
      <c r="H797" s="365" t="n">
        <v>45720</v>
      </c>
      <c r="I797" s="364" t="n">
        <f aca="false">H797-G797</f>
        <v>8</v>
      </c>
      <c r="J797" s="366" t="n">
        <f aca="false">TRUNC(I797/30,0)</f>
        <v>0</v>
      </c>
      <c r="K797" s="395" t="s">
        <v>95</v>
      </c>
      <c r="L797" s="368" t="n">
        <v>30.23</v>
      </c>
      <c r="M797" s="369"/>
      <c r="N797" s="370"/>
      <c r="O797" s="366" t="s">
        <v>305</v>
      </c>
      <c r="P797" s="371" t="n">
        <v>0.033948</v>
      </c>
      <c r="Q797" s="371"/>
      <c r="R797" s="372" t="s">
        <v>914</v>
      </c>
      <c r="S797" s="373"/>
      <c r="T797" s="372"/>
      <c r="U797" s="373"/>
      <c r="V797" s="373" t="n">
        <v>0.044902</v>
      </c>
      <c r="W797" s="373" t="n">
        <v>0.000898</v>
      </c>
      <c r="X797" s="373" t="n">
        <v>0.003784</v>
      </c>
      <c r="Y797" s="373" t="n">
        <v>0.033937</v>
      </c>
      <c r="Z797" s="373" t="n">
        <v>0.002</v>
      </c>
      <c r="AA797" s="373" t="n">
        <v>0.002</v>
      </c>
      <c r="AB797" s="374" t="n">
        <f aca="false">S797-Z797</f>
        <v>-0.002</v>
      </c>
      <c r="AC797" s="374" t="n">
        <f aca="false">U797-Z797-AA797</f>
        <v>-0.004</v>
      </c>
      <c r="AD797" s="375" t="n">
        <v>0.0385</v>
      </c>
      <c r="AE797" s="376" t="n">
        <v>0.033948</v>
      </c>
      <c r="AF797" s="376" t="n">
        <f aca="false">AD797-AE797</f>
        <v>0.004552</v>
      </c>
      <c r="AG797" s="377" t="n">
        <v>0.0385</v>
      </c>
      <c r="AH797" s="378" t="n">
        <v>45712</v>
      </c>
      <c r="AI797" s="379" t="n">
        <v>2</v>
      </c>
      <c r="AJ797" s="380" t="str">
        <f aca="false">IF(AG797="","N","Y")</f>
        <v>Y</v>
      </c>
      <c r="AK797" s="396" t="s">
        <v>1080</v>
      </c>
      <c r="AL797" s="397"/>
    </row>
    <row r="798" s="382" customFormat="true" ht="20.25" hidden="false" customHeight="true" outlineLevel="0" collapsed="false">
      <c r="A798" s="364" t="n">
        <v>273</v>
      </c>
      <c r="B798" s="363" t="n">
        <v>45712</v>
      </c>
      <c r="C798" s="364" t="s">
        <v>1104</v>
      </c>
      <c r="D798" s="364" t="s">
        <v>1105</v>
      </c>
      <c r="E798" s="364" t="s">
        <v>1106</v>
      </c>
      <c r="F798" s="364" t="s">
        <v>1107</v>
      </c>
      <c r="G798" s="365" t="n">
        <v>45712</v>
      </c>
      <c r="H798" s="365" t="n">
        <v>45740</v>
      </c>
      <c r="I798" s="364" t="n">
        <f aca="false">H798-G798</f>
        <v>28</v>
      </c>
      <c r="J798" s="366" t="n">
        <f aca="false">TRUNC(I798/30,0)</f>
        <v>0</v>
      </c>
      <c r="K798" s="367" t="s">
        <v>99</v>
      </c>
      <c r="L798" s="368" t="n">
        <v>10</v>
      </c>
      <c r="M798" s="369"/>
      <c r="N798" s="370"/>
      <c r="O798" s="366" t="s">
        <v>303</v>
      </c>
      <c r="P798" s="371" t="n">
        <v>0.037629</v>
      </c>
      <c r="Q798" s="371"/>
      <c r="R798" s="372" t="s">
        <v>914</v>
      </c>
      <c r="S798" s="373"/>
      <c r="T798" s="372"/>
      <c r="U798" s="373"/>
      <c r="V798" s="373" t="n">
        <v>0.048242</v>
      </c>
      <c r="W798" s="373" t="n">
        <v>0.003377</v>
      </c>
      <c r="X798" s="373" t="n">
        <v>0.004645</v>
      </c>
      <c r="Y798" s="373" t="n">
        <v>0.031948</v>
      </c>
      <c r="Z798" s="373" t="n">
        <v>0.00172</v>
      </c>
      <c r="AA798" s="373" t="n">
        <v>0.002</v>
      </c>
      <c r="AB798" s="374" t="n">
        <f aca="false">S798-Z798</f>
        <v>-0.00172</v>
      </c>
      <c r="AC798" s="374" t="n">
        <f aca="false">U798-Z798-AA798</f>
        <v>-0.00372</v>
      </c>
      <c r="AD798" s="375" t="n">
        <v>0.037</v>
      </c>
      <c r="AE798" s="376" t="n">
        <v>0.031948</v>
      </c>
      <c r="AF798" s="376" t="n">
        <f aca="false">AD798-AE798</f>
        <v>0.005052</v>
      </c>
      <c r="AG798" s="377" t="n">
        <v>0.037</v>
      </c>
      <c r="AH798" s="378" t="n">
        <v>45712</v>
      </c>
      <c r="AI798" s="379" t="n">
        <v>3</v>
      </c>
      <c r="AJ798" s="380" t="str">
        <f aca="false">IF(AG798="","N","Y")</f>
        <v>Y</v>
      </c>
      <c r="AK798" s="396" t="s">
        <v>1057</v>
      </c>
      <c r="AL798" s="397"/>
    </row>
    <row r="799" s="382" customFormat="true" ht="20.25" hidden="false" customHeight="true" outlineLevel="0" collapsed="false">
      <c r="A799" s="364" t="n">
        <v>274</v>
      </c>
      <c r="B799" s="363" t="n">
        <v>45714</v>
      </c>
      <c r="C799" s="364" t="s">
        <v>1066</v>
      </c>
      <c r="D799" s="364" t="s">
        <v>1108</v>
      </c>
      <c r="E799" s="364" t="s">
        <v>1067</v>
      </c>
      <c r="F799" s="364" t="s">
        <v>1109</v>
      </c>
      <c r="G799" s="365" t="n">
        <v>45714</v>
      </c>
      <c r="H799" s="365" t="n">
        <v>45803</v>
      </c>
      <c r="I799" s="364" t="n">
        <f aca="false">H799-G799</f>
        <v>89</v>
      </c>
      <c r="J799" s="366" t="n">
        <f aca="false">TRUNC(I799/30,0)</f>
        <v>2</v>
      </c>
      <c r="K799" s="395" t="s">
        <v>95</v>
      </c>
      <c r="L799" s="368" t="n">
        <v>20</v>
      </c>
      <c r="M799" s="369"/>
      <c r="N799" s="370"/>
      <c r="O799" s="366" t="s">
        <v>300</v>
      </c>
      <c r="P799" s="371" t="n">
        <v>0.0431852</v>
      </c>
      <c r="Q799" s="371"/>
      <c r="R799" s="372" t="s">
        <v>914</v>
      </c>
      <c r="S799" s="373"/>
      <c r="T799" s="372"/>
      <c r="U799" s="373"/>
      <c r="V799" s="373" t="n">
        <v>0.047627</v>
      </c>
      <c r="W799" s="373" t="n">
        <v>0.000953</v>
      </c>
      <c r="X799" s="373" t="n">
        <v>0.002254</v>
      </c>
      <c r="Y799" s="371" t="n">
        <v>0.0431852</v>
      </c>
      <c r="Z799" s="373" t="n">
        <v>0.00172</v>
      </c>
      <c r="AA799" s="373" t="n">
        <v>0.002</v>
      </c>
      <c r="AB799" s="374" t="n">
        <f aca="false">S799-Z799</f>
        <v>-0.00172</v>
      </c>
      <c r="AC799" s="374" t="n">
        <f aca="false">U799-Z799-AA799</f>
        <v>-0.00372</v>
      </c>
      <c r="AD799" s="375" t="n">
        <v>0.0427</v>
      </c>
      <c r="AE799" s="376" t="n">
        <v>0.039421</v>
      </c>
      <c r="AF799" s="376" t="n">
        <f aca="false">AD799-AE799</f>
        <v>0.003279</v>
      </c>
      <c r="AG799" s="377" t="n">
        <v>0.0427</v>
      </c>
      <c r="AH799" s="378" t="n">
        <v>45714</v>
      </c>
      <c r="AI799" s="379" t="n">
        <v>3</v>
      </c>
      <c r="AJ799" s="380" t="str">
        <f aca="false">IF(AG799="","N","Y")</f>
        <v>Y</v>
      </c>
      <c r="AK799" s="396" t="s">
        <v>1110</v>
      </c>
      <c r="AL799" s="397"/>
    </row>
    <row r="800" s="382" customFormat="true" ht="20.25" hidden="false" customHeight="true" outlineLevel="0" collapsed="false">
      <c r="A800" s="364" t="n">
        <v>275</v>
      </c>
      <c r="B800" s="363" t="n">
        <v>45716</v>
      </c>
      <c r="C800" s="364" t="s">
        <v>925</v>
      </c>
      <c r="D800" s="364" t="s">
        <v>1073</v>
      </c>
      <c r="E800" s="364" t="s">
        <v>1074</v>
      </c>
      <c r="F800" s="364" t="s">
        <v>1075</v>
      </c>
      <c r="G800" s="365" t="n">
        <v>45716</v>
      </c>
      <c r="H800" s="365" t="n">
        <v>45744</v>
      </c>
      <c r="I800" s="364" t="n">
        <f aca="false">H800-G800</f>
        <v>28</v>
      </c>
      <c r="J800" s="366" t="n">
        <f aca="false">TRUNC(I800/30,0)</f>
        <v>0</v>
      </c>
      <c r="K800" s="395" t="s">
        <v>95</v>
      </c>
      <c r="L800" s="368" t="n">
        <v>2</v>
      </c>
      <c r="M800" s="369"/>
      <c r="N800" s="370"/>
      <c r="O800" s="366" t="s">
        <v>303</v>
      </c>
      <c r="P800" s="371" t="n">
        <v>0.0432268</v>
      </c>
      <c r="Q800" s="371"/>
      <c r="R800" s="372" t="s">
        <v>914</v>
      </c>
      <c r="S800" s="373"/>
      <c r="T800" s="372"/>
      <c r="U800" s="373"/>
      <c r="V800" s="373" t="n">
        <v>0.037662</v>
      </c>
      <c r="W800" s="373" t="n">
        <v>0.000922</v>
      </c>
      <c r="X800" s="373" t="n">
        <v>0.00172</v>
      </c>
      <c r="Y800" s="373" t="n">
        <v>0.037662</v>
      </c>
      <c r="Z800" s="373" t="n">
        <v>0.00172</v>
      </c>
      <c r="AA800" s="373" t="n">
        <v>0.002</v>
      </c>
      <c r="AB800" s="374" t="n">
        <f aca="false">S800-Z800</f>
        <v>-0.00172</v>
      </c>
      <c r="AC800" s="374" t="n">
        <f aca="false">U800-Z800-AA800</f>
        <v>-0.00372</v>
      </c>
      <c r="AD800" s="375" t="n">
        <v>0.041</v>
      </c>
      <c r="AE800" s="376" t="n">
        <v>0.037524</v>
      </c>
      <c r="AF800" s="376" t="n">
        <f aca="false">AD800-AE800</f>
        <v>0.003476</v>
      </c>
      <c r="AG800" s="377" t="n">
        <v>0.041</v>
      </c>
      <c r="AH800" s="378" t="n">
        <v>45716</v>
      </c>
      <c r="AI800" s="379" t="n">
        <v>1</v>
      </c>
      <c r="AJ800" s="380" t="str">
        <f aca="false">IF(AG800="","N","Y")</f>
        <v>Y</v>
      </c>
      <c r="AK800" s="396" t="s">
        <v>1087</v>
      </c>
      <c r="AL800" s="397"/>
    </row>
    <row r="801" s="382" customFormat="true" ht="20.25" hidden="false" customHeight="true" outlineLevel="0" collapsed="false">
      <c r="A801" s="364" t="n">
        <v>276</v>
      </c>
      <c r="B801" s="363" t="n">
        <v>45720</v>
      </c>
      <c r="C801" s="364" t="s">
        <v>770</v>
      </c>
      <c r="D801" s="364" t="s">
        <v>1111</v>
      </c>
      <c r="E801" s="364" t="s">
        <v>1004</v>
      </c>
      <c r="F801" s="364" t="s">
        <v>773</v>
      </c>
      <c r="G801" s="365" t="n">
        <v>45720</v>
      </c>
      <c r="H801" s="365" t="n">
        <v>45812</v>
      </c>
      <c r="I801" s="364" t="n">
        <f aca="false">H801-G801</f>
        <v>92</v>
      </c>
      <c r="J801" s="366" t="n">
        <f aca="false">TRUNC(I801/30,0)</f>
        <v>3</v>
      </c>
      <c r="K801" s="395" t="s">
        <v>95</v>
      </c>
      <c r="L801" s="368" t="n">
        <v>2</v>
      </c>
      <c r="M801" s="369"/>
      <c r="N801" s="370"/>
      <c r="O801" s="366" t="s">
        <v>300</v>
      </c>
      <c r="P801" s="371" t="n">
        <v>0.0430971</v>
      </c>
      <c r="Q801" s="371"/>
      <c r="R801" s="372" t="s">
        <v>914</v>
      </c>
      <c r="S801" s="373"/>
      <c r="T801" s="372"/>
      <c r="U801" s="373"/>
      <c r="V801" s="373" t="n">
        <v>0.047684</v>
      </c>
      <c r="W801" s="373" t="n">
        <v>0.000954</v>
      </c>
      <c r="X801" s="373" t="n">
        <v>0.00201</v>
      </c>
      <c r="Y801" s="373" t="n">
        <v>0.039335</v>
      </c>
      <c r="Z801" s="373" t="n">
        <v>0.00172</v>
      </c>
      <c r="AA801" s="373" t="n">
        <v>0.002</v>
      </c>
      <c r="AB801" s="374" t="n">
        <f aca="false">S801-Z801</f>
        <v>-0.00172</v>
      </c>
      <c r="AC801" s="374" t="n">
        <f aca="false">U801-Z801-AA801</f>
        <v>-0.00372</v>
      </c>
      <c r="AD801" s="375" t="n">
        <v>0.043</v>
      </c>
      <c r="AE801" s="373" t="n">
        <v>0.039335</v>
      </c>
      <c r="AF801" s="376" t="n">
        <v>0.003665</v>
      </c>
      <c r="AG801" s="377" t="n">
        <v>0.043</v>
      </c>
      <c r="AH801" s="378" t="n">
        <v>45720</v>
      </c>
      <c r="AI801" s="379" t="n">
        <v>5</v>
      </c>
      <c r="AJ801" s="380" t="str">
        <f aca="false">IF(AG801="","N","Y")</f>
        <v>Y</v>
      </c>
      <c r="AK801" s="396" t="s">
        <v>1110</v>
      </c>
      <c r="AL801" s="397"/>
    </row>
    <row r="802" s="382" customFormat="true" ht="20.25" hidden="false" customHeight="true" outlineLevel="0" collapsed="false">
      <c r="A802" s="364" t="n">
        <v>277</v>
      </c>
      <c r="B802" s="363" t="n">
        <v>45720</v>
      </c>
      <c r="C802" s="364" t="s">
        <v>644</v>
      </c>
      <c r="D802" s="364" t="s">
        <v>1112</v>
      </c>
      <c r="E802" s="364" t="s">
        <v>1113</v>
      </c>
      <c r="F802" s="364" t="s">
        <v>880</v>
      </c>
      <c r="G802" s="365" t="n">
        <v>45720</v>
      </c>
      <c r="H802" s="365" t="n">
        <v>45751</v>
      </c>
      <c r="I802" s="364" t="n">
        <f aca="false">H802-G802</f>
        <v>31</v>
      </c>
      <c r="J802" s="366" t="n">
        <f aca="false">TRUNC(I802/30,0)</f>
        <v>1</v>
      </c>
      <c r="K802" s="367" t="s">
        <v>99</v>
      </c>
      <c r="L802" s="368" t="n">
        <v>4.012</v>
      </c>
      <c r="M802" s="369"/>
      <c r="N802" s="370"/>
      <c r="O802" s="366" t="s">
        <v>303</v>
      </c>
      <c r="P802" s="371" t="n">
        <v>0.0432139</v>
      </c>
      <c r="Q802" s="371"/>
      <c r="R802" s="372" t="s">
        <v>914</v>
      </c>
      <c r="S802" s="373"/>
      <c r="T802" s="372"/>
      <c r="U802" s="373"/>
      <c r="V802" s="373" t="n">
        <v>0.046241</v>
      </c>
      <c r="W802" s="373" t="n">
        <v>0.003288</v>
      </c>
      <c r="X802" s="373" t="n">
        <v>0.003662</v>
      </c>
      <c r="Y802" s="373" t="n">
        <v>0.032394</v>
      </c>
      <c r="Z802" s="373" t="n">
        <v>0.00172</v>
      </c>
      <c r="AA802" s="373" t="n">
        <v>0.002</v>
      </c>
      <c r="AB802" s="374" t="n">
        <f aca="false">S802-Z802</f>
        <v>-0.00172</v>
      </c>
      <c r="AC802" s="374" t="n">
        <f aca="false">U802-Z802-AA802</f>
        <v>-0.00372</v>
      </c>
      <c r="AD802" s="375" t="n">
        <v>0.0383</v>
      </c>
      <c r="AE802" s="373" t="n">
        <v>0.032394</v>
      </c>
      <c r="AF802" s="376" t="n">
        <v>0.005906</v>
      </c>
      <c r="AG802" s="377" t="n">
        <v>0.0383</v>
      </c>
      <c r="AH802" s="378" t="n">
        <v>45720</v>
      </c>
      <c r="AI802" s="379" t="n">
        <v>2</v>
      </c>
      <c r="AJ802" s="380" t="str">
        <f aca="false">IF(AG802="","N","Y")</f>
        <v>Y</v>
      </c>
      <c r="AK802" s="396" t="s">
        <v>1065</v>
      </c>
      <c r="AL802" s="397"/>
    </row>
    <row r="803" s="382" customFormat="true" ht="20.25" hidden="false" customHeight="true" outlineLevel="0" collapsed="false">
      <c r="A803" s="364" t="n">
        <v>278</v>
      </c>
      <c r="B803" s="363" t="n">
        <v>45720</v>
      </c>
      <c r="C803" s="364" t="s">
        <v>187</v>
      </c>
      <c r="D803" s="364" t="s">
        <v>1062</v>
      </c>
      <c r="E803" s="364" t="s">
        <v>876</v>
      </c>
      <c r="F803" s="364" t="s">
        <v>877</v>
      </c>
      <c r="G803" s="365" t="n">
        <v>45720</v>
      </c>
      <c r="H803" s="365" t="n">
        <v>45727</v>
      </c>
      <c r="I803" s="364" t="n">
        <f aca="false">H803-G803</f>
        <v>7</v>
      </c>
      <c r="J803" s="366" t="n">
        <f aca="false">TRUNC(I803/30,0)</f>
        <v>0</v>
      </c>
      <c r="K803" s="395" t="s">
        <v>95</v>
      </c>
      <c r="L803" s="368" t="n">
        <v>30.23</v>
      </c>
      <c r="M803" s="369"/>
      <c r="N803" s="370"/>
      <c r="O803" s="366" t="s">
        <v>305</v>
      </c>
      <c r="P803" s="371" t="n">
        <v>0.043758</v>
      </c>
      <c r="Q803" s="371"/>
      <c r="R803" s="372" t="s">
        <v>914</v>
      </c>
      <c r="S803" s="373"/>
      <c r="T803" s="372"/>
      <c r="U803" s="373"/>
      <c r="V803" s="373" t="n">
        <v>0.044685</v>
      </c>
      <c r="W803" s="373" t="n">
        <v>0.003128</v>
      </c>
      <c r="X803" s="373" t="n">
        <v>0.001337</v>
      </c>
      <c r="Y803" s="373" t="n">
        <v>0.034394</v>
      </c>
      <c r="Z803" s="373" t="n">
        <v>0.00172</v>
      </c>
      <c r="AA803" s="373" t="n">
        <v>0.002</v>
      </c>
      <c r="AB803" s="374" t="n">
        <f aca="false">S803-Z803</f>
        <v>-0.00172</v>
      </c>
      <c r="AC803" s="374" t="n">
        <f aca="false">U803-Z803-AA803</f>
        <v>-0.00372</v>
      </c>
      <c r="AD803" s="375" t="n">
        <v>0.0385</v>
      </c>
      <c r="AE803" s="373" t="n">
        <v>0.034394</v>
      </c>
      <c r="AF803" s="376" t="n">
        <v>0.004106</v>
      </c>
      <c r="AG803" s="377" t="n">
        <v>0.0385</v>
      </c>
      <c r="AH803" s="378" t="n">
        <v>45720</v>
      </c>
      <c r="AI803" s="379" t="n">
        <v>6</v>
      </c>
      <c r="AJ803" s="380" t="str">
        <f aca="false">IF(AG803="","N","Y")</f>
        <v>Y</v>
      </c>
      <c r="AK803" s="396" t="s">
        <v>1080</v>
      </c>
      <c r="AL803" s="397"/>
    </row>
    <row r="804" s="382" customFormat="true" ht="20.25" hidden="false" customHeight="true" outlineLevel="0" collapsed="false">
      <c r="A804" s="364" t="n">
        <v>279</v>
      </c>
      <c r="B804" s="363" t="n">
        <v>45723</v>
      </c>
      <c r="C804" s="364" t="s">
        <v>1066</v>
      </c>
      <c r="D804" s="364" t="s">
        <v>932</v>
      </c>
      <c r="E804" s="364" t="s">
        <v>1067</v>
      </c>
      <c r="F804" s="402" t="s">
        <v>864</v>
      </c>
      <c r="G804" s="365" t="n">
        <v>45723</v>
      </c>
      <c r="H804" s="365" t="n">
        <v>45754</v>
      </c>
      <c r="I804" s="364" t="n">
        <f aca="false">H804-G804</f>
        <v>31</v>
      </c>
      <c r="J804" s="366" t="n">
        <f aca="false">TRUNC(I804/30,0)</f>
        <v>1</v>
      </c>
      <c r="K804" s="367" t="s">
        <v>99</v>
      </c>
      <c r="L804" s="368" t="n">
        <v>2.4</v>
      </c>
      <c r="M804" s="369"/>
      <c r="N804" s="370"/>
      <c r="O804" s="366" t="s">
        <v>303</v>
      </c>
      <c r="P804" s="371" t="n">
        <v>0.0432158</v>
      </c>
      <c r="Q804" s="371"/>
      <c r="R804" s="372" t="s">
        <v>914</v>
      </c>
      <c r="S804" s="373"/>
      <c r="T804" s="372"/>
      <c r="U804" s="373"/>
      <c r="V804" s="373" t="n">
        <v>0.046761</v>
      </c>
      <c r="W804" s="373" t="n">
        <v>0.003273</v>
      </c>
      <c r="X804" s="373" t="n">
        <v>0.003268</v>
      </c>
      <c r="Y804" s="373" t="n">
        <v>0.032026</v>
      </c>
      <c r="Z804" s="373" t="n">
        <v>0.00172</v>
      </c>
      <c r="AA804" s="373" t="n">
        <v>0.002</v>
      </c>
      <c r="AB804" s="374" t="n">
        <f aca="false">S804-Z804</f>
        <v>-0.00172</v>
      </c>
      <c r="AC804" s="374" t="n">
        <f aca="false">U804-Z804-AA804</f>
        <v>-0.00372</v>
      </c>
      <c r="AD804" s="375" t="n">
        <v>0.0385</v>
      </c>
      <c r="AE804" s="376" t="n">
        <v>0.032026</v>
      </c>
      <c r="AF804" s="376" t="n">
        <f aca="false">AD804-AE804</f>
        <v>0.006474</v>
      </c>
      <c r="AG804" s="377" t="n">
        <f aca="false">IF(AF804="","",AE804+AF804)</f>
        <v>0.0385</v>
      </c>
      <c r="AH804" s="378" t="n">
        <v>45723</v>
      </c>
      <c r="AI804" s="379" t="n">
        <v>1</v>
      </c>
      <c r="AJ804" s="380" t="str">
        <f aca="false">IF(AG804="","N","Y")</f>
        <v>Y</v>
      </c>
      <c r="AK804" s="396" t="s">
        <v>1057</v>
      </c>
      <c r="AL804" s="397"/>
    </row>
    <row r="805" s="382" customFormat="true" ht="20.25" hidden="false" customHeight="true" outlineLevel="0" collapsed="false">
      <c r="A805" s="364" t="n">
        <v>280</v>
      </c>
      <c r="B805" s="363" t="n">
        <v>45726</v>
      </c>
      <c r="C805" s="364" t="s">
        <v>209</v>
      </c>
      <c r="D805" s="364" t="s">
        <v>1054</v>
      </c>
      <c r="E805" s="364" t="s">
        <v>1055</v>
      </c>
      <c r="F805" s="364" t="s">
        <v>697</v>
      </c>
      <c r="G805" s="365" t="n">
        <v>45726</v>
      </c>
      <c r="H805" s="365" t="n">
        <v>45757</v>
      </c>
      <c r="I805" s="364" t="n">
        <f aca="false">H805-G805</f>
        <v>31</v>
      </c>
      <c r="J805" s="366" t="n">
        <f aca="false">TRUNC(I805/30,0)</f>
        <v>1</v>
      </c>
      <c r="K805" s="395" t="s">
        <v>95</v>
      </c>
      <c r="L805" s="368" t="n">
        <v>12.2</v>
      </c>
      <c r="M805" s="369"/>
      <c r="N805" s="370"/>
      <c r="O805" s="366" t="s">
        <v>303</v>
      </c>
      <c r="P805" s="371" t="n">
        <v>0.0432221</v>
      </c>
      <c r="Q805" s="371"/>
      <c r="R805" s="372" t="s">
        <v>914</v>
      </c>
      <c r="S805" s="373"/>
      <c r="T805" s="372"/>
      <c r="U805" s="373"/>
      <c r="V805" s="373" t="n">
        <v>0.046228</v>
      </c>
      <c r="W805" s="373" t="n">
        <v>0.000925</v>
      </c>
      <c r="X805" s="373" t="n">
        <v>0.002583</v>
      </c>
      <c r="Y805" s="373" t="n">
        <v>0.037657</v>
      </c>
      <c r="Z805" s="373" t="n">
        <v>0.00172</v>
      </c>
      <c r="AA805" s="373" t="n">
        <v>0.002</v>
      </c>
      <c r="AB805" s="374" t="n">
        <f aca="false">S805-Z805</f>
        <v>-0.00172</v>
      </c>
      <c r="AC805" s="374" t="n">
        <f aca="false">U805-Z805-AA805</f>
        <v>-0.00372</v>
      </c>
      <c r="AD805" s="375" t="n">
        <v>0.041</v>
      </c>
      <c r="AE805" s="376" t="n">
        <v>0.037657</v>
      </c>
      <c r="AF805" s="376" t="n">
        <f aca="false">AD805-AE805</f>
        <v>0.003343</v>
      </c>
      <c r="AG805" s="377" t="n">
        <v>0.041</v>
      </c>
      <c r="AH805" s="378" t="n">
        <v>45726</v>
      </c>
      <c r="AI805" s="379" t="n">
        <v>2</v>
      </c>
      <c r="AJ805" s="380" t="str">
        <f aca="false">IF(AG805="","N","Y")</f>
        <v>Y</v>
      </c>
      <c r="AK805" s="396" t="s">
        <v>1065</v>
      </c>
      <c r="AL805" s="397"/>
    </row>
    <row r="806" s="382" customFormat="true" ht="20.25" hidden="false" customHeight="true" outlineLevel="0" collapsed="false">
      <c r="A806" s="364" t="n">
        <v>281</v>
      </c>
      <c r="B806" s="363" t="n">
        <v>45726</v>
      </c>
      <c r="C806" s="364" t="s">
        <v>644</v>
      </c>
      <c r="D806" s="364" t="s">
        <v>1070</v>
      </c>
      <c r="E806" s="364" t="s">
        <v>1071</v>
      </c>
      <c r="F806" s="364" t="s">
        <v>1072</v>
      </c>
      <c r="G806" s="365" t="n">
        <v>45726</v>
      </c>
      <c r="H806" s="365" t="n">
        <v>45757</v>
      </c>
      <c r="I806" s="364" t="n">
        <f aca="false">H806-G806</f>
        <v>31</v>
      </c>
      <c r="J806" s="366" t="n">
        <f aca="false">TRUNC(I806/30,0)</f>
        <v>1</v>
      </c>
      <c r="K806" s="395" t="s">
        <v>95</v>
      </c>
      <c r="L806" s="368" t="n">
        <v>1.5</v>
      </c>
      <c r="M806" s="369"/>
      <c r="N806" s="370"/>
      <c r="O806" s="366" t="s">
        <v>303</v>
      </c>
      <c r="P806" s="371" t="n">
        <v>0.0432221</v>
      </c>
      <c r="Q806" s="371"/>
      <c r="R806" s="372" t="s">
        <v>914</v>
      </c>
      <c r="S806" s="373"/>
      <c r="T806" s="372"/>
      <c r="U806" s="373"/>
      <c r="V806" s="373" t="n">
        <v>0.046228</v>
      </c>
      <c r="W806" s="373" t="n">
        <v>0.000925</v>
      </c>
      <c r="X806" s="373" t="n">
        <v>0.002083</v>
      </c>
      <c r="Y806" s="373" t="n">
        <v>0.037657</v>
      </c>
      <c r="Z806" s="373" t="n">
        <v>0.00172</v>
      </c>
      <c r="AA806" s="373" t="n">
        <v>0.002</v>
      </c>
      <c r="AB806" s="374" t="n">
        <f aca="false">S806-Z806</f>
        <v>-0.00172</v>
      </c>
      <c r="AC806" s="374" t="n">
        <f aca="false">U806-Z806-AA806</f>
        <v>-0.00372</v>
      </c>
      <c r="AD806" s="375" t="n">
        <v>0.0415</v>
      </c>
      <c r="AE806" s="376" t="n">
        <v>0.037657</v>
      </c>
      <c r="AF806" s="376" t="n">
        <f aca="false">AD806-AE806</f>
        <v>0.003843</v>
      </c>
      <c r="AG806" s="377" t="n">
        <f aca="false">IF(AF806="","",AE806+AF806)</f>
        <v>0.0415</v>
      </c>
      <c r="AH806" s="378" t="n">
        <v>45726</v>
      </c>
      <c r="AI806" s="379" t="n">
        <v>1</v>
      </c>
      <c r="AJ806" s="380" t="str">
        <f aca="false">IF(AG806="","N","Y")</f>
        <v>Y</v>
      </c>
      <c r="AK806" s="396" t="s">
        <v>1065</v>
      </c>
      <c r="AL806" s="397"/>
    </row>
    <row r="807" s="382" customFormat="true" ht="20.25" hidden="false" customHeight="true" outlineLevel="0" collapsed="false">
      <c r="A807" s="364" t="n">
        <v>282</v>
      </c>
      <c r="B807" s="363" t="n">
        <v>45727</v>
      </c>
      <c r="C807" s="364" t="s">
        <v>209</v>
      </c>
      <c r="D807" s="364" t="s">
        <v>1054</v>
      </c>
      <c r="E807" s="364" t="s">
        <v>1055</v>
      </c>
      <c r="F807" s="364" t="s">
        <v>697</v>
      </c>
      <c r="G807" s="365" t="n">
        <v>45727</v>
      </c>
      <c r="H807" s="365" t="n">
        <v>45757</v>
      </c>
      <c r="I807" s="364" t="n">
        <f aca="false">H807-G807</f>
        <v>30</v>
      </c>
      <c r="J807" s="366" t="n">
        <f aca="false">TRUNC(I807/30,0)</f>
        <v>1</v>
      </c>
      <c r="K807" s="367" t="s">
        <v>99</v>
      </c>
      <c r="L807" s="368" t="n">
        <v>1.2</v>
      </c>
      <c r="M807" s="369"/>
      <c r="N807" s="370"/>
      <c r="O807" s="366" t="s">
        <v>303</v>
      </c>
      <c r="P807" s="371" t="n">
        <v>0.0432537</v>
      </c>
      <c r="Q807" s="371"/>
      <c r="R807" s="372" t="s">
        <v>914</v>
      </c>
      <c r="S807" s="373"/>
      <c r="T807" s="372"/>
      <c r="U807" s="373"/>
      <c r="V807" s="373" t="n">
        <v>0.037688</v>
      </c>
      <c r="W807" s="373" t="n">
        <v>0.003278</v>
      </c>
      <c r="X807" s="373" t="n">
        <v>0.003836</v>
      </c>
      <c r="Y807" s="373" t="n">
        <v>0.037688</v>
      </c>
      <c r="Z807" s="373" t="n">
        <v>0.00172</v>
      </c>
      <c r="AA807" s="373" t="n">
        <v>0.002</v>
      </c>
      <c r="AB807" s="374" t="n">
        <f aca="false">S807-Z807</f>
        <v>-0.00172</v>
      </c>
      <c r="AC807" s="374" t="n">
        <f aca="false">U807-Z807-AA807</f>
        <v>-0.00372</v>
      </c>
      <c r="AD807" s="375" t="n">
        <v>0.038</v>
      </c>
      <c r="AE807" s="376" t="n">
        <v>0.037688</v>
      </c>
      <c r="AF807" s="376" t="n">
        <f aca="false">AD807-AE807</f>
        <v>0.000312</v>
      </c>
      <c r="AG807" s="377" t="n">
        <v>0.038</v>
      </c>
      <c r="AH807" s="378" t="n">
        <v>45727</v>
      </c>
      <c r="AI807" s="379" t="n">
        <v>1</v>
      </c>
      <c r="AJ807" s="380" t="str">
        <f aca="false">IF(AG807="","N","Y")</f>
        <v>Y</v>
      </c>
      <c r="AK807" s="396" t="s">
        <v>1057</v>
      </c>
      <c r="AL807" s="397"/>
    </row>
    <row r="808" s="382" customFormat="true" ht="20.25" hidden="false" customHeight="true" outlineLevel="0" collapsed="false">
      <c r="A808" s="364" t="n">
        <v>283</v>
      </c>
      <c r="B808" s="363" t="n">
        <v>45727</v>
      </c>
      <c r="C808" s="364" t="s">
        <v>187</v>
      </c>
      <c r="D808" s="364" t="s">
        <v>1062</v>
      </c>
      <c r="E808" s="364" t="s">
        <v>876</v>
      </c>
      <c r="F808" s="364" t="s">
        <v>877</v>
      </c>
      <c r="G808" s="365" t="n">
        <v>45727</v>
      </c>
      <c r="H808" s="365" t="n">
        <v>45740</v>
      </c>
      <c r="I808" s="364" t="n">
        <f aca="false">H808-G808</f>
        <v>13</v>
      </c>
      <c r="J808" s="366" t="n">
        <f aca="false">TRUNC(I808/30,0)</f>
        <v>0</v>
      </c>
      <c r="K808" s="395" t="s">
        <v>95</v>
      </c>
      <c r="L808" s="368" t="n">
        <v>44.93</v>
      </c>
      <c r="M808" s="369"/>
      <c r="N808" s="370"/>
      <c r="O808" s="366" t="s">
        <v>305</v>
      </c>
      <c r="P808" s="371" t="n">
        <v>0.0433697</v>
      </c>
      <c r="Q808" s="371"/>
      <c r="R808" s="372" t="s">
        <v>914</v>
      </c>
      <c r="S808" s="373"/>
      <c r="T808" s="372"/>
      <c r="U808" s="373"/>
      <c r="V808" s="373" t="n">
        <v>0.034033</v>
      </c>
      <c r="W808" s="373" t="n">
        <v>0.003164</v>
      </c>
      <c r="X808" s="373" t="n">
        <v>0.001812</v>
      </c>
      <c r="Y808" s="373" t="n">
        <v>0.034033</v>
      </c>
      <c r="Z808" s="373" t="n">
        <v>0.00172</v>
      </c>
      <c r="AA808" s="373" t="n">
        <v>0.002</v>
      </c>
      <c r="AB808" s="374" t="n">
        <f aca="false">S808-Z808</f>
        <v>-0.00172</v>
      </c>
      <c r="AC808" s="374" t="n">
        <f aca="false">U808-Z808-AA808</f>
        <v>-0.00372</v>
      </c>
      <c r="AD808" s="375" t="n">
        <v>0.0385</v>
      </c>
      <c r="AE808" s="373" t="n">
        <v>0.034033</v>
      </c>
      <c r="AF808" s="376" t="n">
        <v>0.004106</v>
      </c>
      <c r="AG808" s="377" t="n">
        <v>0.0385</v>
      </c>
      <c r="AH808" s="378" t="n">
        <v>45727</v>
      </c>
      <c r="AI808" s="379" t="n">
        <v>2</v>
      </c>
      <c r="AJ808" s="380" t="str">
        <f aca="false">IF(AG808="","N","Y")</f>
        <v>Y</v>
      </c>
      <c r="AK808" s="396" t="s">
        <v>1086</v>
      </c>
      <c r="AL808" s="397"/>
    </row>
    <row r="809" customFormat="false" ht="20.25" hidden="false" customHeight="true" outlineLevel="0" collapsed="false">
      <c r="A809" s="19" t="n">
        <v>284</v>
      </c>
      <c r="B809" s="141" t="n">
        <v>45728</v>
      </c>
      <c r="C809" s="63" t="s">
        <v>925</v>
      </c>
      <c r="D809" s="63" t="s">
        <v>1073</v>
      </c>
      <c r="E809" s="63" t="s">
        <v>1074</v>
      </c>
      <c r="F809" s="63" t="s">
        <v>1075</v>
      </c>
      <c r="G809" s="142" t="n">
        <v>45728</v>
      </c>
      <c r="H809" s="142" t="n">
        <v>45758</v>
      </c>
      <c r="I809" s="19" t="n">
        <f aca="false">H809-G809</f>
        <v>30</v>
      </c>
      <c r="J809" s="149" t="n">
        <f aca="false">TRUNC(I809/30,0)</f>
        <v>1</v>
      </c>
      <c r="K809" s="367" t="s">
        <v>99</v>
      </c>
      <c r="L809" s="146" t="n">
        <v>1</v>
      </c>
      <c r="M809" s="147"/>
      <c r="N809" s="148"/>
      <c r="O809" s="149" t="s">
        <v>303</v>
      </c>
      <c r="P809" s="150" t="n">
        <v>0.043248</v>
      </c>
      <c r="Q809" s="150"/>
      <c r="R809" s="151" t="s">
        <v>914</v>
      </c>
      <c r="S809" s="152"/>
      <c r="T809" s="151"/>
      <c r="U809" s="152"/>
      <c r="V809" s="152" t="n">
        <v>0.046882</v>
      </c>
      <c r="W809" s="152" t="n">
        <v>0.003282</v>
      </c>
      <c r="X809" s="152" t="n">
        <v>0.00388</v>
      </c>
      <c r="Y809" s="152" t="n">
        <v>0.031958</v>
      </c>
      <c r="Z809" s="152" t="n">
        <v>0.00172</v>
      </c>
      <c r="AA809" s="152" t="n">
        <v>0.002</v>
      </c>
      <c r="AB809" s="154" t="n">
        <f aca="false">S809-Z809</f>
        <v>-0.00172</v>
      </c>
      <c r="AC809" s="154" t="n">
        <f aca="false">U809-Z809-AA809</f>
        <v>-0.00372</v>
      </c>
      <c r="AD809" s="155" t="n">
        <v>0.038</v>
      </c>
      <c r="AE809" s="153" t="n">
        <v>0.031958</v>
      </c>
      <c r="AF809" s="153" t="n">
        <f aca="false">AD809-AE809</f>
        <v>0.006042</v>
      </c>
      <c r="AG809" s="184" t="n">
        <v>0.038</v>
      </c>
      <c r="AH809" s="185" t="n">
        <v>45728</v>
      </c>
      <c r="AI809" s="35" t="n">
        <v>1</v>
      </c>
      <c r="AJ809" s="19" t="str">
        <f aca="false">IF(AG809="","N","Y")</f>
        <v>Y</v>
      </c>
      <c r="AK809" s="159" t="s">
        <v>1057</v>
      </c>
    </row>
    <row r="810" customFormat="false" ht="20.25" hidden="false" customHeight="true" outlineLevel="0" collapsed="false">
      <c r="A810" s="19" t="n">
        <v>285</v>
      </c>
      <c r="B810" s="141" t="n">
        <v>45729</v>
      </c>
      <c r="C810" s="63" t="s">
        <v>977</v>
      </c>
      <c r="D810" s="63" t="s">
        <v>978</v>
      </c>
      <c r="E810" s="63" t="s">
        <v>1011</v>
      </c>
      <c r="F810" s="63" t="s">
        <v>980</v>
      </c>
      <c r="G810" s="142" t="n">
        <v>45729</v>
      </c>
      <c r="H810" s="142" t="n">
        <v>45821</v>
      </c>
      <c r="I810" s="19" t="n">
        <f aca="false">H810-G810</f>
        <v>92</v>
      </c>
      <c r="J810" s="149" t="n">
        <f aca="false">TRUNC(I810/30,0)</f>
        <v>3</v>
      </c>
      <c r="K810" s="183" t="s">
        <v>95</v>
      </c>
      <c r="L810" s="146" t="n">
        <v>1</v>
      </c>
      <c r="M810" s="147" t="n">
        <v>3.85</v>
      </c>
      <c r="N810" s="148" t="s">
        <v>1114</v>
      </c>
      <c r="O810" s="366" t="s">
        <v>300</v>
      </c>
      <c r="P810" s="371" t="n">
        <v>0.0428877</v>
      </c>
      <c r="Q810" s="150"/>
      <c r="R810" s="151" t="s">
        <v>914</v>
      </c>
      <c r="S810" s="152"/>
      <c r="T810" s="151"/>
      <c r="U810" s="152"/>
      <c r="V810" s="152" t="n">
        <v>0.047464</v>
      </c>
      <c r="W810" s="152" t="n">
        <v>0.000945</v>
      </c>
      <c r="X810" s="152" t="n">
        <v>0.002295</v>
      </c>
      <c r="Y810" s="152" t="n">
        <v>0.039129</v>
      </c>
      <c r="Z810" s="152" t="n">
        <v>0.00172</v>
      </c>
      <c r="AA810" s="152" t="n">
        <v>0.002</v>
      </c>
      <c r="AB810" s="154" t="n">
        <f aca="false">S810-Z810</f>
        <v>-0.00172</v>
      </c>
      <c r="AC810" s="154" t="n">
        <f aca="false">U810-Z810-AA810</f>
        <v>-0.00372</v>
      </c>
      <c r="AD810" s="155" t="n">
        <v>0.0425</v>
      </c>
      <c r="AE810" s="153" t="n">
        <v>0.039129</v>
      </c>
      <c r="AF810" s="153" t="n">
        <f aca="false">AD810-AE810</f>
        <v>0.00337100000000001</v>
      </c>
      <c r="AG810" s="184" t="n">
        <f aca="false">IF(AF810="","",AE810+AF810)</f>
        <v>0.0425</v>
      </c>
      <c r="AH810" s="185" t="n">
        <v>45729</v>
      </c>
      <c r="AI810" s="35" t="n">
        <v>3</v>
      </c>
      <c r="AJ810" s="19" t="str">
        <f aca="false">IF(AG810="","N","Y")</f>
        <v>Y</v>
      </c>
      <c r="AK810" s="396" t="s">
        <v>1115</v>
      </c>
    </row>
    <row r="811" s="382" customFormat="true" ht="20.25" hidden="false" customHeight="true" outlineLevel="0" collapsed="false">
      <c r="A811" s="364" t="n">
        <v>286</v>
      </c>
      <c r="B811" s="363" t="n">
        <v>45729</v>
      </c>
      <c r="C811" s="364" t="s">
        <v>96</v>
      </c>
      <c r="D811" s="364" t="s">
        <v>1063</v>
      </c>
      <c r="E811" s="364" t="s">
        <v>1103</v>
      </c>
      <c r="F811" s="364" t="s">
        <v>1116</v>
      </c>
      <c r="G811" s="365" t="n">
        <v>45729</v>
      </c>
      <c r="H811" s="365" t="n">
        <v>45761</v>
      </c>
      <c r="I811" s="364" t="n">
        <f aca="false">H811-G811</f>
        <v>32</v>
      </c>
      <c r="J811" s="366" t="n">
        <f aca="false">TRUNC(I811/30,0)</f>
        <v>1</v>
      </c>
      <c r="K811" s="395" t="s">
        <v>95</v>
      </c>
      <c r="L811" s="368" t="n">
        <v>1</v>
      </c>
      <c r="M811" s="369" t="n">
        <v>3.81</v>
      </c>
      <c r="N811" s="370" t="s">
        <v>1085</v>
      </c>
      <c r="O811" s="366" t="s">
        <v>303</v>
      </c>
      <c r="P811" s="371" t="n">
        <v>0.043205</v>
      </c>
      <c r="Q811" s="371"/>
      <c r="R811" s="372" t="s">
        <v>914</v>
      </c>
      <c r="S811" s="373"/>
      <c r="T811" s="372"/>
      <c r="U811" s="373"/>
      <c r="V811" s="373" t="n">
        <v>0.04626</v>
      </c>
      <c r="W811" s="373" t="n">
        <v>0.000925</v>
      </c>
      <c r="X811" s="373" t="n">
        <v>0.001415</v>
      </c>
      <c r="Y811" s="373" t="n">
        <v>0.0376409</v>
      </c>
      <c r="Z811" s="373" t="n">
        <v>0.00172</v>
      </c>
      <c r="AA811" s="373" t="n">
        <v>0.002</v>
      </c>
      <c r="AB811" s="374" t="n">
        <f aca="false">S811-Z811</f>
        <v>-0.00172</v>
      </c>
      <c r="AC811" s="374" t="n">
        <f aca="false">U811-Z811-AA811</f>
        <v>-0.00372</v>
      </c>
      <c r="AD811" s="375" t="n">
        <v>0.0422</v>
      </c>
      <c r="AE811" s="376" t="n">
        <v>0.0376409</v>
      </c>
      <c r="AF811" s="376" t="n">
        <f aca="false">AD811-AE811</f>
        <v>0.0045591</v>
      </c>
      <c r="AG811" s="377" t="n">
        <f aca="false">IF(AF811="","",AE811+AF811)</f>
        <v>0.0422</v>
      </c>
      <c r="AH811" s="378" t="n">
        <v>45729</v>
      </c>
      <c r="AI811" s="379" t="n">
        <v>1</v>
      </c>
      <c r="AJ811" s="380" t="str">
        <f aca="false">IF(AG811="","N","Y")</f>
        <v>Y</v>
      </c>
      <c r="AK811" s="396" t="s">
        <v>1117</v>
      </c>
      <c r="AL811" s="397"/>
    </row>
    <row r="812" s="382" customFormat="true" ht="20.25" hidden="false" customHeight="true" outlineLevel="0" collapsed="false">
      <c r="A812" s="364" t="n">
        <f aca="false">IF(B812="","",IF((YEAR(B812)-YEAR(B811))=0,A811+1,1))</f>
        <v>287</v>
      </c>
      <c r="B812" s="363" t="n">
        <v>45730</v>
      </c>
      <c r="C812" s="364" t="s">
        <v>1081</v>
      </c>
      <c r="D812" s="364" t="s">
        <v>1082</v>
      </c>
      <c r="E812" s="364" t="s">
        <v>900</v>
      </c>
      <c r="F812" s="364" t="s">
        <v>1083</v>
      </c>
      <c r="G812" s="365" t="n">
        <v>45730</v>
      </c>
      <c r="H812" s="365" t="n">
        <v>45761</v>
      </c>
      <c r="I812" s="364" t="n">
        <f aca="false">H812-G812</f>
        <v>31</v>
      </c>
      <c r="J812" s="366" t="n">
        <f aca="false">TRUNC(I812/30,0)</f>
        <v>1</v>
      </c>
      <c r="K812" s="367" t="s">
        <v>99</v>
      </c>
      <c r="L812" s="368" t="n">
        <v>1</v>
      </c>
      <c r="M812" s="369"/>
      <c r="N812" s="370"/>
      <c r="O812" s="366" t="s">
        <v>303</v>
      </c>
      <c r="P812" s="371" t="n">
        <v>0.0431918</v>
      </c>
      <c r="Q812" s="371"/>
      <c r="R812" s="372" t="s">
        <v>914</v>
      </c>
      <c r="S812" s="373"/>
      <c r="T812" s="372"/>
      <c r="U812" s="373"/>
      <c r="V812" s="373" t="n">
        <v>0.046808</v>
      </c>
      <c r="W812" s="373" t="n">
        <v>0.003277</v>
      </c>
      <c r="X812" s="373" t="n">
        <v>0.004573</v>
      </c>
      <c r="Y812" s="373" t="n">
        <v>0.0318</v>
      </c>
      <c r="Z812" s="373" t="n">
        <v>0.00172</v>
      </c>
      <c r="AA812" s="373" t="n">
        <v>0.002</v>
      </c>
      <c r="AB812" s="374" t="n">
        <f aca="false">S812-Z812</f>
        <v>-0.00172</v>
      </c>
      <c r="AC812" s="374" t="n">
        <f aca="false">U812-Z812-AA812</f>
        <v>-0.00372</v>
      </c>
      <c r="AD812" s="375" t="n">
        <v>0.0385</v>
      </c>
      <c r="AE812" s="376" t="n">
        <v>0.0318</v>
      </c>
      <c r="AF812" s="376" t="n">
        <f aca="false">AD812-AE812</f>
        <v>0.0067</v>
      </c>
      <c r="AG812" s="377" t="n">
        <f aca="false">IF(AF812="","",AE812+AF812)</f>
        <v>0.0385</v>
      </c>
      <c r="AH812" s="378" t="n">
        <v>45730</v>
      </c>
      <c r="AI812" s="379" t="n">
        <v>1</v>
      </c>
      <c r="AJ812" s="380" t="str">
        <f aca="false">IF(AG812="","N","Y")</f>
        <v>Y</v>
      </c>
      <c r="AK812" s="396" t="s">
        <v>1057</v>
      </c>
      <c r="AL812" s="397"/>
    </row>
    <row r="813" s="382" customFormat="true" ht="20.25" hidden="false" customHeight="true" outlineLevel="0" collapsed="false">
      <c r="A813" s="364" t="n">
        <v>288</v>
      </c>
      <c r="B813" s="363" t="n">
        <v>45730</v>
      </c>
      <c r="C813" s="364" t="s">
        <v>862</v>
      </c>
      <c r="D813" s="364" t="s">
        <v>932</v>
      </c>
      <c r="E813" s="364" t="s">
        <v>970</v>
      </c>
      <c r="F813" s="364" t="s">
        <v>906</v>
      </c>
      <c r="G813" s="365" t="n">
        <v>45730</v>
      </c>
      <c r="H813" s="365" t="n">
        <v>45761</v>
      </c>
      <c r="I813" s="364" t="n">
        <f aca="false">H813-G813</f>
        <v>31</v>
      </c>
      <c r="J813" s="366" t="n">
        <f aca="false">TRUNC(I813/30,0)</f>
        <v>1</v>
      </c>
      <c r="K813" s="367" t="s">
        <v>99</v>
      </c>
      <c r="L813" s="368" t="n">
        <v>4.789</v>
      </c>
      <c r="M813" s="369"/>
      <c r="N813" s="370"/>
      <c r="O813" s="366" t="s">
        <v>303</v>
      </c>
      <c r="P813" s="371" t="n">
        <v>0.0431918</v>
      </c>
      <c r="Q813" s="371"/>
      <c r="R813" s="372" t="s">
        <v>914</v>
      </c>
      <c r="S813" s="373"/>
      <c r="T813" s="372"/>
      <c r="U813" s="373"/>
      <c r="V813" s="373" t="n">
        <v>0.046808</v>
      </c>
      <c r="W813" s="373" t="n">
        <v>0.003277</v>
      </c>
      <c r="X813" s="373" t="n">
        <v>0.004573</v>
      </c>
      <c r="Y813" s="373" t="n">
        <v>0.0318</v>
      </c>
      <c r="Z813" s="373" t="n">
        <v>0.00172</v>
      </c>
      <c r="AA813" s="373" t="n">
        <v>0.002</v>
      </c>
      <c r="AB813" s="374" t="n">
        <f aca="false">S813-Z813</f>
        <v>-0.00172</v>
      </c>
      <c r="AC813" s="374" t="n">
        <f aca="false">U813-Z813-AA813</f>
        <v>-0.00372</v>
      </c>
      <c r="AD813" s="375" t="n">
        <v>0.0385</v>
      </c>
      <c r="AE813" s="376" t="n">
        <v>0.0318</v>
      </c>
      <c r="AF813" s="376" t="n">
        <f aca="false">AD813-AE813</f>
        <v>0.0067</v>
      </c>
      <c r="AG813" s="377" t="n">
        <f aca="false">IF(AF813="","",AE813+AF813)</f>
        <v>0.0385</v>
      </c>
      <c r="AH813" s="378" t="n">
        <v>45730</v>
      </c>
      <c r="AI813" s="379" t="n">
        <v>2</v>
      </c>
      <c r="AJ813" s="380" t="str">
        <f aca="false">IF(AG813="","N","Y")</f>
        <v>Y</v>
      </c>
      <c r="AK813" s="396" t="s">
        <v>1057</v>
      </c>
      <c r="AL813" s="397"/>
    </row>
    <row r="814" s="382" customFormat="true" ht="20.25" hidden="false" customHeight="true" outlineLevel="0" collapsed="false">
      <c r="A814" s="364" t="n">
        <v>289</v>
      </c>
      <c r="B814" s="363" t="n">
        <v>45735</v>
      </c>
      <c r="C814" s="364" t="s">
        <v>187</v>
      </c>
      <c r="D814" s="364" t="s">
        <v>1118</v>
      </c>
      <c r="E814" s="364" t="s">
        <v>1119</v>
      </c>
      <c r="F814" s="364" t="s">
        <v>1120</v>
      </c>
      <c r="G814" s="365" t="n">
        <v>45735</v>
      </c>
      <c r="H814" s="365" t="n">
        <v>45765</v>
      </c>
      <c r="I814" s="364" t="n">
        <f aca="false">H814-G814</f>
        <v>30</v>
      </c>
      <c r="J814" s="366" t="n">
        <f aca="false">TRUNC(I814/30,0)</f>
        <v>1</v>
      </c>
      <c r="K814" s="367" t="s">
        <v>99</v>
      </c>
      <c r="L814" s="368" t="n">
        <v>1</v>
      </c>
      <c r="M814" s="369"/>
      <c r="N814" s="370"/>
      <c r="O814" s="366" t="s">
        <v>303</v>
      </c>
      <c r="P814" s="371" t="n">
        <v>0.0431937</v>
      </c>
      <c r="Q814" s="371"/>
      <c r="R814" s="372" t="s">
        <v>914</v>
      </c>
      <c r="S814" s="373"/>
      <c r="T814" s="372"/>
      <c r="U814" s="373"/>
      <c r="V814" s="373" t="n">
        <v>0.046823</v>
      </c>
      <c r="W814" s="373" t="n">
        <v>0.003278</v>
      </c>
      <c r="X814" s="373" t="n">
        <v>0.003325</v>
      </c>
      <c r="Y814" s="373" t="n">
        <v>0.031874</v>
      </c>
      <c r="Z814" s="373" t="n">
        <v>0.00172</v>
      </c>
      <c r="AA814" s="373" t="n">
        <v>0.002</v>
      </c>
      <c r="AB814" s="374" t="n">
        <f aca="false">S814-Z814</f>
        <v>-0.00172</v>
      </c>
      <c r="AC814" s="374" t="n">
        <f aca="false">U814-Z814-AA814</f>
        <v>-0.00372</v>
      </c>
      <c r="AD814" s="375" t="n">
        <v>0.0385</v>
      </c>
      <c r="AE814" s="376" t="n">
        <v>0.031874</v>
      </c>
      <c r="AF814" s="376" t="n">
        <f aca="false">AD814-AE814</f>
        <v>0.006626</v>
      </c>
      <c r="AG814" s="377" t="n">
        <v>0.0385</v>
      </c>
      <c r="AH814" s="378" t="n">
        <v>45735</v>
      </c>
      <c r="AI814" s="379" t="n">
        <v>1</v>
      </c>
      <c r="AJ814" s="380" t="str">
        <f aca="false">IF(AG814="","N","Y")</f>
        <v>Y</v>
      </c>
      <c r="AK814" s="396" t="s">
        <v>1057</v>
      </c>
      <c r="AL814" s="397"/>
    </row>
    <row r="815" customFormat="false" ht="20.25" hidden="false" customHeight="true" outlineLevel="0" collapsed="false">
      <c r="A815" s="19" t="n">
        <v>290</v>
      </c>
      <c r="B815" s="141" t="n">
        <v>45736</v>
      </c>
      <c r="C815" s="63" t="s">
        <v>977</v>
      </c>
      <c r="D815" s="63" t="s">
        <v>978</v>
      </c>
      <c r="E815" s="63" t="s">
        <v>1011</v>
      </c>
      <c r="F815" s="63" t="s">
        <v>980</v>
      </c>
      <c r="G815" s="142" t="n">
        <v>45736</v>
      </c>
      <c r="H815" s="142" t="n">
        <v>45828</v>
      </c>
      <c r="I815" s="19" t="n">
        <f aca="false">H815-G815</f>
        <v>92</v>
      </c>
      <c r="J815" s="149" t="n">
        <f aca="false">TRUNC(I815/30,0)</f>
        <v>3</v>
      </c>
      <c r="K815" s="183" t="s">
        <v>95</v>
      </c>
      <c r="L815" s="146" t="n">
        <v>1</v>
      </c>
      <c r="M815" s="147" t="n">
        <v>3.89</v>
      </c>
      <c r="N815" s="148" t="s">
        <v>1121</v>
      </c>
      <c r="O815" s="149" t="s">
        <v>300</v>
      </c>
      <c r="P815" s="150" t="n">
        <v>0.0430538</v>
      </c>
      <c r="Q815" s="150"/>
      <c r="R815" s="151" t="s">
        <v>914</v>
      </c>
      <c r="S815" s="152"/>
      <c r="T815" s="151"/>
      <c r="U815" s="152"/>
      <c r="V815" s="152" t="n">
        <v>0.047544</v>
      </c>
      <c r="W815" s="152" t="n">
        <v>0.000951</v>
      </c>
      <c r="X815" s="152" t="n">
        <v>0.002373</v>
      </c>
      <c r="Y815" s="152" t="n">
        <v>0.039292</v>
      </c>
      <c r="Z815" s="152" t="n">
        <v>0.00172</v>
      </c>
      <c r="AA815" s="152" t="n">
        <v>0.002</v>
      </c>
      <c r="AB815" s="154" t="n">
        <f aca="false">S815-Z815</f>
        <v>-0.00172</v>
      </c>
      <c r="AC815" s="154" t="n">
        <f aca="false">U815-Z815-AA815</f>
        <v>-0.00372</v>
      </c>
      <c r="AD815" s="155" t="n">
        <v>0.0425</v>
      </c>
      <c r="AE815" s="153" t="n">
        <v>0.039292</v>
      </c>
      <c r="AF815" s="153" t="n">
        <f aca="false">AD815-AE815</f>
        <v>0.003208</v>
      </c>
      <c r="AG815" s="184" t="n">
        <f aca="false">IF(AF815="","",AE815+AF815)</f>
        <v>0.0425</v>
      </c>
      <c r="AH815" s="185" t="n">
        <v>45736</v>
      </c>
      <c r="AI815" s="35" t="n">
        <v>1</v>
      </c>
      <c r="AJ815" s="19" t="str">
        <f aca="false">IF(AG815="","N","Y")</f>
        <v>Y</v>
      </c>
      <c r="AK815" s="396" t="s">
        <v>1122</v>
      </c>
    </row>
    <row r="816" s="382" customFormat="true" ht="20.25" hidden="false" customHeight="true" outlineLevel="0" collapsed="false">
      <c r="A816" s="364" t="n">
        <v>291</v>
      </c>
      <c r="B816" s="363" t="n">
        <v>45740</v>
      </c>
      <c r="C816" s="364" t="s">
        <v>116</v>
      </c>
      <c r="D816" s="364" t="s">
        <v>1005</v>
      </c>
      <c r="E816" s="364" t="s">
        <v>763</v>
      </c>
      <c r="F816" s="364" t="s">
        <v>1056</v>
      </c>
      <c r="G816" s="365" t="n">
        <v>45740</v>
      </c>
      <c r="H816" s="365" t="n">
        <v>45771</v>
      </c>
      <c r="I816" s="364" t="n">
        <f aca="false">H816-G816</f>
        <v>31</v>
      </c>
      <c r="J816" s="366" t="n">
        <f aca="false">TRUNC(I816/30,0)</f>
        <v>1</v>
      </c>
      <c r="K816" s="367" t="s">
        <v>99</v>
      </c>
      <c r="L816" s="368" t="n">
        <v>12.46</v>
      </c>
      <c r="M816" s="369"/>
      <c r="N816" s="370"/>
      <c r="O816" s="366" t="s">
        <v>303</v>
      </c>
      <c r="P816" s="371" t="n">
        <v>0.0432011</v>
      </c>
      <c r="Q816" s="371"/>
      <c r="R816" s="372" t="s">
        <v>914</v>
      </c>
      <c r="S816" s="373"/>
      <c r="T816" s="372"/>
      <c r="U816" s="373"/>
      <c r="V816" s="373" t="n">
        <v>0.046873</v>
      </c>
      <c r="W816" s="373" t="n">
        <v>0.003281</v>
      </c>
      <c r="X816" s="373" t="n">
        <v>0.003872</v>
      </c>
      <c r="Y816" s="373" t="n">
        <v>0.031654</v>
      </c>
      <c r="Z816" s="373" t="n">
        <v>0.00172</v>
      </c>
      <c r="AA816" s="373" t="n">
        <v>0.002</v>
      </c>
      <c r="AB816" s="374" t="n">
        <f aca="false">S816-Z816</f>
        <v>-0.00172</v>
      </c>
      <c r="AC816" s="374" t="n">
        <f aca="false">U816-Z816-AA816</f>
        <v>-0.00372</v>
      </c>
      <c r="AD816" s="375" t="n">
        <v>0.038</v>
      </c>
      <c r="AE816" s="376" t="n">
        <v>0.031654</v>
      </c>
      <c r="AF816" s="376" t="n">
        <f aca="false">AD816-AE816</f>
        <v>0.006346</v>
      </c>
      <c r="AG816" s="377" t="n">
        <f aca="false">IF(AF816="","",AE816+AF816)</f>
        <v>0.038</v>
      </c>
      <c r="AH816" s="378" t="n">
        <v>45740</v>
      </c>
      <c r="AI816" s="379" t="n">
        <v>1</v>
      </c>
      <c r="AJ816" s="380" t="str">
        <f aca="false">IF(AG816="","N","Y")</f>
        <v>Y</v>
      </c>
      <c r="AK816" s="396" t="s">
        <v>1057</v>
      </c>
      <c r="AL816" s="397"/>
    </row>
    <row r="817" s="382" customFormat="true" ht="20.25" hidden="false" customHeight="true" outlineLevel="0" collapsed="false">
      <c r="A817" s="364" t="n">
        <v>292</v>
      </c>
      <c r="B817" s="363" t="n">
        <v>45740</v>
      </c>
      <c r="C817" s="364" t="s">
        <v>187</v>
      </c>
      <c r="D817" s="364" t="s">
        <v>1062</v>
      </c>
      <c r="E817" s="364" t="s">
        <v>876</v>
      </c>
      <c r="F817" s="364" t="s">
        <v>877</v>
      </c>
      <c r="G817" s="365" t="n">
        <v>45740</v>
      </c>
      <c r="H817" s="365" t="n">
        <v>45758</v>
      </c>
      <c r="I817" s="364" t="n">
        <f aca="false">H817-G817</f>
        <v>18</v>
      </c>
      <c r="J817" s="366" t="n">
        <f aca="false">TRUNC(I817/30,0)</f>
        <v>0</v>
      </c>
      <c r="K817" s="395" t="s">
        <v>95</v>
      </c>
      <c r="L817" s="368" t="n">
        <v>44</v>
      </c>
      <c r="M817" s="369"/>
      <c r="N817" s="370"/>
      <c r="O817" s="366" t="s">
        <v>305</v>
      </c>
      <c r="P817" s="371" t="n">
        <v>0.0429623</v>
      </c>
      <c r="Q817" s="371"/>
      <c r="R817" s="372" t="s">
        <v>914</v>
      </c>
      <c r="S817" s="373"/>
      <c r="T817" s="372"/>
      <c r="U817" s="373"/>
      <c r="V817" s="373" t="n">
        <v>0.045221</v>
      </c>
      <c r="W817" s="373" t="n">
        <v>0.003165</v>
      </c>
      <c r="X817" s="373" t="n">
        <v>0.002336</v>
      </c>
      <c r="Y817" s="373" t="n">
        <v>0.033654</v>
      </c>
      <c r="Z817" s="373" t="n">
        <v>0.00172</v>
      </c>
      <c r="AA817" s="373" t="n">
        <v>0.002</v>
      </c>
      <c r="AB817" s="374" t="n">
        <f aca="false">S817-Z817</f>
        <v>-0.00172</v>
      </c>
      <c r="AC817" s="374" t="n">
        <f aca="false">U817-Z817-AA817</f>
        <v>-0.00372</v>
      </c>
      <c r="AD817" s="375" t="n">
        <v>0.038</v>
      </c>
      <c r="AE817" s="373" t="n">
        <v>0.033654</v>
      </c>
      <c r="AF817" s="376" t="n">
        <v>0.004106</v>
      </c>
      <c r="AG817" s="377" t="n">
        <v>0.038</v>
      </c>
      <c r="AH817" s="378" t="n">
        <v>45740</v>
      </c>
      <c r="AI817" s="379" t="n">
        <v>2</v>
      </c>
      <c r="AJ817" s="380" t="str">
        <f aca="false">IF(AG817="","N","Y")</f>
        <v>Y</v>
      </c>
      <c r="AK817" s="396" t="s">
        <v>1057</v>
      </c>
      <c r="AL817" s="397"/>
    </row>
    <row r="818" s="382" customFormat="true" ht="20.25" hidden="false" customHeight="true" outlineLevel="0" collapsed="false">
      <c r="A818" s="364" t="n">
        <v>293</v>
      </c>
      <c r="B818" s="363" t="n">
        <v>45742</v>
      </c>
      <c r="C818" s="364" t="s">
        <v>1066</v>
      </c>
      <c r="D818" s="364" t="s">
        <v>1108</v>
      </c>
      <c r="E818" s="364" t="s">
        <v>1067</v>
      </c>
      <c r="F818" s="364" t="s">
        <v>1109</v>
      </c>
      <c r="G818" s="365" t="n">
        <v>45742</v>
      </c>
      <c r="H818" s="365" t="n">
        <v>45834</v>
      </c>
      <c r="I818" s="364" t="n">
        <f aca="false">H818-G818</f>
        <v>92</v>
      </c>
      <c r="J818" s="366" t="n">
        <f aca="false">TRUNC(I818/30,0)</f>
        <v>3</v>
      </c>
      <c r="K818" s="395" t="s">
        <v>95</v>
      </c>
      <c r="L818" s="368" t="n">
        <v>20</v>
      </c>
      <c r="M818" s="369"/>
      <c r="N818" s="370"/>
      <c r="O818" s="366" t="s">
        <v>300</v>
      </c>
      <c r="P818" s="371" t="n">
        <v>0.0430267</v>
      </c>
      <c r="Q818" s="371"/>
      <c r="R818" s="372" t="s">
        <v>914</v>
      </c>
      <c r="S818" s="373"/>
      <c r="T818" s="372"/>
      <c r="U818" s="373"/>
      <c r="V818" s="373" t="n">
        <v>0.0427</v>
      </c>
      <c r="W818" s="373" t="n">
        <v>0.000951</v>
      </c>
      <c r="X818" s="373" t="n">
        <v>0.002155</v>
      </c>
      <c r="Y818" s="373" t="n">
        <v>0.039266</v>
      </c>
      <c r="Z818" s="373" t="n">
        <v>0.00172</v>
      </c>
      <c r="AA818" s="373" t="n">
        <v>0.002</v>
      </c>
      <c r="AB818" s="374" t="n">
        <f aca="false">S818-Z818</f>
        <v>-0.00172</v>
      </c>
      <c r="AC818" s="374" t="n">
        <f aca="false">U818-Z818-AA818</f>
        <v>-0.00372</v>
      </c>
      <c r="AD818" s="375" t="n">
        <v>0.0427</v>
      </c>
      <c r="AE818" s="376" t="n">
        <v>0.039421</v>
      </c>
      <c r="AF818" s="376" t="n">
        <f aca="false">AD818-AE818</f>
        <v>0.003279</v>
      </c>
      <c r="AG818" s="377" t="n">
        <v>0.0427</v>
      </c>
      <c r="AH818" s="378" t="n">
        <v>45743</v>
      </c>
      <c r="AI818" s="379" t="n">
        <v>1</v>
      </c>
      <c r="AJ818" s="380" t="str">
        <f aca="false">IF(AG818="","N","Y")</f>
        <v>Y</v>
      </c>
      <c r="AK818" s="396" t="s">
        <v>1123</v>
      </c>
      <c r="AL818" s="397"/>
    </row>
    <row r="819" customFormat="false" ht="20.25" hidden="false" customHeight="true" outlineLevel="0" collapsed="false">
      <c r="A819" s="19" t="n">
        <v>294</v>
      </c>
      <c r="B819" s="141" t="n">
        <v>45743</v>
      </c>
      <c r="C819" s="63" t="s">
        <v>916</v>
      </c>
      <c r="D819" s="63" t="s">
        <v>917</v>
      </c>
      <c r="E819" s="63" t="s">
        <v>143</v>
      </c>
      <c r="F819" s="63" t="s">
        <v>1020</v>
      </c>
      <c r="G819" s="142" t="n">
        <v>45743</v>
      </c>
      <c r="H819" s="142" t="n">
        <v>45929</v>
      </c>
      <c r="I819" s="19" t="n">
        <f aca="false">H819-G819</f>
        <v>186</v>
      </c>
      <c r="J819" s="149" t="n">
        <f aca="false">TRUNC(I819/30,0)</f>
        <v>6</v>
      </c>
      <c r="K819" s="183" t="s">
        <v>95</v>
      </c>
      <c r="L819" s="146" t="n">
        <v>2.56</v>
      </c>
      <c r="M819" s="147" t="n">
        <v>3.86</v>
      </c>
      <c r="N819" s="148" t="s">
        <v>1124</v>
      </c>
      <c r="O819" s="149" t="n">
        <v>6</v>
      </c>
      <c r="P819" s="150" t="n">
        <v>0.0422358</v>
      </c>
      <c r="Q819" s="150"/>
      <c r="R819" s="151" t="s">
        <v>914</v>
      </c>
      <c r="S819" s="152"/>
      <c r="T819" s="151"/>
      <c r="U819" s="152"/>
      <c r="V819" s="152" t="n">
        <v>0.04716</v>
      </c>
      <c r="W819" s="152" t="n">
        <v>0.000943</v>
      </c>
      <c r="X819" s="152" t="n">
        <v>0.002497</v>
      </c>
      <c r="Y819" s="152" t="n">
        <v>0.038991</v>
      </c>
      <c r="Z819" s="152" t="n">
        <v>0.00172</v>
      </c>
      <c r="AA819" s="152" t="n">
        <v>0.002</v>
      </c>
      <c r="AB819" s="154" t="n">
        <f aca="false">S819-Z819</f>
        <v>-0.00172</v>
      </c>
      <c r="AC819" s="154" t="n">
        <f aca="false">U819-Z819-AA819</f>
        <v>-0.00372</v>
      </c>
      <c r="AD819" s="155" t="n">
        <v>0.042</v>
      </c>
      <c r="AE819" s="153" t="n">
        <f aca="false">IF(Y819="","",Y819)</f>
        <v>0.038991</v>
      </c>
      <c r="AF819" s="153" t="n">
        <f aca="false">AD819-AE819</f>
        <v>0.003009</v>
      </c>
      <c r="AG819" s="184" t="n">
        <f aca="false">IF(AF819="","",AE819+AF819)</f>
        <v>0.042</v>
      </c>
      <c r="AH819" s="185" t="n">
        <v>45743</v>
      </c>
      <c r="AI819" s="35" t="n">
        <v>1</v>
      </c>
      <c r="AJ819" s="19" t="str">
        <f aca="false">IF(AG819="","N","Y")</f>
        <v>Y</v>
      </c>
      <c r="AK819" s="396" t="s">
        <v>1125</v>
      </c>
    </row>
    <row r="820" s="382" customFormat="true" ht="20.25" hidden="false" customHeight="true" outlineLevel="0" collapsed="false">
      <c r="A820" s="364" t="n">
        <v>295</v>
      </c>
      <c r="B820" s="363" t="n">
        <v>45744</v>
      </c>
      <c r="C820" s="364" t="s">
        <v>925</v>
      </c>
      <c r="D820" s="364" t="s">
        <v>1073</v>
      </c>
      <c r="E820" s="364" t="s">
        <v>1074</v>
      </c>
      <c r="F820" s="364" t="s">
        <v>1075</v>
      </c>
      <c r="G820" s="365" t="n">
        <v>45744</v>
      </c>
      <c r="H820" s="365" t="n">
        <v>45838</v>
      </c>
      <c r="I820" s="364" t="n">
        <f aca="false">H820-G820</f>
        <v>94</v>
      </c>
      <c r="J820" s="366" t="n">
        <f aca="false">TRUNC(I820/30,0)</f>
        <v>3</v>
      </c>
      <c r="K820" s="395" t="s">
        <v>95</v>
      </c>
      <c r="L820" s="368" t="n">
        <v>2</v>
      </c>
      <c r="M820" s="369"/>
      <c r="N820" s="370"/>
      <c r="O820" s="366" t="s">
        <v>303</v>
      </c>
      <c r="P820" s="371" t="n">
        <v>0.0432268</v>
      </c>
      <c r="Q820" s="371"/>
      <c r="R820" s="372" t="s">
        <v>914</v>
      </c>
      <c r="S820" s="373"/>
      <c r="T820" s="372"/>
      <c r="U820" s="373"/>
      <c r="V820" s="373" t="n">
        <v>0.047525</v>
      </c>
      <c r="W820" s="373" t="n">
        <v>0.000922</v>
      </c>
      <c r="X820" s="373" t="n">
        <v>0.00172</v>
      </c>
      <c r="Y820" s="373" t="n">
        <v>0.039231</v>
      </c>
      <c r="Z820" s="373" t="n">
        <v>0.00172</v>
      </c>
      <c r="AA820" s="373" t="n">
        <v>0.002</v>
      </c>
      <c r="AB820" s="374" t="n">
        <f aca="false">S820-Z820</f>
        <v>-0.00172</v>
      </c>
      <c r="AC820" s="374" t="n">
        <f aca="false">U820-Z820-AA820</f>
        <v>-0.00372</v>
      </c>
      <c r="AD820" s="375" t="n">
        <v>0.0425</v>
      </c>
      <c r="AE820" s="376" t="n">
        <v>0.039231</v>
      </c>
      <c r="AF820" s="376" t="n">
        <f aca="false">AD820-AE820</f>
        <v>0.003269</v>
      </c>
      <c r="AG820" s="377" t="n">
        <v>0.0425</v>
      </c>
      <c r="AH820" s="378" t="n">
        <v>45744</v>
      </c>
      <c r="AI820" s="379" t="n">
        <v>1</v>
      </c>
      <c r="AJ820" s="380" t="str">
        <f aca="false">IF(AG820="","N","Y")</f>
        <v>Y</v>
      </c>
      <c r="AK820" s="396" t="s">
        <v>1087</v>
      </c>
      <c r="AL820" s="397"/>
    </row>
    <row r="821" s="401" customFormat="true" ht="19.5" hidden="false" customHeight="true" outlineLevel="0" collapsed="false">
      <c r="A821" s="364" t="n">
        <v>296</v>
      </c>
      <c r="B821" s="363" t="n">
        <v>45748</v>
      </c>
      <c r="C821" s="364" t="s">
        <v>100</v>
      </c>
      <c r="D821" s="364" t="s">
        <v>922</v>
      </c>
      <c r="E821" s="364" t="s">
        <v>974</v>
      </c>
      <c r="F821" s="364" t="s">
        <v>826</v>
      </c>
      <c r="G821" s="365" t="n">
        <v>45748</v>
      </c>
      <c r="H821" s="365" t="n">
        <v>45769</v>
      </c>
      <c r="I821" s="364" t="n">
        <f aca="false">H821-G821</f>
        <v>21</v>
      </c>
      <c r="J821" s="366" t="n">
        <f aca="false">TRUNC(I821/30,0)</f>
        <v>0</v>
      </c>
      <c r="K821" s="395" t="s">
        <v>95</v>
      </c>
      <c r="L821" s="368" t="n">
        <v>30</v>
      </c>
      <c r="M821" s="369"/>
      <c r="N821" s="370" t="s">
        <v>1126</v>
      </c>
      <c r="O821" s="366" t="s">
        <v>303</v>
      </c>
      <c r="P821" s="371" t="n">
        <v>0.0431937</v>
      </c>
      <c r="Q821" s="371"/>
      <c r="R821" s="372" t="s">
        <v>914</v>
      </c>
      <c r="S821" s="373"/>
      <c r="T821" s="372"/>
      <c r="U821" s="373"/>
      <c r="V821" s="373" t="n">
        <v>0.045709</v>
      </c>
      <c r="W821" s="373" t="n">
        <v>0.0032</v>
      </c>
      <c r="X821" s="373" t="n">
        <v>0.002289</v>
      </c>
      <c r="Y821" s="373" t="n">
        <v>0.034022</v>
      </c>
      <c r="Z821" s="373" t="n">
        <v>0.00172</v>
      </c>
      <c r="AA821" s="373" t="n">
        <v>0.002</v>
      </c>
      <c r="AB821" s="374" t="n">
        <f aca="false">S821-Z821</f>
        <v>-0.00172</v>
      </c>
      <c r="AC821" s="374" t="n">
        <f aca="false">U821-Z821-AA821</f>
        <v>-0.00372</v>
      </c>
      <c r="AD821" s="375" t="n">
        <v>0.0385</v>
      </c>
      <c r="AE821" s="376" t="n">
        <v>0.034022</v>
      </c>
      <c r="AF821" s="376" t="n">
        <f aca="false">AD821-AE821</f>
        <v>0.004478</v>
      </c>
      <c r="AG821" s="377" t="n">
        <v>0.0385</v>
      </c>
      <c r="AH821" s="378" t="n">
        <v>45748</v>
      </c>
      <c r="AI821" s="379" t="n">
        <v>1</v>
      </c>
      <c r="AJ821" s="380" t="s">
        <v>466</v>
      </c>
      <c r="AK821" s="396" t="s">
        <v>1057</v>
      </c>
    </row>
    <row r="822" s="382" customFormat="true" ht="20.25" hidden="false" customHeight="true" outlineLevel="0" collapsed="false">
      <c r="A822" s="364" t="n">
        <v>297</v>
      </c>
      <c r="B822" s="363" t="n">
        <v>45751</v>
      </c>
      <c r="C822" s="364" t="s">
        <v>644</v>
      </c>
      <c r="D822" s="364" t="s">
        <v>1112</v>
      </c>
      <c r="E822" s="364" t="s">
        <v>492</v>
      </c>
      <c r="F822" s="364" t="s">
        <v>880</v>
      </c>
      <c r="G822" s="365" t="n">
        <v>45751</v>
      </c>
      <c r="H822" s="365" t="n">
        <v>45784</v>
      </c>
      <c r="I822" s="364" t="n">
        <f aca="false">H822-G822</f>
        <v>33</v>
      </c>
      <c r="J822" s="366" t="n">
        <f aca="false">TRUNC(I822/30,0)</f>
        <v>1</v>
      </c>
      <c r="K822" s="367" t="s">
        <v>99</v>
      </c>
      <c r="L822" s="368" t="n">
        <v>3</v>
      </c>
      <c r="M822" s="369"/>
      <c r="N822" s="370"/>
      <c r="O822" s="366" t="s">
        <v>303</v>
      </c>
      <c r="P822" s="371" t="n">
        <v>0.0432114</v>
      </c>
      <c r="Q822" s="371"/>
      <c r="R822" s="372" t="s">
        <v>914</v>
      </c>
      <c r="S822" s="373"/>
      <c r="T822" s="372"/>
      <c r="U822" s="373"/>
      <c r="V822" s="373" t="n">
        <v>0.047754</v>
      </c>
      <c r="W822" s="373" t="n">
        <v>0.003343</v>
      </c>
      <c r="X822" s="373" t="n">
        <v>0.004191</v>
      </c>
      <c r="Y822" s="373" t="n">
        <v>0.032246</v>
      </c>
      <c r="Z822" s="373" t="n">
        <v>0.00172</v>
      </c>
      <c r="AA822" s="373" t="n">
        <v>0.002</v>
      </c>
      <c r="AB822" s="374" t="n">
        <f aca="false">S822-Z822</f>
        <v>-0.00172</v>
      </c>
      <c r="AC822" s="374" t="n">
        <f aca="false">U822-Z822-AA822</f>
        <v>-0.00372</v>
      </c>
      <c r="AD822" s="375" t="n">
        <v>0.0385</v>
      </c>
      <c r="AE822" s="373" t="n">
        <v>0.032246</v>
      </c>
      <c r="AF822" s="376" t="n">
        <v>0.005906</v>
      </c>
      <c r="AG822" s="377" t="n">
        <v>0.0385</v>
      </c>
      <c r="AH822" s="378" t="n">
        <v>45751</v>
      </c>
      <c r="AI822" s="379" t="n">
        <v>1</v>
      </c>
      <c r="AJ822" s="380" t="str">
        <f aca="false">IF(AG822="","N","Y")</f>
        <v>Y</v>
      </c>
      <c r="AK822" s="396" t="s">
        <v>1057</v>
      </c>
      <c r="AL822" s="397"/>
    </row>
    <row r="823" s="382" customFormat="true" ht="20.25" hidden="false" customHeight="true" outlineLevel="0" collapsed="false">
      <c r="A823" s="364" t="n">
        <v>298</v>
      </c>
      <c r="B823" s="363" t="n">
        <v>45754</v>
      </c>
      <c r="C823" s="364" t="s">
        <v>96</v>
      </c>
      <c r="D823" s="364" t="s">
        <v>1063</v>
      </c>
      <c r="E823" s="364" t="s">
        <v>1090</v>
      </c>
      <c r="F823" s="364" t="s">
        <v>662</v>
      </c>
      <c r="G823" s="365" t="n">
        <v>45754</v>
      </c>
      <c r="H823" s="365" t="n">
        <v>45786</v>
      </c>
      <c r="I823" s="364" t="n">
        <f aca="false">H823-G823</f>
        <v>32</v>
      </c>
      <c r="J823" s="366" t="n">
        <f aca="false">TRUNC(I823/30,0)</f>
        <v>1</v>
      </c>
      <c r="K823" s="395" t="s">
        <v>95</v>
      </c>
      <c r="L823" s="368" t="n">
        <v>10</v>
      </c>
      <c r="M823" s="369"/>
      <c r="N823" s="370"/>
      <c r="O823" s="366" t="s">
        <v>303</v>
      </c>
      <c r="P823" s="371" t="n">
        <v>0.0431984</v>
      </c>
      <c r="Q823" s="371"/>
      <c r="R823" s="372" t="s">
        <v>914</v>
      </c>
      <c r="S823" s="373"/>
      <c r="T823" s="372"/>
      <c r="U823" s="373"/>
      <c r="V823" s="373" t="n">
        <v>0.046241</v>
      </c>
      <c r="W823" s="373" t="n">
        <v>0.000925</v>
      </c>
      <c r="X823" s="373" t="n">
        <v>0.002096</v>
      </c>
      <c r="Y823" s="373" t="n">
        <v>0.037511</v>
      </c>
      <c r="Z823" s="373" t="n">
        <v>0.00172</v>
      </c>
      <c r="AA823" s="373" t="n">
        <v>0.002</v>
      </c>
      <c r="AB823" s="374" t="n">
        <f aca="false">S823-Z823</f>
        <v>-0.00172</v>
      </c>
      <c r="AC823" s="374" t="n">
        <f aca="false">U823-Z823-AA823</f>
        <v>-0.00372</v>
      </c>
      <c r="AD823" s="375" t="n">
        <v>0.0415</v>
      </c>
      <c r="AE823" s="376" t="n">
        <v>0.037511</v>
      </c>
      <c r="AF823" s="376" t="n">
        <f aca="false">AD823-AE823</f>
        <v>0.003989</v>
      </c>
      <c r="AG823" s="377" t="n">
        <f aca="false">IF(AF823="","",AE823+AF823)</f>
        <v>0.0415</v>
      </c>
      <c r="AH823" s="378" t="n">
        <v>45754</v>
      </c>
      <c r="AI823" s="379" t="n">
        <v>1</v>
      </c>
      <c r="AJ823" s="380" t="str">
        <f aca="false">IF(AG823="","N","Y")</f>
        <v>Y</v>
      </c>
      <c r="AK823" s="396" t="s">
        <v>1087</v>
      </c>
      <c r="AL823" s="397"/>
    </row>
    <row r="824" s="382" customFormat="true" ht="20.25" hidden="false" customHeight="true" outlineLevel="0" collapsed="false">
      <c r="A824" s="364" t="n">
        <v>299</v>
      </c>
      <c r="B824" s="363" t="n">
        <v>45755</v>
      </c>
      <c r="C824" s="364" t="s">
        <v>1066</v>
      </c>
      <c r="D824" s="364" t="s">
        <v>932</v>
      </c>
      <c r="E824" s="364" t="s">
        <v>1067</v>
      </c>
      <c r="F824" s="402" t="s">
        <v>864</v>
      </c>
      <c r="G824" s="365" t="n">
        <v>45755</v>
      </c>
      <c r="H824" s="365" t="n">
        <v>45785</v>
      </c>
      <c r="I824" s="364" t="n">
        <f aca="false">H824-G824</f>
        <v>30</v>
      </c>
      <c r="J824" s="366" t="n">
        <f aca="false">TRUNC(I824/30,0)</f>
        <v>1</v>
      </c>
      <c r="K824" s="367" t="s">
        <v>99</v>
      </c>
      <c r="L824" s="368" t="n">
        <v>1</v>
      </c>
      <c r="M824" s="369"/>
      <c r="N824" s="370"/>
      <c r="O824" s="366" t="s">
        <v>303</v>
      </c>
      <c r="P824" s="371" t="n">
        <v>0.0430079</v>
      </c>
      <c r="Q824" s="371"/>
      <c r="R824" s="372" t="s">
        <v>914</v>
      </c>
      <c r="S824" s="373"/>
      <c r="T824" s="372"/>
      <c r="U824" s="373"/>
      <c r="V824" s="373" t="n">
        <v>0.046761</v>
      </c>
      <c r="W824" s="373" t="n">
        <v>0.003324</v>
      </c>
      <c r="X824" s="373" t="n">
        <v>0.004436</v>
      </c>
      <c r="Y824" s="373" t="n">
        <v>0.032026</v>
      </c>
      <c r="Z824" s="373" t="n">
        <v>0.00172</v>
      </c>
      <c r="AA824" s="373" t="n">
        <v>0.002</v>
      </c>
      <c r="AB824" s="374" t="n">
        <f aca="false">S824-Z824</f>
        <v>-0.00172</v>
      </c>
      <c r="AC824" s="374" t="n">
        <f aca="false">U824-Z824-AA824</f>
        <v>-0.00372</v>
      </c>
      <c r="AD824" s="375" t="n">
        <v>0.038</v>
      </c>
      <c r="AE824" s="376" t="n">
        <v>0.03206</v>
      </c>
      <c r="AF824" s="376" t="n">
        <f aca="false">AD824-AE824</f>
        <v>0.00594</v>
      </c>
      <c r="AG824" s="377" t="n">
        <f aca="false">IF(AF824="","",AE824+AF824)</f>
        <v>0.038</v>
      </c>
      <c r="AH824" s="378" t="n">
        <v>45755</v>
      </c>
      <c r="AI824" s="379" t="n">
        <v>1</v>
      </c>
      <c r="AJ824" s="380" t="str">
        <f aca="false">IF(AG824="","N","Y")</f>
        <v>Y</v>
      </c>
      <c r="AK824" s="396" t="s">
        <v>1057</v>
      </c>
      <c r="AL824" s="397"/>
    </row>
    <row r="825" s="382" customFormat="true" ht="20.25" hidden="false" customHeight="true" outlineLevel="0" collapsed="false">
      <c r="A825" s="364" t="n">
        <v>300</v>
      </c>
      <c r="B825" s="363" t="n">
        <v>45757</v>
      </c>
      <c r="C825" s="364" t="s">
        <v>644</v>
      </c>
      <c r="D825" s="364" t="s">
        <v>1070</v>
      </c>
      <c r="E825" s="364" t="s">
        <v>1071</v>
      </c>
      <c r="F825" s="364" t="s">
        <v>1072</v>
      </c>
      <c r="G825" s="365" t="n">
        <v>45757</v>
      </c>
      <c r="H825" s="365" t="n">
        <v>45789</v>
      </c>
      <c r="I825" s="364" t="n">
        <f aca="false">H825-G825</f>
        <v>32</v>
      </c>
      <c r="J825" s="366" t="n">
        <f aca="false">TRUNC(I825/30,0)</f>
        <v>1</v>
      </c>
      <c r="K825" s="395" t="s">
        <v>95</v>
      </c>
      <c r="L825" s="368" t="n">
        <v>1.5</v>
      </c>
      <c r="M825" s="369"/>
      <c r="N825" s="370"/>
      <c r="O825" s="366" t="s">
        <v>303</v>
      </c>
      <c r="P825" s="371" t="n">
        <v>0.0432221</v>
      </c>
      <c r="Q825" s="371"/>
      <c r="R825" s="372" t="s">
        <v>914</v>
      </c>
      <c r="S825" s="373"/>
      <c r="T825" s="372"/>
      <c r="U825" s="373"/>
      <c r="V825" s="373" t="n">
        <v>0.045895</v>
      </c>
      <c r="W825" s="373" t="n">
        <v>0.000918</v>
      </c>
      <c r="X825" s="373" t="n">
        <v>0.002257</v>
      </c>
      <c r="Y825" s="373" t="n">
        <v>0.037645</v>
      </c>
      <c r="Z825" s="373" t="n">
        <v>0.00172</v>
      </c>
      <c r="AA825" s="373" t="n">
        <v>0.002</v>
      </c>
      <c r="AB825" s="374" t="n">
        <f aca="false">S825-Z825</f>
        <v>-0.00172</v>
      </c>
      <c r="AC825" s="374" t="n">
        <f aca="false">U825-Z825-AA825</f>
        <v>-0.00372</v>
      </c>
      <c r="AD825" s="375" t="n">
        <v>0.041</v>
      </c>
      <c r="AE825" s="376" t="n">
        <v>0.037645</v>
      </c>
      <c r="AF825" s="376" t="n">
        <f aca="false">AD825-AE825</f>
        <v>0.003355</v>
      </c>
      <c r="AG825" s="377" t="n">
        <f aca="false">IF(AF825="","",AE825+AF825)</f>
        <v>0.041</v>
      </c>
      <c r="AH825" s="378" t="n">
        <v>45757</v>
      </c>
      <c r="AI825" s="379" t="n">
        <v>1</v>
      </c>
      <c r="AJ825" s="380" t="str">
        <f aca="false">IF(AG825="","N","Y")</f>
        <v>Y</v>
      </c>
      <c r="AK825" s="396" t="s">
        <v>1065</v>
      </c>
      <c r="AL825" s="397"/>
    </row>
    <row r="826" s="382" customFormat="true" ht="20.25" hidden="false" customHeight="true" outlineLevel="0" collapsed="false">
      <c r="A826" s="364" t="n">
        <v>301</v>
      </c>
      <c r="B826" s="363" t="n">
        <v>45758</v>
      </c>
      <c r="C826" s="364" t="s">
        <v>209</v>
      </c>
      <c r="D826" s="364" t="s">
        <v>1054</v>
      </c>
      <c r="E826" s="364" t="s">
        <v>1055</v>
      </c>
      <c r="F826" s="364" t="s">
        <v>697</v>
      </c>
      <c r="G826" s="365" t="n">
        <v>45758</v>
      </c>
      <c r="H826" s="365" t="n">
        <v>45789</v>
      </c>
      <c r="I826" s="364" t="n">
        <f aca="false">H826-G826</f>
        <v>31</v>
      </c>
      <c r="J826" s="366" t="n">
        <f aca="false">TRUNC(I826/30,0)</f>
        <v>1</v>
      </c>
      <c r="K826" s="367" t="s">
        <v>99</v>
      </c>
      <c r="L826" s="368" t="n">
        <v>1.2</v>
      </c>
      <c r="M826" s="369"/>
      <c r="N826" s="370"/>
      <c r="O826" s="366" t="s">
        <v>303</v>
      </c>
      <c r="P826" s="371" t="n">
        <v>0.043288</v>
      </c>
      <c r="Q826" s="371"/>
      <c r="R826" s="372" t="s">
        <v>914</v>
      </c>
      <c r="S826" s="373"/>
      <c r="T826" s="372"/>
      <c r="U826" s="373"/>
      <c r="V826" s="373" t="n">
        <v>0.047459</v>
      </c>
      <c r="W826" s="373" t="n">
        <v>0.003322</v>
      </c>
      <c r="X826" s="373" t="n">
        <v>0.004417</v>
      </c>
      <c r="Y826" s="373" t="n">
        <v>0.03263</v>
      </c>
      <c r="Z826" s="373" t="n">
        <v>0.00172</v>
      </c>
      <c r="AA826" s="373" t="n">
        <v>0.002</v>
      </c>
      <c r="AB826" s="374" t="n">
        <f aca="false">S826-Z826</f>
        <v>-0.00172</v>
      </c>
      <c r="AC826" s="374" t="n">
        <f aca="false">U826-Z826-AA826</f>
        <v>-0.00372</v>
      </c>
      <c r="AD826" s="375" t="n">
        <v>0.038</v>
      </c>
      <c r="AE826" s="376" t="n">
        <v>0.03263</v>
      </c>
      <c r="AF826" s="376" t="n">
        <f aca="false">AD826-AE826</f>
        <v>0.00537</v>
      </c>
      <c r="AG826" s="377" t="n">
        <v>0.038</v>
      </c>
      <c r="AH826" s="378" t="n">
        <v>45758</v>
      </c>
      <c r="AI826" s="379" t="n">
        <v>1</v>
      </c>
      <c r="AJ826" s="380" t="str">
        <f aca="false">IF(AG826="","N","Y")</f>
        <v>Y</v>
      </c>
      <c r="AK826" s="396" t="s">
        <v>1057</v>
      </c>
      <c r="AL826" s="397"/>
    </row>
    <row r="827" s="382" customFormat="true" ht="20.25" hidden="false" customHeight="true" outlineLevel="0" collapsed="false">
      <c r="A827" s="364" t="n">
        <v>302</v>
      </c>
      <c r="B827" s="363" t="n">
        <v>45758</v>
      </c>
      <c r="C827" s="364" t="s">
        <v>209</v>
      </c>
      <c r="D827" s="364" t="s">
        <v>1054</v>
      </c>
      <c r="E827" s="364" t="s">
        <v>1055</v>
      </c>
      <c r="F827" s="364" t="s">
        <v>697</v>
      </c>
      <c r="G827" s="365" t="n">
        <v>45758</v>
      </c>
      <c r="H827" s="365" t="n">
        <v>45789</v>
      </c>
      <c r="I827" s="364" t="n">
        <f aca="false">H827-G827</f>
        <v>31</v>
      </c>
      <c r="J827" s="366" t="n">
        <f aca="false">TRUNC(I827/30,0)</f>
        <v>1</v>
      </c>
      <c r="K827" s="395" t="s">
        <v>95</v>
      </c>
      <c r="L827" s="368" t="n">
        <v>12.2</v>
      </c>
      <c r="M827" s="369"/>
      <c r="N827" s="370"/>
      <c r="O827" s="366" t="s">
        <v>303</v>
      </c>
      <c r="P827" s="371" t="n">
        <v>0.043288</v>
      </c>
      <c r="Q827" s="371"/>
      <c r="R827" s="372" t="s">
        <v>914</v>
      </c>
      <c r="S827" s="373"/>
      <c r="T827" s="372"/>
      <c r="U827" s="373"/>
      <c r="V827" s="373" t="n">
        <v>0.046192</v>
      </c>
      <c r="W827" s="373" t="n">
        <v>0.000924</v>
      </c>
      <c r="X827" s="373" t="n">
        <v>0.003348</v>
      </c>
      <c r="Y827" s="373" t="n">
        <v>0.037722</v>
      </c>
      <c r="Z827" s="373" t="n">
        <v>0.00172</v>
      </c>
      <c r="AA827" s="373" t="n">
        <v>0.002</v>
      </c>
      <c r="AB827" s="374" t="n">
        <f aca="false">S827-Z827</f>
        <v>-0.00172</v>
      </c>
      <c r="AC827" s="374" t="n">
        <f aca="false">U827-Z827-AA827</f>
        <v>-0.00372</v>
      </c>
      <c r="AD827" s="375" t="n">
        <v>0.0402</v>
      </c>
      <c r="AE827" s="376" t="n">
        <v>0.037722</v>
      </c>
      <c r="AF827" s="376" t="n">
        <f aca="false">AD827-AE827</f>
        <v>0.002478</v>
      </c>
      <c r="AG827" s="377" t="n">
        <v>0.0402</v>
      </c>
      <c r="AH827" s="378" t="n">
        <v>45758</v>
      </c>
      <c r="AI827" s="379" t="n">
        <v>2</v>
      </c>
      <c r="AJ827" s="380" t="str">
        <f aca="false">IF(AG827="","N","Y")</f>
        <v>Y</v>
      </c>
      <c r="AK827" s="396" t="s">
        <v>1065</v>
      </c>
      <c r="AL827" s="397"/>
    </row>
    <row r="828" s="382" customFormat="true" ht="20.25" hidden="false" customHeight="true" outlineLevel="0" collapsed="false">
      <c r="A828" s="364" t="n">
        <v>303</v>
      </c>
      <c r="B828" s="363" t="n">
        <v>45758</v>
      </c>
      <c r="C828" s="364" t="s">
        <v>925</v>
      </c>
      <c r="D828" s="364" t="s">
        <v>1073</v>
      </c>
      <c r="E828" s="364" t="s">
        <v>1074</v>
      </c>
      <c r="F828" s="364" t="s">
        <v>1075</v>
      </c>
      <c r="G828" s="365" t="n">
        <v>45758</v>
      </c>
      <c r="H828" s="365" t="n">
        <v>45789</v>
      </c>
      <c r="I828" s="364" t="n">
        <f aca="false">H828-G828</f>
        <v>31</v>
      </c>
      <c r="J828" s="366" t="n">
        <f aca="false">TRUNC(I828/30,0)</f>
        <v>1</v>
      </c>
      <c r="K828" s="367" t="s">
        <v>99</v>
      </c>
      <c r="L828" s="368" t="n">
        <v>1</v>
      </c>
      <c r="M828" s="369"/>
      <c r="N828" s="370"/>
      <c r="O828" s="366" t="s">
        <v>303</v>
      </c>
      <c r="P828" s="371" t="n">
        <v>0.043288</v>
      </c>
      <c r="Q828" s="371"/>
      <c r="R828" s="372" t="s">
        <v>914</v>
      </c>
      <c r="S828" s="373"/>
      <c r="T828" s="372"/>
      <c r="U828" s="373"/>
      <c r="V828" s="373" t="n">
        <v>0.047459</v>
      </c>
      <c r="W828" s="373" t="n">
        <v>0.003322</v>
      </c>
      <c r="X828" s="373" t="n">
        <v>0.004417</v>
      </c>
      <c r="Y828" s="373" t="n">
        <v>0.03263</v>
      </c>
      <c r="Z828" s="373" t="n">
        <v>0.00172</v>
      </c>
      <c r="AA828" s="373" t="n">
        <v>0.002</v>
      </c>
      <c r="AB828" s="374" t="n">
        <f aca="false">S828-Z828</f>
        <v>-0.00172</v>
      </c>
      <c r="AC828" s="374" t="n">
        <f aca="false">U828-Z828-AA828</f>
        <v>-0.00372</v>
      </c>
      <c r="AD828" s="375" t="n">
        <v>0.038</v>
      </c>
      <c r="AE828" s="376" t="n">
        <v>0.03263</v>
      </c>
      <c r="AF828" s="376" t="n">
        <f aca="false">AD828-AE828</f>
        <v>0.00537</v>
      </c>
      <c r="AG828" s="377" t="n">
        <v>0.038</v>
      </c>
      <c r="AH828" s="378" t="n">
        <v>45758</v>
      </c>
      <c r="AI828" s="379" t="n">
        <v>1</v>
      </c>
      <c r="AJ828" s="380" t="str">
        <f aca="false">IF(AG828="","N","Y")</f>
        <v>Y</v>
      </c>
      <c r="AK828" s="396" t="s">
        <v>1057</v>
      </c>
      <c r="AL828" s="397"/>
    </row>
    <row r="829" s="382" customFormat="true" ht="20.25" hidden="false" customHeight="true" outlineLevel="0" collapsed="false">
      <c r="A829" s="364" t="n">
        <v>304</v>
      </c>
      <c r="B829" s="363" t="n">
        <v>45758</v>
      </c>
      <c r="C829" s="364" t="s">
        <v>187</v>
      </c>
      <c r="D829" s="364" t="s">
        <v>1062</v>
      </c>
      <c r="E829" s="364" t="s">
        <v>876</v>
      </c>
      <c r="F829" s="364" t="s">
        <v>877</v>
      </c>
      <c r="G829" s="365" t="n">
        <v>45758</v>
      </c>
      <c r="H829" s="365" t="n">
        <v>45771</v>
      </c>
      <c r="I829" s="364" t="n">
        <f aca="false">H829-G829</f>
        <v>13</v>
      </c>
      <c r="J829" s="366" t="n">
        <f aca="false">TRUNC(I829/30,0)</f>
        <v>0</v>
      </c>
      <c r="K829" s="395" t="s">
        <v>95</v>
      </c>
      <c r="L829" s="368" t="n">
        <v>54.9</v>
      </c>
      <c r="M829" s="369"/>
      <c r="N829" s="370"/>
      <c r="O829" s="366" t="s">
        <v>305</v>
      </c>
      <c r="P829" s="371" t="n">
        <v>0.0440113</v>
      </c>
      <c r="Q829" s="371"/>
      <c r="R829" s="372" t="s">
        <v>914</v>
      </c>
      <c r="S829" s="373"/>
      <c r="T829" s="372"/>
      <c r="U829" s="373"/>
      <c r="V829" s="373" t="n">
        <v>0.045485</v>
      </c>
      <c r="W829" s="373" t="n">
        <v>0.003184</v>
      </c>
      <c r="X829" s="373" t="n">
        <v>0.002581</v>
      </c>
      <c r="Y829" s="373" t="n">
        <v>0.03463</v>
      </c>
      <c r="Z829" s="373" t="n">
        <v>0.00172</v>
      </c>
      <c r="AA829" s="373" t="n">
        <v>0.002</v>
      </c>
      <c r="AB829" s="374" t="n">
        <f aca="false">S829-Z829</f>
        <v>-0.00172</v>
      </c>
      <c r="AC829" s="374" t="n">
        <f aca="false">U829-Z829-AA829</f>
        <v>-0.00372</v>
      </c>
      <c r="AD829" s="375" t="n">
        <v>0.038</v>
      </c>
      <c r="AE829" s="373" t="n">
        <v>0.03463</v>
      </c>
      <c r="AF829" s="376" t="n">
        <f aca="false">AD829-AE829</f>
        <v>0.00337</v>
      </c>
      <c r="AG829" s="377" t="n">
        <v>0.038</v>
      </c>
      <c r="AH829" s="378" t="n">
        <v>45758</v>
      </c>
      <c r="AI829" s="379" t="n">
        <v>2</v>
      </c>
      <c r="AJ829" s="380" t="str">
        <f aca="false">IF(AG829="","N","Y")</f>
        <v>Y</v>
      </c>
      <c r="AK829" s="396" t="s">
        <v>1057</v>
      </c>
      <c r="AL829" s="397"/>
    </row>
    <row r="830" s="382" customFormat="true" ht="20.25" hidden="false" customHeight="true" outlineLevel="0" collapsed="false">
      <c r="A830" s="364" t="n">
        <f aca="false">IF(B830="","",IF((YEAR(B830)-YEAR(B829))=0,A829+1,1))</f>
        <v>305</v>
      </c>
      <c r="B830" s="363" t="n">
        <v>45761</v>
      </c>
      <c r="C830" s="364" t="s">
        <v>1081</v>
      </c>
      <c r="D830" s="364" t="s">
        <v>1082</v>
      </c>
      <c r="E830" s="364" t="s">
        <v>900</v>
      </c>
      <c r="F830" s="364" t="s">
        <v>1083</v>
      </c>
      <c r="G830" s="365" t="n">
        <v>45761</v>
      </c>
      <c r="H830" s="365" t="n">
        <v>45791</v>
      </c>
      <c r="I830" s="364" t="n">
        <f aca="false">H830-G830</f>
        <v>30</v>
      </c>
      <c r="J830" s="366" t="n">
        <f aca="false">TRUNC(I830/30,0)</f>
        <v>1</v>
      </c>
      <c r="K830" s="367" t="s">
        <v>99</v>
      </c>
      <c r="L830" s="368" t="n">
        <v>1.4</v>
      </c>
      <c r="M830" s="369"/>
      <c r="N830" s="370"/>
      <c r="O830" s="366" t="s">
        <v>303</v>
      </c>
      <c r="P830" s="371" t="n">
        <v>0.0432186</v>
      </c>
      <c r="Q830" s="371"/>
      <c r="R830" s="372" t="s">
        <v>914</v>
      </c>
      <c r="S830" s="373"/>
      <c r="T830" s="372"/>
      <c r="U830" s="373"/>
      <c r="V830" s="373" t="n">
        <v>0.047464</v>
      </c>
      <c r="W830" s="373" t="n">
        <v>0.003322</v>
      </c>
      <c r="X830" s="373" t="n">
        <v>0.004422</v>
      </c>
      <c r="Y830" s="373" t="n">
        <v>0.032248</v>
      </c>
      <c r="Z830" s="373" t="n">
        <v>0.00172</v>
      </c>
      <c r="AA830" s="373" t="n">
        <v>0.002</v>
      </c>
      <c r="AB830" s="374" t="n">
        <f aca="false">S830-Z830</f>
        <v>-0.00172</v>
      </c>
      <c r="AC830" s="374" t="n">
        <f aca="false">U830-Z830-AA830</f>
        <v>-0.00372</v>
      </c>
      <c r="AD830" s="375" t="n">
        <v>0.038</v>
      </c>
      <c r="AE830" s="376" t="n">
        <v>0.032248</v>
      </c>
      <c r="AF830" s="376" t="n">
        <f aca="false">AD830-AE830</f>
        <v>0.005752</v>
      </c>
      <c r="AG830" s="377" t="n">
        <f aca="false">IF(AF830="","",AE830+AF830)</f>
        <v>0.038</v>
      </c>
      <c r="AH830" s="378" t="n">
        <v>45761</v>
      </c>
      <c r="AI830" s="379" t="n">
        <v>1</v>
      </c>
      <c r="AJ830" s="380" t="str">
        <f aca="false">IF(AG830="","N","Y")</f>
        <v>Y</v>
      </c>
      <c r="AK830" s="396" t="s">
        <v>1057</v>
      </c>
      <c r="AL830" s="397"/>
    </row>
    <row r="831" s="382" customFormat="true" ht="20.25" hidden="false" customHeight="true" outlineLevel="0" collapsed="false">
      <c r="A831" s="364" t="n">
        <v>306</v>
      </c>
      <c r="B831" s="363" t="n">
        <v>45761</v>
      </c>
      <c r="C831" s="364" t="s">
        <v>862</v>
      </c>
      <c r="D831" s="364" t="s">
        <v>932</v>
      </c>
      <c r="E831" s="364" t="s">
        <v>970</v>
      </c>
      <c r="F831" s="364" t="s">
        <v>906</v>
      </c>
      <c r="G831" s="365" t="n">
        <v>45761</v>
      </c>
      <c r="H831" s="365" t="n">
        <v>45791</v>
      </c>
      <c r="I831" s="364" t="n">
        <f aca="false">H831-G831</f>
        <v>30</v>
      </c>
      <c r="J831" s="366" t="n">
        <f aca="false">TRUNC(I831/30,0)</f>
        <v>1</v>
      </c>
      <c r="K831" s="367" t="s">
        <v>99</v>
      </c>
      <c r="L831" s="368" t="n">
        <v>4.5</v>
      </c>
      <c r="M831" s="369"/>
      <c r="N831" s="370"/>
      <c r="O831" s="366" t="s">
        <v>303</v>
      </c>
      <c r="P831" s="371" t="n">
        <v>0.0432186</v>
      </c>
      <c r="Q831" s="371"/>
      <c r="R831" s="372" t="s">
        <v>914</v>
      </c>
      <c r="S831" s="373"/>
      <c r="T831" s="372"/>
      <c r="U831" s="373"/>
      <c r="V831" s="373" t="n">
        <v>0.047464</v>
      </c>
      <c r="W831" s="373" t="n">
        <v>0.003322</v>
      </c>
      <c r="X831" s="373" t="n">
        <v>0.004422</v>
      </c>
      <c r="Y831" s="373" t="n">
        <v>0.032248</v>
      </c>
      <c r="Z831" s="373" t="n">
        <v>0.00172</v>
      </c>
      <c r="AA831" s="373" t="n">
        <v>0.002</v>
      </c>
      <c r="AB831" s="374" t="n">
        <f aca="false">S831-Z831</f>
        <v>-0.00172</v>
      </c>
      <c r="AC831" s="374" t="n">
        <f aca="false">U831-Z831-AA831</f>
        <v>-0.00372</v>
      </c>
      <c r="AD831" s="375" t="n">
        <v>0.038</v>
      </c>
      <c r="AE831" s="376" t="n">
        <v>0.032248</v>
      </c>
      <c r="AF831" s="376" t="n">
        <f aca="false">AD831-AE831</f>
        <v>0.005752</v>
      </c>
      <c r="AG831" s="377" t="n">
        <f aca="false">IF(AF831="","",AE831+AF831)</f>
        <v>0.038</v>
      </c>
      <c r="AH831" s="378" t="n">
        <v>45761</v>
      </c>
      <c r="AI831" s="379" t="n">
        <v>2</v>
      </c>
      <c r="AJ831" s="380" t="str">
        <f aca="false">IF(AG831="","N","Y")</f>
        <v>Y</v>
      </c>
      <c r="AK831" s="396" t="s">
        <v>1057</v>
      </c>
      <c r="AL831" s="397"/>
    </row>
    <row r="832" s="382" customFormat="true" ht="20.25" hidden="false" customHeight="true" outlineLevel="0" collapsed="false">
      <c r="A832" s="364" t="n">
        <v>307</v>
      </c>
      <c r="B832" s="363" t="n">
        <v>45761</v>
      </c>
      <c r="C832" s="364" t="s">
        <v>96</v>
      </c>
      <c r="D832" s="364" t="s">
        <v>1063</v>
      </c>
      <c r="E832" s="364" t="s">
        <v>1127</v>
      </c>
      <c r="F832" s="364" t="s">
        <v>1116</v>
      </c>
      <c r="G832" s="365" t="n">
        <v>45761</v>
      </c>
      <c r="H832" s="365" t="n">
        <v>45791</v>
      </c>
      <c r="I832" s="364" t="n">
        <f aca="false">H832-G832</f>
        <v>30</v>
      </c>
      <c r="J832" s="366" t="n">
        <f aca="false">TRUNC(I832/30,0)</f>
        <v>1</v>
      </c>
      <c r="K832" s="395" t="s">
        <v>95</v>
      </c>
      <c r="L832" s="368" t="n">
        <v>1</v>
      </c>
      <c r="M832" s="369" t="n">
        <v>3.81</v>
      </c>
      <c r="N832" s="370" t="s">
        <v>1128</v>
      </c>
      <c r="O832" s="366" t="s">
        <v>303</v>
      </c>
      <c r="P832" s="371" t="n">
        <v>0.0432186</v>
      </c>
      <c r="Q832" s="371"/>
      <c r="R832" s="372" t="s">
        <v>914</v>
      </c>
      <c r="S832" s="373"/>
      <c r="T832" s="372"/>
      <c r="U832" s="373"/>
      <c r="V832" s="373" t="n">
        <v>0.046272</v>
      </c>
      <c r="W832" s="373" t="n">
        <v>0.000925</v>
      </c>
      <c r="X832" s="373" t="n">
        <v>0.002127</v>
      </c>
      <c r="Y832" s="373" t="n">
        <v>0.037654</v>
      </c>
      <c r="Z832" s="373" t="n">
        <v>0.00172</v>
      </c>
      <c r="AA832" s="373" t="n">
        <v>0.002</v>
      </c>
      <c r="AB832" s="374" t="n">
        <f aca="false">S832-Z832</f>
        <v>-0.00172</v>
      </c>
      <c r="AC832" s="374" t="n">
        <f aca="false">U832-Z832-AA832</f>
        <v>-0.00372</v>
      </c>
      <c r="AD832" s="375" t="n">
        <v>0.0415</v>
      </c>
      <c r="AE832" s="376" t="n">
        <v>0.037654</v>
      </c>
      <c r="AF832" s="376" t="n">
        <f aca="false">AD832-AE832</f>
        <v>0.003846</v>
      </c>
      <c r="AG832" s="377" t="n">
        <f aca="false">IF(AF832="","",AE832+AF832)</f>
        <v>0.0415</v>
      </c>
      <c r="AH832" s="378" t="n">
        <v>45761</v>
      </c>
      <c r="AI832" s="379" t="n">
        <v>3</v>
      </c>
      <c r="AJ832" s="380" t="str">
        <f aca="false">IF(AG832="","N","Y")</f>
        <v>Y</v>
      </c>
      <c r="AK832" s="396" t="s">
        <v>1065</v>
      </c>
      <c r="AL832" s="397"/>
    </row>
    <row r="833" s="382" customFormat="true" ht="20.25" hidden="false" customHeight="true" outlineLevel="0" collapsed="false">
      <c r="A833" s="364" t="n">
        <f aca="false">IF(B833="","",IF((YEAR(B833)-YEAR(B832))=0,A832+1,1))</f>
        <v>308</v>
      </c>
      <c r="B833" s="363" t="n">
        <v>45761</v>
      </c>
      <c r="C833" s="364" t="s">
        <v>1129</v>
      </c>
      <c r="D833" s="364" t="s">
        <v>1130</v>
      </c>
      <c r="E833" s="364" t="s">
        <v>1131</v>
      </c>
      <c r="F833" s="364" t="s">
        <v>1132</v>
      </c>
      <c r="G833" s="365" t="n">
        <v>45761</v>
      </c>
      <c r="H833" s="365" t="n">
        <v>45791</v>
      </c>
      <c r="I833" s="364" t="n">
        <f aca="false">H833-G833</f>
        <v>30</v>
      </c>
      <c r="J833" s="366" t="n">
        <f aca="false">TRUNC(I833/30,0)</f>
        <v>1</v>
      </c>
      <c r="K833" s="395" t="s">
        <v>95</v>
      </c>
      <c r="L833" s="368" t="n">
        <v>1.12</v>
      </c>
      <c r="M833" s="369"/>
      <c r="N833" s="370"/>
      <c r="O833" s="366" t="s">
        <v>303</v>
      </c>
      <c r="P833" s="371" t="n">
        <v>0.0432186</v>
      </c>
      <c r="Q833" s="371"/>
      <c r="R833" s="372" t="s">
        <v>914</v>
      </c>
      <c r="S833" s="373"/>
      <c r="T833" s="372"/>
      <c r="U833" s="373"/>
      <c r="V833" s="373" t="n">
        <v>0.046272</v>
      </c>
      <c r="W833" s="373" t="n">
        <v>0.000925</v>
      </c>
      <c r="X833" s="373" t="n">
        <v>0.002127</v>
      </c>
      <c r="Y833" s="373" t="n">
        <v>0.037654</v>
      </c>
      <c r="Z833" s="373" t="n">
        <v>0.00172</v>
      </c>
      <c r="AA833" s="373" t="n">
        <v>0.002</v>
      </c>
      <c r="AB833" s="374" t="n">
        <f aca="false">S833-Z833</f>
        <v>-0.00172</v>
      </c>
      <c r="AC833" s="374" t="n">
        <f aca="false">U833-Z833-AA833</f>
        <v>-0.00372</v>
      </c>
      <c r="AD833" s="375" t="n">
        <v>0.0415</v>
      </c>
      <c r="AE833" s="376" t="n">
        <v>0.037654</v>
      </c>
      <c r="AF833" s="376" t="n">
        <f aca="false">AD833-AE833</f>
        <v>0.003846</v>
      </c>
      <c r="AG833" s="377" t="n">
        <f aca="false">IF(AF833="","",AE833+AF833)</f>
        <v>0.0415</v>
      </c>
      <c r="AH833" s="378" t="n">
        <v>45761</v>
      </c>
      <c r="AI833" s="379" t="n">
        <v>4</v>
      </c>
      <c r="AJ833" s="380" t="str">
        <f aca="false">IF(AG833="","N","Y")</f>
        <v>Y</v>
      </c>
      <c r="AK833" s="396" t="s">
        <v>1065</v>
      </c>
      <c r="AL833" s="397"/>
    </row>
    <row r="834" s="382" customFormat="true" ht="20.25" hidden="false" customHeight="true" outlineLevel="0" collapsed="false">
      <c r="A834" s="364" t="n">
        <v>309</v>
      </c>
      <c r="B834" s="363" t="n">
        <v>45765</v>
      </c>
      <c r="C834" s="364" t="s">
        <v>187</v>
      </c>
      <c r="D834" s="364" t="s">
        <v>1118</v>
      </c>
      <c r="E834" s="364" t="s">
        <v>1119</v>
      </c>
      <c r="F834" s="364" t="s">
        <v>1120</v>
      </c>
      <c r="G834" s="365" t="n">
        <v>45765</v>
      </c>
      <c r="H834" s="365" t="n">
        <v>45793</v>
      </c>
      <c r="I834" s="364" t="n">
        <f aca="false">H834-G834</f>
        <v>28</v>
      </c>
      <c r="J834" s="366" t="n">
        <f aca="false">TRUNC(I834/30,0)</f>
        <v>0</v>
      </c>
      <c r="K834" s="367" t="s">
        <v>99</v>
      </c>
      <c r="L834" s="368" t="n">
        <v>1.5</v>
      </c>
      <c r="M834" s="369"/>
      <c r="N834" s="370"/>
      <c r="O834" s="366" t="s">
        <v>303</v>
      </c>
      <c r="P834" s="371" t="n">
        <v>0.0431859</v>
      </c>
      <c r="Q834" s="371"/>
      <c r="R834" s="372" t="s">
        <v>914</v>
      </c>
      <c r="S834" s="373"/>
      <c r="T834" s="372"/>
      <c r="U834" s="373"/>
      <c r="V834" s="373" t="n">
        <v>0.047957</v>
      </c>
      <c r="W834" s="373" t="n">
        <v>0.003357</v>
      </c>
      <c r="X834" s="373" t="n">
        <v>0.00438</v>
      </c>
      <c r="Y834" s="373" t="n">
        <v>0.031799</v>
      </c>
      <c r="Z834" s="373" t="n">
        <v>0.00172</v>
      </c>
      <c r="AA834" s="373" t="n">
        <v>0.002</v>
      </c>
      <c r="AB834" s="374" t="n">
        <f aca="false">S834-Z834</f>
        <v>-0.00172</v>
      </c>
      <c r="AC834" s="374" t="n">
        <f aca="false">U834-Z834-AA834</f>
        <v>-0.00372</v>
      </c>
      <c r="AD834" s="375" t="n">
        <v>0.0385</v>
      </c>
      <c r="AE834" s="376" t="n">
        <v>0.031799</v>
      </c>
      <c r="AF834" s="376" t="n">
        <f aca="false">AD834-AE834</f>
        <v>0.006701</v>
      </c>
      <c r="AG834" s="377" t="n">
        <v>0.0385</v>
      </c>
      <c r="AH834" s="378" t="n">
        <v>45765</v>
      </c>
      <c r="AI834" s="379" t="n">
        <v>1</v>
      </c>
      <c r="AJ834" s="380" t="str">
        <f aca="false">IF(AG834="","N","Y")</f>
        <v>Y</v>
      </c>
      <c r="AK834" s="396" t="s">
        <v>1057</v>
      </c>
      <c r="AL834" s="397"/>
    </row>
    <row r="835" s="382" customFormat="true" ht="20.25" hidden="false" customHeight="true" outlineLevel="0" collapsed="false">
      <c r="A835" s="364" t="n">
        <v>310</v>
      </c>
      <c r="B835" s="363" t="n">
        <v>45771</v>
      </c>
      <c r="C835" s="364" t="s">
        <v>187</v>
      </c>
      <c r="D835" s="364" t="s">
        <v>1062</v>
      </c>
      <c r="E835" s="364" t="s">
        <v>876</v>
      </c>
      <c r="F835" s="364" t="s">
        <v>877</v>
      </c>
      <c r="G835" s="365" t="n">
        <v>45771</v>
      </c>
      <c r="H835" s="365" t="n">
        <v>45789</v>
      </c>
      <c r="I835" s="364" t="n">
        <f aca="false">H835-G835</f>
        <v>18</v>
      </c>
      <c r="J835" s="366" t="n">
        <f aca="false">TRUNC(I835/30,0)</f>
        <v>0</v>
      </c>
      <c r="K835" s="395" t="s">
        <v>95</v>
      </c>
      <c r="L835" s="368" t="n">
        <v>52.4</v>
      </c>
      <c r="M835" s="369"/>
      <c r="N835" s="370"/>
      <c r="O835" s="366" t="s">
        <v>305</v>
      </c>
      <c r="P835" s="371" t="n">
        <v>0.0430551</v>
      </c>
      <c r="Q835" s="371"/>
      <c r="R835" s="372" t="s">
        <v>914</v>
      </c>
      <c r="S835" s="373"/>
      <c r="T835" s="372"/>
      <c r="U835" s="373"/>
      <c r="V835" s="373" t="n">
        <v>0.045371</v>
      </c>
      <c r="W835" s="373" t="n">
        <v>0.003176</v>
      </c>
      <c r="X835" s="373" t="n">
        <v>0.002475</v>
      </c>
      <c r="Y835" s="373" t="n">
        <v>0.033741</v>
      </c>
      <c r="Z835" s="373" t="n">
        <v>0.00172</v>
      </c>
      <c r="AA835" s="373" t="n">
        <v>0.002</v>
      </c>
      <c r="AB835" s="374" t="n">
        <f aca="false">S835-Z835</f>
        <v>-0.00172</v>
      </c>
      <c r="AC835" s="374" t="n">
        <f aca="false">U835-Z835-AA835</f>
        <v>-0.00372</v>
      </c>
      <c r="AD835" s="375" t="n">
        <v>0.038</v>
      </c>
      <c r="AE835" s="373" t="n">
        <v>0.033741</v>
      </c>
      <c r="AF835" s="376" t="n">
        <f aca="false">AD835-AE835</f>
        <v>0.004259</v>
      </c>
      <c r="AG835" s="377" t="n">
        <v>0.038</v>
      </c>
      <c r="AH835" s="378" t="n">
        <v>45771</v>
      </c>
      <c r="AI835" s="379" t="n">
        <v>1</v>
      </c>
      <c r="AJ835" s="380" t="str">
        <f aca="false">IF(AG835="","N","Y")</f>
        <v>Y</v>
      </c>
      <c r="AK835" s="396" t="s">
        <v>1057</v>
      </c>
      <c r="AL835" s="397"/>
    </row>
    <row r="836" s="382" customFormat="true" ht="20.25" hidden="false" customHeight="true" outlineLevel="0" collapsed="false">
      <c r="A836" s="364" t="n">
        <v>311</v>
      </c>
      <c r="B836" s="363" t="n">
        <v>45771</v>
      </c>
      <c r="C836" s="364" t="s">
        <v>116</v>
      </c>
      <c r="D836" s="364" t="s">
        <v>1005</v>
      </c>
      <c r="E836" s="364" t="s">
        <v>763</v>
      </c>
      <c r="F836" s="364" t="s">
        <v>1056</v>
      </c>
      <c r="G836" s="365" t="n">
        <v>45771</v>
      </c>
      <c r="H836" s="365" t="n">
        <v>45800</v>
      </c>
      <c r="I836" s="364" t="n">
        <f aca="false">H836-G836</f>
        <v>29</v>
      </c>
      <c r="J836" s="366" t="n">
        <f aca="false">TRUNC(I836/30,0)</f>
        <v>0</v>
      </c>
      <c r="K836" s="367" t="s">
        <v>99</v>
      </c>
      <c r="L836" s="368" t="n">
        <v>10.2</v>
      </c>
      <c r="M836" s="369"/>
      <c r="N836" s="370"/>
      <c r="O836" s="366" t="s">
        <v>303</v>
      </c>
      <c r="P836" s="371" t="n">
        <v>0.0432661</v>
      </c>
      <c r="Q836" s="371"/>
      <c r="R836" s="372" t="s">
        <v>914</v>
      </c>
      <c r="S836" s="373"/>
      <c r="T836" s="372"/>
      <c r="U836" s="373"/>
      <c r="V836" s="373" t="n">
        <v>0.048341</v>
      </c>
      <c r="W836" s="373" t="n">
        <v>0.003384</v>
      </c>
      <c r="X836" s="373" t="n">
        <v>0.005237</v>
      </c>
      <c r="Y836" s="373" t="n">
        <v>0.031741</v>
      </c>
      <c r="Z836" s="373" t="n">
        <v>0.00172</v>
      </c>
      <c r="AA836" s="373" t="n">
        <v>0.002</v>
      </c>
      <c r="AB836" s="374" t="n">
        <f aca="false">S836-Z836</f>
        <v>-0.00172</v>
      </c>
      <c r="AC836" s="374" t="n">
        <f aca="false">U836-Z836-AA836</f>
        <v>-0.00372</v>
      </c>
      <c r="AD836" s="375" t="n">
        <v>0.038</v>
      </c>
      <c r="AE836" s="376" t="n">
        <v>0.031741</v>
      </c>
      <c r="AF836" s="376" t="n">
        <f aca="false">AD836-AE836</f>
        <v>0.006259</v>
      </c>
      <c r="AG836" s="377" t="n">
        <f aca="false">IF(AF836="","",AE836+AF836)</f>
        <v>0.038</v>
      </c>
      <c r="AH836" s="378" t="n">
        <v>45771</v>
      </c>
      <c r="AI836" s="379" t="n">
        <v>1</v>
      </c>
      <c r="AJ836" s="380" t="str">
        <f aca="false">IF(AG836="","N","Y")</f>
        <v>Y</v>
      </c>
      <c r="AK836" s="396" t="s">
        <v>1057</v>
      </c>
      <c r="AL836" s="397"/>
    </row>
    <row r="837" s="382" customFormat="true" ht="20.25" hidden="false" customHeight="true" outlineLevel="0" collapsed="false">
      <c r="A837" s="364" t="n">
        <v>312</v>
      </c>
      <c r="B837" s="363" t="n">
        <v>45771</v>
      </c>
      <c r="C837" s="364" t="s">
        <v>1104</v>
      </c>
      <c r="D837" s="364" t="s">
        <v>1105</v>
      </c>
      <c r="E837" s="364" t="s">
        <v>1106</v>
      </c>
      <c r="F837" s="364" t="s">
        <v>1107</v>
      </c>
      <c r="G837" s="365" t="n">
        <v>45771</v>
      </c>
      <c r="H837" s="365" t="n">
        <v>45803</v>
      </c>
      <c r="I837" s="364" t="n">
        <f aca="false">H837-G837</f>
        <v>32</v>
      </c>
      <c r="J837" s="366" t="n">
        <f aca="false">TRUNC(I837/30,0)</f>
        <v>1</v>
      </c>
      <c r="K837" s="367" t="s">
        <v>99</v>
      </c>
      <c r="L837" s="368" t="n">
        <v>10</v>
      </c>
      <c r="M837" s="369"/>
      <c r="N837" s="370"/>
      <c r="O837" s="366" t="s">
        <v>303</v>
      </c>
      <c r="P837" s="371" t="n">
        <v>0.0432661</v>
      </c>
      <c r="Q837" s="371"/>
      <c r="R837" s="372" t="s">
        <v>914</v>
      </c>
      <c r="S837" s="373"/>
      <c r="T837" s="372"/>
      <c r="U837" s="373"/>
      <c r="V837" s="373" t="n">
        <v>0.048341</v>
      </c>
      <c r="W837" s="373" t="n">
        <v>0.003384</v>
      </c>
      <c r="X837" s="373" t="n">
        <v>0.006237</v>
      </c>
      <c r="Y837" s="373" t="n">
        <v>0.031741</v>
      </c>
      <c r="Z837" s="373" t="n">
        <v>0.00172</v>
      </c>
      <c r="AA837" s="373" t="n">
        <v>0.002</v>
      </c>
      <c r="AB837" s="374" t="n">
        <f aca="false">S837-Z837</f>
        <v>-0.00172</v>
      </c>
      <c r="AC837" s="374" t="n">
        <f aca="false">U837-Z837-AA837</f>
        <v>-0.00372</v>
      </c>
      <c r="AD837" s="375" t="n">
        <v>0.037</v>
      </c>
      <c r="AE837" s="376" t="n">
        <v>0.031741</v>
      </c>
      <c r="AF837" s="376" t="n">
        <f aca="false">AD837-AE837</f>
        <v>0.005259</v>
      </c>
      <c r="AG837" s="377" t="n">
        <v>0.037</v>
      </c>
      <c r="AH837" s="378" t="n">
        <v>45771</v>
      </c>
      <c r="AI837" s="379" t="n">
        <v>3</v>
      </c>
      <c r="AJ837" s="380" t="str">
        <f aca="false">IF(AG837="","N","Y")</f>
        <v>Y</v>
      </c>
      <c r="AK837" s="396" t="s">
        <v>1057</v>
      </c>
      <c r="AL837" s="397"/>
    </row>
    <row r="838" s="382" customFormat="true" ht="20.25" hidden="false" customHeight="true" outlineLevel="0" collapsed="false">
      <c r="A838" s="364" t="n">
        <v>313</v>
      </c>
      <c r="B838" s="363" t="n">
        <v>45777</v>
      </c>
      <c r="C838" s="364" t="s">
        <v>1002</v>
      </c>
      <c r="D838" s="364" t="s">
        <v>1003</v>
      </c>
      <c r="E838" s="364" t="s">
        <v>1004</v>
      </c>
      <c r="F838" s="364" t="s">
        <v>773</v>
      </c>
      <c r="G838" s="365" t="n">
        <v>45777</v>
      </c>
      <c r="H838" s="365" t="n">
        <v>45868</v>
      </c>
      <c r="I838" s="364" t="n">
        <f aca="false">H838-G838</f>
        <v>91</v>
      </c>
      <c r="J838" s="366" t="n">
        <f aca="false">TRUNC(I838/30,0)</f>
        <v>3</v>
      </c>
      <c r="K838" s="395" t="s">
        <v>95</v>
      </c>
      <c r="L838" s="368" t="n">
        <v>1</v>
      </c>
      <c r="M838" s="369" t="n">
        <v>3.87</v>
      </c>
      <c r="N838" s="370" t="s">
        <v>1089</v>
      </c>
      <c r="O838" s="366" t="s">
        <v>300</v>
      </c>
      <c r="P838" s="371" t="n">
        <v>0.0429071</v>
      </c>
      <c r="Q838" s="371"/>
      <c r="R838" s="372" t="s">
        <v>914</v>
      </c>
      <c r="S838" s="373"/>
      <c r="T838" s="372"/>
      <c r="U838" s="373"/>
      <c r="V838" s="373" t="n">
        <v>0.047449</v>
      </c>
      <c r="W838" s="373" t="n">
        <v>0.000949</v>
      </c>
      <c r="X838" s="373" t="n">
        <v>0.00228</v>
      </c>
      <c r="Y838" s="373" t="n">
        <v>0.039148</v>
      </c>
      <c r="Z838" s="373" t="n">
        <v>0.002</v>
      </c>
      <c r="AA838" s="373" t="n">
        <v>0.002</v>
      </c>
      <c r="AB838" s="374" t="n">
        <f aca="false">S838-Z838</f>
        <v>-0.002</v>
      </c>
      <c r="AC838" s="374" t="n">
        <f aca="false">U838-Z838-AA838</f>
        <v>-0.004</v>
      </c>
      <c r="AD838" s="375" t="n">
        <v>0.0425</v>
      </c>
      <c r="AE838" s="376" t="n">
        <f aca="false">IF(Y838="","",Y838)</f>
        <v>0.039148</v>
      </c>
      <c r="AF838" s="376" t="n">
        <f aca="false">AD838-AE838</f>
        <v>0.003352</v>
      </c>
      <c r="AG838" s="377" t="n">
        <f aca="false">IF(AF838="","",AE838+AF838)</f>
        <v>0.0425</v>
      </c>
      <c r="AH838" s="378" t="n">
        <v>45777</v>
      </c>
      <c r="AI838" s="379" t="n">
        <v>1</v>
      </c>
      <c r="AJ838" s="380" t="str">
        <f aca="false">IF(AG838="","N","Y")</f>
        <v>Y</v>
      </c>
      <c r="AK838" s="396" t="s">
        <v>1088</v>
      </c>
      <c r="AL838" s="397"/>
    </row>
    <row r="839" s="382" customFormat="true" ht="20.25" hidden="false" customHeight="true" outlineLevel="0" collapsed="false">
      <c r="A839" s="364" t="n">
        <v>314</v>
      </c>
      <c r="B839" s="363" t="n">
        <v>45777</v>
      </c>
      <c r="C839" s="364" t="s">
        <v>925</v>
      </c>
      <c r="D839" s="364" t="s">
        <v>1073</v>
      </c>
      <c r="E839" s="364" t="s">
        <v>1074</v>
      </c>
      <c r="F839" s="364" t="s">
        <v>1075</v>
      </c>
      <c r="G839" s="365" t="n">
        <v>45777</v>
      </c>
      <c r="H839" s="365" t="n">
        <v>45868</v>
      </c>
      <c r="I839" s="364" t="n">
        <f aca="false">H839-G839</f>
        <v>91</v>
      </c>
      <c r="J839" s="366" t="n">
        <f aca="false">TRUNC(I839/30,0)</f>
        <v>3</v>
      </c>
      <c r="K839" s="395" t="s">
        <v>95</v>
      </c>
      <c r="L839" s="368" t="n">
        <v>1</v>
      </c>
      <c r="M839" s="369"/>
      <c r="N839" s="370"/>
      <c r="O839" s="366" t="s">
        <v>303</v>
      </c>
      <c r="P839" s="371" t="n">
        <v>0.0432268</v>
      </c>
      <c r="Q839" s="371"/>
      <c r="R839" s="372" t="s">
        <v>914</v>
      </c>
      <c r="S839" s="373"/>
      <c r="T839" s="372"/>
      <c r="U839" s="373"/>
      <c r="V839" s="373" t="n">
        <v>0.047292</v>
      </c>
      <c r="W839" s="373" t="n">
        <v>0.000946</v>
      </c>
      <c r="X839" s="373" t="n">
        <v>0.002626</v>
      </c>
      <c r="Y839" s="373" t="n">
        <v>0.039004</v>
      </c>
      <c r="Z839" s="373" t="n">
        <v>0.00172</v>
      </c>
      <c r="AA839" s="373" t="n">
        <v>0.002</v>
      </c>
      <c r="AB839" s="374" t="n">
        <f aca="false">S839-Z839</f>
        <v>-0.00172</v>
      </c>
      <c r="AC839" s="374" t="n">
        <f aca="false">U839-Z839-AA839</f>
        <v>-0.00372</v>
      </c>
      <c r="AD839" s="375" t="n">
        <v>0.042</v>
      </c>
      <c r="AE839" s="376" t="n">
        <v>0.039004</v>
      </c>
      <c r="AF839" s="376" t="n">
        <f aca="false">AD839-AE839</f>
        <v>0.00299600000000001</v>
      </c>
      <c r="AG839" s="377" t="n">
        <v>0.042</v>
      </c>
      <c r="AH839" s="378" t="n">
        <v>45777</v>
      </c>
      <c r="AI839" s="379" t="n">
        <v>2</v>
      </c>
      <c r="AJ839" s="380" t="str">
        <f aca="false">IF(AG839="","N","Y")</f>
        <v>Y</v>
      </c>
      <c r="AK839" s="400" t="s">
        <v>1122</v>
      </c>
      <c r="AL839" s="397"/>
    </row>
    <row r="840" s="382" customFormat="true" ht="20.25" hidden="false" customHeight="true" outlineLevel="0" collapsed="false">
      <c r="A840" s="364" t="n">
        <v>315</v>
      </c>
      <c r="B840" s="363" t="n">
        <v>45784</v>
      </c>
      <c r="C840" s="364" t="s">
        <v>644</v>
      </c>
      <c r="D840" s="364" t="s">
        <v>1112</v>
      </c>
      <c r="E840" s="364" t="s">
        <v>492</v>
      </c>
      <c r="F840" s="364" t="s">
        <v>880</v>
      </c>
      <c r="G840" s="365" t="n">
        <v>45784</v>
      </c>
      <c r="H840" s="365" t="n">
        <v>45817</v>
      </c>
      <c r="I840" s="364" t="n">
        <f aca="false">H840-G840</f>
        <v>33</v>
      </c>
      <c r="J840" s="366" t="n">
        <f aca="false">TRUNC(I840/30,0)</f>
        <v>1</v>
      </c>
      <c r="K840" s="367" t="s">
        <v>99</v>
      </c>
      <c r="L840" s="368" t="n">
        <v>4.5</v>
      </c>
      <c r="M840" s="369"/>
      <c r="N840" s="370"/>
      <c r="O840" s="366" t="s">
        <v>303</v>
      </c>
      <c r="P840" s="371" t="n">
        <v>0.0433693</v>
      </c>
      <c r="Q840" s="371"/>
      <c r="R840" s="372" t="s">
        <v>914</v>
      </c>
      <c r="S840" s="373"/>
      <c r="T840" s="372"/>
      <c r="U840" s="373"/>
      <c r="V840" s="373" t="n">
        <v>0.046699</v>
      </c>
      <c r="W840" s="373" t="n">
        <v>0.003269</v>
      </c>
      <c r="X840" s="373" t="n">
        <v>0.00371</v>
      </c>
      <c r="Y840" s="373" t="n">
        <v>0.031982</v>
      </c>
      <c r="Z840" s="373" t="n">
        <v>0.00172</v>
      </c>
      <c r="AA840" s="373" t="n">
        <v>0.002</v>
      </c>
      <c r="AB840" s="374" t="n">
        <f aca="false">S840-Z840</f>
        <v>-0.00172</v>
      </c>
      <c r="AC840" s="374" t="n">
        <f aca="false">U840-Z840-AA840</f>
        <v>-0.00372</v>
      </c>
      <c r="AD840" s="375" t="n">
        <v>0.038</v>
      </c>
      <c r="AE840" s="373" t="n">
        <v>0.031982</v>
      </c>
      <c r="AF840" s="376" t="n">
        <v>0.005906</v>
      </c>
      <c r="AG840" s="377" t="n">
        <v>0.038</v>
      </c>
      <c r="AH840" s="378" t="n">
        <v>45784</v>
      </c>
      <c r="AI840" s="379" t="n">
        <v>1</v>
      </c>
      <c r="AJ840" s="380" t="str">
        <f aca="false">IF(AG840="","N","Y")</f>
        <v>Y</v>
      </c>
      <c r="AK840" s="396" t="s">
        <v>1057</v>
      </c>
      <c r="AL840" s="397"/>
    </row>
    <row r="841" s="382" customFormat="true" ht="20.25" hidden="false" customHeight="true" outlineLevel="0" collapsed="false">
      <c r="A841" s="364" t="n">
        <v>316</v>
      </c>
      <c r="B841" s="363" t="n">
        <v>45784</v>
      </c>
      <c r="C841" s="364" t="s">
        <v>187</v>
      </c>
      <c r="D841" s="364" t="s">
        <v>1062</v>
      </c>
      <c r="E841" s="364" t="s">
        <v>876</v>
      </c>
      <c r="F841" s="364" t="s">
        <v>877</v>
      </c>
      <c r="G841" s="365" t="n">
        <v>45784</v>
      </c>
      <c r="H841" s="365" t="n">
        <v>45791</v>
      </c>
      <c r="I841" s="364" t="n">
        <f aca="false">H841-G841</f>
        <v>7</v>
      </c>
      <c r="J841" s="366" t="n">
        <f aca="false">TRUNC(I841/30,0)</f>
        <v>0</v>
      </c>
      <c r="K841" s="395" t="s">
        <v>95</v>
      </c>
      <c r="L841" s="368" t="n">
        <v>12</v>
      </c>
      <c r="M841" s="369"/>
      <c r="N841" s="370"/>
      <c r="O841" s="366" t="s">
        <v>305</v>
      </c>
      <c r="P841" s="371" t="n">
        <v>0.0433143</v>
      </c>
      <c r="Q841" s="371"/>
      <c r="R841" s="372" t="s">
        <v>914</v>
      </c>
      <c r="S841" s="373"/>
      <c r="T841" s="372"/>
      <c r="U841" s="373"/>
      <c r="V841" s="373" t="n">
        <v>0.045331</v>
      </c>
      <c r="W841" s="373" t="n">
        <v>0.003173</v>
      </c>
      <c r="X841" s="373" t="n">
        <v>0.002438</v>
      </c>
      <c r="Y841" s="373" t="n">
        <v>0.033982</v>
      </c>
      <c r="Z841" s="373" t="n">
        <v>0.00172</v>
      </c>
      <c r="AA841" s="373" t="n">
        <v>0.002</v>
      </c>
      <c r="AB841" s="374" t="n">
        <f aca="false">S841-Z841</f>
        <v>-0.00172</v>
      </c>
      <c r="AC841" s="374" t="n">
        <f aca="false">U841-Z841-AA841</f>
        <v>-0.00372</v>
      </c>
      <c r="AD841" s="375" t="n">
        <v>0.038</v>
      </c>
      <c r="AE841" s="373" t="n">
        <v>0.033982</v>
      </c>
      <c r="AF841" s="376" t="n">
        <f aca="false">AD841-AE841</f>
        <v>0.004018</v>
      </c>
      <c r="AG841" s="377" t="n">
        <v>0.038</v>
      </c>
      <c r="AH841" s="378" t="n">
        <v>45784</v>
      </c>
      <c r="AI841" s="379" t="n">
        <v>2</v>
      </c>
      <c r="AJ841" s="380" t="str">
        <f aca="false">IF(AG841="","N","Y")</f>
        <v>Y</v>
      </c>
      <c r="AK841" s="396" t="s">
        <v>1057</v>
      </c>
      <c r="AL841" s="397"/>
    </row>
    <row r="842" s="382" customFormat="true" ht="20.25" hidden="false" customHeight="true" outlineLevel="0" collapsed="false">
      <c r="A842" s="364" t="n">
        <v>317</v>
      </c>
      <c r="B842" s="363" t="n">
        <v>45785</v>
      </c>
      <c r="C842" s="364" t="s">
        <v>1133</v>
      </c>
      <c r="D842" s="364" t="s">
        <v>1134</v>
      </c>
      <c r="E842" s="364" t="s">
        <v>1135</v>
      </c>
      <c r="F842" s="364" t="s">
        <v>1136</v>
      </c>
      <c r="G842" s="365" t="n">
        <v>45785</v>
      </c>
      <c r="H842" s="365" t="n">
        <v>45877</v>
      </c>
      <c r="I842" s="364" t="n">
        <f aca="false">H842-G842</f>
        <v>92</v>
      </c>
      <c r="J842" s="366" t="n">
        <f aca="false">TRUNC(I842/30,0)</f>
        <v>3</v>
      </c>
      <c r="K842" s="395" t="s">
        <v>95</v>
      </c>
      <c r="L842" s="368" t="n">
        <v>2</v>
      </c>
      <c r="M842" s="369"/>
      <c r="N842" s="370"/>
      <c r="O842" s="366" t="s">
        <v>300</v>
      </c>
      <c r="P842" s="371" t="n">
        <v>0.0429824</v>
      </c>
      <c r="Q842" s="371"/>
      <c r="R842" s="372" t="s">
        <v>914</v>
      </c>
      <c r="S842" s="373"/>
      <c r="T842" s="372"/>
      <c r="U842" s="373"/>
      <c r="V842" s="373" t="n">
        <v>0.047567</v>
      </c>
      <c r="W842" s="373" t="n">
        <v>0.000951</v>
      </c>
      <c r="X842" s="373" t="n">
        <v>0.002896</v>
      </c>
      <c r="Y842" s="373" t="n">
        <v>0.039222</v>
      </c>
      <c r="Z842" s="373" t="n">
        <v>0.00172</v>
      </c>
      <c r="AA842" s="373" t="n">
        <v>0.002</v>
      </c>
      <c r="AB842" s="374" t="n">
        <f aca="false">S842-Z842</f>
        <v>-0.00172</v>
      </c>
      <c r="AC842" s="374" t="n">
        <f aca="false">U842-Z842-AA842</f>
        <v>-0.00372</v>
      </c>
      <c r="AD842" s="375" t="n">
        <v>0.042</v>
      </c>
      <c r="AE842" s="373" t="n">
        <v>0.039222</v>
      </c>
      <c r="AF842" s="376" t="n">
        <f aca="false">AD842-AE842</f>
        <v>0.002778</v>
      </c>
      <c r="AG842" s="377" t="n">
        <v>0.042</v>
      </c>
      <c r="AH842" s="378" t="n">
        <v>45785</v>
      </c>
      <c r="AI842" s="379" t="n">
        <v>1</v>
      </c>
      <c r="AJ842" s="380" t="str">
        <f aca="false">IF(AG842="","N","Y")</f>
        <v>Y</v>
      </c>
      <c r="AK842" s="396" t="s">
        <v>1137</v>
      </c>
      <c r="AL842" s="397"/>
    </row>
    <row r="843" s="382" customFormat="true" ht="20.25" hidden="false" customHeight="true" outlineLevel="0" collapsed="false">
      <c r="A843" s="364" t="n">
        <v>318</v>
      </c>
      <c r="B843" s="363" t="n">
        <v>45785</v>
      </c>
      <c r="C843" s="364" t="s">
        <v>1066</v>
      </c>
      <c r="D843" s="364" t="s">
        <v>932</v>
      </c>
      <c r="E843" s="364" t="s">
        <v>970</v>
      </c>
      <c r="F843" s="402" t="s">
        <v>864</v>
      </c>
      <c r="G843" s="365" t="n">
        <v>45785</v>
      </c>
      <c r="H843" s="365" t="n">
        <v>45817</v>
      </c>
      <c r="I843" s="364" t="n">
        <f aca="false">H843-G843</f>
        <v>32</v>
      </c>
      <c r="J843" s="366" t="n">
        <f aca="false">TRUNC(I843/30,0)</f>
        <v>1</v>
      </c>
      <c r="K843" s="367" t="s">
        <v>99</v>
      </c>
      <c r="L843" s="368" t="n">
        <v>1</v>
      </c>
      <c r="M843" s="369"/>
      <c r="N843" s="370"/>
      <c r="O843" s="366" t="s">
        <v>303</v>
      </c>
      <c r="P843" s="371" t="n">
        <v>0.0430079</v>
      </c>
      <c r="Q843" s="371"/>
      <c r="R843" s="372" t="s">
        <v>914</v>
      </c>
      <c r="S843" s="373"/>
      <c r="T843" s="372"/>
      <c r="U843" s="373"/>
      <c r="V843" s="373" t="n">
        <v>0.046983</v>
      </c>
      <c r="W843" s="373" t="n">
        <v>0.003289</v>
      </c>
      <c r="X843" s="373" t="n">
        <v>0.003974</v>
      </c>
      <c r="Y843" s="373" t="n">
        <v>0.031909</v>
      </c>
      <c r="Z843" s="373" t="n">
        <v>0.00172</v>
      </c>
      <c r="AA843" s="373" t="n">
        <v>0.002</v>
      </c>
      <c r="AB843" s="374" t="n">
        <f aca="false">S843-Z843</f>
        <v>-0.00172</v>
      </c>
      <c r="AC843" s="374" t="n">
        <f aca="false">U843-Z843-AA843</f>
        <v>-0.00372</v>
      </c>
      <c r="AD843" s="375" t="n">
        <v>0.038</v>
      </c>
      <c r="AE843" s="376" t="n">
        <v>0.031909</v>
      </c>
      <c r="AF843" s="376" t="n">
        <f aca="false">AD843-AE843</f>
        <v>0.006091</v>
      </c>
      <c r="AG843" s="377" t="n">
        <f aca="false">IF(AF843="","",AE843+AF843)</f>
        <v>0.038</v>
      </c>
      <c r="AH843" s="378" t="n">
        <v>45785</v>
      </c>
      <c r="AI843" s="379" t="n">
        <v>2</v>
      </c>
      <c r="AJ843" s="380" t="str">
        <f aca="false">IF(AG843="","N","Y")</f>
        <v>Y</v>
      </c>
      <c r="AK843" s="396" t="s">
        <v>1057</v>
      </c>
      <c r="AL843" s="397"/>
    </row>
    <row r="844" s="418" customFormat="true" ht="20.25" hidden="false" customHeight="true" outlineLevel="0" collapsed="false">
      <c r="A844" s="402" t="n">
        <v>319</v>
      </c>
      <c r="B844" s="403" t="n">
        <v>45786</v>
      </c>
      <c r="C844" s="402" t="s">
        <v>96</v>
      </c>
      <c r="D844" s="402" t="s">
        <v>1063</v>
      </c>
      <c r="E844" s="402" t="s">
        <v>1127</v>
      </c>
      <c r="F844" s="402" t="s">
        <v>662</v>
      </c>
      <c r="G844" s="404" t="n">
        <v>45786</v>
      </c>
      <c r="H844" s="404" t="n">
        <v>45817</v>
      </c>
      <c r="I844" s="402" t="n">
        <f aca="false">H844-G844</f>
        <v>31</v>
      </c>
      <c r="J844" s="405" t="n">
        <f aca="false">TRUNC(I844/30,0)</f>
        <v>1</v>
      </c>
      <c r="K844" s="406" t="s">
        <v>95</v>
      </c>
      <c r="L844" s="407" t="n">
        <v>10</v>
      </c>
      <c r="M844" s="408"/>
      <c r="N844" s="409"/>
      <c r="O844" s="405" t="s">
        <v>303</v>
      </c>
      <c r="P844" s="410" t="n">
        <v>0.0433271</v>
      </c>
      <c r="Q844" s="410"/>
      <c r="R844" s="411" t="s">
        <v>914</v>
      </c>
      <c r="S844" s="412"/>
      <c r="T844" s="411"/>
      <c r="U844" s="412"/>
      <c r="V844" s="412" t="n">
        <v>0.046385</v>
      </c>
      <c r="W844" s="412" t="n">
        <v>0.000928</v>
      </c>
      <c r="X844" s="412" t="n">
        <v>0.002237</v>
      </c>
      <c r="Y844" s="412" t="n">
        <v>0.03776</v>
      </c>
      <c r="Z844" s="412" t="n">
        <v>0.00172</v>
      </c>
      <c r="AA844" s="412" t="n">
        <v>0.002</v>
      </c>
      <c r="AB844" s="412" t="n">
        <f aca="false">S844-Z844</f>
        <v>-0.00172</v>
      </c>
      <c r="AC844" s="412" t="n">
        <f aca="false">U844-Z844-AA844</f>
        <v>-0.00372</v>
      </c>
      <c r="AD844" s="413" t="n">
        <v>0.0415</v>
      </c>
      <c r="AE844" s="412" t="n">
        <v>0.03776</v>
      </c>
      <c r="AF844" s="412" t="n">
        <f aca="false">AD844-AE844</f>
        <v>0.00374</v>
      </c>
      <c r="AG844" s="412" t="n">
        <f aca="false">IF(AF844="","",AE844+AF844)</f>
        <v>0.0415</v>
      </c>
      <c r="AH844" s="378" t="n">
        <v>45786</v>
      </c>
      <c r="AI844" s="414" t="n">
        <v>1</v>
      </c>
      <c r="AJ844" s="415" t="str">
        <f aca="false">IF(AG844="","N","Y")</f>
        <v>Y</v>
      </c>
      <c r="AK844" s="416" t="s">
        <v>1087</v>
      </c>
      <c r="AL844" s="417"/>
    </row>
    <row r="845" s="382" customFormat="true" ht="20.25" hidden="false" customHeight="true" outlineLevel="0" collapsed="false">
      <c r="A845" s="364" t="n">
        <v>320</v>
      </c>
      <c r="B845" s="363" t="n">
        <v>45789</v>
      </c>
      <c r="C845" s="364" t="s">
        <v>209</v>
      </c>
      <c r="D845" s="364" t="s">
        <v>1054</v>
      </c>
      <c r="E845" s="364" t="s">
        <v>1055</v>
      </c>
      <c r="F845" s="364" t="s">
        <v>697</v>
      </c>
      <c r="G845" s="365" t="n">
        <v>45789</v>
      </c>
      <c r="H845" s="365" t="n">
        <v>45819</v>
      </c>
      <c r="I845" s="364" t="n">
        <f aca="false">H845-G845</f>
        <v>30</v>
      </c>
      <c r="J845" s="366" t="n">
        <f aca="false">TRUNC(I845/30,0)</f>
        <v>1</v>
      </c>
      <c r="K845" s="367" t="s">
        <v>99</v>
      </c>
      <c r="L845" s="368" t="n">
        <v>1.2</v>
      </c>
      <c r="M845" s="369"/>
      <c r="N845" s="370"/>
      <c r="O845" s="366" t="s">
        <v>303</v>
      </c>
      <c r="P845" s="371" t="n">
        <v>0.043288</v>
      </c>
      <c r="Q845" s="371"/>
      <c r="R845" s="372" t="s">
        <v>914</v>
      </c>
      <c r="S845" s="373"/>
      <c r="T845" s="372"/>
      <c r="U845" s="373"/>
      <c r="V845" s="373" t="n">
        <v>0.046926</v>
      </c>
      <c r="W845" s="373" t="n">
        <v>0.003285</v>
      </c>
      <c r="X845" s="373" t="n">
        <v>0.003921</v>
      </c>
      <c r="Y845" s="373" t="n">
        <v>0.031664</v>
      </c>
      <c r="Z845" s="373" t="n">
        <v>0.00172</v>
      </c>
      <c r="AA845" s="373" t="n">
        <v>0.002</v>
      </c>
      <c r="AB845" s="374" t="n">
        <f aca="false">S845-Z845</f>
        <v>-0.00172</v>
      </c>
      <c r="AC845" s="374" t="n">
        <f aca="false">U845-Z845-AA845</f>
        <v>-0.00372</v>
      </c>
      <c r="AD845" s="375" t="n">
        <v>0.038</v>
      </c>
      <c r="AE845" s="376" t="n">
        <v>0.031664</v>
      </c>
      <c r="AF845" s="376" t="n">
        <f aca="false">AD845-AE845</f>
        <v>0.006336</v>
      </c>
      <c r="AG845" s="377" t="n">
        <v>0.038</v>
      </c>
      <c r="AH845" s="378" t="n">
        <v>45789</v>
      </c>
      <c r="AI845" s="379" t="n">
        <v>1</v>
      </c>
      <c r="AJ845" s="380" t="str">
        <f aca="false">IF(AG845="","N","Y")</f>
        <v>Y</v>
      </c>
      <c r="AK845" s="396" t="s">
        <v>1057</v>
      </c>
      <c r="AL845" s="397"/>
    </row>
    <row r="846" s="420" customFormat="true" ht="20.25" hidden="false" customHeight="true" outlineLevel="0" collapsed="false">
      <c r="A846" s="364" t="n">
        <v>321</v>
      </c>
      <c r="B846" s="363" t="n">
        <v>45789</v>
      </c>
      <c r="C846" s="364" t="s">
        <v>209</v>
      </c>
      <c r="D846" s="364" t="s">
        <v>1054</v>
      </c>
      <c r="E846" s="364" t="s">
        <v>1055</v>
      </c>
      <c r="F846" s="364" t="s">
        <v>697</v>
      </c>
      <c r="G846" s="365" t="n">
        <v>45789</v>
      </c>
      <c r="H846" s="365" t="n">
        <v>45819</v>
      </c>
      <c r="I846" s="364" t="n">
        <f aca="false">H846-G846</f>
        <v>30</v>
      </c>
      <c r="J846" s="366" t="n">
        <f aca="false">TRUNC(I846/30,0)</f>
        <v>1</v>
      </c>
      <c r="K846" s="395" t="s">
        <v>95</v>
      </c>
      <c r="L846" s="368" t="n">
        <v>12</v>
      </c>
      <c r="M846" s="369"/>
      <c r="N846" s="370"/>
      <c r="O846" s="366" t="s">
        <v>303</v>
      </c>
      <c r="P846" s="371" t="n">
        <v>0.043288</v>
      </c>
      <c r="Q846" s="371"/>
      <c r="R846" s="372" t="s">
        <v>914</v>
      </c>
      <c r="S846" s="373"/>
      <c r="T846" s="372"/>
      <c r="U846" s="373"/>
      <c r="V846" s="373" t="n">
        <v>0.046338</v>
      </c>
      <c r="W846" s="373" t="n">
        <v>0.000927</v>
      </c>
      <c r="X846" s="373" t="n">
        <v>0.003491</v>
      </c>
      <c r="Y846" s="373" t="n">
        <v>0.037685</v>
      </c>
      <c r="Z846" s="373" t="n">
        <v>0.00172</v>
      </c>
      <c r="AA846" s="373" t="n">
        <v>0.002</v>
      </c>
      <c r="AB846" s="374" t="n">
        <f aca="false">S846-Z846</f>
        <v>-0.00172</v>
      </c>
      <c r="AC846" s="374" t="n">
        <f aca="false">U846-Z846-AA846</f>
        <v>-0.00372</v>
      </c>
      <c r="AD846" s="375" t="n">
        <v>0.0402</v>
      </c>
      <c r="AE846" s="376" t="n">
        <v>0.037685</v>
      </c>
      <c r="AF846" s="376" t="n">
        <f aca="false">AD846-AE846</f>
        <v>0.002515</v>
      </c>
      <c r="AG846" s="377" t="n">
        <v>0.0402</v>
      </c>
      <c r="AH846" s="378" t="n">
        <v>45789</v>
      </c>
      <c r="AI846" s="379" t="n">
        <v>2</v>
      </c>
      <c r="AJ846" s="380" t="str">
        <f aca="false">IF(AG846="","N","Y")</f>
        <v>Y</v>
      </c>
      <c r="AK846" s="396" t="s">
        <v>1138</v>
      </c>
      <c r="AL846" s="419"/>
    </row>
    <row r="847" s="382" customFormat="true" ht="20.25" hidden="false" customHeight="true" outlineLevel="0" collapsed="false">
      <c r="A847" s="421" t="n">
        <v>322</v>
      </c>
      <c r="B847" s="422" t="n">
        <v>45789</v>
      </c>
      <c r="C847" s="423" t="s">
        <v>925</v>
      </c>
      <c r="D847" s="423" t="s">
        <v>1073</v>
      </c>
      <c r="E847" s="423" t="s">
        <v>1074</v>
      </c>
      <c r="F847" s="423" t="s">
        <v>1075</v>
      </c>
      <c r="G847" s="424" t="n">
        <v>45789</v>
      </c>
      <c r="H847" s="424" t="n">
        <v>45820</v>
      </c>
      <c r="I847" s="421" t="n">
        <f aca="false">H847-G847</f>
        <v>31</v>
      </c>
      <c r="J847" s="425" t="n">
        <f aca="false">TRUNC(I847/30,0)</f>
        <v>1</v>
      </c>
      <c r="K847" s="426" t="s">
        <v>99</v>
      </c>
      <c r="L847" s="427" t="n">
        <v>1</v>
      </c>
      <c r="M847" s="428"/>
      <c r="N847" s="429"/>
      <c r="O847" s="425" t="s">
        <v>303</v>
      </c>
      <c r="P847" s="430" t="n">
        <v>0.043288</v>
      </c>
      <c r="Q847" s="430"/>
      <c r="R847" s="431" t="s">
        <v>914</v>
      </c>
      <c r="S847" s="432"/>
      <c r="T847" s="431"/>
      <c r="U847" s="432"/>
      <c r="V847" s="432" t="n">
        <v>0.046926</v>
      </c>
      <c r="W847" s="432" t="n">
        <v>0.003285</v>
      </c>
      <c r="X847" s="432" t="n">
        <v>0.003921</v>
      </c>
      <c r="Y847" s="432" t="n">
        <v>0.031664</v>
      </c>
      <c r="Z847" s="432" t="n">
        <v>0.00172</v>
      </c>
      <c r="AA847" s="432" t="n">
        <v>0.002</v>
      </c>
      <c r="AB847" s="433" t="n">
        <f aca="false">S847-Z847</f>
        <v>-0.00172</v>
      </c>
      <c r="AC847" s="433" t="n">
        <f aca="false">U847-Z847-AA847</f>
        <v>-0.00372</v>
      </c>
      <c r="AD847" s="434" t="n">
        <v>0.038</v>
      </c>
      <c r="AE847" s="435" t="n">
        <v>0.031664</v>
      </c>
      <c r="AF847" s="435" t="n">
        <f aca="false">AD847-AE847</f>
        <v>0.006336</v>
      </c>
      <c r="AG847" s="436" t="n">
        <v>0.038</v>
      </c>
      <c r="AH847" s="437" t="n">
        <v>45789</v>
      </c>
      <c r="AI847" s="438" t="n">
        <v>3</v>
      </c>
      <c r="AJ847" s="421" t="str">
        <f aca="false">IF(AG847="","N","Y")</f>
        <v>Y</v>
      </c>
      <c r="AK847" s="439" t="s">
        <v>1057</v>
      </c>
      <c r="AL847" s="397"/>
    </row>
    <row r="848" s="382" customFormat="true" ht="20.25" hidden="false" customHeight="true" outlineLevel="0" collapsed="false">
      <c r="A848" s="364" t="n">
        <v>323</v>
      </c>
      <c r="B848" s="363" t="n">
        <v>45789</v>
      </c>
      <c r="C848" s="364" t="s">
        <v>644</v>
      </c>
      <c r="D848" s="364" t="s">
        <v>1070</v>
      </c>
      <c r="E848" s="364" t="s">
        <v>1071</v>
      </c>
      <c r="F848" s="364" t="s">
        <v>1072</v>
      </c>
      <c r="G848" s="365" t="n">
        <v>45789</v>
      </c>
      <c r="H848" s="365" t="n">
        <v>45820</v>
      </c>
      <c r="I848" s="364" t="n">
        <f aca="false">H848-G848</f>
        <v>31</v>
      </c>
      <c r="J848" s="366" t="n">
        <f aca="false">TRUNC(I848/30,0)</f>
        <v>1</v>
      </c>
      <c r="K848" s="395" t="s">
        <v>95</v>
      </c>
      <c r="L848" s="368" t="n">
        <v>1.5</v>
      </c>
      <c r="M848" s="369"/>
      <c r="N848" s="370"/>
      <c r="O848" s="366" t="s">
        <v>303</v>
      </c>
      <c r="P848" s="371" t="n">
        <v>0.043288</v>
      </c>
      <c r="Q848" s="371"/>
      <c r="R848" s="372" t="s">
        <v>914</v>
      </c>
      <c r="S848" s="373"/>
      <c r="T848" s="372"/>
      <c r="U848" s="373"/>
      <c r="V848" s="373" t="n">
        <v>0.046338</v>
      </c>
      <c r="W848" s="373" t="n">
        <v>0.000927</v>
      </c>
      <c r="X848" s="373" t="n">
        <v>0.002691</v>
      </c>
      <c r="Y848" s="373" t="n">
        <v>0.037685</v>
      </c>
      <c r="Z848" s="373" t="n">
        <v>0.00172</v>
      </c>
      <c r="AA848" s="373" t="n">
        <v>0.002</v>
      </c>
      <c r="AB848" s="374" t="n">
        <f aca="false">S848-Z848</f>
        <v>-0.00172</v>
      </c>
      <c r="AC848" s="374" t="n">
        <f aca="false">U848-Z848-AA848</f>
        <v>-0.00372</v>
      </c>
      <c r="AD848" s="375" t="n">
        <v>0.041</v>
      </c>
      <c r="AE848" s="376" t="n">
        <v>0.037685</v>
      </c>
      <c r="AF848" s="376" t="n">
        <f aca="false">AD848-AE848</f>
        <v>0.003315</v>
      </c>
      <c r="AG848" s="377" t="n">
        <f aca="false">IF(AF848="","",AE848+AF848)</f>
        <v>0.041</v>
      </c>
      <c r="AH848" s="378" t="n">
        <v>45789</v>
      </c>
      <c r="AI848" s="379" t="n">
        <v>4</v>
      </c>
      <c r="AJ848" s="380" t="str">
        <f aca="false">IF(AG848="","N","Y")</f>
        <v>Y</v>
      </c>
      <c r="AK848" s="396" t="s">
        <v>1138</v>
      </c>
      <c r="AL848" s="397"/>
    </row>
    <row r="849" s="382" customFormat="true" ht="20.25" hidden="false" customHeight="true" outlineLevel="0" collapsed="false">
      <c r="A849" s="364" t="n">
        <f aca="false">IF(B849="","",IF((YEAR(B849)-YEAR(B848))=0,A848+1,1))</f>
        <v>324</v>
      </c>
      <c r="B849" s="363" t="n">
        <v>45791</v>
      </c>
      <c r="C849" s="364" t="s">
        <v>1081</v>
      </c>
      <c r="D849" s="364" t="s">
        <v>1082</v>
      </c>
      <c r="E849" s="364" t="s">
        <v>900</v>
      </c>
      <c r="F849" s="364" t="s">
        <v>1083</v>
      </c>
      <c r="G849" s="365" t="n">
        <v>45791</v>
      </c>
      <c r="H849" s="365" t="n">
        <v>45821</v>
      </c>
      <c r="I849" s="364" t="n">
        <f aca="false">H849-G849</f>
        <v>30</v>
      </c>
      <c r="J849" s="366" t="n">
        <f aca="false">TRUNC(I849/30,0)</f>
        <v>1</v>
      </c>
      <c r="K849" s="367" t="s">
        <v>99</v>
      </c>
      <c r="L849" s="368" t="n">
        <v>1.55</v>
      </c>
      <c r="M849" s="369"/>
      <c r="N849" s="370"/>
      <c r="O849" s="366" t="s">
        <v>303</v>
      </c>
      <c r="P849" s="371" t="n">
        <v>0.0432871</v>
      </c>
      <c r="Q849" s="371"/>
      <c r="R849" s="372" t="s">
        <v>914</v>
      </c>
      <c r="S849" s="373"/>
      <c r="T849" s="372"/>
      <c r="U849" s="373"/>
      <c r="V849" s="373" t="n">
        <v>0.046927</v>
      </c>
      <c r="W849" s="373" t="n">
        <v>0.003285</v>
      </c>
      <c r="X849" s="373" t="n">
        <v>0.003922</v>
      </c>
      <c r="Y849" s="373" t="n">
        <v>0.031597</v>
      </c>
      <c r="Z849" s="373" t="n">
        <v>0.00172</v>
      </c>
      <c r="AA849" s="373" t="n">
        <v>0.002</v>
      </c>
      <c r="AB849" s="374" t="n">
        <f aca="false">S849-Z849</f>
        <v>-0.00172</v>
      </c>
      <c r="AC849" s="374" t="n">
        <f aca="false">U849-Z849-AA849</f>
        <v>-0.00372</v>
      </c>
      <c r="AD849" s="375" t="n">
        <v>0.038</v>
      </c>
      <c r="AE849" s="376" t="n">
        <v>0.031597</v>
      </c>
      <c r="AF849" s="376" t="n">
        <f aca="false">AD849-AE849</f>
        <v>0.006403</v>
      </c>
      <c r="AG849" s="377" t="n">
        <f aca="false">IF(AF849="","",AE849+AF849)</f>
        <v>0.038</v>
      </c>
      <c r="AH849" s="378" t="n">
        <v>45791</v>
      </c>
      <c r="AI849" s="379" t="n">
        <v>1</v>
      </c>
      <c r="AJ849" s="380" t="str">
        <f aca="false">IF(AG849="","N","Y")</f>
        <v>Y</v>
      </c>
      <c r="AK849" s="396" t="s">
        <v>1057</v>
      </c>
      <c r="AL849" s="397"/>
    </row>
    <row r="850" s="382" customFormat="true" ht="20.25" hidden="false" customHeight="true" outlineLevel="0" collapsed="false">
      <c r="A850" s="364" t="n">
        <v>325</v>
      </c>
      <c r="B850" s="363" t="n">
        <v>45791</v>
      </c>
      <c r="C850" s="364" t="s">
        <v>862</v>
      </c>
      <c r="D850" s="364" t="s">
        <v>932</v>
      </c>
      <c r="E850" s="364" t="s">
        <v>1067</v>
      </c>
      <c r="F850" s="364" t="s">
        <v>906</v>
      </c>
      <c r="G850" s="365" t="n">
        <v>45791</v>
      </c>
      <c r="H850" s="365" t="n">
        <v>45824</v>
      </c>
      <c r="I850" s="364" t="n">
        <f aca="false">H850-G850</f>
        <v>33</v>
      </c>
      <c r="J850" s="366" t="n">
        <f aca="false">TRUNC(I850/30,0)</f>
        <v>1</v>
      </c>
      <c r="K850" s="367" t="s">
        <v>99</v>
      </c>
      <c r="L850" s="368" t="n">
        <v>8.62</v>
      </c>
      <c r="M850" s="369"/>
      <c r="N850" s="370"/>
      <c r="O850" s="366" t="s">
        <v>303</v>
      </c>
      <c r="P850" s="371" t="n">
        <v>0.0432871</v>
      </c>
      <c r="Q850" s="371"/>
      <c r="R850" s="372" t="s">
        <v>914</v>
      </c>
      <c r="S850" s="373"/>
      <c r="T850" s="372"/>
      <c r="U850" s="373"/>
      <c r="V850" s="373" t="n">
        <v>0.046927</v>
      </c>
      <c r="W850" s="373" t="n">
        <v>0.003285</v>
      </c>
      <c r="X850" s="373" t="n">
        <v>0.003922</v>
      </c>
      <c r="Y850" s="373" t="n">
        <v>0.031597</v>
      </c>
      <c r="Z850" s="373" t="n">
        <v>0.00172</v>
      </c>
      <c r="AA850" s="373" t="n">
        <v>0.002</v>
      </c>
      <c r="AB850" s="374" t="n">
        <f aca="false">S850-Z850</f>
        <v>-0.00172</v>
      </c>
      <c r="AC850" s="374" t="n">
        <f aca="false">U850-Z850-AA850</f>
        <v>-0.00372</v>
      </c>
      <c r="AD850" s="375" t="n">
        <v>0.038</v>
      </c>
      <c r="AE850" s="376" t="n">
        <v>0.031597</v>
      </c>
      <c r="AF850" s="376" t="n">
        <f aca="false">AD850-AE850</f>
        <v>0.006403</v>
      </c>
      <c r="AG850" s="377" t="n">
        <f aca="false">IF(AF850="","",AE850+AF850)</f>
        <v>0.038</v>
      </c>
      <c r="AH850" s="378" t="n">
        <v>45791</v>
      </c>
      <c r="AI850" s="379" t="n">
        <v>2</v>
      </c>
      <c r="AJ850" s="380" t="str">
        <f aca="false">IF(AG850="","N","Y")</f>
        <v>Y</v>
      </c>
      <c r="AK850" s="396" t="s">
        <v>1057</v>
      </c>
      <c r="AL850" s="397"/>
    </row>
    <row r="851" s="382" customFormat="true" ht="20.25" hidden="false" customHeight="true" outlineLevel="0" collapsed="false">
      <c r="A851" s="364" t="n">
        <v>326</v>
      </c>
      <c r="B851" s="363" t="n">
        <v>45791</v>
      </c>
      <c r="C851" s="364" t="s">
        <v>96</v>
      </c>
      <c r="D851" s="364" t="s">
        <v>1063</v>
      </c>
      <c r="E851" s="364" t="s">
        <v>1127</v>
      </c>
      <c r="F851" s="364" t="s">
        <v>1116</v>
      </c>
      <c r="G851" s="365" t="n">
        <v>45791</v>
      </c>
      <c r="H851" s="365" t="n">
        <v>45822</v>
      </c>
      <c r="I851" s="364" t="n">
        <f aca="false">H851-G851</f>
        <v>31</v>
      </c>
      <c r="J851" s="366" t="n">
        <f aca="false">TRUNC(I851/30,0)</f>
        <v>1</v>
      </c>
      <c r="K851" s="395" t="s">
        <v>95</v>
      </c>
      <c r="L851" s="368" t="n">
        <v>1</v>
      </c>
      <c r="M851" s="369" t="n">
        <v>3.82</v>
      </c>
      <c r="N851" s="370" t="s">
        <v>1124</v>
      </c>
      <c r="O851" s="366" t="s">
        <v>303</v>
      </c>
      <c r="P851" s="371" t="n">
        <v>0.0432871</v>
      </c>
      <c r="Q851" s="371"/>
      <c r="R851" s="372" t="s">
        <v>914</v>
      </c>
      <c r="S851" s="373"/>
      <c r="T851" s="372"/>
      <c r="U851" s="373"/>
      <c r="V851" s="373" t="n">
        <v>0.046265</v>
      </c>
      <c r="W851" s="373" t="n">
        <v>0.000925</v>
      </c>
      <c r="X851" s="373" t="n">
        <v>0.00212</v>
      </c>
      <c r="Y851" s="373" t="n">
        <v>0.037721</v>
      </c>
      <c r="Z851" s="373" t="n">
        <v>0.00172</v>
      </c>
      <c r="AA851" s="373" t="n">
        <v>0.002</v>
      </c>
      <c r="AB851" s="374" t="n">
        <f aca="false">S851-Z851</f>
        <v>-0.00172</v>
      </c>
      <c r="AC851" s="374" t="n">
        <f aca="false">U851-Z851-AA851</f>
        <v>-0.00372</v>
      </c>
      <c r="AD851" s="375" t="n">
        <v>0.0415</v>
      </c>
      <c r="AE851" s="376" t="n">
        <v>0.037721</v>
      </c>
      <c r="AF851" s="376" t="n">
        <f aca="false">AD851-AE851</f>
        <v>0.003779</v>
      </c>
      <c r="AG851" s="377" t="n">
        <f aca="false">IF(AF851="","",AE851+AF851)</f>
        <v>0.0415</v>
      </c>
      <c r="AH851" s="378" t="n">
        <v>45791</v>
      </c>
      <c r="AI851" s="379" t="n">
        <v>3</v>
      </c>
      <c r="AJ851" s="380" t="str">
        <f aca="false">IF(AG851="","N","Y")</f>
        <v>Y</v>
      </c>
      <c r="AK851" s="396" t="s">
        <v>1065</v>
      </c>
      <c r="AL851" s="397"/>
    </row>
    <row r="852" s="382" customFormat="true" ht="20.25" hidden="false" customHeight="true" outlineLevel="0" collapsed="false">
      <c r="A852" s="364" t="n">
        <v>327</v>
      </c>
      <c r="B852" s="363" t="n">
        <v>45791</v>
      </c>
      <c r="C852" s="364" t="s">
        <v>187</v>
      </c>
      <c r="D852" s="364" t="s">
        <v>1062</v>
      </c>
      <c r="E852" s="364" t="s">
        <v>876</v>
      </c>
      <c r="F852" s="364" t="s">
        <v>877</v>
      </c>
      <c r="G852" s="365" t="n">
        <v>45791</v>
      </c>
      <c r="H852" s="365" t="n">
        <v>45800</v>
      </c>
      <c r="I852" s="364" t="n">
        <f aca="false">H852-G852</f>
        <v>9</v>
      </c>
      <c r="J852" s="366" t="n">
        <f aca="false">TRUNC(I852/30,0)</f>
        <v>0</v>
      </c>
      <c r="K852" s="395" t="s">
        <v>95</v>
      </c>
      <c r="L852" s="368" t="n">
        <v>12</v>
      </c>
      <c r="M852" s="369"/>
      <c r="N852" s="370"/>
      <c r="O852" s="366" t="s">
        <v>305</v>
      </c>
      <c r="P852" s="371" t="n">
        <v>0.0429008</v>
      </c>
      <c r="Q852" s="371"/>
      <c r="R852" s="372" t="s">
        <v>914</v>
      </c>
      <c r="S852" s="373"/>
      <c r="T852" s="372"/>
      <c r="U852" s="373"/>
      <c r="V852" s="373" t="n">
        <v>0.044461</v>
      </c>
      <c r="W852" s="373" t="n">
        <v>0.003112</v>
      </c>
      <c r="X852" s="373" t="n">
        <v>0.001629</v>
      </c>
      <c r="Y852" s="373" t="n">
        <v>0.033597</v>
      </c>
      <c r="Z852" s="373" t="n">
        <v>0.00172</v>
      </c>
      <c r="AA852" s="373" t="n">
        <v>0.002</v>
      </c>
      <c r="AB852" s="374" t="n">
        <f aca="false">S852-Z852</f>
        <v>-0.00172</v>
      </c>
      <c r="AC852" s="374" t="n">
        <f aca="false">U852-Z852-AA852</f>
        <v>-0.00372</v>
      </c>
      <c r="AD852" s="375" t="n">
        <v>0.038</v>
      </c>
      <c r="AE852" s="373" t="n">
        <v>0.033597</v>
      </c>
      <c r="AF852" s="376" t="n">
        <f aca="false">AD852-AE852</f>
        <v>0.004403</v>
      </c>
      <c r="AG852" s="377" t="n">
        <v>0.038</v>
      </c>
      <c r="AH852" s="378" t="n">
        <v>45791</v>
      </c>
      <c r="AI852" s="379" t="n">
        <v>4</v>
      </c>
      <c r="AJ852" s="380" t="str">
        <f aca="false">IF(AG852="","N","Y")</f>
        <v>Y</v>
      </c>
      <c r="AK852" s="396" t="s">
        <v>1057</v>
      </c>
      <c r="AL852" s="397"/>
    </row>
    <row r="853" s="382" customFormat="true" ht="20.25" hidden="false" customHeight="true" outlineLevel="0" collapsed="false">
      <c r="A853" s="364" t="n">
        <v>328</v>
      </c>
      <c r="B853" s="363" t="n">
        <v>45791</v>
      </c>
      <c r="C853" s="364" t="s">
        <v>1129</v>
      </c>
      <c r="D853" s="364" t="s">
        <v>1130</v>
      </c>
      <c r="E853" s="364" t="s">
        <v>1131</v>
      </c>
      <c r="F853" s="364" t="s">
        <v>1132</v>
      </c>
      <c r="G853" s="365" t="n">
        <v>45791</v>
      </c>
      <c r="H853" s="365" t="n">
        <v>45824</v>
      </c>
      <c r="I853" s="364" t="n">
        <f aca="false">H853-G853</f>
        <v>33</v>
      </c>
      <c r="J853" s="366" t="n">
        <f aca="false">TRUNC(I853/30,0)</f>
        <v>1</v>
      </c>
      <c r="K853" s="395" t="s">
        <v>95</v>
      </c>
      <c r="L853" s="368" t="n">
        <v>1.12</v>
      </c>
      <c r="M853" s="369"/>
      <c r="N853" s="370"/>
      <c r="O853" s="366" t="s">
        <v>303</v>
      </c>
      <c r="P853" s="371" t="n">
        <v>0.0432871</v>
      </c>
      <c r="Q853" s="371"/>
      <c r="R853" s="372" t="s">
        <v>914</v>
      </c>
      <c r="S853" s="373"/>
      <c r="T853" s="372"/>
      <c r="U853" s="373"/>
      <c r="V853" s="373" t="n">
        <v>0.046265</v>
      </c>
      <c r="W853" s="373" t="n">
        <v>0.000925</v>
      </c>
      <c r="X853" s="373" t="n">
        <v>0.00262</v>
      </c>
      <c r="Y853" s="373" t="n">
        <v>0.037721</v>
      </c>
      <c r="Z853" s="373" t="n">
        <v>0.00172</v>
      </c>
      <c r="AA853" s="373" t="n">
        <v>0.002</v>
      </c>
      <c r="AB853" s="374" t="n">
        <f aca="false">S853-Z853</f>
        <v>-0.00172</v>
      </c>
      <c r="AC853" s="374" t="n">
        <f aca="false">U853-Z853-AA853</f>
        <v>-0.00372</v>
      </c>
      <c r="AD853" s="375" t="n">
        <v>0.041</v>
      </c>
      <c r="AE853" s="376" t="n">
        <v>0.037721</v>
      </c>
      <c r="AF853" s="376" t="n">
        <f aca="false">AD853-AE853</f>
        <v>0.003279</v>
      </c>
      <c r="AG853" s="377" t="n">
        <f aca="false">IF(AF853="","",AE853+AF853)</f>
        <v>0.041</v>
      </c>
      <c r="AH853" s="378" t="n">
        <v>45791</v>
      </c>
      <c r="AI853" s="379" t="n">
        <v>5</v>
      </c>
      <c r="AJ853" s="380" t="str">
        <f aca="false">IF(AG853="","N","Y")</f>
        <v>Y</v>
      </c>
      <c r="AK853" s="396" t="s">
        <v>1065</v>
      </c>
      <c r="AL853" s="397"/>
    </row>
    <row r="854" s="382" customFormat="true" ht="20.25" hidden="false" customHeight="true" outlineLevel="0" collapsed="false">
      <c r="A854" s="364" t="n">
        <f aca="false">IF(B854="","",IF((YEAR(B854)-YEAR(B853))=0,A853+1,1))</f>
        <v>329</v>
      </c>
      <c r="B854" s="363" t="n">
        <v>45792</v>
      </c>
      <c r="C854" s="364" t="s">
        <v>1081</v>
      </c>
      <c r="D854" s="364" t="s">
        <v>1082</v>
      </c>
      <c r="E854" s="364" t="s">
        <v>900</v>
      </c>
      <c r="F854" s="364" t="s">
        <v>1083</v>
      </c>
      <c r="G854" s="365" t="n">
        <v>45792</v>
      </c>
      <c r="H854" s="365" t="n">
        <v>45887</v>
      </c>
      <c r="I854" s="364" t="n">
        <f aca="false">H854-G854</f>
        <v>95</v>
      </c>
      <c r="J854" s="366" t="n">
        <f aca="false">TRUNC(I854/30,0)</f>
        <v>3</v>
      </c>
      <c r="K854" s="395" t="s">
        <v>95</v>
      </c>
      <c r="L854" s="368" t="n">
        <v>1</v>
      </c>
      <c r="M854" s="369"/>
      <c r="N854" s="370"/>
      <c r="O854" s="366" t="s">
        <v>300</v>
      </c>
      <c r="P854" s="371" t="n">
        <v>0.043252</v>
      </c>
      <c r="Q854" s="371"/>
      <c r="R854" s="372" t="s">
        <v>914</v>
      </c>
      <c r="S854" s="373"/>
      <c r="T854" s="372"/>
      <c r="U854" s="373"/>
      <c r="V854" s="373" t="n">
        <v>0.047761</v>
      </c>
      <c r="W854" s="373" t="n">
        <v>0.000955</v>
      </c>
      <c r="X854" s="373" t="n">
        <v>0.003086</v>
      </c>
      <c r="Y854" s="373" t="n">
        <v>0.039486</v>
      </c>
      <c r="Z854" s="373" t="n">
        <v>0.00172</v>
      </c>
      <c r="AA854" s="373" t="n">
        <v>0.002</v>
      </c>
      <c r="AB854" s="374" t="n">
        <f aca="false">S854-Z854</f>
        <v>-0.00172</v>
      </c>
      <c r="AC854" s="374" t="n">
        <f aca="false">U854-Z854-AA854</f>
        <v>-0.00372</v>
      </c>
      <c r="AD854" s="375" t="n">
        <v>0.042</v>
      </c>
      <c r="AE854" s="376" t="n">
        <v>0.039486</v>
      </c>
      <c r="AF854" s="376" t="n">
        <f aca="false">AD854-AE854</f>
        <v>0.002514</v>
      </c>
      <c r="AG854" s="377" t="n">
        <f aca="false">IF(AF854="","",AE854+AF854)</f>
        <v>0.042</v>
      </c>
      <c r="AH854" s="378" t="n">
        <v>45792</v>
      </c>
      <c r="AI854" s="379" t="n">
        <v>1</v>
      </c>
      <c r="AJ854" s="380" t="str">
        <f aca="false">IF(AG854="","N","Y")</f>
        <v>Y</v>
      </c>
      <c r="AK854" s="396" t="s">
        <v>1139</v>
      </c>
      <c r="AL854" s="397"/>
    </row>
    <row r="855" s="382" customFormat="true" ht="20.25" hidden="false" customHeight="true" outlineLevel="0" collapsed="false">
      <c r="A855" s="364" t="n">
        <v>330</v>
      </c>
      <c r="B855" s="363" t="n">
        <v>45793</v>
      </c>
      <c r="C855" s="364" t="s">
        <v>187</v>
      </c>
      <c r="D855" s="364" t="s">
        <v>1118</v>
      </c>
      <c r="E855" s="364" t="s">
        <v>1119</v>
      </c>
      <c r="F855" s="364" t="s">
        <v>1120</v>
      </c>
      <c r="G855" s="365" t="n">
        <v>45793</v>
      </c>
      <c r="H855" s="365" t="n">
        <v>45824</v>
      </c>
      <c r="I855" s="364" t="n">
        <f aca="false">H855-G855</f>
        <v>31</v>
      </c>
      <c r="J855" s="366" t="n">
        <f aca="false">TRUNC(I855/30,0)</f>
        <v>1</v>
      </c>
      <c r="K855" s="367" t="s">
        <v>99</v>
      </c>
      <c r="L855" s="368" t="n">
        <v>1.5</v>
      </c>
      <c r="M855" s="369"/>
      <c r="N855" s="370"/>
      <c r="O855" s="366" t="s">
        <v>303</v>
      </c>
      <c r="P855" s="371" t="n">
        <v>0.0431859</v>
      </c>
      <c r="Q855" s="371"/>
      <c r="R855" s="372" t="s">
        <v>914</v>
      </c>
      <c r="S855" s="373"/>
      <c r="T855" s="372"/>
      <c r="U855" s="373"/>
      <c r="V855" s="373" t="n">
        <v>0.047957</v>
      </c>
      <c r="W855" s="373" t="n">
        <v>0.003357</v>
      </c>
      <c r="X855" s="373" t="n">
        <v>0.00438</v>
      </c>
      <c r="Y855" s="373" t="n">
        <v>0.031799</v>
      </c>
      <c r="Z855" s="373" t="n">
        <v>0.00172</v>
      </c>
      <c r="AA855" s="373" t="n">
        <v>0.002</v>
      </c>
      <c r="AB855" s="374" t="n">
        <f aca="false">S855-Z855</f>
        <v>-0.00172</v>
      </c>
      <c r="AC855" s="374" t="n">
        <f aca="false">U855-Z855-AA855</f>
        <v>-0.00372</v>
      </c>
      <c r="AD855" s="375" t="n">
        <v>0.0385</v>
      </c>
      <c r="AE855" s="376" t="n">
        <v>0.031799</v>
      </c>
      <c r="AF855" s="376" t="n">
        <f aca="false">AD855-AE855</f>
        <v>0.006701</v>
      </c>
      <c r="AG855" s="377" t="n">
        <v>0.0385</v>
      </c>
      <c r="AH855" s="378" t="n">
        <v>45793</v>
      </c>
      <c r="AI855" s="379" t="n">
        <v>1</v>
      </c>
      <c r="AJ855" s="380" t="str">
        <f aca="false">IF(AG855="","N","Y")</f>
        <v>Y</v>
      </c>
      <c r="AK855" s="396" t="s">
        <v>1057</v>
      </c>
      <c r="AL855" s="397"/>
    </row>
    <row r="856" customFormat="false" ht="20.25" hidden="false" customHeight="true" outlineLevel="0" collapsed="false">
      <c r="A856" s="19" t="n">
        <v>331</v>
      </c>
      <c r="B856" s="141" t="n">
        <v>45796</v>
      </c>
      <c r="C856" s="63" t="s">
        <v>96</v>
      </c>
      <c r="D856" s="63" t="s">
        <v>1063</v>
      </c>
      <c r="E856" s="63" t="s">
        <v>1069</v>
      </c>
      <c r="F856" s="63" t="s">
        <v>754</v>
      </c>
      <c r="G856" s="142" t="n">
        <v>45796</v>
      </c>
      <c r="H856" s="142" t="n">
        <v>45888</v>
      </c>
      <c r="I856" s="19" t="n">
        <f aca="false">H856-G856</f>
        <v>92</v>
      </c>
      <c r="J856" s="149" t="n">
        <f aca="false">TRUNC(I856/30,0)</f>
        <v>3</v>
      </c>
      <c r="K856" s="183" t="s">
        <v>95</v>
      </c>
      <c r="L856" s="146" t="n">
        <v>2.06</v>
      </c>
      <c r="M856" s="147" t="n">
        <v>3.9</v>
      </c>
      <c r="N856" s="148" t="s">
        <v>1140</v>
      </c>
      <c r="O856" s="149" t="s">
        <v>300</v>
      </c>
      <c r="P856" s="150" t="n">
        <v>0.0432199</v>
      </c>
      <c r="Q856" s="150"/>
      <c r="R856" s="151" t="s">
        <v>914</v>
      </c>
      <c r="S856" s="152"/>
      <c r="T856" s="151"/>
      <c r="U856" s="152"/>
      <c r="V856" s="152" t="n">
        <v>0.047744</v>
      </c>
      <c r="W856" s="152" t="n">
        <v>0.000955</v>
      </c>
      <c r="X856" s="152" t="n">
        <v>0.003069</v>
      </c>
      <c r="Y856" s="152" t="n">
        <v>0.039455</v>
      </c>
      <c r="Z856" s="152" t="n">
        <v>0.00172</v>
      </c>
      <c r="AA856" s="152" t="n">
        <v>0.002</v>
      </c>
      <c r="AB856" s="154" t="n">
        <f aca="false">S856-Z856</f>
        <v>-0.00172</v>
      </c>
      <c r="AC856" s="154" t="n">
        <f aca="false">U856-Z856-AA856</f>
        <v>-0.00372</v>
      </c>
      <c r="AD856" s="155" t="n">
        <v>0.042</v>
      </c>
      <c r="AE856" s="153" t="n">
        <v>0.039455</v>
      </c>
      <c r="AF856" s="153" t="n">
        <f aca="false">AD856-AE856</f>
        <v>0.00254500000000001</v>
      </c>
      <c r="AG856" s="184" t="n">
        <v>0.042</v>
      </c>
      <c r="AH856" s="185" t="n">
        <v>45796</v>
      </c>
      <c r="AI856" s="35" t="n">
        <v>1</v>
      </c>
      <c r="AJ856" s="19" t="str">
        <f aca="false">IF(AG856="","N","Y")</f>
        <v>Y</v>
      </c>
      <c r="AK856" s="159" t="s">
        <v>1101</v>
      </c>
    </row>
    <row r="857" customFormat="false" ht="20.25" hidden="false" customHeight="true" outlineLevel="0" collapsed="false">
      <c r="A857" s="19" t="n">
        <v>332</v>
      </c>
      <c r="B857" s="141" t="n">
        <v>45797</v>
      </c>
      <c r="C857" s="63" t="s">
        <v>1141</v>
      </c>
      <c r="D857" s="63" t="s">
        <v>1142</v>
      </c>
      <c r="E857" s="63" t="s">
        <v>1143</v>
      </c>
      <c r="F857" s="63" t="s">
        <v>1144</v>
      </c>
      <c r="G857" s="142" t="n">
        <v>45797</v>
      </c>
      <c r="H857" s="142" t="n">
        <v>45887</v>
      </c>
      <c r="I857" s="19" t="n">
        <f aca="false">H857-G857</f>
        <v>90</v>
      </c>
      <c r="J857" s="149" t="n">
        <f aca="false">TRUNC(I857/30,0)</f>
        <v>3</v>
      </c>
      <c r="K857" s="183" t="s">
        <v>95</v>
      </c>
      <c r="L857" s="146" t="n">
        <v>2</v>
      </c>
      <c r="M857" s="147" t="n">
        <v>3.91</v>
      </c>
      <c r="N857" s="148" t="s">
        <v>1140</v>
      </c>
      <c r="O857" s="149" t="s">
        <v>300</v>
      </c>
      <c r="P857" s="150" t="n">
        <v>0.03945</v>
      </c>
      <c r="Q857" s="150"/>
      <c r="R857" s="151" t="s">
        <v>914</v>
      </c>
      <c r="S857" s="152"/>
      <c r="T857" s="151"/>
      <c r="U857" s="152"/>
      <c r="V857" s="152" t="n">
        <v>0.047719</v>
      </c>
      <c r="W857" s="152" t="n">
        <v>0.000954</v>
      </c>
      <c r="X857" s="152" t="n">
        <v>0.002845</v>
      </c>
      <c r="Y857" s="152" t="n">
        <v>0.03945</v>
      </c>
      <c r="Z857" s="152" t="n">
        <v>0.00172</v>
      </c>
      <c r="AA857" s="152" t="n">
        <v>0.002</v>
      </c>
      <c r="AB857" s="154" t="n">
        <f aca="false">S857-Z857</f>
        <v>-0.00172</v>
      </c>
      <c r="AC857" s="154" t="n">
        <f aca="false">U857-Z857-AA857</f>
        <v>-0.00372</v>
      </c>
      <c r="AD857" s="155" t="n">
        <v>0.0422</v>
      </c>
      <c r="AE857" s="153" t="n">
        <v>0.03945</v>
      </c>
      <c r="AF857" s="153" t="n">
        <f aca="false">AD857-AE857</f>
        <v>0.00275</v>
      </c>
      <c r="AG857" s="184" t="n">
        <v>0.0422</v>
      </c>
      <c r="AH857" s="185" t="n">
        <v>45797</v>
      </c>
      <c r="AI857" s="35" t="n">
        <v>1</v>
      </c>
      <c r="AJ857" s="19" t="str">
        <f aca="false">IF(AG857="","N","Y")</f>
        <v>Y</v>
      </c>
      <c r="AK857" s="159" t="s">
        <v>1101</v>
      </c>
    </row>
    <row r="858" s="382" customFormat="true" ht="20.25" hidden="false" customHeight="true" outlineLevel="0" collapsed="false">
      <c r="A858" s="364" t="n">
        <v>333</v>
      </c>
      <c r="B858" s="363" t="n">
        <v>45800</v>
      </c>
      <c r="C858" s="364" t="s">
        <v>116</v>
      </c>
      <c r="D858" s="364" t="s">
        <v>1005</v>
      </c>
      <c r="E858" s="364" t="s">
        <v>1006</v>
      </c>
      <c r="F858" s="364" t="s">
        <v>1056</v>
      </c>
      <c r="G858" s="365" t="n">
        <v>45800</v>
      </c>
      <c r="H858" s="365" t="n">
        <v>45831</v>
      </c>
      <c r="I858" s="364" t="n">
        <f aca="false">H858-G858</f>
        <v>31</v>
      </c>
      <c r="J858" s="366" t="n">
        <f aca="false">TRUNC(I858/30,0)</f>
        <v>1</v>
      </c>
      <c r="K858" s="367" t="s">
        <v>99</v>
      </c>
      <c r="L858" s="368" t="n">
        <v>5.23</v>
      </c>
      <c r="M858" s="369"/>
      <c r="N858" s="370"/>
      <c r="O858" s="366" t="s">
        <v>303</v>
      </c>
      <c r="P858" s="371" t="n">
        <v>0.0432472</v>
      </c>
      <c r="Q858" s="371"/>
      <c r="R858" s="372" t="s">
        <v>914</v>
      </c>
      <c r="S858" s="373"/>
      <c r="T858" s="372"/>
      <c r="U858" s="373"/>
      <c r="V858" s="373" t="n">
        <v>0.047031</v>
      </c>
      <c r="W858" s="373" t="n">
        <v>0.003292</v>
      </c>
      <c r="X858" s="373" t="n">
        <v>0.004019</v>
      </c>
      <c r="Y858" s="373" t="n">
        <v>0.031442</v>
      </c>
      <c r="Z858" s="373" t="n">
        <v>0.00172</v>
      </c>
      <c r="AA858" s="373" t="n">
        <v>0.002</v>
      </c>
      <c r="AB858" s="374" t="n">
        <f aca="false">S858-Z858</f>
        <v>-0.00172</v>
      </c>
      <c r="AC858" s="374" t="n">
        <f aca="false">U858-Z858-AA858</f>
        <v>-0.00372</v>
      </c>
      <c r="AD858" s="375" t="n">
        <v>0.038</v>
      </c>
      <c r="AE858" s="376" t="n">
        <v>0.031442</v>
      </c>
      <c r="AF858" s="376" t="n">
        <v>0.006558</v>
      </c>
      <c r="AG858" s="377" t="n">
        <f aca="false">IF(AF858="","",AE858+AF858)</f>
        <v>0.038</v>
      </c>
      <c r="AH858" s="378" t="n">
        <v>45800</v>
      </c>
      <c r="AI858" s="379" t="n">
        <v>1</v>
      </c>
      <c r="AJ858" s="380" t="str">
        <f aca="false">IF(AG858="","N","Y")</f>
        <v>Y</v>
      </c>
      <c r="AK858" s="396" t="s">
        <v>1057</v>
      </c>
      <c r="AL858" s="397"/>
    </row>
    <row r="859" s="382" customFormat="true" ht="20.25" hidden="false" customHeight="true" outlineLevel="0" collapsed="false">
      <c r="A859" s="364" t="n">
        <v>334</v>
      </c>
      <c r="B859" s="363" t="n">
        <v>45800</v>
      </c>
      <c r="C859" s="364" t="s">
        <v>187</v>
      </c>
      <c r="D859" s="364" t="s">
        <v>1062</v>
      </c>
      <c r="E859" s="364" t="s">
        <v>876</v>
      </c>
      <c r="F859" s="364" t="s">
        <v>877</v>
      </c>
      <c r="G859" s="365" t="n">
        <v>45800</v>
      </c>
      <c r="H859" s="365" t="n">
        <v>45818</v>
      </c>
      <c r="I859" s="364" t="n">
        <f aca="false">H859-G859</f>
        <v>18</v>
      </c>
      <c r="J859" s="366" t="n">
        <f aca="false">TRUNC(I859/30,0)</f>
        <v>0</v>
      </c>
      <c r="K859" s="395" t="s">
        <v>95</v>
      </c>
      <c r="L859" s="368" t="n">
        <v>10</v>
      </c>
      <c r="M859" s="369"/>
      <c r="N859" s="370"/>
      <c r="O859" s="366" t="s">
        <v>305</v>
      </c>
      <c r="P859" s="371" t="n">
        <v>0.0427339</v>
      </c>
      <c r="Q859" s="371"/>
      <c r="R859" s="372" t="s">
        <v>914</v>
      </c>
      <c r="S859" s="373"/>
      <c r="T859" s="372"/>
      <c r="U859" s="373"/>
      <c r="V859" s="373" t="n">
        <v>0.045169</v>
      </c>
      <c r="W859" s="373" t="n">
        <v>0.003162</v>
      </c>
      <c r="X859" s="373" t="n">
        <v>0.002287</v>
      </c>
      <c r="Y859" s="373" t="n">
        <v>0.033442</v>
      </c>
      <c r="Z859" s="373" t="n">
        <v>0.00172</v>
      </c>
      <c r="AA859" s="373" t="n">
        <v>0.002</v>
      </c>
      <c r="AB859" s="374" t="n">
        <f aca="false">S859-Z859</f>
        <v>-0.00172</v>
      </c>
      <c r="AC859" s="374" t="n">
        <f aca="false">U859-Z859-AA859</f>
        <v>-0.00372</v>
      </c>
      <c r="AD859" s="375" t="n">
        <v>0.038</v>
      </c>
      <c r="AE859" s="373" t="n">
        <v>0.033442</v>
      </c>
      <c r="AF859" s="376" t="n">
        <f aca="false">AD859-AE859</f>
        <v>0.004558</v>
      </c>
      <c r="AG859" s="377" t="n">
        <v>0.038</v>
      </c>
      <c r="AH859" s="378" t="n">
        <v>45800</v>
      </c>
      <c r="AI859" s="379" t="n">
        <v>3</v>
      </c>
      <c r="AJ859" s="380" t="str">
        <f aca="false">IF(AG859="","N","Y")</f>
        <v>Y</v>
      </c>
      <c r="AK859" s="396" t="s">
        <v>1145</v>
      </c>
      <c r="AL859" s="397"/>
    </row>
    <row r="860" s="382" customFormat="true" ht="20.25" hidden="false" customHeight="true" outlineLevel="0" collapsed="false">
      <c r="A860" s="364" t="n">
        <v>335</v>
      </c>
      <c r="B860" s="363" t="n">
        <v>45800</v>
      </c>
      <c r="C860" s="364" t="s">
        <v>103</v>
      </c>
      <c r="D860" s="364" t="s">
        <v>1146</v>
      </c>
      <c r="E860" s="364" t="s">
        <v>1147</v>
      </c>
      <c r="F860" s="364" t="s">
        <v>1148</v>
      </c>
      <c r="G860" s="365" t="n">
        <v>45800</v>
      </c>
      <c r="H860" s="365" t="n">
        <v>45831</v>
      </c>
      <c r="I860" s="364" t="n">
        <f aca="false">H860-G860</f>
        <v>31</v>
      </c>
      <c r="J860" s="366" t="n">
        <f aca="false">TRUNC(I860/30,0)</f>
        <v>1</v>
      </c>
      <c r="K860" s="367" t="s">
        <v>99</v>
      </c>
      <c r="L860" s="368" t="n">
        <v>10</v>
      </c>
      <c r="M860" s="369"/>
      <c r="N860" s="370"/>
      <c r="O860" s="366" t="s">
        <v>303</v>
      </c>
      <c r="P860" s="371" t="n">
        <v>0.0432472</v>
      </c>
      <c r="Q860" s="371"/>
      <c r="R860" s="372" t="s">
        <v>914</v>
      </c>
      <c r="S860" s="373"/>
      <c r="T860" s="372"/>
      <c r="U860" s="373"/>
      <c r="V860" s="373" t="n">
        <v>0.047031</v>
      </c>
      <c r="W860" s="373" t="n">
        <v>0.003292</v>
      </c>
      <c r="X860" s="373" t="n">
        <v>0.003719</v>
      </c>
      <c r="Y860" s="373" t="n">
        <v>0.031442</v>
      </c>
      <c r="Z860" s="373" t="n">
        <v>0.00172</v>
      </c>
      <c r="AA860" s="373" t="n">
        <v>0.002</v>
      </c>
      <c r="AB860" s="374" t="n">
        <f aca="false">S860-Z860</f>
        <v>-0.00172</v>
      </c>
      <c r="AC860" s="374" t="n">
        <f aca="false">U860-Z860-AA860</f>
        <v>-0.00372</v>
      </c>
      <c r="AD860" s="375" t="n">
        <v>0.0383</v>
      </c>
      <c r="AE860" s="373" t="n">
        <v>0.031442</v>
      </c>
      <c r="AF860" s="376" t="n">
        <f aca="false">AD860-AE860</f>
        <v>0.006858</v>
      </c>
      <c r="AG860" s="377" t="n">
        <v>0.0383</v>
      </c>
      <c r="AH860" s="378" t="n">
        <v>45800</v>
      </c>
      <c r="AI860" s="379" t="n">
        <v>2</v>
      </c>
      <c r="AJ860" s="380" t="str">
        <f aca="false">IF(AG860="","N","Y")</f>
        <v>Y</v>
      </c>
      <c r="AK860" s="396" t="s">
        <v>1057</v>
      </c>
      <c r="AL860" s="397"/>
    </row>
    <row r="861" s="382" customFormat="true" ht="20.25" hidden="false" customHeight="true" outlineLevel="0" collapsed="false">
      <c r="A861" s="364" t="n">
        <v>336</v>
      </c>
      <c r="B861" s="363" t="n">
        <v>45803</v>
      </c>
      <c r="C861" s="364" t="s">
        <v>1104</v>
      </c>
      <c r="D861" s="364" t="s">
        <v>1105</v>
      </c>
      <c r="E861" s="364" t="s">
        <v>1106</v>
      </c>
      <c r="F861" s="364" t="s">
        <v>1107</v>
      </c>
      <c r="G861" s="365" t="n">
        <v>45803</v>
      </c>
      <c r="H861" s="365" t="n">
        <v>45834</v>
      </c>
      <c r="I861" s="364" t="n">
        <f aca="false">H861-G861</f>
        <v>31</v>
      </c>
      <c r="J861" s="366" t="n">
        <f aca="false">TRUNC(I861/30,0)</f>
        <v>1</v>
      </c>
      <c r="K861" s="367" t="s">
        <v>99</v>
      </c>
      <c r="L861" s="368" t="n">
        <v>10</v>
      </c>
      <c r="M861" s="369"/>
      <c r="N861" s="370"/>
      <c r="O861" s="366" t="s">
        <v>303</v>
      </c>
      <c r="P861" s="371" t="n">
        <v>0.043285</v>
      </c>
      <c r="Q861" s="371"/>
      <c r="R861" s="372" t="s">
        <v>914</v>
      </c>
      <c r="S861" s="373"/>
      <c r="T861" s="372"/>
      <c r="U861" s="373"/>
      <c r="V861" s="373" t="n">
        <v>0.047038</v>
      </c>
      <c r="W861" s="373" t="n">
        <v>0.003293</v>
      </c>
      <c r="X861" s="373" t="n">
        <v>0.005025</v>
      </c>
      <c r="Y861" s="373" t="n">
        <v>0.031449</v>
      </c>
      <c r="Z861" s="373" t="n">
        <v>0.00172</v>
      </c>
      <c r="AA861" s="373" t="n">
        <v>0.002</v>
      </c>
      <c r="AB861" s="374" t="n">
        <f aca="false">S861-Z861</f>
        <v>-0.00172</v>
      </c>
      <c r="AC861" s="374" t="n">
        <f aca="false">U861-Z861-AA861</f>
        <v>-0.00372</v>
      </c>
      <c r="AD861" s="375" t="n">
        <v>0.037</v>
      </c>
      <c r="AE861" s="376" t="n">
        <v>0.031449</v>
      </c>
      <c r="AF861" s="376" t="n">
        <f aca="false">AD861-AE861</f>
        <v>0.005551</v>
      </c>
      <c r="AG861" s="377" t="n">
        <v>0.037</v>
      </c>
      <c r="AH861" s="378" t="n">
        <v>45803</v>
      </c>
      <c r="AI861" s="379" t="n">
        <v>1</v>
      </c>
      <c r="AJ861" s="380" t="str">
        <f aca="false">IF(AG861="","N","Y")</f>
        <v>Y</v>
      </c>
      <c r="AK861" s="396" t="s">
        <v>1057</v>
      </c>
      <c r="AL861" s="397"/>
    </row>
    <row r="862" s="382" customFormat="true" ht="20.25" hidden="false" customHeight="true" outlineLevel="0" collapsed="false">
      <c r="A862" s="364" t="n">
        <v>337</v>
      </c>
      <c r="B862" s="363" t="n">
        <v>45804</v>
      </c>
      <c r="C862" s="364" t="s">
        <v>1066</v>
      </c>
      <c r="D862" s="364" t="s">
        <v>1108</v>
      </c>
      <c r="E862" s="364" t="s">
        <v>1067</v>
      </c>
      <c r="F862" s="364" t="s">
        <v>1109</v>
      </c>
      <c r="G862" s="365" t="n">
        <v>45804</v>
      </c>
      <c r="H862" s="365" t="n">
        <v>45896</v>
      </c>
      <c r="I862" s="364" t="n">
        <f aca="false">H862-G862</f>
        <v>92</v>
      </c>
      <c r="J862" s="366" t="n">
        <f aca="false">TRUNC(I862/30,0)</f>
        <v>3</v>
      </c>
      <c r="K862" s="395" t="s">
        <v>95</v>
      </c>
      <c r="L862" s="368" t="n">
        <v>20</v>
      </c>
      <c r="M862" s="369"/>
      <c r="N862" s="370"/>
      <c r="O862" s="366" t="s">
        <v>300</v>
      </c>
      <c r="P862" s="371" t="n">
        <v>0.0431852</v>
      </c>
      <c r="Q862" s="371"/>
      <c r="R862" s="372" t="s">
        <v>914</v>
      </c>
      <c r="S862" s="373"/>
      <c r="T862" s="372"/>
      <c r="U862" s="373"/>
      <c r="V862" s="373" t="n">
        <v>0.047798</v>
      </c>
      <c r="W862" s="373" t="n">
        <v>0.000956</v>
      </c>
      <c r="X862" s="373" t="n">
        <v>0.002622</v>
      </c>
      <c r="Y862" s="373" t="n">
        <v>0.039533</v>
      </c>
      <c r="Z862" s="373" t="n">
        <v>0.00172</v>
      </c>
      <c r="AA862" s="373" t="n">
        <v>0.002</v>
      </c>
      <c r="AB862" s="374" t="n">
        <f aca="false">S862-Z862</f>
        <v>-0.00172</v>
      </c>
      <c r="AC862" s="374" t="n">
        <f aca="false">U862-Z862-AA862</f>
        <v>-0.00372</v>
      </c>
      <c r="AD862" s="375" t="n">
        <v>0.0425</v>
      </c>
      <c r="AE862" s="376" t="n">
        <v>0.039533</v>
      </c>
      <c r="AF862" s="376" t="n">
        <f aca="false">AD862-AE862</f>
        <v>0.002967</v>
      </c>
      <c r="AG862" s="377" t="n">
        <v>0.0425</v>
      </c>
      <c r="AH862" s="378" t="n">
        <v>45804</v>
      </c>
      <c r="AI862" s="379" t="n">
        <v>1</v>
      </c>
      <c r="AJ862" s="380" t="str">
        <f aca="false">IF(AG862="","N","Y")</f>
        <v>Y</v>
      </c>
      <c r="AK862" s="396" t="s">
        <v>1123</v>
      </c>
      <c r="AL862" s="397"/>
    </row>
    <row r="863" s="382" customFormat="true" ht="20.25" hidden="false" customHeight="true" outlineLevel="0" collapsed="false">
      <c r="A863" s="364" t="n">
        <v>338</v>
      </c>
      <c r="B863" s="363" t="n">
        <v>45807</v>
      </c>
      <c r="C863" s="364" t="s">
        <v>1149</v>
      </c>
      <c r="D863" s="364" t="s">
        <v>1150</v>
      </c>
      <c r="E863" s="364" t="s">
        <v>1151</v>
      </c>
      <c r="F863" s="364" t="s">
        <v>1152</v>
      </c>
      <c r="G863" s="365" t="n">
        <v>45807</v>
      </c>
      <c r="H863" s="365" t="n">
        <v>45838</v>
      </c>
      <c r="I863" s="364" t="n">
        <f aca="false">H863-G863</f>
        <v>31</v>
      </c>
      <c r="J863" s="366" t="n">
        <f aca="false">TRUNC(I863/30,0)</f>
        <v>1</v>
      </c>
      <c r="K863" s="367" t="s">
        <v>99</v>
      </c>
      <c r="L863" s="368" t="n">
        <v>1.16</v>
      </c>
      <c r="M863" s="369"/>
      <c r="N863" s="370"/>
      <c r="O863" s="366" t="s">
        <v>303</v>
      </c>
      <c r="P863" s="371" t="n">
        <v>0.0432413</v>
      </c>
      <c r="Q863" s="371"/>
      <c r="R863" s="372" t="s">
        <v>914</v>
      </c>
      <c r="S863" s="373"/>
      <c r="T863" s="372"/>
      <c r="U863" s="373"/>
      <c r="V863" s="373" t="n">
        <v>0.047062</v>
      </c>
      <c r="W863" s="373" t="n">
        <v>0.003294</v>
      </c>
      <c r="X863" s="373" t="n">
        <v>0.007048</v>
      </c>
      <c r="Y863" s="373" t="n">
        <v>0.031957</v>
      </c>
      <c r="Z863" s="373" t="n">
        <v>0.00172</v>
      </c>
      <c r="AA863" s="373" t="n">
        <v>0.002</v>
      </c>
      <c r="AB863" s="374" t="n">
        <f aca="false">S863-Z863</f>
        <v>-0.00172</v>
      </c>
      <c r="AC863" s="374" t="n">
        <f aca="false">U863-Z863-AA863</f>
        <v>-0.00372</v>
      </c>
      <c r="AD863" s="375" t="n">
        <v>0.035</v>
      </c>
      <c r="AE863" s="373" t="n">
        <v>0.031957</v>
      </c>
      <c r="AF863" s="376" t="n">
        <f aca="false">AD863-AE863</f>
        <v>0.003043</v>
      </c>
      <c r="AG863" s="377" t="n">
        <v>0.035</v>
      </c>
      <c r="AH863" s="378" t="n">
        <v>45807</v>
      </c>
      <c r="AI863" s="379" t="n">
        <v>1</v>
      </c>
      <c r="AJ863" s="380" t="str">
        <f aca="false">IF(AG863="","N","Y")</f>
        <v>Y</v>
      </c>
      <c r="AK863" s="396" t="s">
        <v>1057</v>
      </c>
      <c r="AL863" s="397"/>
    </row>
    <row r="864" s="382" customFormat="true" ht="20.25" hidden="false" customHeight="true" outlineLevel="0" collapsed="false">
      <c r="A864" s="364" t="n">
        <v>339</v>
      </c>
      <c r="B864" s="363" t="n">
        <v>45812</v>
      </c>
      <c r="C864" s="364" t="s">
        <v>770</v>
      </c>
      <c r="D864" s="364" t="s">
        <v>1111</v>
      </c>
      <c r="E864" s="364" t="s">
        <v>1004</v>
      </c>
      <c r="F864" s="364" t="s">
        <v>773</v>
      </c>
      <c r="G864" s="365" t="n">
        <v>45812</v>
      </c>
      <c r="H864" s="365" t="n">
        <v>45904</v>
      </c>
      <c r="I864" s="364" t="n">
        <f aca="false">H864-G864</f>
        <v>92</v>
      </c>
      <c r="J864" s="366" t="n">
        <f aca="false">TRUNC(I864/30,0)</f>
        <v>3</v>
      </c>
      <c r="K864" s="395" t="s">
        <v>95</v>
      </c>
      <c r="L864" s="368" t="n">
        <v>2</v>
      </c>
      <c r="M864" s="369"/>
      <c r="N864" s="370"/>
      <c r="O864" s="366" t="s">
        <v>300</v>
      </c>
      <c r="P864" s="371" t="n">
        <v>0.0431782</v>
      </c>
      <c r="Q864" s="371"/>
      <c r="R864" s="372" t="s">
        <v>914</v>
      </c>
      <c r="S864" s="373"/>
      <c r="T864" s="372"/>
      <c r="U864" s="373"/>
      <c r="V864" s="373" t="n">
        <v>0.047737</v>
      </c>
      <c r="W864" s="373" t="n">
        <v>0.000955</v>
      </c>
      <c r="X864" s="373" t="n">
        <v>0.002062</v>
      </c>
      <c r="Y864" s="373" t="n">
        <v>0.039335</v>
      </c>
      <c r="Z864" s="373" t="n">
        <v>0.00172</v>
      </c>
      <c r="AA864" s="373" t="n">
        <v>0.002</v>
      </c>
      <c r="AB864" s="374" t="n">
        <f aca="false">S864-Z864</f>
        <v>-0.00172</v>
      </c>
      <c r="AC864" s="374" t="n">
        <f aca="false">U864-Z864-AA864</f>
        <v>-0.00372</v>
      </c>
      <c r="AD864" s="375" t="n">
        <v>0.043</v>
      </c>
      <c r="AE864" s="373" t="n">
        <v>0.039414</v>
      </c>
      <c r="AF864" s="376" t="n">
        <v>0.003586</v>
      </c>
      <c r="AG864" s="377" t="n">
        <v>0.043</v>
      </c>
      <c r="AH864" s="378" t="n">
        <v>45812</v>
      </c>
      <c r="AI864" s="379" t="n">
        <v>1</v>
      </c>
      <c r="AJ864" s="380" t="str">
        <f aca="false">IF(AG864="","N","Y")</f>
        <v>Y</v>
      </c>
      <c r="AK864" s="396" t="s">
        <v>1153</v>
      </c>
      <c r="AL864" s="397"/>
    </row>
    <row r="865" s="382" customFormat="true" ht="20.25" hidden="false" customHeight="true" outlineLevel="0" collapsed="false">
      <c r="A865" s="364" t="n">
        <v>340</v>
      </c>
      <c r="B865" s="363" t="n">
        <v>45817</v>
      </c>
      <c r="C865" s="364" t="s">
        <v>644</v>
      </c>
      <c r="D865" s="364" t="s">
        <v>1112</v>
      </c>
      <c r="E865" s="364" t="s">
        <v>492</v>
      </c>
      <c r="F865" s="364" t="s">
        <v>880</v>
      </c>
      <c r="G865" s="365" t="n">
        <v>45817</v>
      </c>
      <c r="H865" s="365" t="n">
        <v>45847</v>
      </c>
      <c r="I865" s="364" t="n">
        <f aca="false">H865-G865</f>
        <v>30</v>
      </c>
      <c r="J865" s="366" t="n">
        <f aca="false">TRUNC(I865/30,0)</f>
        <v>1</v>
      </c>
      <c r="K865" s="367" t="s">
        <v>99</v>
      </c>
      <c r="L865" s="368" t="n">
        <v>4.5</v>
      </c>
      <c r="M865" s="369"/>
      <c r="N865" s="370"/>
      <c r="O865" s="366" t="s">
        <v>303</v>
      </c>
      <c r="P865" s="371" t="n">
        <v>0.0431127</v>
      </c>
      <c r="Q865" s="371"/>
      <c r="R865" s="372" t="s">
        <v>914</v>
      </c>
      <c r="S865" s="373"/>
      <c r="T865" s="372"/>
      <c r="U865" s="373"/>
      <c r="V865" s="373" t="n">
        <v>0.048409</v>
      </c>
      <c r="W865" s="373" t="n">
        <v>0.003389</v>
      </c>
      <c r="X865" s="373" t="n">
        <v>0.0053</v>
      </c>
      <c r="Y865" s="373" t="n">
        <v>0.031637</v>
      </c>
      <c r="Z865" s="373" t="n">
        <v>0.00172</v>
      </c>
      <c r="AA865" s="373" t="n">
        <v>0.002</v>
      </c>
      <c r="AB865" s="374" t="n">
        <f aca="false">S865-Z865</f>
        <v>-0.00172</v>
      </c>
      <c r="AC865" s="374" t="n">
        <f aca="false">U865-Z865-AA865</f>
        <v>-0.00372</v>
      </c>
      <c r="AD865" s="375" t="n">
        <v>0.038</v>
      </c>
      <c r="AE865" s="373" t="n">
        <v>0.031637</v>
      </c>
      <c r="AF865" s="412" t="n">
        <f aca="false">AD865-AE865</f>
        <v>0.006363</v>
      </c>
      <c r="AG865" s="377" t="n">
        <v>0.038</v>
      </c>
      <c r="AH865" s="378" t="n">
        <v>45817</v>
      </c>
      <c r="AI865" s="379" t="n">
        <v>1</v>
      </c>
      <c r="AJ865" s="380" t="str">
        <f aca="false">IF(AG865="","N","Y")</f>
        <v>Y</v>
      </c>
      <c r="AK865" s="396" t="s">
        <v>1057</v>
      </c>
      <c r="AL865" s="397"/>
    </row>
    <row r="866" s="418" customFormat="true" ht="20.25" hidden="false" customHeight="true" outlineLevel="0" collapsed="false">
      <c r="A866" s="402" t="n">
        <v>341</v>
      </c>
      <c r="B866" s="403" t="n">
        <v>45817</v>
      </c>
      <c r="C866" s="402" t="s">
        <v>96</v>
      </c>
      <c r="D866" s="402" t="s">
        <v>1063</v>
      </c>
      <c r="E866" s="402" t="s">
        <v>1127</v>
      </c>
      <c r="F866" s="402" t="s">
        <v>662</v>
      </c>
      <c r="G866" s="404" t="n">
        <v>45817</v>
      </c>
      <c r="H866" s="404" t="n">
        <v>45848</v>
      </c>
      <c r="I866" s="402" t="n">
        <f aca="false">H866-G866</f>
        <v>31</v>
      </c>
      <c r="J866" s="405" t="n">
        <f aca="false">TRUNC(I866/30,0)</f>
        <v>1</v>
      </c>
      <c r="K866" s="406" t="s">
        <v>95</v>
      </c>
      <c r="L866" s="407" t="n">
        <v>10</v>
      </c>
      <c r="M866" s="408"/>
      <c r="N866" s="409"/>
      <c r="O866" s="405" t="s">
        <v>303</v>
      </c>
      <c r="P866" s="410" t="n">
        <v>0.0431127</v>
      </c>
      <c r="Q866" s="410"/>
      <c r="R866" s="411" t="s">
        <v>914</v>
      </c>
      <c r="S866" s="412"/>
      <c r="T866" s="411"/>
      <c r="U866" s="412"/>
      <c r="V866" s="412" t="n">
        <v>0.046101</v>
      </c>
      <c r="W866" s="412" t="n">
        <v>0.000922</v>
      </c>
      <c r="X866" s="412" t="n">
        <v>0.002059</v>
      </c>
      <c r="Y866" s="412" t="n">
        <v>0.03755</v>
      </c>
      <c r="Z866" s="412" t="n">
        <v>0.00172</v>
      </c>
      <c r="AA866" s="412" t="n">
        <v>0.002</v>
      </c>
      <c r="AB866" s="412" t="n">
        <f aca="false">S866-Z866</f>
        <v>-0.00172</v>
      </c>
      <c r="AC866" s="412" t="n">
        <f aca="false">U866-Z866-AA866</f>
        <v>-0.00372</v>
      </c>
      <c r="AD866" s="413" t="n">
        <v>0.0414</v>
      </c>
      <c r="AE866" s="412" t="n">
        <v>0.03755</v>
      </c>
      <c r="AF866" s="412" t="n">
        <f aca="false">AD866-AE866</f>
        <v>0.00385</v>
      </c>
      <c r="AG866" s="412" t="n">
        <f aca="false">IF(AF866="","",AE866+AF866)</f>
        <v>0.0414</v>
      </c>
      <c r="AH866" s="378" t="n">
        <v>45817</v>
      </c>
      <c r="AI866" s="414" t="n">
        <v>2</v>
      </c>
      <c r="AJ866" s="415" t="str">
        <f aca="false">IF(AG866="","N","Y")</f>
        <v>Y</v>
      </c>
      <c r="AK866" s="416" t="s">
        <v>1087</v>
      </c>
      <c r="AL866" s="417"/>
    </row>
    <row r="867" s="382" customFormat="true" ht="20.25" hidden="false" customHeight="true" outlineLevel="0" collapsed="false">
      <c r="A867" s="364" t="n">
        <v>342</v>
      </c>
      <c r="B867" s="363" t="n">
        <v>45817</v>
      </c>
      <c r="C867" s="364" t="s">
        <v>1066</v>
      </c>
      <c r="D867" s="364" t="s">
        <v>932</v>
      </c>
      <c r="E867" s="364" t="s">
        <v>970</v>
      </c>
      <c r="F867" s="402" t="s">
        <v>864</v>
      </c>
      <c r="G867" s="365" t="n">
        <v>45817</v>
      </c>
      <c r="H867" s="365" t="n">
        <v>45847</v>
      </c>
      <c r="I867" s="364" t="n">
        <f aca="false">H867-G867</f>
        <v>30</v>
      </c>
      <c r="J867" s="366" t="n">
        <f aca="false">TRUNC(I867/30,0)</f>
        <v>1</v>
      </c>
      <c r="K867" s="367" t="s">
        <v>99</v>
      </c>
      <c r="L867" s="368" t="n">
        <v>1</v>
      </c>
      <c r="M867" s="369"/>
      <c r="N867" s="370"/>
      <c r="O867" s="366" t="s">
        <v>303</v>
      </c>
      <c r="P867" s="371" t="n">
        <v>0.0431127</v>
      </c>
      <c r="Q867" s="371"/>
      <c r="R867" s="372" t="s">
        <v>914</v>
      </c>
      <c r="S867" s="373"/>
      <c r="T867" s="372"/>
      <c r="U867" s="373"/>
      <c r="V867" s="373" t="n">
        <v>0.048409</v>
      </c>
      <c r="W867" s="373" t="n">
        <v>0.003389</v>
      </c>
      <c r="X867" s="373" t="n">
        <v>0.0053</v>
      </c>
      <c r="Y867" s="373" t="n">
        <v>0.031637</v>
      </c>
      <c r="Z867" s="373" t="n">
        <v>0.00172</v>
      </c>
      <c r="AA867" s="373" t="n">
        <v>0.002</v>
      </c>
      <c r="AB867" s="374" t="n">
        <f aca="false">S867-Z867</f>
        <v>-0.00172</v>
      </c>
      <c r="AC867" s="374" t="n">
        <f aca="false">U867-Z867-AA867</f>
        <v>-0.00372</v>
      </c>
      <c r="AD867" s="375" t="n">
        <v>0.038</v>
      </c>
      <c r="AE867" s="376" t="n">
        <v>0.031637</v>
      </c>
      <c r="AF867" s="376" t="n">
        <f aca="false">AD867-AE867</f>
        <v>0.006363</v>
      </c>
      <c r="AG867" s="377" t="n">
        <f aca="false">IF(AF867="","",AE867+AF867)</f>
        <v>0.038</v>
      </c>
      <c r="AH867" s="378" t="n">
        <v>45817</v>
      </c>
      <c r="AI867" s="379" t="n">
        <v>3</v>
      </c>
      <c r="AJ867" s="380" t="str">
        <f aca="false">IF(AG867="","N","Y")</f>
        <v>Y</v>
      </c>
      <c r="AK867" s="396" t="s">
        <v>1057</v>
      </c>
      <c r="AL867" s="397"/>
    </row>
    <row r="868" s="382" customFormat="true" ht="16.5" hidden="false" customHeight="true" outlineLevel="0" collapsed="false">
      <c r="A868" s="364" t="n">
        <v>343</v>
      </c>
      <c r="B868" s="363" t="n">
        <v>45818</v>
      </c>
      <c r="C868" s="364" t="s">
        <v>187</v>
      </c>
      <c r="D868" s="364" t="s">
        <v>1062</v>
      </c>
      <c r="E868" s="364" t="s">
        <v>876</v>
      </c>
      <c r="F868" s="364" t="s">
        <v>877</v>
      </c>
      <c r="G868" s="365" t="n">
        <v>45818</v>
      </c>
      <c r="H868" s="365" t="n">
        <v>45832</v>
      </c>
      <c r="I868" s="364" t="n">
        <f aca="false">H868-G868</f>
        <v>14</v>
      </c>
      <c r="J868" s="366" t="n">
        <f aca="false">TRUNC(I868/30,0)</f>
        <v>0</v>
      </c>
      <c r="K868" s="395" t="s">
        <v>95</v>
      </c>
      <c r="L868" s="368" t="n">
        <v>9</v>
      </c>
      <c r="M868" s="369"/>
      <c r="N868" s="370"/>
      <c r="O868" s="366" t="s">
        <v>305</v>
      </c>
      <c r="P868" s="371" t="n">
        <v>0.0429503</v>
      </c>
      <c r="Q868" s="371"/>
      <c r="R868" s="372" t="s">
        <v>914</v>
      </c>
      <c r="S868" s="373"/>
      <c r="T868" s="372"/>
      <c r="U868" s="373"/>
      <c r="V868" s="373" t="n">
        <v>0.048581</v>
      </c>
      <c r="W868" s="373" t="n">
        <v>0.003141</v>
      </c>
      <c r="X868" s="373" t="n">
        <v>0.002012</v>
      </c>
      <c r="Y868" s="373" t="n">
        <v>0.033643</v>
      </c>
      <c r="Z868" s="373" t="n">
        <v>0.00172</v>
      </c>
      <c r="AA868" s="373" t="n">
        <v>0.002</v>
      </c>
      <c r="AB868" s="374" t="n">
        <f aca="false">S868-Z868</f>
        <v>-0.00172</v>
      </c>
      <c r="AC868" s="374" t="n">
        <f aca="false">U868-Z868-AA868</f>
        <v>-0.00372</v>
      </c>
      <c r="AD868" s="375" t="n">
        <v>0.038</v>
      </c>
      <c r="AE868" s="373" t="n">
        <v>0.033643</v>
      </c>
      <c r="AF868" s="376" t="n">
        <f aca="false">AD868-AE868</f>
        <v>0.004357</v>
      </c>
      <c r="AG868" s="377" t="n">
        <v>0.038</v>
      </c>
      <c r="AH868" s="378" t="n">
        <v>45818</v>
      </c>
      <c r="AI868" s="379" t="n">
        <v>1</v>
      </c>
      <c r="AJ868" s="380" t="str">
        <f aca="false">IF(AG868="","N","Y")</f>
        <v>Y</v>
      </c>
      <c r="AK868" s="396" t="s">
        <v>1057</v>
      </c>
      <c r="AL868" s="397"/>
    </row>
    <row r="869" s="382" customFormat="true" ht="20.25" hidden="false" customHeight="true" outlineLevel="0" collapsed="false">
      <c r="A869" s="364" t="n">
        <v>344</v>
      </c>
      <c r="B869" s="363" t="n">
        <v>45818</v>
      </c>
      <c r="C869" s="364" t="s">
        <v>1081</v>
      </c>
      <c r="D869" s="364" t="s">
        <v>1082</v>
      </c>
      <c r="E869" s="364" t="s">
        <v>900</v>
      </c>
      <c r="F869" s="364" t="s">
        <v>1083</v>
      </c>
      <c r="G869" s="365" t="n">
        <v>45818</v>
      </c>
      <c r="H869" s="365" t="n">
        <v>45910</v>
      </c>
      <c r="I869" s="364" t="n">
        <f aca="false">H869-G869</f>
        <v>92</v>
      </c>
      <c r="J869" s="366" t="n">
        <f aca="false">TRUNC(I869/30,0)</f>
        <v>3</v>
      </c>
      <c r="K869" s="395" t="s">
        <v>95</v>
      </c>
      <c r="L869" s="368" t="n">
        <v>1.5</v>
      </c>
      <c r="M869" s="369"/>
      <c r="N869" s="370"/>
      <c r="O869" s="366" t="s">
        <v>300</v>
      </c>
      <c r="P869" s="371" t="n">
        <v>0.0432322</v>
      </c>
      <c r="Q869" s="371"/>
      <c r="R869" s="372" t="s">
        <v>914</v>
      </c>
      <c r="S869" s="373"/>
      <c r="T869" s="372"/>
      <c r="U869" s="373"/>
      <c r="V869" s="373" t="n">
        <v>0.047761</v>
      </c>
      <c r="W869" s="373" t="n">
        <v>0.000955</v>
      </c>
      <c r="X869" s="373" t="n">
        <v>0.001901</v>
      </c>
      <c r="Y869" s="373" t="n">
        <v>0.039467</v>
      </c>
      <c r="Z869" s="373" t="n">
        <v>0.00172</v>
      </c>
      <c r="AA869" s="373" t="n">
        <v>0.002</v>
      </c>
      <c r="AB869" s="374" t="n">
        <f aca="false">S869-Z869</f>
        <v>-0.00172</v>
      </c>
      <c r="AC869" s="374" t="n">
        <f aca="false">U869-Z869-AA869</f>
        <v>-0.00372</v>
      </c>
      <c r="AD869" s="375" t="n">
        <v>0.043</v>
      </c>
      <c r="AE869" s="376" t="n">
        <v>0.039467</v>
      </c>
      <c r="AF869" s="376" t="n">
        <f aca="false">AD869-AE869</f>
        <v>0.00353299999999999</v>
      </c>
      <c r="AG869" s="377" t="n">
        <f aca="false">IF(AF869="","",AE869+AF869)</f>
        <v>0.043</v>
      </c>
      <c r="AH869" s="378" t="n">
        <v>45818</v>
      </c>
      <c r="AI869" s="379" t="n">
        <v>2</v>
      </c>
      <c r="AJ869" s="380" t="str">
        <f aca="false">IF(AG869="","N","Y")</f>
        <v>Y</v>
      </c>
      <c r="AK869" s="396" t="s">
        <v>1154</v>
      </c>
      <c r="AL869" s="397"/>
    </row>
    <row r="870" s="382" customFormat="true" ht="20.25" hidden="false" customHeight="true" outlineLevel="0" collapsed="false">
      <c r="A870" s="364" t="n">
        <v>345</v>
      </c>
      <c r="B870" s="363" t="n">
        <v>45819</v>
      </c>
      <c r="C870" s="364" t="s">
        <v>209</v>
      </c>
      <c r="D870" s="364" t="s">
        <v>1054</v>
      </c>
      <c r="E870" s="364" t="s">
        <v>1055</v>
      </c>
      <c r="F870" s="364" t="s">
        <v>697</v>
      </c>
      <c r="G870" s="365" t="n">
        <v>45819</v>
      </c>
      <c r="H870" s="365" t="n">
        <v>45849</v>
      </c>
      <c r="I870" s="364" t="n">
        <f aca="false">H870-G870</f>
        <v>30</v>
      </c>
      <c r="J870" s="366" t="n">
        <f aca="false">TRUNC(I870/30,0)</f>
        <v>1</v>
      </c>
      <c r="K870" s="367" t="s">
        <v>99</v>
      </c>
      <c r="L870" s="368" t="n">
        <v>1.42</v>
      </c>
      <c r="M870" s="369"/>
      <c r="N870" s="370"/>
      <c r="O870" s="366" t="s">
        <v>303</v>
      </c>
      <c r="P870" s="371" t="n">
        <v>0.043144</v>
      </c>
      <c r="Q870" s="371"/>
      <c r="R870" s="372" t="s">
        <v>914</v>
      </c>
      <c r="S870" s="373"/>
      <c r="T870" s="372"/>
      <c r="U870" s="373"/>
      <c r="V870" s="373" t="n">
        <v>0.048699</v>
      </c>
      <c r="W870" s="373" t="n">
        <v>0.003409</v>
      </c>
      <c r="X870" s="373" t="n">
        <v>0.00557</v>
      </c>
      <c r="Y870" s="373" t="n">
        <v>0.031643</v>
      </c>
      <c r="Z870" s="373" t="n">
        <v>0.00172</v>
      </c>
      <c r="AA870" s="373" t="n">
        <v>0.002</v>
      </c>
      <c r="AB870" s="374" t="n">
        <f aca="false">S870-Z870</f>
        <v>-0.00172</v>
      </c>
      <c r="AC870" s="374" t="n">
        <f aca="false">U870-Z870-AA870</f>
        <v>-0.00372</v>
      </c>
      <c r="AD870" s="375" t="n">
        <v>0.038</v>
      </c>
      <c r="AE870" s="376" t="n">
        <v>0.031643</v>
      </c>
      <c r="AF870" s="376" t="n">
        <f aca="false">AD870-AE870</f>
        <v>0.006357</v>
      </c>
      <c r="AG870" s="377" t="n">
        <v>0.038</v>
      </c>
      <c r="AH870" s="378" t="n">
        <v>45819</v>
      </c>
      <c r="AI870" s="379" t="n">
        <v>1</v>
      </c>
      <c r="AJ870" s="380" t="str">
        <f aca="false">IF(AG870="","N","Y")</f>
        <v>Y</v>
      </c>
      <c r="AK870" s="396" t="s">
        <v>1057</v>
      </c>
      <c r="AL870" s="397"/>
    </row>
    <row r="871" s="420" customFormat="true" ht="20.25" hidden="false" customHeight="true" outlineLevel="0" collapsed="false">
      <c r="A871" s="364" t="n">
        <v>346</v>
      </c>
      <c r="B871" s="363" t="n">
        <v>45819</v>
      </c>
      <c r="C871" s="364" t="s">
        <v>209</v>
      </c>
      <c r="D871" s="364" t="s">
        <v>1054</v>
      </c>
      <c r="E871" s="364" t="s">
        <v>1055</v>
      </c>
      <c r="F871" s="364" t="s">
        <v>697</v>
      </c>
      <c r="G871" s="365" t="n">
        <v>45819</v>
      </c>
      <c r="H871" s="365" t="n">
        <v>45849</v>
      </c>
      <c r="I871" s="364" t="n">
        <f aca="false">H871-G871</f>
        <v>30</v>
      </c>
      <c r="J871" s="366" t="n">
        <f aca="false">TRUNC(I871/30,0)</f>
        <v>1</v>
      </c>
      <c r="K871" s="395" t="s">
        <v>95</v>
      </c>
      <c r="L871" s="368" t="n">
        <v>11</v>
      </c>
      <c r="M871" s="369"/>
      <c r="N871" s="370"/>
      <c r="O871" s="366" t="s">
        <v>303</v>
      </c>
      <c r="P871" s="371" t="n">
        <v>0.043144</v>
      </c>
      <c r="Q871" s="371"/>
      <c r="R871" s="372" t="s">
        <v>914</v>
      </c>
      <c r="S871" s="373"/>
      <c r="T871" s="372"/>
      <c r="U871" s="373"/>
      <c r="V871" s="373" t="n">
        <v>0.046111</v>
      </c>
      <c r="W871" s="373" t="n">
        <v>0.000922</v>
      </c>
      <c r="X871" s="373" t="n">
        <v>0.003269</v>
      </c>
      <c r="Y871" s="373" t="n">
        <v>0.037581</v>
      </c>
      <c r="Z871" s="373" t="n">
        <v>0.00172</v>
      </c>
      <c r="AA871" s="373" t="n">
        <v>0.002</v>
      </c>
      <c r="AB871" s="374" t="n">
        <f aca="false">S871-Z871</f>
        <v>-0.00172</v>
      </c>
      <c r="AC871" s="374" t="n">
        <f aca="false">U871-Z871-AA871</f>
        <v>-0.00372</v>
      </c>
      <c r="AD871" s="375" t="n">
        <v>0.0402</v>
      </c>
      <c r="AE871" s="376" t="n">
        <v>0.037581</v>
      </c>
      <c r="AF871" s="376" t="n">
        <f aca="false">AD871-AE871</f>
        <v>0.002619</v>
      </c>
      <c r="AG871" s="377" t="n">
        <v>0.0402</v>
      </c>
      <c r="AH871" s="378" t="n">
        <v>45819</v>
      </c>
      <c r="AI871" s="379" t="n">
        <v>2</v>
      </c>
      <c r="AJ871" s="380" t="str">
        <f aca="false">IF(AG871="","N","Y")</f>
        <v>Y</v>
      </c>
      <c r="AK871" s="396" t="s">
        <v>1117</v>
      </c>
      <c r="AL871" s="419"/>
    </row>
    <row r="872" s="420" customFormat="true" ht="20.25" hidden="false" customHeight="true" outlineLevel="0" collapsed="false">
      <c r="A872" s="364" t="n">
        <v>347</v>
      </c>
      <c r="B872" s="363" t="n">
        <v>45819</v>
      </c>
      <c r="C872" s="364" t="s">
        <v>209</v>
      </c>
      <c r="D872" s="364" t="s">
        <v>1054</v>
      </c>
      <c r="E872" s="364" t="s">
        <v>1055</v>
      </c>
      <c r="F872" s="364" t="s">
        <v>697</v>
      </c>
      <c r="G872" s="365" t="n">
        <v>45819</v>
      </c>
      <c r="H872" s="365" t="n">
        <v>45849</v>
      </c>
      <c r="I872" s="364" t="n">
        <f aca="false">H872-G872</f>
        <v>30</v>
      </c>
      <c r="J872" s="366" t="n">
        <f aca="false">TRUNC(I872/30,0)</f>
        <v>1</v>
      </c>
      <c r="K872" s="395" t="s">
        <v>95</v>
      </c>
      <c r="L872" s="368" t="n">
        <v>1.5</v>
      </c>
      <c r="M872" s="369"/>
      <c r="N872" s="370"/>
      <c r="O872" s="366" t="s">
        <v>303</v>
      </c>
      <c r="P872" s="371" t="n">
        <v>0.043144</v>
      </c>
      <c r="Q872" s="371"/>
      <c r="R872" s="372" t="s">
        <v>914</v>
      </c>
      <c r="S872" s="373"/>
      <c r="T872" s="372"/>
      <c r="U872" s="373"/>
      <c r="V872" s="373" t="n">
        <v>0.046111</v>
      </c>
      <c r="W872" s="373" t="n">
        <v>0.000922</v>
      </c>
      <c r="X872" s="373" t="n">
        <v>0.003269</v>
      </c>
      <c r="Y872" s="373" t="n">
        <v>0.037581</v>
      </c>
      <c r="Z872" s="373" t="n">
        <v>0.00172</v>
      </c>
      <c r="AA872" s="373" t="n">
        <v>0.002</v>
      </c>
      <c r="AB872" s="374" t="n">
        <f aca="false">S872-Z872</f>
        <v>-0.00172</v>
      </c>
      <c r="AC872" s="374" t="n">
        <f aca="false">U872-Z872-AA872</f>
        <v>-0.00372</v>
      </c>
      <c r="AD872" s="375" t="n">
        <v>0.0402</v>
      </c>
      <c r="AE872" s="376" t="n">
        <v>0.037581</v>
      </c>
      <c r="AF872" s="376" t="n">
        <f aca="false">AD872-AE872</f>
        <v>0.002619</v>
      </c>
      <c r="AG872" s="377" t="n">
        <v>0.0402</v>
      </c>
      <c r="AH872" s="378" t="n">
        <v>45819</v>
      </c>
      <c r="AI872" s="379" t="n">
        <v>3</v>
      </c>
      <c r="AJ872" s="380" t="str">
        <f aca="false">IF(AG872="","N","Y")</f>
        <v>Y</v>
      </c>
      <c r="AK872" s="396" t="s">
        <v>1117</v>
      </c>
      <c r="AL872" s="419"/>
    </row>
    <row r="873" s="382" customFormat="true" ht="16.5" hidden="false" customHeight="true" outlineLevel="0" collapsed="false">
      <c r="A873" s="364" t="n">
        <v>348</v>
      </c>
      <c r="B873" s="363" t="n">
        <v>45819</v>
      </c>
      <c r="C873" s="364" t="s">
        <v>187</v>
      </c>
      <c r="D873" s="364" t="s">
        <v>1062</v>
      </c>
      <c r="E873" s="364" t="s">
        <v>876</v>
      </c>
      <c r="F873" s="364" t="s">
        <v>877</v>
      </c>
      <c r="G873" s="365" t="n">
        <v>45819</v>
      </c>
      <c r="H873" s="365" t="n">
        <v>45832</v>
      </c>
      <c r="I873" s="364" t="n">
        <f aca="false">H873-G873</f>
        <v>13</v>
      </c>
      <c r="J873" s="366" t="n">
        <f aca="false">TRUNC(I873/30,0)</f>
        <v>0</v>
      </c>
      <c r="K873" s="395" t="s">
        <v>95</v>
      </c>
      <c r="L873" s="368" t="n">
        <v>4.2</v>
      </c>
      <c r="M873" s="369"/>
      <c r="N873" s="370"/>
      <c r="O873" s="366" t="s">
        <v>305</v>
      </c>
      <c r="P873" s="371" t="n">
        <v>0.0429505</v>
      </c>
      <c r="Q873" s="371"/>
      <c r="R873" s="372" t="s">
        <v>914</v>
      </c>
      <c r="S873" s="373"/>
      <c r="T873" s="372"/>
      <c r="U873" s="373"/>
      <c r="V873" s="373" t="n">
        <v>0.048581</v>
      </c>
      <c r="W873" s="373" t="n">
        <v>0.003137</v>
      </c>
      <c r="X873" s="373" t="n">
        <v>0.001952</v>
      </c>
      <c r="Y873" s="373" t="n">
        <v>0.033643</v>
      </c>
      <c r="Z873" s="373" t="n">
        <v>0.00172</v>
      </c>
      <c r="AA873" s="373" t="n">
        <v>0.002</v>
      </c>
      <c r="AB873" s="374" t="n">
        <f aca="false">S873-Z873</f>
        <v>-0.00172</v>
      </c>
      <c r="AC873" s="374" t="n">
        <f aca="false">U873-Z873-AA873</f>
        <v>-0.00372</v>
      </c>
      <c r="AD873" s="375" t="n">
        <v>0.038</v>
      </c>
      <c r="AE873" s="373" t="n">
        <v>0.033643</v>
      </c>
      <c r="AF873" s="376" t="n">
        <f aca="false">AD873-AE873</f>
        <v>0.004357</v>
      </c>
      <c r="AG873" s="377" t="n">
        <v>0.038</v>
      </c>
      <c r="AH873" s="378" t="n">
        <v>45819</v>
      </c>
      <c r="AI873" s="379" t="n">
        <v>4</v>
      </c>
      <c r="AJ873" s="380" t="str">
        <f aca="false">IF(AG873="","N","Y")</f>
        <v>Y</v>
      </c>
      <c r="AK873" s="396" t="s">
        <v>1057</v>
      </c>
      <c r="AL873" s="397"/>
    </row>
    <row r="874" s="382" customFormat="true" ht="20.25" hidden="false" customHeight="true" outlineLevel="0" collapsed="false">
      <c r="A874" s="364" t="n">
        <v>349</v>
      </c>
      <c r="B874" s="363" t="n">
        <v>45820</v>
      </c>
      <c r="C874" s="364" t="s">
        <v>644</v>
      </c>
      <c r="D874" s="364" t="s">
        <v>1070</v>
      </c>
      <c r="E874" s="364" t="s">
        <v>1071</v>
      </c>
      <c r="F874" s="364" t="s">
        <v>1072</v>
      </c>
      <c r="G874" s="365" t="n">
        <v>45820</v>
      </c>
      <c r="H874" s="365" t="n">
        <v>45852</v>
      </c>
      <c r="I874" s="364" t="n">
        <f aca="false">H874-G874</f>
        <v>32</v>
      </c>
      <c r="J874" s="366" t="n">
        <f aca="false">TRUNC(I874/30,0)</f>
        <v>1</v>
      </c>
      <c r="K874" s="395" t="s">
        <v>95</v>
      </c>
      <c r="L874" s="368" t="n">
        <v>1.5</v>
      </c>
      <c r="M874" s="369"/>
      <c r="N874" s="370"/>
      <c r="O874" s="366" t="s">
        <v>303</v>
      </c>
      <c r="P874" s="371" t="n">
        <v>0.0431324</v>
      </c>
      <c r="Q874" s="371"/>
      <c r="R874" s="372" t="s">
        <v>914</v>
      </c>
      <c r="S874" s="373"/>
      <c r="T874" s="372"/>
      <c r="U874" s="373"/>
      <c r="V874" s="373" t="n">
        <v>0.046112</v>
      </c>
      <c r="W874" s="373" t="n">
        <v>0.000922</v>
      </c>
      <c r="X874" s="373" t="n">
        <v>0.00247</v>
      </c>
      <c r="Y874" s="373" t="n">
        <v>0.037659</v>
      </c>
      <c r="Z874" s="373" t="n">
        <v>0.00172</v>
      </c>
      <c r="AA874" s="373" t="n">
        <v>0.002</v>
      </c>
      <c r="AB874" s="374" t="n">
        <f aca="false">S874-Z874</f>
        <v>-0.00172</v>
      </c>
      <c r="AC874" s="374" t="n">
        <f aca="false">U874-Z874-AA874</f>
        <v>-0.00372</v>
      </c>
      <c r="AD874" s="375" t="n">
        <v>0.041</v>
      </c>
      <c r="AE874" s="376" t="n">
        <v>0.037659</v>
      </c>
      <c r="AF874" s="376" t="n">
        <f aca="false">AD874-AE874</f>
        <v>0.003341</v>
      </c>
      <c r="AG874" s="377" t="n">
        <f aca="false">IF(AF874="","",AE874+AF874)</f>
        <v>0.041</v>
      </c>
      <c r="AH874" s="378" t="n">
        <v>45820</v>
      </c>
      <c r="AI874" s="379" t="n">
        <v>1</v>
      </c>
      <c r="AJ874" s="380" t="str">
        <f aca="false">IF(AG874="","N","Y")</f>
        <v>Y</v>
      </c>
      <c r="AK874" s="396" t="s">
        <v>1117</v>
      </c>
      <c r="AL874" s="397"/>
    </row>
    <row r="875" s="382" customFormat="true" ht="20.25" hidden="false" customHeight="true" outlineLevel="0" collapsed="false">
      <c r="A875" s="421" t="n">
        <v>350</v>
      </c>
      <c r="B875" s="422" t="n">
        <v>45821</v>
      </c>
      <c r="C875" s="423" t="s">
        <v>925</v>
      </c>
      <c r="D875" s="423" t="s">
        <v>1073</v>
      </c>
      <c r="E875" s="423" t="s">
        <v>1074</v>
      </c>
      <c r="F875" s="423" t="s">
        <v>1075</v>
      </c>
      <c r="G875" s="424" t="n">
        <v>45821</v>
      </c>
      <c r="H875" s="424" t="n">
        <v>45852</v>
      </c>
      <c r="I875" s="421" t="n">
        <f aca="false">H875-G875</f>
        <v>31</v>
      </c>
      <c r="J875" s="425" t="n">
        <f aca="false">TRUNC(I875/30,0)</f>
        <v>1</v>
      </c>
      <c r="K875" s="426" t="s">
        <v>99</v>
      </c>
      <c r="L875" s="427" t="n">
        <v>1</v>
      </c>
      <c r="M875" s="428"/>
      <c r="N875" s="429"/>
      <c r="O875" s="425" t="s">
        <v>303</v>
      </c>
      <c r="P875" s="430" t="n">
        <v>0.0431176</v>
      </c>
      <c r="Q875" s="430"/>
      <c r="R875" s="431" t="s">
        <v>914</v>
      </c>
      <c r="S875" s="432"/>
      <c r="T875" s="431"/>
      <c r="U875" s="432"/>
      <c r="V875" s="432" t="n">
        <v>0.048759</v>
      </c>
      <c r="W875" s="432" t="n">
        <v>0.003285</v>
      </c>
      <c r="X875" s="432" t="n">
        <v>0.003921</v>
      </c>
      <c r="Y875" s="432" t="n">
        <v>0.031565</v>
      </c>
      <c r="Z875" s="432" t="n">
        <v>0.00172</v>
      </c>
      <c r="AA875" s="432" t="n">
        <v>0.002</v>
      </c>
      <c r="AB875" s="433" t="n">
        <f aca="false">S875-Z875</f>
        <v>-0.00172</v>
      </c>
      <c r="AC875" s="433" t="n">
        <f aca="false">U875-Z875-AA875</f>
        <v>-0.00372</v>
      </c>
      <c r="AD875" s="434" t="n">
        <v>0.038</v>
      </c>
      <c r="AE875" s="435" t="n">
        <v>0.031565</v>
      </c>
      <c r="AF875" s="435" t="n">
        <f aca="false">AD875-AE875</f>
        <v>0.006435</v>
      </c>
      <c r="AG875" s="436" t="n">
        <v>0.038</v>
      </c>
      <c r="AH875" s="437" t="n">
        <v>45821</v>
      </c>
      <c r="AI875" s="438" t="n">
        <v>3</v>
      </c>
      <c r="AJ875" s="421" t="str">
        <f aca="false">IF(AG875="","N","Y")</f>
        <v>Y</v>
      </c>
      <c r="AK875" s="439" t="s">
        <v>1057</v>
      </c>
      <c r="AL875" s="397"/>
    </row>
    <row r="876" s="382" customFormat="true" ht="20.25" hidden="false" customHeight="true" outlineLevel="0" collapsed="false">
      <c r="A876" s="364" t="n">
        <v>351</v>
      </c>
      <c r="B876" s="363" t="n">
        <v>45821</v>
      </c>
      <c r="C876" s="364" t="s">
        <v>977</v>
      </c>
      <c r="D876" s="364" t="s">
        <v>978</v>
      </c>
      <c r="E876" s="364" t="s">
        <v>1011</v>
      </c>
      <c r="F876" s="364" t="s">
        <v>980</v>
      </c>
      <c r="G876" s="365" t="n">
        <v>45821</v>
      </c>
      <c r="H876" s="365" t="n">
        <v>45915</v>
      </c>
      <c r="I876" s="364" t="n">
        <f aca="false">H876-G876</f>
        <v>94</v>
      </c>
      <c r="J876" s="366" t="n">
        <f aca="false">TRUNC(I876/30,0)</f>
        <v>3</v>
      </c>
      <c r="K876" s="395" t="s">
        <v>95</v>
      </c>
      <c r="L876" s="368" t="n">
        <v>1</v>
      </c>
      <c r="M876" s="369" t="n">
        <v>3.9</v>
      </c>
      <c r="N876" s="370" t="s">
        <v>1089</v>
      </c>
      <c r="O876" s="366" t="s">
        <v>300</v>
      </c>
      <c r="P876" s="371" t="n">
        <v>0.0431847</v>
      </c>
      <c r="Q876" s="371"/>
      <c r="R876" s="372" t="s">
        <v>914</v>
      </c>
      <c r="S876" s="373"/>
      <c r="T876" s="372"/>
      <c r="U876" s="373"/>
      <c r="V876" s="373" t="n">
        <v>0.047724</v>
      </c>
      <c r="W876" s="373" t="n">
        <v>0.000945</v>
      </c>
      <c r="X876" s="373" t="n">
        <v>0.002295</v>
      </c>
      <c r="Y876" s="373" t="n">
        <v>0.039421</v>
      </c>
      <c r="Z876" s="373" t="n">
        <v>0.00172</v>
      </c>
      <c r="AA876" s="373" t="n">
        <v>0.002</v>
      </c>
      <c r="AB876" s="374" t="n">
        <f aca="false">S876-Z876</f>
        <v>-0.00172</v>
      </c>
      <c r="AC876" s="374" t="n">
        <f aca="false">U876-Z876-AA876</f>
        <v>-0.00372</v>
      </c>
      <c r="AD876" s="375" t="n">
        <v>0.042</v>
      </c>
      <c r="AE876" s="376" t="n">
        <v>0.039421</v>
      </c>
      <c r="AF876" s="376" t="n">
        <f aca="false">AD876-AE876</f>
        <v>0.00257900000000001</v>
      </c>
      <c r="AG876" s="377" t="n">
        <v>0.042</v>
      </c>
      <c r="AH876" s="378" t="n">
        <v>45821</v>
      </c>
      <c r="AI876" s="379" t="n">
        <v>1</v>
      </c>
      <c r="AJ876" s="380" t="str">
        <f aca="false">IF(AG876="","N","Y")</f>
        <v>Y</v>
      </c>
      <c r="AK876" s="396" t="s">
        <v>1101</v>
      </c>
      <c r="AL876" s="397"/>
    </row>
    <row r="877" s="382" customFormat="true" ht="20.25" hidden="false" customHeight="true" outlineLevel="0" collapsed="false">
      <c r="A877" s="364" t="n">
        <v>352</v>
      </c>
      <c r="B877" s="363" t="n">
        <v>45821</v>
      </c>
      <c r="C877" s="364" t="s">
        <v>977</v>
      </c>
      <c r="D877" s="364" t="s">
        <v>978</v>
      </c>
      <c r="E877" s="364" t="s">
        <v>1011</v>
      </c>
      <c r="F877" s="364" t="s">
        <v>980</v>
      </c>
      <c r="G877" s="365" t="n">
        <v>45821</v>
      </c>
      <c r="H877" s="365" t="n">
        <v>45915</v>
      </c>
      <c r="I877" s="364" t="n">
        <f aca="false">H877-G877</f>
        <v>94</v>
      </c>
      <c r="J877" s="366" t="n">
        <f aca="false">TRUNC(I877/30,0)</f>
        <v>3</v>
      </c>
      <c r="K877" s="395" t="s">
        <v>95</v>
      </c>
      <c r="L877" s="368" t="n">
        <v>1</v>
      </c>
      <c r="M877" s="369" t="n">
        <v>3.9</v>
      </c>
      <c r="N877" s="370" t="s">
        <v>1089</v>
      </c>
      <c r="O877" s="366" t="s">
        <v>300</v>
      </c>
      <c r="P877" s="371" t="n">
        <v>0.0431847</v>
      </c>
      <c r="Q877" s="371"/>
      <c r="R877" s="372" t="s">
        <v>914</v>
      </c>
      <c r="S877" s="373"/>
      <c r="T877" s="372"/>
      <c r="U877" s="373"/>
      <c r="V877" s="373" t="n">
        <v>0.047724</v>
      </c>
      <c r="W877" s="373" t="n">
        <v>0.000945</v>
      </c>
      <c r="X877" s="373" t="n">
        <v>0.002295</v>
      </c>
      <c r="Y877" s="373" t="n">
        <v>0.039421</v>
      </c>
      <c r="Z877" s="373" t="n">
        <v>0.00172</v>
      </c>
      <c r="AA877" s="373" t="n">
        <v>0.002</v>
      </c>
      <c r="AB877" s="374" t="n">
        <f aca="false">S877-Z877</f>
        <v>-0.00172</v>
      </c>
      <c r="AC877" s="374" t="n">
        <f aca="false">U877-Z877-AA877</f>
        <v>-0.00372</v>
      </c>
      <c r="AD877" s="375" t="n">
        <v>0.042</v>
      </c>
      <c r="AE877" s="376" t="n">
        <v>0.039421</v>
      </c>
      <c r="AF877" s="376" t="n">
        <f aca="false">AD877-AE877</f>
        <v>0.00257900000000001</v>
      </c>
      <c r="AG877" s="377" t="n">
        <v>0.042</v>
      </c>
      <c r="AH877" s="378" t="n">
        <v>45821</v>
      </c>
      <c r="AI877" s="379" t="n">
        <v>2</v>
      </c>
      <c r="AJ877" s="380" t="str">
        <f aca="false">IF(AG877="","N","Y")</f>
        <v>Y</v>
      </c>
      <c r="AK877" s="396" t="s">
        <v>1101</v>
      </c>
      <c r="AL877" s="397"/>
    </row>
    <row r="878" s="382" customFormat="true" ht="20.25" hidden="false" customHeight="true" outlineLevel="0" collapsed="false">
      <c r="A878" s="364" t="n">
        <v>353</v>
      </c>
      <c r="B878" s="363" t="n">
        <v>45824</v>
      </c>
      <c r="C878" s="364" t="s">
        <v>862</v>
      </c>
      <c r="D878" s="364" t="s">
        <v>932</v>
      </c>
      <c r="E878" s="364" t="s">
        <v>1067</v>
      </c>
      <c r="F878" s="364" t="s">
        <v>906</v>
      </c>
      <c r="G878" s="365" t="n">
        <v>45824</v>
      </c>
      <c r="H878" s="365" t="n">
        <v>45854</v>
      </c>
      <c r="I878" s="364" t="n">
        <f aca="false">H878-G878</f>
        <v>30</v>
      </c>
      <c r="J878" s="366" t="n">
        <f aca="false">TRUNC(I878/30,0)</f>
        <v>1</v>
      </c>
      <c r="K878" s="367" t="s">
        <v>99</v>
      </c>
      <c r="L878" s="368" t="n">
        <v>5.5</v>
      </c>
      <c r="M878" s="369"/>
      <c r="N878" s="370"/>
      <c r="O878" s="366" t="s">
        <v>303</v>
      </c>
      <c r="P878" s="371" t="n">
        <v>0.043137</v>
      </c>
      <c r="Q878" s="371"/>
      <c r="R878" s="372" t="s">
        <v>914</v>
      </c>
      <c r="S878" s="373"/>
      <c r="T878" s="372"/>
      <c r="U878" s="373"/>
      <c r="V878" s="373" t="n">
        <v>0.04872</v>
      </c>
      <c r="W878" s="373" t="n">
        <v>0.00341</v>
      </c>
      <c r="X878" s="373" t="n">
        <v>0.00559</v>
      </c>
      <c r="Y878" s="373" t="n">
        <v>0.031568</v>
      </c>
      <c r="Z878" s="373" t="n">
        <v>0.00172</v>
      </c>
      <c r="AA878" s="373" t="n">
        <v>0.002</v>
      </c>
      <c r="AB878" s="374" t="n">
        <f aca="false">S878-Z878</f>
        <v>-0.00172</v>
      </c>
      <c r="AC878" s="374" t="n">
        <f aca="false">U878-Z878-AA878</f>
        <v>-0.00372</v>
      </c>
      <c r="AD878" s="375" t="n">
        <v>0.038</v>
      </c>
      <c r="AE878" s="376" t="n">
        <v>0.031597</v>
      </c>
      <c r="AF878" s="376" t="n">
        <f aca="false">AD878-AE878</f>
        <v>0.006403</v>
      </c>
      <c r="AG878" s="377" t="n">
        <f aca="false">IF(AF878="","",AE878+AF878)</f>
        <v>0.038</v>
      </c>
      <c r="AH878" s="378" t="n">
        <v>45824</v>
      </c>
      <c r="AI878" s="379" t="n">
        <v>1</v>
      </c>
      <c r="AJ878" s="380" t="str">
        <f aca="false">IF(AG878="","N","Y")</f>
        <v>Y</v>
      </c>
      <c r="AK878" s="396" t="s">
        <v>1057</v>
      </c>
      <c r="AL878" s="397"/>
    </row>
    <row r="879" s="382" customFormat="true" ht="20.25" hidden="false" customHeight="true" outlineLevel="0" collapsed="false">
      <c r="A879" s="364" t="n">
        <v>354</v>
      </c>
      <c r="B879" s="363" t="n">
        <v>45824</v>
      </c>
      <c r="C879" s="364" t="s">
        <v>187</v>
      </c>
      <c r="D879" s="364" t="s">
        <v>1118</v>
      </c>
      <c r="E879" s="364" t="s">
        <v>1119</v>
      </c>
      <c r="F879" s="364" t="s">
        <v>1120</v>
      </c>
      <c r="G879" s="365" t="n">
        <v>45824</v>
      </c>
      <c r="H879" s="365" t="n">
        <v>45854</v>
      </c>
      <c r="I879" s="364" t="n">
        <f aca="false">H879-G879</f>
        <v>30</v>
      </c>
      <c r="J879" s="366" t="n">
        <f aca="false">TRUNC(I879/30,0)</f>
        <v>1</v>
      </c>
      <c r="K879" s="367" t="s">
        <v>99</v>
      </c>
      <c r="L879" s="368" t="n">
        <v>1.5</v>
      </c>
      <c r="M879" s="369"/>
      <c r="N879" s="370"/>
      <c r="O879" s="366" t="s">
        <v>303</v>
      </c>
      <c r="P879" s="371" t="n">
        <v>0.043137</v>
      </c>
      <c r="Q879" s="371"/>
      <c r="R879" s="372" t="s">
        <v>914</v>
      </c>
      <c r="S879" s="373"/>
      <c r="T879" s="372"/>
      <c r="U879" s="373"/>
      <c r="V879" s="373" t="n">
        <v>0.04872</v>
      </c>
      <c r="W879" s="373" t="n">
        <v>0.00341</v>
      </c>
      <c r="X879" s="373" t="n">
        <v>0.00559</v>
      </c>
      <c r="Y879" s="373" t="n">
        <v>0.031568</v>
      </c>
      <c r="Z879" s="373" t="n">
        <v>0.00172</v>
      </c>
      <c r="AA879" s="373" t="n">
        <v>0.002</v>
      </c>
      <c r="AB879" s="374" t="n">
        <f aca="false">S879-Z879</f>
        <v>-0.00172</v>
      </c>
      <c r="AC879" s="374" t="n">
        <f aca="false">U879-Z879-AA879</f>
        <v>-0.00372</v>
      </c>
      <c r="AD879" s="375" t="n">
        <v>0.038</v>
      </c>
      <c r="AE879" s="376" t="n">
        <v>0.031597</v>
      </c>
      <c r="AF879" s="376" t="n">
        <f aca="false">AD879-AE879</f>
        <v>0.006403</v>
      </c>
      <c r="AG879" s="377" t="n">
        <v>0.038</v>
      </c>
      <c r="AH879" s="378" t="n">
        <v>45824</v>
      </c>
      <c r="AI879" s="379" t="n">
        <v>2</v>
      </c>
      <c r="AJ879" s="380" t="str">
        <f aca="false">IF(AG879="","N","Y")</f>
        <v>Y</v>
      </c>
      <c r="AK879" s="396" t="s">
        <v>1057</v>
      </c>
      <c r="AL879" s="397"/>
    </row>
    <row r="880" s="382" customFormat="true" ht="20.25" hidden="false" customHeight="true" outlineLevel="0" collapsed="false">
      <c r="A880" s="364" t="n">
        <v>355</v>
      </c>
      <c r="B880" s="363" t="n">
        <v>45824</v>
      </c>
      <c r="C880" s="364" t="s">
        <v>1129</v>
      </c>
      <c r="D880" s="364" t="s">
        <v>1130</v>
      </c>
      <c r="E880" s="364" t="s">
        <v>1131</v>
      </c>
      <c r="F880" s="364" t="s">
        <v>1132</v>
      </c>
      <c r="G880" s="365" t="n">
        <v>45824</v>
      </c>
      <c r="H880" s="365" t="n">
        <v>45854</v>
      </c>
      <c r="I880" s="364" t="n">
        <f aca="false">H880-G880</f>
        <v>30</v>
      </c>
      <c r="J880" s="366" t="n">
        <f aca="false">TRUNC(I880/30,0)</f>
        <v>1</v>
      </c>
      <c r="K880" s="395" t="s">
        <v>95</v>
      </c>
      <c r="L880" s="368" t="n">
        <v>1</v>
      </c>
      <c r="M880" s="369"/>
      <c r="N880" s="370"/>
      <c r="O880" s="366" t="s">
        <v>303</v>
      </c>
      <c r="P880" s="371" t="n">
        <v>0.043137</v>
      </c>
      <c r="Q880" s="371"/>
      <c r="R880" s="372" t="s">
        <v>914</v>
      </c>
      <c r="S880" s="373"/>
      <c r="T880" s="372"/>
      <c r="U880" s="373"/>
      <c r="V880" s="373" t="n">
        <v>0.046085</v>
      </c>
      <c r="W880" s="373" t="n">
        <v>0.000922</v>
      </c>
      <c r="X880" s="373" t="n">
        <v>0.002443</v>
      </c>
      <c r="Y880" s="373" t="n">
        <v>0.037574</v>
      </c>
      <c r="Z880" s="373" t="n">
        <v>0.00172</v>
      </c>
      <c r="AA880" s="373" t="n">
        <v>0.002</v>
      </c>
      <c r="AB880" s="374" t="n">
        <f aca="false">S880-Z880</f>
        <v>-0.00172</v>
      </c>
      <c r="AC880" s="374" t="n">
        <f aca="false">U880-Z880-AA880</f>
        <v>-0.00372</v>
      </c>
      <c r="AD880" s="375" t="n">
        <v>0.041</v>
      </c>
      <c r="AE880" s="376" t="n">
        <v>0.037721</v>
      </c>
      <c r="AF880" s="376" t="n">
        <f aca="false">AD880-AE880</f>
        <v>0.003279</v>
      </c>
      <c r="AG880" s="377" t="n">
        <f aca="false">IF(AF880="","",AE880+AF880)</f>
        <v>0.041</v>
      </c>
      <c r="AH880" s="378" t="n">
        <v>45824</v>
      </c>
      <c r="AI880" s="379" t="n">
        <v>3</v>
      </c>
      <c r="AJ880" s="380" t="str">
        <f aca="false">IF(AG880="","N","Y")</f>
        <v>Y</v>
      </c>
      <c r="AK880" s="396" t="s">
        <v>1138</v>
      </c>
      <c r="AL880" s="397"/>
    </row>
    <row r="881" s="382" customFormat="true" ht="20.25" hidden="false" customHeight="true" outlineLevel="0" collapsed="false">
      <c r="A881" s="364" t="n">
        <v>356</v>
      </c>
      <c r="B881" s="363" t="n">
        <v>45825</v>
      </c>
      <c r="C881" s="364" t="s">
        <v>770</v>
      </c>
      <c r="D881" s="364" t="s">
        <v>1111</v>
      </c>
      <c r="E881" s="364" t="s">
        <v>1004</v>
      </c>
      <c r="F881" s="364" t="s">
        <v>773</v>
      </c>
      <c r="G881" s="365" t="n">
        <v>45825</v>
      </c>
      <c r="H881" s="365" t="n">
        <v>45917</v>
      </c>
      <c r="I881" s="364" t="n">
        <f aca="false">H881-G881</f>
        <v>92</v>
      </c>
      <c r="J881" s="366" t="n">
        <f aca="false">TRUNC(I881/30,0)</f>
        <v>3</v>
      </c>
      <c r="K881" s="395" t="s">
        <v>95</v>
      </c>
      <c r="L881" s="368" t="n">
        <v>1</v>
      </c>
      <c r="M881" s="369"/>
      <c r="N881" s="370"/>
      <c r="O881" s="366" t="s">
        <v>300</v>
      </c>
      <c r="P881" s="371" t="n">
        <v>0.0431348</v>
      </c>
      <c r="Q881" s="371"/>
      <c r="R881" s="372" t="s">
        <v>914</v>
      </c>
      <c r="S881" s="373"/>
      <c r="T881" s="372"/>
      <c r="U881" s="373"/>
      <c r="V881" s="373" t="n">
        <v>0.047596</v>
      </c>
      <c r="W881" s="373" t="n">
        <v>0.000952</v>
      </c>
      <c r="X881" s="373" t="n">
        <v>0.002224</v>
      </c>
      <c r="Y881" s="373" t="n">
        <v>0.039335</v>
      </c>
      <c r="Z881" s="373" t="n">
        <v>0.00172</v>
      </c>
      <c r="AA881" s="373" t="n">
        <v>0.002</v>
      </c>
      <c r="AB881" s="374" t="n">
        <f aca="false">S881-Z881</f>
        <v>-0.00172</v>
      </c>
      <c r="AC881" s="374" t="n">
        <f aca="false">U881-Z881-AA881</f>
        <v>-0.00372</v>
      </c>
      <c r="AD881" s="375" t="n">
        <v>0.0427</v>
      </c>
      <c r="AE881" s="373" t="n">
        <v>0.039372</v>
      </c>
      <c r="AF881" s="376" t="n">
        <v>0.003328</v>
      </c>
      <c r="AG881" s="377" t="n">
        <v>0.0427</v>
      </c>
      <c r="AH881" s="378" t="n">
        <v>45825</v>
      </c>
      <c r="AI881" s="379" t="n">
        <v>1</v>
      </c>
      <c r="AJ881" s="380" t="str">
        <f aca="false">IF(AG881="","N","Y")</f>
        <v>Y</v>
      </c>
      <c r="AK881" s="396" t="s">
        <v>1123</v>
      </c>
      <c r="AL881" s="397"/>
    </row>
    <row r="882" s="382" customFormat="true" ht="20.25" hidden="false" customHeight="true" outlineLevel="0" collapsed="false">
      <c r="A882" s="364" t="n">
        <v>357</v>
      </c>
      <c r="B882" s="363" t="n">
        <v>45828</v>
      </c>
      <c r="C882" s="364" t="s">
        <v>770</v>
      </c>
      <c r="D882" s="364" t="s">
        <v>1051</v>
      </c>
      <c r="E882" s="364" t="s">
        <v>1155</v>
      </c>
      <c r="F882" s="364" t="s">
        <v>1156</v>
      </c>
      <c r="G882" s="365" t="n">
        <v>45828</v>
      </c>
      <c r="H882" s="365" t="n">
        <v>45922</v>
      </c>
      <c r="I882" s="364" t="n">
        <f aca="false">H882-G882</f>
        <v>94</v>
      </c>
      <c r="J882" s="366" t="n">
        <f aca="false">TRUNC(I882/30,0)</f>
        <v>3</v>
      </c>
      <c r="K882" s="395" t="s">
        <v>95</v>
      </c>
      <c r="L882" s="368" t="n">
        <v>2</v>
      </c>
      <c r="M882" s="369"/>
      <c r="N882" s="370" t="s">
        <v>1121</v>
      </c>
      <c r="O882" s="366" t="s">
        <v>300</v>
      </c>
      <c r="P882" s="371" t="n">
        <v>0.0432369</v>
      </c>
      <c r="Q882" s="371"/>
      <c r="R882" s="372" t="s">
        <v>914</v>
      </c>
      <c r="S882" s="373"/>
      <c r="T882" s="372"/>
      <c r="U882" s="373"/>
      <c r="V882" s="373" t="n">
        <v>0.047735</v>
      </c>
      <c r="W882" s="373" t="n">
        <v>0.000955</v>
      </c>
      <c r="X882" s="373" t="n">
        <v>0.00236</v>
      </c>
      <c r="Y882" s="373" t="n">
        <v>0.039472</v>
      </c>
      <c r="Z882" s="373" t="n">
        <v>0.00172</v>
      </c>
      <c r="AA882" s="373" t="n">
        <v>0.002</v>
      </c>
      <c r="AB882" s="374" t="n">
        <f aca="false">S882-Z882</f>
        <v>-0.00172</v>
      </c>
      <c r="AC882" s="374" t="n">
        <f aca="false">U882-Z882-AA882</f>
        <v>-0.00372</v>
      </c>
      <c r="AD882" s="375" t="n">
        <v>0.0427</v>
      </c>
      <c r="AE882" s="373" t="n">
        <v>0.039472</v>
      </c>
      <c r="AF882" s="376" t="n">
        <v>0.003228</v>
      </c>
      <c r="AG882" s="377" t="n">
        <f aca="false">IF(AF882="","",AE882+AF882)</f>
        <v>0.0427</v>
      </c>
      <c r="AH882" s="378" t="n">
        <v>45828</v>
      </c>
      <c r="AI882" s="379" t="n">
        <v>1</v>
      </c>
      <c r="AJ882" s="380" t="str">
        <f aca="false">IF(AG882="","N","Y")</f>
        <v>Y</v>
      </c>
      <c r="AK882" s="396" t="s">
        <v>1123</v>
      </c>
      <c r="AL882" s="397"/>
    </row>
    <row r="883" s="382" customFormat="true" ht="20.25" hidden="false" customHeight="true" outlineLevel="0" collapsed="false">
      <c r="A883" s="364" t="n">
        <v>358</v>
      </c>
      <c r="B883" s="363" t="n">
        <v>45831</v>
      </c>
      <c r="C883" s="364" t="s">
        <v>977</v>
      </c>
      <c r="D883" s="364" t="s">
        <v>978</v>
      </c>
      <c r="E883" s="364" t="s">
        <v>1011</v>
      </c>
      <c r="F883" s="364" t="s">
        <v>980</v>
      </c>
      <c r="G883" s="365" t="n">
        <v>45831</v>
      </c>
      <c r="H883" s="365" t="n">
        <v>45923</v>
      </c>
      <c r="I883" s="364" t="n">
        <f aca="false">H883-G883</f>
        <v>92</v>
      </c>
      <c r="J883" s="366" t="n">
        <f aca="false">TRUNC(I883/30,0)</f>
        <v>3</v>
      </c>
      <c r="K883" s="395" t="s">
        <v>95</v>
      </c>
      <c r="L883" s="368" t="n">
        <v>1</v>
      </c>
      <c r="M883" s="369" t="n">
        <v>3.88</v>
      </c>
      <c r="N883" s="370" t="s">
        <v>1140</v>
      </c>
      <c r="O883" s="366" t="s">
        <v>300</v>
      </c>
      <c r="P883" s="371" t="n">
        <v>0.0432086</v>
      </c>
      <c r="Q883" s="371"/>
      <c r="R883" s="372" t="s">
        <v>914</v>
      </c>
      <c r="S883" s="373"/>
      <c r="T883" s="372"/>
      <c r="U883" s="373"/>
      <c r="V883" s="373" t="n">
        <v>0.047735</v>
      </c>
      <c r="W883" s="373" t="n">
        <v>0.000955</v>
      </c>
      <c r="X883" s="373" t="n">
        <v>0.00306</v>
      </c>
      <c r="Y883" s="373" t="n">
        <v>0.039444</v>
      </c>
      <c r="Z883" s="373" t="n">
        <v>0.00172</v>
      </c>
      <c r="AA883" s="373" t="n">
        <v>0.002</v>
      </c>
      <c r="AB883" s="374" t="n">
        <f aca="false">S883-Z883</f>
        <v>-0.00172</v>
      </c>
      <c r="AC883" s="374" t="n">
        <f aca="false">U883-Z883-AA883</f>
        <v>-0.00372</v>
      </c>
      <c r="AD883" s="375" t="n">
        <v>0.042</v>
      </c>
      <c r="AE883" s="376" t="n">
        <v>0.039444</v>
      </c>
      <c r="AF883" s="376" t="n">
        <f aca="false">AD883-AE883</f>
        <v>0.002556</v>
      </c>
      <c r="AG883" s="377" t="n">
        <f aca="false">IF(AF883="","",AE883+AF883)</f>
        <v>0.042</v>
      </c>
      <c r="AH883" s="378" t="n">
        <v>45831</v>
      </c>
      <c r="AI883" s="379" t="n">
        <v>1</v>
      </c>
      <c r="AJ883" s="380" t="str">
        <f aca="false">IF(AG883="","N","Y")</f>
        <v>Y</v>
      </c>
      <c r="AK883" s="396" t="s">
        <v>1123</v>
      </c>
      <c r="AL883" s="397"/>
    </row>
    <row r="884" s="382" customFormat="true" ht="20.25" hidden="false" customHeight="true" outlineLevel="0" collapsed="false">
      <c r="A884" s="364" t="n">
        <v>359</v>
      </c>
      <c r="B884" s="363" t="n">
        <v>45831</v>
      </c>
      <c r="C884" s="364" t="s">
        <v>116</v>
      </c>
      <c r="D884" s="364" t="s">
        <v>1005</v>
      </c>
      <c r="E884" s="364" t="s">
        <v>1006</v>
      </c>
      <c r="F884" s="364" t="s">
        <v>1056</v>
      </c>
      <c r="G884" s="365" t="n">
        <v>45831</v>
      </c>
      <c r="H884" s="365" t="n">
        <v>45861</v>
      </c>
      <c r="I884" s="364" t="n">
        <f aca="false">H884-G884</f>
        <v>30</v>
      </c>
      <c r="J884" s="366" t="n">
        <f aca="false">TRUNC(I884/30,0)</f>
        <v>1</v>
      </c>
      <c r="K884" s="367" t="s">
        <v>99</v>
      </c>
      <c r="L884" s="368" t="n">
        <v>4.78</v>
      </c>
      <c r="M884" s="369"/>
      <c r="N884" s="370"/>
      <c r="O884" s="366" t="s">
        <v>303</v>
      </c>
      <c r="P884" s="371" t="n">
        <v>0.0432472</v>
      </c>
      <c r="Q884" s="371"/>
      <c r="R884" s="372" t="s">
        <v>914</v>
      </c>
      <c r="S884" s="373"/>
      <c r="T884" s="372"/>
      <c r="U884" s="373"/>
      <c r="V884" s="373" t="n">
        <v>0.048636</v>
      </c>
      <c r="W884" s="373" t="n">
        <v>0.003405</v>
      </c>
      <c r="X884" s="373" t="n">
        <v>0.006011</v>
      </c>
      <c r="Y884" s="373" t="n">
        <v>0.03158</v>
      </c>
      <c r="Z884" s="373" t="n">
        <v>0.00172</v>
      </c>
      <c r="AA884" s="373" t="n">
        <v>0.002</v>
      </c>
      <c r="AB884" s="374" t="n">
        <f aca="false">S884-Z884</f>
        <v>-0.00172</v>
      </c>
      <c r="AC884" s="374" t="n">
        <f aca="false">U884-Z884-AA884</f>
        <v>-0.00372</v>
      </c>
      <c r="AD884" s="375" t="n">
        <v>0.0375</v>
      </c>
      <c r="AE884" s="376" t="n">
        <v>0.03158</v>
      </c>
      <c r="AF884" s="376" t="n">
        <f aca="false">AG884-AE884</f>
        <v>0.00592</v>
      </c>
      <c r="AG884" s="377" t="n">
        <v>0.0375</v>
      </c>
      <c r="AH884" s="378" t="n">
        <v>45831</v>
      </c>
      <c r="AI884" s="379" t="n">
        <v>2</v>
      </c>
      <c r="AJ884" s="380" t="str">
        <f aca="false">IF(AG884="","N","Y")</f>
        <v>Y</v>
      </c>
      <c r="AK884" s="396" t="s">
        <v>1057</v>
      </c>
      <c r="AL884" s="397"/>
    </row>
    <row r="885" s="382" customFormat="true" ht="19.5" hidden="false" customHeight="true" outlineLevel="0" collapsed="false">
      <c r="A885" s="364" t="n">
        <v>360</v>
      </c>
      <c r="B885" s="363" t="n">
        <v>45832</v>
      </c>
      <c r="C885" s="364" t="s">
        <v>187</v>
      </c>
      <c r="D885" s="364" t="s">
        <v>1062</v>
      </c>
      <c r="E885" s="364" t="s">
        <v>876</v>
      </c>
      <c r="F885" s="364" t="s">
        <v>877</v>
      </c>
      <c r="G885" s="365" t="n">
        <v>45832</v>
      </c>
      <c r="H885" s="365" t="n">
        <v>45839</v>
      </c>
      <c r="I885" s="364" t="n">
        <f aca="false">H885-G885</f>
        <v>7</v>
      </c>
      <c r="J885" s="366" t="n">
        <f aca="false">TRUNC(I885/30,0)</f>
        <v>0</v>
      </c>
      <c r="K885" s="395" t="s">
        <v>95</v>
      </c>
      <c r="L885" s="368" t="n">
        <v>9.011</v>
      </c>
      <c r="M885" s="369"/>
      <c r="N885" s="370"/>
      <c r="O885" s="366" t="s">
        <v>305</v>
      </c>
      <c r="P885" s="371" t="n">
        <v>0.0429604</v>
      </c>
      <c r="Q885" s="371"/>
      <c r="R885" s="372" t="s">
        <v>914</v>
      </c>
      <c r="S885" s="373"/>
      <c r="T885" s="372"/>
      <c r="U885" s="373"/>
      <c r="V885" s="373" t="n">
        <v>0.044282</v>
      </c>
      <c r="W885" s="373" t="n">
        <v>0.0031</v>
      </c>
      <c r="X885" s="373" t="n">
        <v>0.001462</v>
      </c>
      <c r="Y885" s="373" t="n">
        <v>0.033653</v>
      </c>
      <c r="Z885" s="373" t="n">
        <v>0.00172</v>
      </c>
      <c r="AA885" s="373" t="n">
        <v>0.002</v>
      </c>
      <c r="AB885" s="374" t="n">
        <f aca="false">S885-Z885</f>
        <v>-0.00172</v>
      </c>
      <c r="AC885" s="374" t="n">
        <f aca="false">U885-Z885-AA885</f>
        <v>-0.00372</v>
      </c>
      <c r="AD885" s="375" t="n">
        <v>0.038</v>
      </c>
      <c r="AE885" s="373" t="n">
        <v>0.033653</v>
      </c>
      <c r="AF885" s="376" t="n">
        <f aca="false">AD885-AE885</f>
        <v>0.004347</v>
      </c>
      <c r="AG885" s="377" t="n">
        <v>0.038</v>
      </c>
      <c r="AH885" s="378" t="n">
        <v>45832</v>
      </c>
      <c r="AI885" s="379" t="n">
        <v>1</v>
      </c>
      <c r="AJ885" s="380" t="str">
        <f aca="false">IF(AG885="","N","Y")</f>
        <v>Y</v>
      </c>
      <c r="AK885" s="396" t="s">
        <v>1057</v>
      </c>
      <c r="AL885" s="397"/>
    </row>
    <row r="886" s="382" customFormat="true" ht="19.5" hidden="false" customHeight="true" outlineLevel="0" collapsed="false">
      <c r="A886" s="364" t="n">
        <v>361</v>
      </c>
      <c r="B886" s="363" t="n">
        <v>45832</v>
      </c>
      <c r="C886" s="364" t="s">
        <v>187</v>
      </c>
      <c r="D886" s="364" t="s">
        <v>1062</v>
      </c>
      <c r="E886" s="364" t="s">
        <v>876</v>
      </c>
      <c r="F886" s="364" t="s">
        <v>877</v>
      </c>
      <c r="G886" s="365" t="n">
        <v>45832</v>
      </c>
      <c r="H886" s="365" t="n">
        <v>45839</v>
      </c>
      <c r="I886" s="364" t="n">
        <f aca="false">H886-G886</f>
        <v>7</v>
      </c>
      <c r="J886" s="366" t="n">
        <f aca="false">TRUNC(I886/30,0)</f>
        <v>0</v>
      </c>
      <c r="K886" s="395" t="s">
        <v>95</v>
      </c>
      <c r="L886" s="368" t="n">
        <v>10</v>
      </c>
      <c r="M886" s="369"/>
      <c r="N886" s="370"/>
      <c r="O886" s="366" t="s">
        <v>305</v>
      </c>
      <c r="P886" s="371" t="n">
        <v>0.0429604</v>
      </c>
      <c r="Q886" s="371"/>
      <c r="R886" s="372" t="s">
        <v>914</v>
      </c>
      <c r="S886" s="373"/>
      <c r="T886" s="372"/>
      <c r="U886" s="373"/>
      <c r="V886" s="373" t="n">
        <v>0.044282</v>
      </c>
      <c r="W886" s="373" t="n">
        <v>0.0031</v>
      </c>
      <c r="X886" s="373" t="n">
        <v>0.001462</v>
      </c>
      <c r="Y886" s="373" t="n">
        <v>0.033653</v>
      </c>
      <c r="Z886" s="373" t="n">
        <v>0.00172</v>
      </c>
      <c r="AA886" s="373" t="n">
        <v>0.002</v>
      </c>
      <c r="AB886" s="374" t="n">
        <f aca="false">S886-Z886</f>
        <v>-0.00172</v>
      </c>
      <c r="AC886" s="374" t="n">
        <f aca="false">U886-Z886-AA886</f>
        <v>-0.00372</v>
      </c>
      <c r="AD886" s="375" t="n">
        <v>0.038</v>
      </c>
      <c r="AE886" s="373" t="n">
        <v>0.033653</v>
      </c>
      <c r="AF886" s="376" t="n">
        <f aca="false">AD886-AE886</f>
        <v>0.004347</v>
      </c>
      <c r="AG886" s="377" t="n">
        <v>0.038</v>
      </c>
      <c r="AH886" s="378" t="n">
        <v>45832</v>
      </c>
      <c r="AI886" s="379" t="n">
        <v>2</v>
      </c>
      <c r="AJ886" s="380" t="str">
        <f aca="false">IF(AG886="","N","Y")</f>
        <v>Y</v>
      </c>
      <c r="AK886" s="396" t="s">
        <v>1157</v>
      </c>
      <c r="AL886" s="397"/>
    </row>
    <row r="887" s="382" customFormat="true" ht="19.5" hidden="false" customHeight="true" outlineLevel="0" collapsed="false">
      <c r="A887" s="364" t="n">
        <v>362</v>
      </c>
      <c r="B887" s="363" t="n">
        <v>45832</v>
      </c>
      <c r="C887" s="364" t="s">
        <v>187</v>
      </c>
      <c r="D887" s="364" t="s">
        <v>1062</v>
      </c>
      <c r="E887" s="364" t="s">
        <v>876</v>
      </c>
      <c r="F887" s="364" t="s">
        <v>877</v>
      </c>
      <c r="G887" s="365" t="n">
        <v>45832</v>
      </c>
      <c r="H887" s="365" t="n">
        <v>45839</v>
      </c>
      <c r="I887" s="364" t="n">
        <f aca="false">H887-G887</f>
        <v>7</v>
      </c>
      <c r="J887" s="366" t="n">
        <f aca="false">TRUNC(I887/30,0)</f>
        <v>0</v>
      </c>
      <c r="K887" s="395" t="s">
        <v>95</v>
      </c>
      <c r="L887" s="368" t="n">
        <v>10</v>
      </c>
      <c r="M887" s="369"/>
      <c r="N887" s="370"/>
      <c r="O887" s="366" t="s">
        <v>305</v>
      </c>
      <c r="P887" s="371" t="n">
        <v>0.0429604</v>
      </c>
      <c r="Q887" s="371"/>
      <c r="R887" s="372" t="s">
        <v>914</v>
      </c>
      <c r="S887" s="373"/>
      <c r="T887" s="372"/>
      <c r="U887" s="373"/>
      <c r="V887" s="373" t="n">
        <v>0.044282</v>
      </c>
      <c r="W887" s="373" t="n">
        <v>0.0031</v>
      </c>
      <c r="X887" s="373" t="n">
        <v>0.001462</v>
      </c>
      <c r="Y887" s="373" t="n">
        <v>0.033653</v>
      </c>
      <c r="Z887" s="373" t="n">
        <v>0.00172</v>
      </c>
      <c r="AA887" s="373" t="n">
        <v>0.002</v>
      </c>
      <c r="AB887" s="374" t="n">
        <f aca="false">S887-Z887</f>
        <v>-0.00172</v>
      </c>
      <c r="AC887" s="374" t="n">
        <f aca="false">U887-Z887-AA887</f>
        <v>-0.00372</v>
      </c>
      <c r="AD887" s="375" t="n">
        <v>0.038</v>
      </c>
      <c r="AE887" s="373" t="n">
        <v>0.033653</v>
      </c>
      <c r="AF887" s="376" t="n">
        <f aca="false">AD887-AE887</f>
        <v>0.004347</v>
      </c>
      <c r="AG887" s="377" t="n">
        <v>0.038</v>
      </c>
      <c r="AH887" s="378" t="n">
        <v>45832</v>
      </c>
      <c r="AI887" s="379" t="n">
        <v>3</v>
      </c>
      <c r="AJ887" s="380" t="str">
        <f aca="false">IF(AG887="","N","Y")</f>
        <v>Y</v>
      </c>
      <c r="AK887" s="396" t="s">
        <v>1157</v>
      </c>
      <c r="AL887" s="397"/>
    </row>
    <row r="888" s="382" customFormat="true" ht="20.25" hidden="false" customHeight="true" outlineLevel="0" collapsed="false">
      <c r="A888" s="364" t="n">
        <v>363</v>
      </c>
      <c r="B888" s="363" t="n">
        <v>45832</v>
      </c>
      <c r="C888" s="364" t="s">
        <v>103</v>
      </c>
      <c r="D888" s="364" t="s">
        <v>1146</v>
      </c>
      <c r="E888" s="364" t="s">
        <v>1147</v>
      </c>
      <c r="F888" s="364" t="s">
        <v>1148</v>
      </c>
      <c r="G888" s="365" t="n">
        <v>45831</v>
      </c>
      <c r="H888" s="365" t="n">
        <v>45862</v>
      </c>
      <c r="I888" s="364" t="n">
        <f aca="false">H888-G888</f>
        <v>31</v>
      </c>
      <c r="J888" s="366" t="n">
        <f aca="false">TRUNC(I888/30,0)</f>
        <v>1</v>
      </c>
      <c r="K888" s="367" t="s">
        <v>99</v>
      </c>
      <c r="L888" s="368" t="n">
        <v>10</v>
      </c>
      <c r="M888" s="369"/>
      <c r="N888" s="370"/>
      <c r="O888" s="366" t="s">
        <v>303</v>
      </c>
      <c r="P888" s="371" t="n">
        <v>0.043192</v>
      </c>
      <c r="Q888" s="371"/>
      <c r="R888" s="372" t="s">
        <v>914</v>
      </c>
      <c r="S888" s="373"/>
      <c r="T888" s="372"/>
      <c r="U888" s="373"/>
      <c r="V888" s="373" t="n">
        <v>0.048833</v>
      </c>
      <c r="W888" s="373" t="n">
        <v>0.003418</v>
      </c>
      <c r="X888" s="373" t="n">
        <v>0.005395</v>
      </c>
      <c r="Y888" s="373" t="n">
        <v>0.031653</v>
      </c>
      <c r="Z888" s="373" t="n">
        <v>0.00172</v>
      </c>
      <c r="AA888" s="373" t="n">
        <v>0.002</v>
      </c>
      <c r="AB888" s="374" t="n">
        <f aca="false">S888-Z888</f>
        <v>-0.00172</v>
      </c>
      <c r="AC888" s="374" t="n">
        <f aca="false">U888-Z888-AA888</f>
        <v>-0.00372</v>
      </c>
      <c r="AD888" s="375" t="n">
        <v>0.0383</v>
      </c>
      <c r="AE888" s="373" t="n">
        <v>0.031653</v>
      </c>
      <c r="AF888" s="376" t="n">
        <f aca="false">AD888-AE888</f>
        <v>0.006647</v>
      </c>
      <c r="AG888" s="377" t="n">
        <v>0.0383</v>
      </c>
      <c r="AH888" s="378" t="n">
        <v>45832</v>
      </c>
      <c r="AI888" s="379" t="n">
        <v>4</v>
      </c>
      <c r="AJ888" s="380" t="str">
        <f aca="false">IF(AG888="","N","Y")</f>
        <v>Y</v>
      </c>
      <c r="AK888" s="396" t="s">
        <v>1057</v>
      </c>
      <c r="AL888" s="397"/>
    </row>
    <row r="889" s="382" customFormat="true" ht="20.25" hidden="false" customHeight="true" outlineLevel="0" collapsed="false">
      <c r="A889" s="364" t="n">
        <v>364</v>
      </c>
      <c r="B889" s="363" t="n">
        <v>45834</v>
      </c>
      <c r="C889" s="364" t="s">
        <v>103</v>
      </c>
      <c r="D889" s="364" t="s">
        <v>1146</v>
      </c>
      <c r="E889" s="364" t="s">
        <v>1147</v>
      </c>
      <c r="F889" s="364" t="s">
        <v>1158</v>
      </c>
      <c r="G889" s="365" t="n">
        <v>45834</v>
      </c>
      <c r="H889" s="365" t="n">
        <v>45866</v>
      </c>
      <c r="I889" s="364" t="n">
        <f aca="false">H889-G889</f>
        <v>32</v>
      </c>
      <c r="J889" s="366" t="n">
        <f aca="false">TRUNC(I889/30,0)</f>
        <v>1</v>
      </c>
      <c r="K889" s="395" t="s">
        <v>95</v>
      </c>
      <c r="L889" s="368" t="n">
        <v>2</v>
      </c>
      <c r="M889" s="369"/>
      <c r="N889" s="370"/>
      <c r="O889" s="366" t="s">
        <v>303</v>
      </c>
      <c r="P889" s="371" t="n">
        <v>0.0432151</v>
      </c>
      <c r="Q889" s="371"/>
      <c r="R889" s="372" t="s">
        <v>914</v>
      </c>
      <c r="S889" s="373"/>
      <c r="T889" s="372"/>
      <c r="U889" s="373"/>
      <c r="V889" s="373" t="n">
        <v>0.046179</v>
      </c>
      <c r="W889" s="373" t="n">
        <v>0.000924</v>
      </c>
      <c r="X889" s="373" t="n">
        <v>0.002535</v>
      </c>
      <c r="Y889" s="373" t="n">
        <v>0.03765</v>
      </c>
      <c r="Z889" s="373" t="n">
        <v>0.00172</v>
      </c>
      <c r="AA889" s="373" t="n">
        <v>0.002</v>
      </c>
      <c r="AB889" s="374" t="n">
        <f aca="false">S889-Z889</f>
        <v>-0.00172</v>
      </c>
      <c r="AC889" s="374" t="n">
        <f aca="false">U889-Z889-AA889</f>
        <v>-0.00372</v>
      </c>
      <c r="AD889" s="375" t="n">
        <v>0.041</v>
      </c>
      <c r="AE889" s="373" t="n">
        <v>0.03765</v>
      </c>
      <c r="AF889" s="376" t="n">
        <f aca="false">AD889-AE889</f>
        <v>0.00335</v>
      </c>
      <c r="AG889" s="377" t="n">
        <v>0.041</v>
      </c>
      <c r="AH889" s="378" t="n">
        <v>45834</v>
      </c>
      <c r="AI889" s="379" t="n">
        <v>2</v>
      </c>
      <c r="AJ889" s="380" t="str">
        <f aca="false">IF(AG889="","N","Y")</f>
        <v>Y</v>
      </c>
      <c r="AK889" s="396" t="s">
        <v>1117</v>
      </c>
      <c r="AL889" s="397"/>
    </row>
    <row r="890" s="382" customFormat="true" ht="20.25" hidden="false" customHeight="true" outlineLevel="0" collapsed="false">
      <c r="A890" s="364" t="n">
        <v>365</v>
      </c>
      <c r="B890" s="363" t="n">
        <v>45834</v>
      </c>
      <c r="C890" s="364" t="s">
        <v>1066</v>
      </c>
      <c r="D890" s="364" t="s">
        <v>1108</v>
      </c>
      <c r="E890" s="364" t="s">
        <v>1067</v>
      </c>
      <c r="F890" s="364" t="s">
        <v>1109</v>
      </c>
      <c r="G890" s="365" t="n">
        <v>45834</v>
      </c>
      <c r="H890" s="365" t="n">
        <v>45867</v>
      </c>
      <c r="I890" s="364" t="n">
        <f aca="false">H890-G890</f>
        <v>33</v>
      </c>
      <c r="J890" s="366" t="n">
        <f aca="false">TRUNC(I890/30,0)</f>
        <v>1</v>
      </c>
      <c r="K890" s="395" t="s">
        <v>95</v>
      </c>
      <c r="L890" s="368" t="n">
        <v>10</v>
      </c>
      <c r="M890" s="369"/>
      <c r="N890" s="370"/>
      <c r="O890" s="366" t="s">
        <v>303</v>
      </c>
      <c r="P890" s="371" t="n">
        <v>0.0432151</v>
      </c>
      <c r="Q890" s="371"/>
      <c r="R890" s="372" t="s">
        <v>914</v>
      </c>
      <c r="S890" s="373"/>
      <c r="T890" s="372"/>
      <c r="U890" s="373"/>
      <c r="V890" s="373" t="n">
        <v>0.046179</v>
      </c>
      <c r="W890" s="373" t="n">
        <v>0.000924</v>
      </c>
      <c r="X890" s="373" t="n">
        <v>0.002535</v>
      </c>
      <c r="Y890" s="373" t="n">
        <v>0.03765</v>
      </c>
      <c r="Z890" s="373" t="n">
        <v>0.00172</v>
      </c>
      <c r="AA890" s="373" t="n">
        <v>0.002</v>
      </c>
      <c r="AB890" s="374" t="n">
        <f aca="false">S890-Z890</f>
        <v>-0.00172</v>
      </c>
      <c r="AC890" s="374" t="n">
        <f aca="false">U890-Z890-AA890</f>
        <v>-0.00372</v>
      </c>
      <c r="AD890" s="375" t="n">
        <v>0.041</v>
      </c>
      <c r="AE890" s="376" t="n">
        <v>0.03765</v>
      </c>
      <c r="AF890" s="376" t="n">
        <f aca="false">AD890-AE890</f>
        <v>0.00335</v>
      </c>
      <c r="AG890" s="377" t="n">
        <v>0.041</v>
      </c>
      <c r="AH890" s="378" t="n">
        <v>45834</v>
      </c>
      <c r="AI890" s="379" t="n">
        <v>1</v>
      </c>
      <c r="AJ890" s="380" t="str">
        <f aca="false">IF(AG890="","N","Y")</f>
        <v>Y</v>
      </c>
      <c r="AK890" s="396" t="s">
        <v>1117</v>
      </c>
      <c r="AL890" s="397"/>
    </row>
    <row r="891" s="382" customFormat="true" ht="20.25" hidden="false" customHeight="true" outlineLevel="0" collapsed="false">
      <c r="A891" s="364" t="n">
        <v>366</v>
      </c>
      <c r="B891" s="363" t="n">
        <v>45834</v>
      </c>
      <c r="C891" s="364" t="s">
        <v>1104</v>
      </c>
      <c r="D891" s="364" t="s">
        <v>1105</v>
      </c>
      <c r="E891" s="364" t="s">
        <v>1106</v>
      </c>
      <c r="F891" s="364" t="s">
        <v>1107</v>
      </c>
      <c r="G891" s="365" t="n">
        <v>45834</v>
      </c>
      <c r="H891" s="365" t="n">
        <v>45866</v>
      </c>
      <c r="I891" s="364" t="n">
        <f aca="false">H891-G891</f>
        <v>32</v>
      </c>
      <c r="J891" s="366" t="n">
        <f aca="false">TRUNC(I891/30,0)</f>
        <v>1</v>
      </c>
      <c r="K891" s="367" t="s">
        <v>99</v>
      </c>
      <c r="L891" s="368" t="n">
        <v>9</v>
      </c>
      <c r="M891" s="369"/>
      <c r="N891" s="370"/>
      <c r="O891" s="366" t="s">
        <v>303</v>
      </c>
      <c r="P891" s="371" t="n">
        <v>0.0432151</v>
      </c>
      <c r="Q891" s="371"/>
      <c r="R891" s="372" t="s">
        <v>914</v>
      </c>
      <c r="S891" s="373"/>
      <c r="T891" s="372"/>
      <c r="U891" s="373"/>
      <c r="V891" s="373" t="n">
        <v>0.048681</v>
      </c>
      <c r="W891" s="373" t="n">
        <v>0.003408</v>
      </c>
      <c r="X891" s="373" t="n">
        <v>0.006553</v>
      </c>
      <c r="Y891" s="373" t="n">
        <v>0.031731</v>
      </c>
      <c r="Z891" s="373" t="n">
        <v>0.00172</v>
      </c>
      <c r="AA891" s="373" t="n">
        <v>0.002</v>
      </c>
      <c r="AB891" s="374" t="n">
        <f aca="false">S891-Z891</f>
        <v>-0.00172</v>
      </c>
      <c r="AC891" s="374" t="n">
        <f aca="false">U891-Z891-AA891</f>
        <v>-0.00372</v>
      </c>
      <c r="AD891" s="375" t="n">
        <v>0.037</v>
      </c>
      <c r="AE891" s="376" t="n">
        <v>0.031731</v>
      </c>
      <c r="AF891" s="376" t="n">
        <f aca="false">AD891-AE891</f>
        <v>0.005269</v>
      </c>
      <c r="AG891" s="377" t="n">
        <v>0.037</v>
      </c>
      <c r="AH891" s="378" t="n">
        <v>45834</v>
      </c>
      <c r="AI891" s="379" t="n">
        <v>3</v>
      </c>
      <c r="AJ891" s="380" t="str">
        <f aca="false">IF(AG891="","N","Y")</f>
        <v>Y</v>
      </c>
      <c r="AK891" s="396" t="s">
        <v>1057</v>
      </c>
      <c r="AL891" s="397"/>
    </row>
    <row r="892" s="382" customFormat="true" ht="20.25" hidden="false" customHeight="true" outlineLevel="0" collapsed="false">
      <c r="A892" s="364" t="n">
        <v>367</v>
      </c>
      <c r="B892" s="363" t="n">
        <v>45834</v>
      </c>
      <c r="C892" s="364" t="s">
        <v>1133</v>
      </c>
      <c r="D892" s="364" t="s">
        <v>1134</v>
      </c>
      <c r="E892" s="364" t="s">
        <v>1135</v>
      </c>
      <c r="F892" s="364" t="s">
        <v>1159</v>
      </c>
      <c r="G892" s="365" t="n">
        <v>45834</v>
      </c>
      <c r="H892" s="365" t="n">
        <v>45863</v>
      </c>
      <c r="I892" s="364" t="n">
        <f aca="false">H892-G892</f>
        <v>29</v>
      </c>
      <c r="J892" s="366" t="n">
        <f aca="false">TRUNC(I892/30,0)</f>
        <v>0</v>
      </c>
      <c r="K892" s="367" t="s">
        <v>99</v>
      </c>
      <c r="L892" s="368" t="n">
        <v>1</v>
      </c>
      <c r="M892" s="369"/>
      <c r="N892" s="370"/>
      <c r="O892" s="366" t="s">
        <v>303</v>
      </c>
      <c r="P892" s="371" t="n">
        <v>0.0432151</v>
      </c>
      <c r="Q892" s="371"/>
      <c r="R892" s="372" t="s">
        <v>914</v>
      </c>
      <c r="S892" s="373"/>
      <c r="T892" s="372"/>
      <c r="U892" s="373"/>
      <c r="V892" s="373" t="n">
        <v>0.048681</v>
      </c>
      <c r="W892" s="373" t="n">
        <v>0.003408</v>
      </c>
      <c r="X892" s="373" t="n">
        <v>0.005553</v>
      </c>
      <c r="Y892" s="373" t="n">
        <v>0.031731</v>
      </c>
      <c r="Z892" s="373" t="n">
        <v>0.00172</v>
      </c>
      <c r="AA892" s="373" t="n">
        <v>0.002</v>
      </c>
      <c r="AB892" s="374" t="n">
        <f aca="false">S892-Z892</f>
        <v>-0.00172</v>
      </c>
      <c r="AC892" s="374" t="n">
        <f aca="false">U892-Z892-AA892</f>
        <v>-0.00372</v>
      </c>
      <c r="AD892" s="375" t="n">
        <v>0.038</v>
      </c>
      <c r="AE892" s="373" t="n">
        <v>0.031731</v>
      </c>
      <c r="AF892" s="376" t="n">
        <f aca="false">AD892-AE892</f>
        <v>0.006269</v>
      </c>
      <c r="AG892" s="377" t="n">
        <v>0.038</v>
      </c>
      <c r="AH892" s="378" t="n">
        <v>45834</v>
      </c>
      <c r="AI892" s="379" t="n">
        <v>4</v>
      </c>
      <c r="AJ892" s="380" t="str">
        <f aca="false">IF(AG892="","N","Y")</f>
        <v>Y</v>
      </c>
      <c r="AK892" s="396" t="s">
        <v>1057</v>
      </c>
      <c r="AL892" s="397"/>
    </row>
    <row r="893" s="382" customFormat="true" ht="20.25" hidden="false" customHeight="true" outlineLevel="0" collapsed="false">
      <c r="A893" s="364" t="n">
        <v>368</v>
      </c>
      <c r="B893" s="363" t="n">
        <v>45835</v>
      </c>
      <c r="C893" s="364" t="s">
        <v>1160</v>
      </c>
      <c r="D893" s="364" t="s">
        <v>1161</v>
      </c>
      <c r="E893" s="364" t="s">
        <v>1162</v>
      </c>
      <c r="F893" s="364" t="s">
        <v>1163</v>
      </c>
      <c r="G893" s="365" t="n">
        <v>45835</v>
      </c>
      <c r="H893" s="365" t="n">
        <v>45866</v>
      </c>
      <c r="I893" s="364" t="n">
        <f aca="false">H893-G893</f>
        <v>31</v>
      </c>
      <c r="J893" s="366" t="n">
        <f aca="false">TRUNC(I893/30,0)</f>
        <v>1</v>
      </c>
      <c r="K893" s="395" t="s">
        <v>95</v>
      </c>
      <c r="L893" s="368" t="n">
        <v>2</v>
      </c>
      <c r="M893" s="369"/>
      <c r="N893" s="370" t="s">
        <v>1164</v>
      </c>
      <c r="O893" s="366" t="s">
        <v>303</v>
      </c>
      <c r="P893" s="371" t="n">
        <v>0.0432151</v>
      </c>
      <c r="Q893" s="371"/>
      <c r="R893" s="372" t="s">
        <v>914</v>
      </c>
      <c r="S893" s="373"/>
      <c r="T893" s="372"/>
      <c r="U893" s="373"/>
      <c r="V893" s="373" t="n">
        <v>0.046184</v>
      </c>
      <c r="W893" s="373" t="n">
        <v>0.000924</v>
      </c>
      <c r="X893" s="373" t="n">
        <v>0.00254</v>
      </c>
      <c r="Y893" s="373" t="n">
        <v>0.037702</v>
      </c>
      <c r="Z893" s="373" t="n">
        <v>0.00172</v>
      </c>
      <c r="AA893" s="373" t="n">
        <v>0.002</v>
      </c>
      <c r="AB893" s="374" t="n">
        <f aca="false">S893-Z893</f>
        <v>-0.00172</v>
      </c>
      <c r="AC893" s="374" t="n">
        <f aca="false">U893-Z893-AA893</f>
        <v>-0.00372</v>
      </c>
      <c r="AD893" s="375" t="n">
        <v>0.041</v>
      </c>
      <c r="AE893" s="373" t="n">
        <v>0.037702</v>
      </c>
      <c r="AF893" s="376" t="n">
        <f aca="false">AD893-AE893</f>
        <v>0.003298</v>
      </c>
      <c r="AG893" s="377" t="n">
        <v>0.041</v>
      </c>
      <c r="AH893" s="378" t="n">
        <v>45835</v>
      </c>
      <c r="AI893" s="379" t="n">
        <v>1</v>
      </c>
      <c r="AJ893" s="380" t="str">
        <f aca="false">IF(AG893="","N","Y")</f>
        <v>Y</v>
      </c>
      <c r="AK893" s="396" t="s">
        <v>1138</v>
      </c>
      <c r="AL893" s="397"/>
    </row>
    <row r="894" s="382" customFormat="true" ht="20.25" hidden="false" customHeight="true" outlineLevel="0" collapsed="false">
      <c r="A894" s="364" t="n">
        <v>369</v>
      </c>
      <c r="B894" s="363" t="n">
        <v>45838</v>
      </c>
      <c r="C894" s="364" t="s">
        <v>1149</v>
      </c>
      <c r="D894" s="364" t="s">
        <v>1150</v>
      </c>
      <c r="E894" s="364" t="s">
        <v>1151</v>
      </c>
      <c r="F894" s="364" t="s">
        <v>1152</v>
      </c>
      <c r="G894" s="365" t="n">
        <v>45838</v>
      </c>
      <c r="H894" s="365" t="n">
        <v>45869</v>
      </c>
      <c r="I894" s="364" t="n">
        <f aca="false">H894-G894</f>
        <v>31</v>
      </c>
      <c r="J894" s="366" t="n">
        <f aca="false">TRUNC(I894/30,0)</f>
        <v>1</v>
      </c>
      <c r="K894" s="367" t="s">
        <v>99</v>
      </c>
      <c r="L894" s="368" t="n">
        <v>1.24</v>
      </c>
      <c r="M894" s="369"/>
      <c r="N894" s="370"/>
      <c r="O894" s="366" t="s">
        <v>303</v>
      </c>
      <c r="P894" s="371" t="n">
        <v>0.0432887</v>
      </c>
      <c r="Q894" s="371"/>
      <c r="R894" s="372" t="s">
        <v>914</v>
      </c>
      <c r="S894" s="373"/>
      <c r="T894" s="372"/>
      <c r="U894" s="373"/>
      <c r="V894" s="373" t="n">
        <v>0.048175</v>
      </c>
      <c r="W894" s="373" t="n">
        <v>0.003372</v>
      </c>
      <c r="X894" s="373" t="n">
        <v>0.008083</v>
      </c>
      <c r="Y894" s="373" t="n">
        <v>0.032483</v>
      </c>
      <c r="Z894" s="373" t="n">
        <v>0.00172</v>
      </c>
      <c r="AA894" s="373" t="n">
        <v>0.002</v>
      </c>
      <c r="AB894" s="374" t="n">
        <f aca="false">S894-Z894</f>
        <v>-0.00172</v>
      </c>
      <c r="AC894" s="374" t="n">
        <f aca="false">U894-Z894-AA894</f>
        <v>-0.00372</v>
      </c>
      <c r="AD894" s="375" t="n">
        <v>0.035</v>
      </c>
      <c r="AE894" s="373" t="n">
        <v>0.032483</v>
      </c>
      <c r="AF894" s="376" t="n">
        <f aca="false">AD894-AE894</f>
        <v>0.00251700000000001</v>
      </c>
      <c r="AG894" s="377" t="n">
        <v>0.035</v>
      </c>
      <c r="AH894" s="378" t="n">
        <v>45838</v>
      </c>
      <c r="AI894" s="379" t="n">
        <v>1</v>
      </c>
      <c r="AJ894" s="380" t="str">
        <f aca="false">IF(AG894="","N","Y")</f>
        <v>Y</v>
      </c>
      <c r="AK894" s="396" t="s">
        <v>1057</v>
      </c>
      <c r="AL894" s="397"/>
    </row>
    <row r="895" s="418" customFormat="true" ht="19.5" hidden="false" customHeight="true" outlineLevel="0" collapsed="false">
      <c r="A895" s="402" t="n">
        <v>370</v>
      </c>
      <c r="B895" s="403" t="n">
        <v>45839</v>
      </c>
      <c r="C895" s="402" t="s">
        <v>187</v>
      </c>
      <c r="D895" s="402" t="s">
        <v>1062</v>
      </c>
      <c r="E895" s="402" t="s">
        <v>1165</v>
      </c>
      <c r="F895" s="402" t="s">
        <v>877</v>
      </c>
      <c r="G895" s="404" t="n">
        <v>45839</v>
      </c>
      <c r="H895" s="404" t="n">
        <v>45846</v>
      </c>
      <c r="I895" s="402" t="n">
        <f aca="false">H895-G895</f>
        <v>7</v>
      </c>
      <c r="J895" s="405" t="n">
        <f aca="false">TRUNC(I895/30,0)</f>
        <v>0</v>
      </c>
      <c r="K895" s="406" t="s">
        <v>95</v>
      </c>
      <c r="L895" s="407" t="n">
        <v>8.43</v>
      </c>
      <c r="M895" s="408"/>
      <c r="N895" s="409"/>
      <c r="O895" s="405" t="s">
        <v>305</v>
      </c>
      <c r="P895" s="410" t="n">
        <v>0.0437599</v>
      </c>
      <c r="Q895" s="410"/>
      <c r="R895" s="411" t="s">
        <v>914</v>
      </c>
      <c r="S895" s="412"/>
      <c r="T895" s="411"/>
      <c r="U895" s="412"/>
      <c r="V895" s="412" t="n">
        <v>0.045253</v>
      </c>
      <c r="W895" s="412" t="n">
        <v>0.003168</v>
      </c>
      <c r="X895" s="412" t="n">
        <v>0.002365</v>
      </c>
      <c r="Y895" s="412" t="n">
        <v>0.034396</v>
      </c>
      <c r="Z895" s="412" t="n">
        <v>0.00172</v>
      </c>
      <c r="AA895" s="412" t="n">
        <v>0.002</v>
      </c>
      <c r="AB895" s="412" t="n">
        <f aca="false">S895-Z895</f>
        <v>-0.00172</v>
      </c>
      <c r="AC895" s="412" t="n">
        <f aca="false">U895-Z895-AA895</f>
        <v>-0.00372</v>
      </c>
      <c r="AD895" s="413" t="n">
        <v>0.038</v>
      </c>
      <c r="AE895" s="412" t="n">
        <v>0.034396</v>
      </c>
      <c r="AF895" s="412" t="n">
        <f aca="false">AD895-AE895</f>
        <v>0.003604</v>
      </c>
      <c r="AG895" s="412" t="n">
        <v>0.038</v>
      </c>
      <c r="AH895" s="378" t="n">
        <v>45839</v>
      </c>
      <c r="AI895" s="414" t="n">
        <v>1</v>
      </c>
      <c r="AJ895" s="415" t="str">
        <f aca="false">IF(AG895="","N","Y")</f>
        <v>Y</v>
      </c>
      <c r="AK895" s="416" t="s">
        <v>1166</v>
      </c>
      <c r="AL895" s="417"/>
    </row>
    <row r="896" s="418" customFormat="true" ht="19.5" hidden="false" customHeight="true" outlineLevel="0" collapsed="false">
      <c r="A896" s="402" t="n">
        <v>371</v>
      </c>
      <c r="B896" s="403" t="n">
        <v>45839</v>
      </c>
      <c r="C896" s="402" t="s">
        <v>187</v>
      </c>
      <c r="D896" s="402" t="s">
        <v>1062</v>
      </c>
      <c r="E896" s="402" t="s">
        <v>1165</v>
      </c>
      <c r="F896" s="402" t="s">
        <v>877</v>
      </c>
      <c r="G896" s="404" t="n">
        <v>45839</v>
      </c>
      <c r="H896" s="404" t="n">
        <v>45846</v>
      </c>
      <c r="I896" s="402" t="n">
        <f aca="false">H896-G896</f>
        <v>7</v>
      </c>
      <c r="J896" s="405" t="n">
        <f aca="false">TRUNC(I896/30,0)</f>
        <v>0</v>
      </c>
      <c r="K896" s="406" t="s">
        <v>95</v>
      </c>
      <c r="L896" s="407" t="n">
        <v>10</v>
      </c>
      <c r="M896" s="408"/>
      <c r="N896" s="409"/>
      <c r="O896" s="405" t="s">
        <v>305</v>
      </c>
      <c r="P896" s="410" t="n">
        <v>0.0437599</v>
      </c>
      <c r="Q896" s="410"/>
      <c r="R896" s="411" t="s">
        <v>914</v>
      </c>
      <c r="S896" s="412"/>
      <c r="T896" s="411"/>
      <c r="U896" s="412"/>
      <c r="V896" s="412" t="n">
        <v>0.045253</v>
      </c>
      <c r="W896" s="412" t="n">
        <v>0.003168</v>
      </c>
      <c r="X896" s="412" t="n">
        <v>0.002365</v>
      </c>
      <c r="Y896" s="412" t="n">
        <v>0.034396</v>
      </c>
      <c r="Z896" s="412" t="n">
        <v>0.00172</v>
      </c>
      <c r="AA896" s="412" t="n">
        <v>0.002</v>
      </c>
      <c r="AB896" s="412" t="n">
        <f aca="false">S896-Z896</f>
        <v>-0.00172</v>
      </c>
      <c r="AC896" s="412" t="n">
        <f aca="false">U896-Z896-AA896</f>
        <v>-0.00372</v>
      </c>
      <c r="AD896" s="413" t="n">
        <v>0.038</v>
      </c>
      <c r="AE896" s="412" t="n">
        <v>0.034396</v>
      </c>
      <c r="AF896" s="412" t="n">
        <f aca="false">AD896-AE896</f>
        <v>0.003604</v>
      </c>
      <c r="AG896" s="412" t="n">
        <v>0.038</v>
      </c>
      <c r="AH896" s="378" t="n">
        <v>45839</v>
      </c>
      <c r="AI896" s="414" t="n">
        <v>2</v>
      </c>
      <c r="AJ896" s="415" t="str">
        <f aca="false">IF(AG896="","N","Y")</f>
        <v>Y</v>
      </c>
      <c r="AK896" s="416" t="s">
        <v>1166</v>
      </c>
      <c r="AL896" s="417"/>
    </row>
    <row r="897" s="418" customFormat="true" ht="19.5" hidden="false" customHeight="true" outlineLevel="0" collapsed="false">
      <c r="A897" s="402" t="n">
        <v>372</v>
      </c>
      <c r="B897" s="403" t="n">
        <v>45839</v>
      </c>
      <c r="C897" s="402" t="s">
        <v>187</v>
      </c>
      <c r="D897" s="402" t="s">
        <v>1062</v>
      </c>
      <c r="E897" s="402" t="s">
        <v>1165</v>
      </c>
      <c r="F897" s="402" t="s">
        <v>877</v>
      </c>
      <c r="G897" s="404" t="n">
        <v>45839</v>
      </c>
      <c r="H897" s="404" t="n">
        <v>45846</v>
      </c>
      <c r="I897" s="402" t="n">
        <f aca="false">H897-G897</f>
        <v>7</v>
      </c>
      <c r="J897" s="405" t="n">
        <f aca="false">TRUNC(I897/30,0)</f>
        <v>0</v>
      </c>
      <c r="K897" s="406" t="s">
        <v>95</v>
      </c>
      <c r="L897" s="407" t="n">
        <v>10</v>
      </c>
      <c r="M897" s="408"/>
      <c r="N897" s="409"/>
      <c r="O897" s="405" t="s">
        <v>305</v>
      </c>
      <c r="P897" s="410" t="n">
        <v>0.0437599</v>
      </c>
      <c r="Q897" s="410"/>
      <c r="R897" s="411" t="s">
        <v>914</v>
      </c>
      <c r="S897" s="412"/>
      <c r="T897" s="411"/>
      <c r="U897" s="412"/>
      <c r="V897" s="412" t="n">
        <v>0.045253</v>
      </c>
      <c r="W897" s="412" t="n">
        <v>0.003168</v>
      </c>
      <c r="X897" s="412" t="n">
        <v>0.002365</v>
      </c>
      <c r="Y897" s="412" t="n">
        <v>0.034396</v>
      </c>
      <c r="Z897" s="412" t="n">
        <v>0.00172</v>
      </c>
      <c r="AA897" s="412" t="n">
        <v>0.002</v>
      </c>
      <c r="AB897" s="412" t="n">
        <f aca="false">S897-Z897</f>
        <v>-0.00172</v>
      </c>
      <c r="AC897" s="412" t="n">
        <f aca="false">U897-Z897-AA897</f>
        <v>-0.00372</v>
      </c>
      <c r="AD897" s="413" t="n">
        <v>0.038</v>
      </c>
      <c r="AE897" s="412" t="n">
        <v>0.034396</v>
      </c>
      <c r="AF897" s="412" t="n">
        <f aca="false">AD897-AE897</f>
        <v>0.003604</v>
      </c>
      <c r="AG897" s="412" t="n">
        <v>0.038</v>
      </c>
      <c r="AH897" s="378" t="n">
        <v>45839</v>
      </c>
      <c r="AI897" s="414" t="n">
        <v>3</v>
      </c>
      <c r="AJ897" s="415" t="str">
        <f aca="false">IF(AG897="","N","Y")</f>
        <v>Y</v>
      </c>
      <c r="AK897" s="416" t="s">
        <v>1166</v>
      </c>
      <c r="AL897" s="417"/>
    </row>
    <row r="898" s="418" customFormat="true" ht="20.25" hidden="false" customHeight="true" outlineLevel="0" collapsed="false">
      <c r="A898" s="402" t="n">
        <v>373</v>
      </c>
      <c r="B898" s="403" t="n">
        <v>45842</v>
      </c>
      <c r="C898" s="402" t="s">
        <v>96</v>
      </c>
      <c r="D898" s="402" t="s">
        <v>1063</v>
      </c>
      <c r="E898" s="402" t="s">
        <v>1127</v>
      </c>
      <c r="F898" s="402" t="s">
        <v>662</v>
      </c>
      <c r="G898" s="404" t="n">
        <v>45842</v>
      </c>
      <c r="H898" s="404" t="n">
        <v>45931</v>
      </c>
      <c r="I898" s="402" t="n">
        <f aca="false">H898-G898</f>
        <v>89</v>
      </c>
      <c r="J898" s="405" t="n">
        <f aca="false">TRUNC(I898/30,0)</f>
        <v>2</v>
      </c>
      <c r="K898" s="406" t="s">
        <v>95</v>
      </c>
      <c r="L898" s="407" t="n">
        <v>10</v>
      </c>
      <c r="M898" s="408"/>
      <c r="N898" s="409"/>
      <c r="O898" s="405" t="s">
        <v>1167</v>
      </c>
      <c r="P898" s="410" t="n">
        <v>0.0427862</v>
      </c>
      <c r="Q898" s="410"/>
      <c r="R898" s="411" t="s">
        <v>914</v>
      </c>
      <c r="S898" s="412"/>
      <c r="T898" s="411"/>
      <c r="U898" s="412"/>
      <c r="V898" s="412" t="n">
        <v>0.047318</v>
      </c>
      <c r="W898" s="412" t="n">
        <v>0.000946</v>
      </c>
      <c r="X898" s="412" t="n">
        <v>0.002152</v>
      </c>
      <c r="Y898" s="412" t="n">
        <v>0.03755</v>
      </c>
      <c r="Z898" s="412" t="n">
        <v>0.00172</v>
      </c>
      <c r="AA898" s="412" t="n">
        <v>0.002</v>
      </c>
      <c r="AB898" s="412" t="n">
        <f aca="false">S898-Z898</f>
        <v>-0.00172</v>
      </c>
      <c r="AC898" s="412" t="n">
        <f aca="false">U898-Z898-AA898</f>
        <v>-0.00372</v>
      </c>
      <c r="AD898" s="413" t="n">
        <v>0.0425</v>
      </c>
      <c r="AE898" s="412" t="n">
        <v>0.037681</v>
      </c>
      <c r="AF898" s="412" t="n">
        <v>0.004819</v>
      </c>
      <c r="AG898" s="412" t="n">
        <v>0.0425</v>
      </c>
      <c r="AH898" s="378" t="n">
        <v>45842</v>
      </c>
      <c r="AI898" s="414" t="n">
        <v>1</v>
      </c>
      <c r="AJ898" s="415" t="str">
        <f aca="false">IF(AG898="","N","Y")</f>
        <v>Y</v>
      </c>
      <c r="AK898" s="416" t="s">
        <v>1168</v>
      </c>
      <c r="AL898" s="417"/>
    </row>
    <row r="899" s="418" customFormat="true" ht="19.5" hidden="false" customHeight="true" outlineLevel="0" collapsed="false">
      <c r="A899" s="402" t="n">
        <v>374</v>
      </c>
      <c r="B899" s="403" t="n">
        <v>45846</v>
      </c>
      <c r="C899" s="402" t="s">
        <v>187</v>
      </c>
      <c r="D899" s="402" t="s">
        <v>1062</v>
      </c>
      <c r="E899" s="402" t="s">
        <v>1165</v>
      </c>
      <c r="F899" s="402" t="s">
        <v>877</v>
      </c>
      <c r="G899" s="404" t="n">
        <v>45846</v>
      </c>
      <c r="H899" s="404" t="n">
        <v>45853</v>
      </c>
      <c r="I899" s="402" t="n">
        <f aca="false">H899-G899</f>
        <v>7</v>
      </c>
      <c r="J899" s="405" t="n">
        <f aca="false">TRUNC(I899/30,0)</f>
        <v>0</v>
      </c>
      <c r="K899" s="406" t="s">
        <v>95</v>
      </c>
      <c r="L899" s="407" t="n">
        <v>10</v>
      </c>
      <c r="M899" s="408"/>
      <c r="N899" s="409"/>
      <c r="O899" s="405" t="s">
        <v>305</v>
      </c>
      <c r="P899" s="410" t="n">
        <v>0.0434703</v>
      </c>
      <c r="Q899" s="410"/>
      <c r="R899" s="411" t="s">
        <v>914</v>
      </c>
      <c r="S899" s="412"/>
      <c r="T899" s="411"/>
      <c r="U899" s="412"/>
      <c r="V899" s="412" t="n">
        <v>0.045244</v>
      </c>
      <c r="W899" s="412" t="n">
        <v>0.003167</v>
      </c>
      <c r="X899" s="412" t="n">
        <v>0.002357</v>
      </c>
      <c r="Y899" s="412" t="n">
        <v>0.034127</v>
      </c>
      <c r="Z899" s="412" t="n">
        <v>0.00172</v>
      </c>
      <c r="AA899" s="412" t="n">
        <v>0.002</v>
      </c>
      <c r="AB899" s="412" t="n">
        <f aca="false">S899-Z899</f>
        <v>-0.00172</v>
      </c>
      <c r="AC899" s="412" t="n">
        <f aca="false">U899-Z899-AA899</f>
        <v>-0.00372</v>
      </c>
      <c r="AD899" s="413" t="n">
        <v>0.038</v>
      </c>
      <c r="AE899" s="412" t="n">
        <v>0.034127</v>
      </c>
      <c r="AF899" s="412" t="n">
        <f aca="false">AD899-AE899</f>
        <v>0.003873</v>
      </c>
      <c r="AG899" s="412" t="n">
        <v>0.038</v>
      </c>
      <c r="AH899" s="378" t="n">
        <v>45846</v>
      </c>
      <c r="AI899" s="414" t="n">
        <v>1</v>
      </c>
      <c r="AJ899" s="415" t="str">
        <f aca="false">IF(AG899="","N","Y")</f>
        <v>Y</v>
      </c>
      <c r="AK899" s="416" t="s">
        <v>1169</v>
      </c>
      <c r="AL899" s="417"/>
    </row>
    <row r="900" s="38" customFormat="true" ht="20.25" hidden="false" customHeight="true" outlineLevel="0" collapsed="false">
      <c r="A900" s="19" t="n">
        <v>375</v>
      </c>
      <c r="B900" s="141" t="n">
        <v>45846</v>
      </c>
      <c r="C900" s="63" t="s">
        <v>644</v>
      </c>
      <c r="D900" s="63" t="s">
        <v>1112</v>
      </c>
      <c r="E900" s="63" t="s">
        <v>492</v>
      </c>
      <c r="F900" s="63" t="s">
        <v>880</v>
      </c>
      <c r="G900" s="142" t="n">
        <v>45847</v>
      </c>
      <c r="H900" s="142" t="n">
        <v>45880</v>
      </c>
      <c r="I900" s="19" t="n">
        <f aca="false">H900-G900</f>
        <v>33</v>
      </c>
      <c r="J900" s="149" t="n">
        <f aca="false">TRUNC(I900/30,0)</f>
        <v>1</v>
      </c>
      <c r="K900" s="189" t="s">
        <v>99</v>
      </c>
      <c r="L900" s="146" t="n">
        <v>6.56</v>
      </c>
      <c r="M900" s="147"/>
      <c r="N900" s="148"/>
      <c r="O900" s="149" t="s">
        <v>303</v>
      </c>
      <c r="P900" s="150" t="n">
        <v>0.0431127</v>
      </c>
      <c r="Q900" s="150"/>
      <c r="R900" s="151" t="s">
        <v>914</v>
      </c>
      <c r="S900" s="152"/>
      <c r="T900" s="151"/>
      <c r="U900" s="152"/>
      <c r="V900" s="152" t="n">
        <v>0.048487</v>
      </c>
      <c r="W900" s="152" t="n">
        <v>0.003394</v>
      </c>
      <c r="X900" s="152" t="n">
        <v>0.005873</v>
      </c>
      <c r="Y900" s="152" t="n">
        <v>0.031984</v>
      </c>
      <c r="Z900" s="152" t="n">
        <v>0.00172</v>
      </c>
      <c r="AA900" s="152" t="n">
        <v>0.002</v>
      </c>
      <c r="AB900" s="154" t="n">
        <f aca="false">S900-Z900</f>
        <v>-0.00172</v>
      </c>
      <c r="AC900" s="154" t="n">
        <f aca="false">U900-Z900-AA900</f>
        <v>-0.00372</v>
      </c>
      <c r="AD900" s="155" t="n">
        <v>0.0375</v>
      </c>
      <c r="AE900" s="152" t="n">
        <v>0.031984</v>
      </c>
      <c r="AF900" s="357" t="n">
        <f aca="false">AD900-AE900</f>
        <v>0.005516</v>
      </c>
      <c r="AG900" s="184" t="n">
        <v>0.0375</v>
      </c>
      <c r="AH900" s="185" t="n">
        <v>45847</v>
      </c>
      <c r="AI900" s="35" t="n">
        <v>2</v>
      </c>
      <c r="AJ900" s="19" t="str">
        <f aca="false">IF(AG900="","N","Y")</f>
        <v>Y</v>
      </c>
      <c r="AK900" s="159" t="s">
        <v>1057</v>
      </c>
      <c r="AL900" s="36"/>
    </row>
    <row r="901" s="38" customFormat="true" ht="20.25" hidden="false" customHeight="true" outlineLevel="0" collapsed="false">
      <c r="A901" s="19" t="n">
        <v>376</v>
      </c>
      <c r="B901" s="141" t="n">
        <v>45846</v>
      </c>
      <c r="C901" s="63" t="s">
        <v>1066</v>
      </c>
      <c r="D901" s="63" t="s">
        <v>932</v>
      </c>
      <c r="E901" s="63" t="s">
        <v>970</v>
      </c>
      <c r="F901" s="394" t="s">
        <v>864</v>
      </c>
      <c r="G901" s="142" t="n">
        <v>45847</v>
      </c>
      <c r="H901" s="142" t="n">
        <v>45877</v>
      </c>
      <c r="I901" s="19" t="n">
        <f aca="false">H901-G901</f>
        <v>30</v>
      </c>
      <c r="J901" s="149" t="n">
        <f aca="false">TRUNC(I901/30,0)</f>
        <v>1</v>
      </c>
      <c r="K901" s="189" t="s">
        <v>99</v>
      </c>
      <c r="L901" s="146" t="n">
        <v>2.5</v>
      </c>
      <c r="M901" s="147"/>
      <c r="N901" s="148"/>
      <c r="O901" s="149" t="s">
        <v>303</v>
      </c>
      <c r="P901" s="150" t="n">
        <v>0.0431127</v>
      </c>
      <c r="Q901" s="150"/>
      <c r="R901" s="151" t="s">
        <v>914</v>
      </c>
      <c r="S901" s="152"/>
      <c r="T901" s="151"/>
      <c r="U901" s="152"/>
      <c r="V901" s="152" t="n">
        <v>0.048487</v>
      </c>
      <c r="W901" s="152" t="n">
        <v>0.003394</v>
      </c>
      <c r="X901" s="152" t="n">
        <v>0.005873</v>
      </c>
      <c r="Y901" s="152" t="n">
        <v>0.031984</v>
      </c>
      <c r="Z901" s="152" t="n">
        <v>0.00172</v>
      </c>
      <c r="AA901" s="152" t="n">
        <v>0.002</v>
      </c>
      <c r="AB901" s="154" t="n">
        <f aca="false">S901-Z901</f>
        <v>-0.00172</v>
      </c>
      <c r="AC901" s="154" t="n">
        <f aca="false">U901-Z901-AA901</f>
        <v>-0.00372</v>
      </c>
      <c r="AD901" s="155" t="n">
        <v>0.0375</v>
      </c>
      <c r="AE901" s="153" t="n">
        <v>0.031984</v>
      </c>
      <c r="AF901" s="153" t="n">
        <f aca="false">AD901-AE901</f>
        <v>0.005516</v>
      </c>
      <c r="AG901" s="184" t="n">
        <f aca="false">IF(AF901="","",AE901+AF901)</f>
        <v>0.0375</v>
      </c>
      <c r="AH901" s="185" t="n">
        <v>45847</v>
      </c>
      <c r="AI901" s="35" t="n">
        <v>1</v>
      </c>
      <c r="AJ901" s="19" t="str">
        <f aca="false">IF(AG901="","N","Y")</f>
        <v>Y</v>
      </c>
      <c r="AK901" s="159" t="s">
        <v>1057</v>
      </c>
      <c r="AL901" s="36"/>
    </row>
    <row r="902" s="418" customFormat="true" ht="20.25" hidden="false" customHeight="true" outlineLevel="0" collapsed="false">
      <c r="A902" s="402" t="n">
        <v>377</v>
      </c>
      <c r="B902" s="403" t="n">
        <v>45848</v>
      </c>
      <c r="C902" s="402" t="s">
        <v>96</v>
      </c>
      <c r="D902" s="402" t="s">
        <v>1063</v>
      </c>
      <c r="E902" s="402" t="s">
        <v>1127</v>
      </c>
      <c r="F902" s="402" t="s">
        <v>662</v>
      </c>
      <c r="G902" s="404" t="n">
        <v>45848</v>
      </c>
      <c r="H902" s="404" t="n">
        <v>45882</v>
      </c>
      <c r="I902" s="402" t="n">
        <f aca="false">H902-G902</f>
        <v>34</v>
      </c>
      <c r="J902" s="405" t="n">
        <f aca="false">TRUNC(I902/30,0)</f>
        <v>1</v>
      </c>
      <c r="K902" s="406" t="s">
        <v>95</v>
      </c>
      <c r="L902" s="407" t="n">
        <v>10</v>
      </c>
      <c r="M902" s="408"/>
      <c r="N902" s="409"/>
      <c r="O902" s="405" t="s">
        <v>303</v>
      </c>
      <c r="P902" s="410" t="n">
        <v>0.0434637</v>
      </c>
      <c r="Q902" s="410"/>
      <c r="R902" s="411" t="s">
        <v>914</v>
      </c>
      <c r="S902" s="412"/>
      <c r="T902" s="411"/>
      <c r="U902" s="412"/>
      <c r="V902" s="412" t="n">
        <v>0.046464</v>
      </c>
      <c r="W902" s="412" t="n">
        <v>0.000929</v>
      </c>
      <c r="X902" s="412" t="n">
        <v>0.002315</v>
      </c>
      <c r="Y902" s="412" t="n">
        <v>0.037894</v>
      </c>
      <c r="Z902" s="412" t="n">
        <v>0.00172</v>
      </c>
      <c r="AA902" s="412" t="n">
        <v>0.002</v>
      </c>
      <c r="AB902" s="412" t="n">
        <f aca="false">S902-Z902</f>
        <v>-0.00172</v>
      </c>
      <c r="AC902" s="412" t="n">
        <f aca="false">U902-Z902-AA902</f>
        <v>-0.00372</v>
      </c>
      <c r="AD902" s="413" t="n">
        <v>0.0415</v>
      </c>
      <c r="AE902" s="412" t="n">
        <v>0.037894</v>
      </c>
      <c r="AF902" s="412" t="n">
        <f aca="false">AD902-AE902</f>
        <v>0.00360600000000001</v>
      </c>
      <c r="AG902" s="412" t="n">
        <f aca="false">IF(AF902="","",AE902+AF902)</f>
        <v>0.0415</v>
      </c>
      <c r="AH902" s="378" t="n">
        <v>45848</v>
      </c>
      <c r="AI902" s="414" t="n">
        <v>1</v>
      </c>
      <c r="AJ902" s="415" t="str">
        <f aca="false">IF(AG902="","N","Y")</f>
        <v>Y</v>
      </c>
      <c r="AK902" s="416" t="s">
        <v>1170</v>
      </c>
      <c r="AL902" s="417"/>
    </row>
    <row r="903" s="38" customFormat="true" ht="20.25" hidden="false" customHeight="true" outlineLevel="0" collapsed="false">
      <c r="A903" s="19" t="n">
        <v>378</v>
      </c>
      <c r="B903" s="141" t="n">
        <v>45849</v>
      </c>
      <c r="C903" s="63" t="s">
        <v>209</v>
      </c>
      <c r="D903" s="63" t="s">
        <v>1054</v>
      </c>
      <c r="E903" s="63" t="s">
        <v>1055</v>
      </c>
      <c r="F903" s="63" t="s">
        <v>697</v>
      </c>
      <c r="G903" s="142" t="n">
        <v>45849</v>
      </c>
      <c r="H903" s="142" t="n">
        <v>45880</v>
      </c>
      <c r="I903" s="19" t="n">
        <f aca="false">H903-G903</f>
        <v>31</v>
      </c>
      <c r="J903" s="149" t="n">
        <f aca="false">TRUNC(I903/30,0)</f>
        <v>1</v>
      </c>
      <c r="K903" s="189" t="s">
        <v>99</v>
      </c>
      <c r="L903" s="146" t="n">
        <v>1.8</v>
      </c>
      <c r="M903" s="147"/>
      <c r="N903" s="148"/>
      <c r="O903" s="149" t="s">
        <v>303</v>
      </c>
      <c r="P903" s="150" t="n">
        <v>0.0434336</v>
      </c>
      <c r="Q903" s="150"/>
      <c r="R903" s="151" t="s">
        <v>914</v>
      </c>
      <c r="S903" s="152"/>
      <c r="T903" s="151"/>
      <c r="U903" s="152"/>
      <c r="V903" s="152" t="n">
        <v>0.047142</v>
      </c>
      <c r="W903" s="152" t="n">
        <v>0.0033</v>
      </c>
      <c r="X903" s="152" t="n">
        <v>0.004622</v>
      </c>
      <c r="Y903" s="152" t="n">
        <v>0.03192</v>
      </c>
      <c r="Z903" s="152" t="n">
        <v>0.00172</v>
      </c>
      <c r="AA903" s="152" t="n">
        <v>0.002</v>
      </c>
      <c r="AB903" s="154" t="n">
        <f aca="false">S903-Z903</f>
        <v>-0.00172</v>
      </c>
      <c r="AC903" s="154" t="n">
        <f aca="false">U903-Z903-AA903</f>
        <v>-0.00372</v>
      </c>
      <c r="AD903" s="155" t="n">
        <v>0.0375</v>
      </c>
      <c r="AE903" s="153" t="n">
        <v>0.03192</v>
      </c>
      <c r="AF903" s="153" t="n">
        <f aca="false">AD903-AE903</f>
        <v>0.00558</v>
      </c>
      <c r="AG903" s="184" t="n">
        <v>0.0375</v>
      </c>
      <c r="AH903" s="185" t="n">
        <v>45849</v>
      </c>
      <c r="AI903" s="35" t="n">
        <v>1</v>
      </c>
      <c r="AJ903" s="19" t="str">
        <f aca="false">IF(AG903="","N","Y")</f>
        <v>Y</v>
      </c>
      <c r="AK903" s="159" t="s">
        <v>1057</v>
      </c>
      <c r="AL903" s="36"/>
    </row>
    <row r="904" s="442" customFormat="true" ht="20.25" hidden="false" customHeight="true" outlineLevel="0" collapsed="false">
      <c r="A904" s="19" t="n">
        <v>379</v>
      </c>
      <c r="B904" s="141" t="n">
        <v>45849</v>
      </c>
      <c r="C904" s="63" t="s">
        <v>209</v>
      </c>
      <c r="D904" s="63" t="s">
        <v>1054</v>
      </c>
      <c r="E904" s="63" t="s">
        <v>1055</v>
      </c>
      <c r="F904" s="63" t="s">
        <v>697</v>
      </c>
      <c r="G904" s="142" t="n">
        <v>45849</v>
      </c>
      <c r="H904" s="142" t="n">
        <v>45880</v>
      </c>
      <c r="I904" s="19" t="n">
        <f aca="false">H904-G904</f>
        <v>31</v>
      </c>
      <c r="J904" s="149" t="n">
        <f aca="false">TRUNC(I904/30,0)</f>
        <v>1</v>
      </c>
      <c r="K904" s="183" t="s">
        <v>95</v>
      </c>
      <c r="L904" s="146" t="n">
        <v>11</v>
      </c>
      <c r="M904" s="147"/>
      <c r="N904" s="148"/>
      <c r="O904" s="149" t="s">
        <v>303</v>
      </c>
      <c r="P904" s="150" t="n">
        <v>0.0434336</v>
      </c>
      <c r="Q904" s="150"/>
      <c r="R904" s="151" t="s">
        <v>914</v>
      </c>
      <c r="S904" s="152"/>
      <c r="T904" s="151"/>
      <c r="U904" s="152"/>
      <c r="V904" s="152" t="n">
        <v>0.046477</v>
      </c>
      <c r="W904" s="152" t="n">
        <v>0.00093</v>
      </c>
      <c r="X904" s="152" t="n">
        <v>0.003627</v>
      </c>
      <c r="Y904" s="152" t="n">
        <v>0.037864</v>
      </c>
      <c r="Z904" s="152" t="n">
        <v>0.00172</v>
      </c>
      <c r="AA904" s="152" t="n">
        <v>0.002</v>
      </c>
      <c r="AB904" s="154" t="n">
        <f aca="false">S904-Z904</f>
        <v>-0.00172</v>
      </c>
      <c r="AC904" s="154" t="n">
        <f aca="false">U904-Z904-AA904</f>
        <v>-0.00372</v>
      </c>
      <c r="AD904" s="155" t="n">
        <v>0.0402</v>
      </c>
      <c r="AE904" s="153" t="n">
        <v>0.037864</v>
      </c>
      <c r="AF904" s="153" t="n">
        <f aca="false">AD904-AE904</f>
        <v>0.002336</v>
      </c>
      <c r="AG904" s="184" t="n">
        <v>0.0402</v>
      </c>
      <c r="AH904" s="185" t="n">
        <v>45849</v>
      </c>
      <c r="AI904" s="35" t="n">
        <v>2</v>
      </c>
      <c r="AJ904" s="19" t="str">
        <f aca="false">IF(AG904="","N","Y")</f>
        <v>Y</v>
      </c>
      <c r="AK904" s="440" t="s">
        <v>1170</v>
      </c>
      <c r="AL904" s="441"/>
    </row>
    <row r="905" s="442" customFormat="true" ht="20.25" hidden="false" customHeight="true" outlineLevel="0" collapsed="false">
      <c r="A905" s="19" t="n">
        <v>380</v>
      </c>
      <c r="B905" s="141" t="n">
        <v>45849</v>
      </c>
      <c r="C905" s="63" t="s">
        <v>209</v>
      </c>
      <c r="D905" s="63" t="s">
        <v>1054</v>
      </c>
      <c r="E905" s="63" t="s">
        <v>1055</v>
      </c>
      <c r="F905" s="63" t="s">
        <v>697</v>
      </c>
      <c r="G905" s="142" t="n">
        <v>45849</v>
      </c>
      <c r="H905" s="142" t="n">
        <v>45880</v>
      </c>
      <c r="I905" s="19" t="n">
        <f aca="false">H905-G905</f>
        <v>31</v>
      </c>
      <c r="J905" s="149" t="n">
        <f aca="false">TRUNC(I905/30,0)</f>
        <v>1</v>
      </c>
      <c r="K905" s="183" t="s">
        <v>95</v>
      </c>
      <c r="L905" s="146" t="n">
        <v>1.5</v>
      </c>
      <c r="M905" s="147"/>
      <c r="N905" s="148"/>
      <c r="O905" s="149" t="s">
        <v>303</v>
      </c>
      <c r="P905" s="150" t="n">
        <v>0.0434336</v>
      </c>
      <c r="Q905" s="150"/>
      <c r="R905" s="151" t="s">
        <v>914</v>
      </c>
      <c r="S905" s="152"/>
      <c r="T905" s="151"/>
      <c r="U905" s="152"/>
      <c r="V905" s="152" t="n">
        <v>0.046477</v>
      </c>
      <c r="W905" s="152" t="n">
        <v>0.00093</v>
      </c>
      <c r="X905" s="152" t="n">
        <v>0.003627</v>
      </c>
      <c r="Y905" s="152" t="n">
        <v>0.037864</v>
      </c>
      <c r="Z905" s="152" t="n">
        <v>0.00172</v>
      </c>
      <c r="AA905" s="152" t="n">
        <v>0.002</v>
      </c>
      <c r="AB905" s="154" t="n">
        <f aca="false">S905-Z905</f>
        <v>-0.00172</v>
      </c>
      <c r="AC905" s="154" t="n">
        <f aca="false">U905-Z905-AA905</f>
        <v>-0.00372</v>
      </c>
      <c r="AD905" s="155" t="n">
        <v>0.0402</v>
      </c>
      <c r="AE905" s="153" t="n">
        <v>0.037864</v>
      </c>
      <c r="AF905" s="153" t="n">
        <f aca="false">AD905-AE905</f>
        <v>0.002336</v>
      </c>
      <c r="AG905" s="184" t="n">
        <v>0.0402</v>
      </c>
      <c r="AH905" s="185" t="n">
        <v>45849</v>
      </c>
      <c r="AI905" s="35" t="n">
        <v>3</v>
      </c>
      <c r="AJ905" s="19" t="str">
        <f aca="false">IF(AG905="","N","Y")</f>
        <v>Y</v>
      </c>
      <c r="AK905" s="440" t="s">
        <v>1170</v>
      </c>
      <c r="AL905" s="441"/>
    </row>
    <row r="906" s="382" customFormat="true" ht="20.25" hidden="false" customHeight="true" outlineLevel="0" collapsed="false">
      <c r="A906" s="364" t="n">
        <v>381</v>
      </c>
      <c r="B906" s="363" t="n">
        <v>45852</v>
      </c>
      <c r="C906" s="364" t="s">
        <v>644</v>
      </c>
      <c r="D906" s="364" t="s">
        <v>1070</v>
      </c>
      <c r="E906" s="364" t="s">
        <v>1071</v>
      </c>
      <c r="F906" s="364" t="s">
        <v>1072</v>
      </c>
      <c r="G906" s="365" t="n">
        <v>45852</v>
      </c>
      <c r="H906" s="365" t="n">
        <v>45883</v>
      </c>
      <c r="I906" s="364" t="n">
        <f aca="false">H906-G906</f>
        <v>31</v>
      </c>
      <c r="J906" s="366" t="n">
        <f aca="false">TRUNC(I906/30,0)</f>
        <v>1</v>
      </c>
      <c r="K906" s="395" t="s">
        <v>95</v>
      </c>
      <c r="L906" s="368" t="n">
        <v>1.5</v>
      </c>
      <c r="M906" s="369"/>
      <c r="N906" s="370"/>
      <c r="O906" s="366" t="s">
        <v>303</v>
      </c>
      <c r="P906" s="371" t="n">
        <v>0.0434194</v>
      </c>
      <c r="Q906" s="371"/>
      <c r="R906" s="372" t="s">
        <v>914</v>
      </c>
      <c r="S906" s="373"/>
      <c r="T906" s="372"/>
      <c r="U906" s="373"/>
      <c r="V906" s="373" t="n">
        <v>0.046446</v>
      </c>
      <c r="W906" s="373" t="n">
        <v>0.000929</v>
      </c>
      <c r="X906" s="373" t="n">
        <v>0.002741</v>
      </c>
      <c r="Y906" s="373" t="n">
        <v>0.037851</v>
      </c>
      <c r="Z906" s="373" t="n">
        <v>0.00172</v>
      </c>
      <c r="AA906" s="373" t="n">
        <v>0.002</v>
      </c>
      <c r="AB906" s="374" t="n">
        <f aca="false">S906-Z906</f>
        <v>-0.00172</v>
      </c>
      <c r="AC906" s="374" t="n">
        <f aca="false">U906-Z906-AA906</f>
        <v>-0.00372</v>
      </c>
      <c r="AD906" s="375" t="n">
        <v>0.041</v>
      </c>
      <c r="AE906" s="376" t="n">
        <v>0.037851</v>
      </c>
      <c r="AF906" s="376" t="n">
        <f aca="false">AD906-AE906</f>
        <v>0.003149</v>
      </c>
      <c r="AG906" s="377" t="n">
        <f aca="false">IF(AF906="","",AE906+AF906)</f>
        <v>0.041</v>
      </c>
      <c r="AH906" s="378" t="n">
        <v>45852</v>
      </c>
      <c r="AI906" s="379" t="n">
        <v>1</v>
      </c>
      <c r="AJ906" s="380" t="str">
        <f aca="false">IF(AG906="","N","Y")</f>
        <v>Y</v>
      </c>
      <c r="AK906" s="396" t="s">
        <v>1097</v>
      </c>
      <c r="AL906" s="397"/>
    </row>
    <row r="907" s="382" customFormat="true" ht="20.25" hidden="false" customHeight="true" outlineLevel="0" collapsed="false">
      <c r="A907" s="421" t="n">
        <v>382</v>
      </c>
      <c r="B907" s="422" t="n">
        <v>45852</v>
      </c>
      <c r="C907" s="423" t="s">
        <v>925</v>
      </c>
      <c r="D907" s="423" t="s">
        <v>1073</v>
      </c>
      <c r="E907" s="423" t="s">
        <v>1074</v>
      </c>
      <c r="F907" s="423" t="s">
        <v>1075</v>
      </c>
      <c r="G907" s="424" t="n">
        <v>45852</v>
      </c>
      <c r="H907" s="424" t="n">
        <v>45883</v>
      </c>
      <c r="I907" s="421" t="n">
        <f aca="false">H907-G907</f>
        <v>31</v>
      </c>
      <c r="J907" s="425" t="n">
        <f aca="false">TRUNC(I907/30,0)</f>
        <v>1</v>
      </c>
      <c r="K907" s="426" t="s">
        <v>99</v>
      </c>
      <c r="L907" s="427" t="n">
        <v>1</v>
      </c>
      <c r="M907" s="428"/>
      <c r="N907" s="429"/>
      <c r="O907" s="425" t="s">
        <v>303</v>
      </c>
      <c r="P907" s="430" t="n">
        <v>0.0434194</v>
      </c>
      <c r="Q907" s="430"/>
      <c r="R907" s="431" t="s">
        <v>914</v>
      </c>
      <c r="S907" s="432"/>
      <c r="T907" s="431"/>
      <c r="U907" s="432"/>
      <c r="V907" s="432" t="n">
        <v>0.04708</v>
      </c>
      <c r="W907" s="432" t="n">
        <v>0.003296</v>
      </c>
      <c r="X907" s="432" t="n">
        <v>0.004508</v>
      </c>
      <c r="Y907" s="432" t="n">
        <v>0.031844</v>
      </c>
      <c r="Z907" s="432" t="n">
        <v>0.00172</v>
      </c>
      <c r="AA907" s="432" t="n">
        <v>0.002</v>
      </c>
      <c r="AB907" s="433" t="n">
        <f aca="false">S907-Z907</f>
        <v>-0.00172</v>
      </c>
      <c r="AC907" s="433" t="n">
        <f aca="false">U907-Z907-AA907</f>
        <v>-0.00372</v>
      </c>
      <c r="AD907" s="434" t="n">
        <v>0.0375</v>
      </c>
      <c r="AE907" s="435" t="n">
        <v>0.031844</v>
      </c>
      <c r="AF907" s="435" t="n">
        <f aca="false">AD907-AE907</f>
        <v>0.005656</v>
      </c>
      <c r="AG907" s="436" t="n">
        <v>0.0375</v>
      </c>
      <c r="AH907" s="437" t="n">
        <v>45852</v>
      </c>
      <c r="AI907" s="438" t="n">
        <v>2</v>
      </c>
      <c r="AJ907" s="421" t="str">
        <f aca="false">IF(AG907="","N","Y")</f>
        <v>Y</v>
      </c>
      <c r="AK907" s="439" t="s">
        <v>1057</v>
      </c>
      <c r="AL907" s="397"/>
    </row>
    <row r="908" s="418" customFormat="true" ht="19.5" hidden="false" customHeight="true" outlineLevel="0" collapsed="false">
      <c r="A908" s="402" t="n">
        <v>383</v>
      </c>
      <c r="B908" s="403" t="n">
        <v>45853</v>
      </c>
      <c r="C908" s="402" t="s">
        <v>187</v>
      </c>
      <c r="D908" s="402" t="s">
        <v>1062</v>
      </c>
      <c r="E908" s="402" t="s">
        <v>1165</v>
      </c>
      <c r="F908" s="402" t="s">
        <v>877</v>
      </c>
      <c r="G908" s="404" t="n">
        <v>45853</v>
      </c>
      <c r="H908" s="404" t="n">
        <v>45860</v>
      </c>
      <c r="I908" s="402" t="n">
        <f aca="false">H908-G908</f>
        <v>7</v>
      </c>
      <c r="J908" s="405" t="n">
        <f aca="false">TRUNC(I908/30,0)</f>
        <v>0</v>
      </c>
      <c r="K908" s="406" t="s">
        <v>95</v>
      </c>
      <c r="L908" s="407" t="n">
        <v>10</v>
      </c>
      <c r="M908" s="408"/>
      <c r="N908" s="409"/>
      <c r="O908" s="405" t="s">
        <v>305</v>
      </c>
      <c r="P908" s="410" t="n">
        <v>0.0431621</v>
      </c>
      <c r="Q908" s="410"/>
      <c r="R908" s="411" t="s">
        <v>914</v>
      </c>
      <c r="S908" s="412"/>
      <c r="T908" s="411"/>
      <c r="U908" s="412"/>
      <c r="V908" s="412" t="n">
        <v>0.044566</v>
      </c>
      <c r="W908" s="412" t="n">
        <v>0.00312</v>
      </c>
      <c r="X908" s="412" t="n">
        <v>0.00207</v>
      </c>
      <c r="Y908" s="412" t="n">
        <v>0.03384</v>
      </c>
      <c r="Z908" s="412" t="n">
        <v>0.00172</v>
      </c>
      <c r="AA908" s="412" t="n">
        <v>0.002</v>
      </c>
      <c r="AB908" s="412" t="n">
        <f aca="false">S908-Z908</f>
        <v>-0.00172</v>
      </c>
      <c r="AC908" s="412" t="n">
        <f aca="false">U908-Z908-AA908</f>
        <v>-0.00372</v>
      </c>
      <c r="AD908" s="413" t="n">
        <v>0.0376</v>
      </c>
      <c r="AE908" s="412" t="n">
        <v>0.034127</v>
      </c>
      <c r="AF908" s="412" t="n">
        <f aca="false">AD908-AE908</f>
        <v>0.003473</v>
      </c>
      <c r="AG908" s="412" t="n">
        <v>0.0376</v>
      </c>
      <c r="AH908" s="378" t="n">
        <v>45853</v>
      </c>
      <c r="AI908" s="414" t="n">
        <v>1</v>
      </c>
      <c r="AJ908" s="415" t="str">
        <f aca="false">IF(AG908="","N","Y")</f>
        <v>Y</v>
      </c>
      <c r="AK908" s="416" t="s">
        <v>1171</v>
      </c>
      <c r="AL908" s="417"/>
    </row>
    <row r="909" s="382" customFormat="true" ht="20.25" hidden="false" customHeight="true" outlineLevel="0" collapsed="false">
      <c r="A909" s="364" t="n">
        <v>384</v>
      </c>
      <c r="B909" s="363" t="n">
        <v>45854</v>
      </c>
      <c r="C909" s="364" t="s">
        <v>862</v>
      </c>
      <c r="D909" s="364" t="s">
        <v>932</v>
      </c>
      <c r="E909" s="364" t="s">
        <v>1067</v>
      </c>
      <c r="F909" s="364" t="s">
        <v>906</v>
      </c>
      <c r="G909" s="365" t="n">
        <v>45854</v>
      </c>
      <c r="H909" s="365" t="n">
        <v>45887</v>
      </c>
      <c r="I909" s="364" t="n">
        <f aca="false">H909-G909</f>
        <v>33</v>
      </c>
      <c r="J909" s="366" t="n">
        <f aca="false">TRUNC(I909/30,0)</f>
        <v>1</v>
      </c>
      <c r="K909" s="367" t="s">
        <v>99</v>
      </c>
      <c r="L909" s="368" t="n">
        <v>5.5</v>
      </c>
      <c r="M909" s="369"/>
      <c r="N909" s="370"/>
      <c r="O909" s="366" t="s">
        <v>303</v>
      </c>
      <c r="P909" s="371" t="n">
        <v>0.0434313</v>
      </c>
      <c r="Q909" s="371"/>
      <c r="R909" s="372" t="s">
        <v>914</v>
      </c>
      <c r="S909" s="373"/>
      <c r="T909" s="372"/>
      <c r="U909" s="373"/>
      <c r="V909" s="373" t="n">
        <v>0.047051</v>
      </c>
      <c r="W909" s="373" t="n">
        <v>0.003294</v>
      </c>
      <c r="X909" s="373" t="n">
        <v>0.004181</v>
      </c>
      <c r="Y909" s="373" t="n">
        <v>0.031994</v>
      </c>
      <c r="Z909" s="373" t="n">
        <v>0.00172</v>
      </c>
      <c r="AA909" s="373" t="n">
        <v>0.002</v>
      </c>
      <c r="AB909" s="374" t="n">
        <f aca="false">S909-Z909</f>
        <v>-0.00172</v>
      </c>
      <c r="AC909" s="374" t="n">
        <f aca="false">U909-Z909-AA909</f>
        <v>-0.00372</v>
      </c>
      <c r="AD909" s="375" t="n">
        <v>0.0378</v>
      </c>
      <c r="AE909" s="376" t="n">
        <v>0.031994</v>
      </c>
      <c r="AF909" s="376" t="n">
        <f aca="false">AD909-AE909</f>
        <v>0.005806</v>
      </c>
      <c r="AG909" s="377" t="n">
        <v>0.0378</v>
      </c>
      <c r="AH909" s="378" t="n">
        <v>45854</v>
      </c>
      <c r="AI909" s="379" t="n">
        <v>1</v>
      </c>
      <c r="AJ909" s="380" t="str">
        <f aca="false">IF(AG909="","N","Y")</f>
        <v>Y</v>
      </c>
      <c r="AK909" s="396" t="s">
        <v>1057</v>
      </c>
      <c r="AL909" s="397"/>
    </row>
    <row r="910" s="382" customFormat="true" ht="20.25" hidden="false" customHeight="true" outlineLevel="0" collapsed="false">
      <c r="A910" s="364" t="n">
        <v>385</v>
      </c>
      <c r="B910" s="363" t="n">
        <v>45854</v>
      </c>
      <c r="C910" s="364" t="s">
        <v>187</v>
      </c>
      <c r="D910" s="364" t="s">
        <v>1118</v>
      </c>
      <c r="E910" s="364" t="s">
        <v>1119</v>
      </c>
      <c r="F910" s="364" t="s">
        <v>1120</v>
      </c>
      <c r="G910" s="365" t="n">
        <v>45854</v>
      </c>
      <c r="H910" s="365" t="n">
        <v>45887</v>
      </c>
      <c r="I910" s="364" t="n">
        <f aca="false">H910-G910</f>
        <v>33</v>
      </c>
      <c r="J910" s="366" t="n">
        <f aca="false">TRUNC(I910/30,0)</f>
        <v>1</v>
      </c>
      <c r="K910" s="367" t="s">
        <v>99</v>
      </c>
      <c r="L910" s="368" t="n">
        <v>1.5</v>
      </c>
      <c r="M910" s="369"/>
      <c r="N910" s="370"/>
      <c r="O910" s="366" t="s">
        <v>303</v>
      </c>
      <c r="P910" s="371" t="n">
        <v>0.0434313</v>
      </c>
      <c r="Q910" s="371"/>
      <c r="R910" s="372" t="s">
        <v>914</v>
      </c>
      <c r="S910" s="373"/>
      <c r="T910" s="372"/>
      <c r="U910" s="373"/>
      <c r="V910" s="373" t="n">
        <v>0.047051</v>
      </c>
      <c r="W910" s="373" t="n">
        <v>0.003294</v>
      </c>
      <c r="X910" s="373" t="n">
        <v>0.004181</v>
      </c>
      <c r="Y910" s="373" t="n">
        <v>0.031994</v>
      </c>
      <c r="Z910" s="373" t="n">
        <v>0.00172</v>
      </c>
      <c r="AA910" s="373" t="n">
        <v>0.002</v>
      </c>
      <c r="AB910" s="374" t="n">
        <f aca="false">S910-Z910</f>
        <v>-0.00172</v>
      </c>
      <c r="AC910" s="374" t="n">
        <f aca="false">U910-Z910-AA910</f>
        <v>-0.00372</v>
      </c>
      <c r="AD910" s="375" t="n">
        <v>0.0378</v>
      </c>
      <c r="AE910" s="376" t="n">
        <v>0.031994</v>
      </c>
      <c r="AF910" s="376" t="n">
        <f aca="false">AD910-AE910</f>
        <v>0.005806</v>
      </c>
      <c r="AG910" s="377" t="n">
        <v>0.0378</v>
      </c>
      <c r="AH910" s="378" t="n">
        <v>45854</v>
      </c>
      <c r="AI910" s="379" t="n">
        <v>2</v>
      </c>
      <c r="AJ910" s="380" t="str">
        <f aca="false">IF(AG910="","N","Y")</f>
        <v>Y</v>
      </c>
      <c r="AK910" s="396" t="s">
        <v>1057</v>
      </c>
      <c r="AL910" s="397"/>
    </row>
    <row r="911" s="382" customFormat="true" ht="20.25" hidden="false" customHeight="true" outlineLevel="0" collapsed="false">
      <c r="A911" s="364" t="n">
        <v>386</v>
      </c>
      <c r="B911" s="363" t="n">
        <v>45854</v>
      </c>
      <c r="C911" s="364" t="s">
        <v>1129</v>
      </c>
      <c r="D911" s="364" t="s">
        <v>1130</v>
      </c>
      <c r="E911" s="364" t="s">
        <v>1131</v>
      </c>
      <c r="F911" s="364" t="s">
        <v>1132</v>
      </c>
      <c r="G911" s="365" t="n">
        <v>45854</v>
      </c>
      <c r="H911" s="365" t="n">
        <v>45887</v>
      </c>
      <c r="I911" s="364" t="n">
        <f aca="false">H911-G911</f>
        <v>33</v>
      </c>
      <c r="J911" s="366" t="n">
        <f aca="false">TRUNC(I911/30,0)</f>
        <v>1</v>
      </c>
      <c r="K911" s="395" t="s">
        <v>95</v>
      </c>
      <c r="L911" s="368" t="n">
        <v>1</v>
      </c>
      <c r="M911" s="369"/>
      <c r="N911" s="370"/>
      <c r="O911" s="366" t="s">
        <v>303</v>
      </c>
      <c r="P911" s="371" t="n">
        <v>0.0434313</v>
      </c>
      <c r="Q911" s="371"/>
      <c r="R911" s="372" t="s">
        <v>914</v>
      </c>
      <c r="S911" s="373"/>
      <c r="T911" s="372"/>
      <c r="U911" s="373"/>
      <c r="V911" s="373" t="n">
        <v>0.046412</v>
      </c>
      <c r="W911" s="373" t="n">
        <v>0.000922</v>
      </c>
      <c r="X911" s="373" t="n">
        <v>0.002708</v>
      </c>
      <c r="Y911" s="373" t="n">
        <v>0.037862</v>
      </c>
      <c r="Z911" s="373" t="n">
        <v>0.00172</v>
      </c>
      <c r="AA911" s="373" t="n">
        <v>0.002</v>
      </c>
      <c r="AB911" s="374" t="n">
        <f aca="false">S911-Z911</f>
        <v>-0.00172</v>
      </c>
      <c r="AC911" s="374" t="n">
        <f aca="false">U911-Z911-AA911</f>
        <v>-0.00372</v>
      </c>
      <c r="AD911" s="375" t="n">
        <v>0.041</v>
      </c>
      <c r="AE911" s="376" t="n">
        <v>0.037862</v>
      </c>
      <c r="AF911" s="376" t="n">
        <f aca="false">AD911-AE911</f>
        <v>0.003138</v>
      </c>
      <c r="AG911" s="377" t="n">
        <f aca="false">IF(AF911="","",AE911+AF911)</f>
        <v>0.041</v>
      </c>
      <c r="AH911" s="378" t="n">
        <v>45854</v>
      </c>
      <c r="AI911" s="379" t="n">
        <v>3</v>
      </c>
      <c r="AJ911" s="380" t="str">
        <f aca="false">IF(AG911="","N","Y")</f>
        <v>Y</v>
      </c>
      <c r="AK911" s="396" t="s">
        <v>1097</v>
      </c>
      <c r="AL911" s="397"/>
    </row>
    <row r="912" s="418" customFormat="true" ht="19.5" hidden="false" customHeight="true" outlineLevel="0" collapsed="false">
      <c r="A912" s="402" t="n">
        <v>387</v>
      </c>
      <c r="B912" s="403" t="n">
        <v>45860</v>
      </c>
      <c r="C912" s="402" t="s">
        <v>187</v>
      </c>
      <c r="D912" s="402" t="s">
        <v>1062</v>
      </c>
      <c r="E912" s="402" t="s">
        <v>1165</v>
      </c>
      <c r="F912" s="402" t="s">
        <v>877</v>
      </c>
      <c r="G912" s="404" t="n">
        <v>45860</v>
      </c>
      <c r="H912" s="404" t="n">
        <v>45873</v>
      </c>
      <c r="I912" s="402" t="n">
        <f aca="false">H912-G912</f>
        <v>13</v>
      </c>
      <c r="J912" s="405" t="n">
        <f aca="false">TRUNC(I912/30,0)</f>
        <v>0</v>
      </c>
      <c r="K912" s="406" t="s">
        <v>95</v>
      </c>
      <c r="L912" s="407" t="n">
        <v>10</v>
      </c>
      <c r="M912" s="408"/>
      <c r="N912" s="409"/>
      <c r="O912" s="405" t="s">
        <v>305</v>
      </c>
      <c r="P912" s="410" t="n">
        <v>0.0431011</v>
      </c>
      <c r="Q912" s="410"/>
      <c r="R912" s="411" t="s">
        <v>914</v>
      </c>
      <c r="S912" s="412"/>
      <c r="T912" s="411"/>
      <c r="U912" s="412"/>
      <c r="V912" s="412" t="n">
        <v>0.04527</v>
      </c>
      <c r="W912" s="412" t="n">
        <v>0.003169</v>
      </c>
      <c r="X912" s="412" t="n">
        <v>0.002325</v>
      </c>
      <c r="Y912" s="412" t="n">
        <v>0.033784</v>
      </c>
      <c r="Z912" s="412" t="n">
        <v>0.00172</v>
      </c>
      <c r="AA912" s="412" t="n">
        <v>0.002</v>
      </c>
      <c r="AB912" s="412" t="n">
        <f aca="false">S912-Z912</f>
        <v>-0.00172</v>
      </c>
      <c r="AC912" s="412" t="n">
        <f aca="false">U912-Z912-AA912</f>
        <v>-0.00372</v>
      </c>
      <c r="AD912" s="413" t="n">
        <v>0.038</v>
      </c>
      <c r="AE912" s="412" t="n">
        <v>0.033784</v>
      </c>
      <c r="AF912" s="412" t="n">
        <f aca="false">AD912-AE912</f>
        <v>0.004216</v>
      </c>
      <c r="AG912" s="412" t="n">
        <v>0.038</v>
      </c>
      <c r="AH912" s="378" t="n">
        <v>45860</v>
      </c>
      <c r="AI912" s="414" t="n">
        <v>1</v>
      </c>
      <c r="AJ912" s="415" t="str">
        <f aca="false">IF(AG912="","N","Y")</f>
        <v>Y</v>
      </c>
      <c r="AK912" s="416" t="s">
        <v>1169</v>
      </c>
      <c r="AL912" s="417"/>
    </row>
    <row r="913" s="418" customFormat="true" ht="19.5" hidden="false" customHeight="true" outlineLevel="0" collapsed="false">
      <c r="A913" s="402" t="n">
        <v>388</v>
      </c>
      <c r="B913" s="403" t="n">
        <v>45860</v>
      </c>
      <c r="C913" s="402" t="s">
        <v>187</v>
      </c>
      <c r="D913" s="402" t="s">
        <v>1062</v>
      </c>
      <c r="E913" s="402" t="s">
        <v>1165</v>
      </c>
      <c r="F913" s="402" t="s">
        <v>877</v>
      </c>
      <c r="G913" s="404" t="n">
        <v>45860</v>
      </c>
      <c r="H913" s="404" t="n">
        <v>45873</v>
      </c>
      <c r="I913" s="402" t="n">
        <f aca="false">H913-G913</f>
        <v>13</v>
      </c>
      <c r="J913" s="405" t="n">
        <f aca="false">TRUNC(I913/30,0)</f>
        <v>0</v>
      </c>
      <c r="K913" s="406" t="s">
        <v>95</v>
      </c>
      <c r="L913" s="407" t="n">
        <v>10</v>
      </c>
      <c r="M913" s="408"/>
      <c r="N913" s="409"/>
      <c r="O913" s="405" t="s">
        <v>305</v>
      </c>
      <c r="P913" s="410" t="n">
        <v>0.0431011</v>
      </c>
      <c r="Q913" s="410"/>
      <c r="R913" s="411" t="s">
        <v>914</v>
      </c>
      <c r="S913" s="412"/>
      <c r="T913" s="411"/>
      <c r="U913" s="412"/>
      <c r="V913" s="412" t="n">
        <v>0.04527</v>
      </c>
      <c r="W913" s="412" t="n">
        <v>0.003169</v>
      </c>
      <c r="X913" s="412" t="n">
        <v>0.002325</v>
      </c>
      <c r="Y913" s="412" t="n">
        <v>0.033784</v>
      </c>
      <c r="Z913" s="412" t="n">
        <v>0.00172</v>
      </c>
      <c r="AA913" s="412" t="n">
        <v>0.002</v>
      </c>
      <c r="AB913" s="412" t="n">
        <f aca="false">S913-Z913</f>
        <v>-0.00172</v>
      </c>
      <c r="AC913" s="412" t="n">
        <f aca="false">U913-Z913-AA913</f>
        <v>-0.00372</v>
      </c>
      <c r="AD913" s="413" t="n">
        <v>0.038</v>
      </c>
      <c r="AE913" s="412" t="n">
        <v>0.033784</v>
      </c>
      <c r="AF913" s="412" t="n">
        <f aca="false">AD913-AE913</f>
        <v>0.004216</v>
      </c>
      <c r="AG913" s="412" t="n">
        <v>0.038</v>
      </c>
      <c r="AH913" s="378" t="n">
        <v>45860</v>
      </c>
      <c r="AI913" s="414" t="n">
        <v>2</v>
      </c>
      <c r="AJ913" s="415" t="str">
        <f aca="false">IF(AG913="","N","Y")</f>
        <v>Y</v>
      </c>
      <c r="AK913" s="416" t="s">
        <v>1169</v>
      </c>
      <c r="AL913" s="417"/>
    </row>
    <row r="914" s="38" customFormat="true" ht="20.25" hidden="false" customHeight="true" outlineLevel="0" collapsed="false">
      <c r="A914" s="19" t="n">
        <v>389</v>
      </c>
      <c r="B914" s="141" t="n">
        <v>45861</v>
      </c>
      <c r="C914" s="63" t="s">
        <v>116</v>
      </c>
      <c r="D914" s="63" t="s">
        <v>1005</v>
      </c>
      <c r="E914" s="63" t="s">
        <v>1006</v>
      </c>
      <c r="F914" s="63" t="s">
        <v>1056</v>
      </c>
      <c r="G914" s="142" t="n">
        <v>45861</v>
      </c>
      <c r="H914" s="142" t="n">
        <v>45891</v>
      </c>
      <c r="I914" s="19" t="n">
        <f aca="false">H914-G914</f>
        <v>30</v>
      </c>
      <c r="J914" s="149" t="n">
        <f aca="false">TRUNC(I914/30,0)</f>
        <v>1</v>
      </c>
      <c r="K914" s="189" t="s">
        <v>99</v>
      </c>
      <c r="L914" s="146" t="n">
        <v>9.37</v>
      </c>
      <c r="M914" s="147"/>
      <c r="N914" s="148"/>
      <c r="O914" s="149" t="s">
        <v>303</v>
      </c>
      <c r="P914" s="150" t="n">
        <v>0.0435091</v>
      </c>
      <c r="Q914" s="150"/>
      <c r="R914" s="151" t="s">
        <v>914</v>
      </c>
      <c r="S914" s="152"/>
      <c r="T914" s="151"/>
      <c r="U914" s="152"/>
      <c r="V914" s="152" t="n">
        <v>0.047101</v>
      </c>
      <c r="W914" s="152" t="n">
        <v>0.003297</v>
      </c>
      <c r="X914" s="152" t="n">
        <v>0.004528</v>
      </c>
      <c r="Y914" s="152" t="n">
        <v>0.03164</v>
      </c>
      <c r="Z914" s="152" t="n">
        <v>0.00172</v>
      </c>
      <c r="AA914" s="152" t="n">
        <v>0.002</v>
      </c>
      <c r="AB914" s="154" t="n">
        <f aca="false">S914-Z914</f>
        <v>-0.00172</v>
      </c>
      <c r="AC914" s="154" t="n">
        <f aca="false">U914-Z914-AA914</f>
        <v>-0.00372</v>
      </c>
      <c r="AD914" s="155" t="n">
        <v>0.0375</v>
      </c>
      <c r="AE914" s="153" t="n">
        <v>0.03164</v>
      </c>
      <c r="AF914" s="153" t="n">
        <f aca="false">AG914-AE914</f>
        <v>0.00586</v>
      </c>
      <c r="AG914" s="184" t="n">
        <v>0.0375</v>
      </c>
      <c r="AH914" s="185" t="n">
        <v>45861</v>
      </c>
      <c r="AI914" s="35" t="n">
        <v>3</v>
      </c>
      <c r="AJ914" s="19" t="str">
        <f aca="false">IF(AG914="","N","Y")</f>
        <v>Y</v>
      </c>
      <c r="AK914" s="159" t="s">
        <v>1057</v>
      </c>
      <c r="AL914" s="36"/>
    </row>
    <row r="915" s="382" customFormat="true" ht="20.25" hidden="false" customHeight="true" outlineLevel="0" collapsed="false">
      <c r="A915" s="364" t="n">
        <v>390</v>
      </c>
      <c r="B915" s="363" t="n">
        <v>45861</v>
      </c>
      <c r="C915" s="364" t="s">
        <v>1172</v>
      </c>
      <c r="D915" s="364" t="s">
        <v>1173</v>
      </c>
      <c r="E915" s="364" t="s">
        <v>1174</v>
      </c>
      <c r="F915" s="364" t="s">
        <v>1175</v>
      </c>
      <c r="G915" s="365" t="n">
        <v>45861</v>
      </c>
      <c r="H915" s="365" t="n">
        <v>45953</v>
      </c>
      <c r="I915" s="364" t="n">
        <f aca="false">H915-G915</f>
        <v>92</v>
      </c>
      <c r="J915" s="366" t="n">
        <f aca="false">TRUNC(I915/30,0)</f>
        <v>3</v>
      </c>
      <c r="K915" s="395" t="s">
        <v>95</v>
      </c>
      <c r="L915" s="368" t="n">
        <v>2</v>
      </c>
      <c r="M915" s="369"/>
      <c r="N915" s="443" t="s">
        <v>1176</v>
      </c>
      <c r="O915" s="366" t="s">
        <v>300</v>
      </c>
      <c r="P915" s="371" t="n">
        <v>0.0431869</v>
      </c>
      <c r="Q915" s="371"/>
      <c r="R915" s="372" t="s">
        <v>914</v>
      </c>
      <c r="S915" s="373"/>
      <c r="T915" s="372"/>
      <c r="U915" s="373"/>
      <c r="V915" s="373" t="n">
        <v>0.047685</v>
      </c>
      <c r="W915" s="373" t="n">
        <v>0.000954</v>
      </c>
      <c r="X915" s="373" t="n">
        <v>0.002955</v>
      </c>
      <c r="Y915" s="373" t="n">
        <v>0.039423</v>
      </c>
      <c r="Z915" s="373" t="n">
        <v>0.00172</v>
      </c>
      <c r="AA915" s="373" t="n">
        <v>0.002</v>
      </c>
      <c r="AB915" s="374" t="n">
        <f aca="false">S915-Z915</f>
        <v>-0.00172</v>
      </c>
      <c r="AC915" s="374" t="n">
        <f aca="false">U915-Z915-AA915</f>
        <v>-0.00372</v>
      </c>
      <c r="AD915" s="375" t="n">
        <v>0.042</v>
      </c>
      <c r="AE915" s="376" t="n">
        <v>0.031994</v>
      </c>
      <c r="AF915" s="376" t="n">
        <f aca="false">AD915-AE915</f>
        <v>0.010006</v>
      </c>
      <c r="AG915" s="377" t="n">
        <v>0.042</v>
      </c>
      <c r="AH915" s="378" t="n">
        <v>45861</v>
      </c>
      <c r="AI915" s="379" t="n">
        <v>1</v>
      </c>
      <c r="AJ915" s="380" t="str">
        <f aca="false">IF(AG915="","N","Y")</f>
        <v>Y</v>
      </c>
      <c r="AK915" s="396" t="s">
        <v>1177</v>
      </c>
      <c r="AL915" s="397"/>
    </row>
    <row r="916" s="382" customFormat="true" ht="20.25" hidden="false" customHeight="true" outlineLevel="0" collapsed="false">
      <c r="A916" s="364" t="n">
        <v>391</v>
      </c>
      <c r="B916" s="363" t="n">
        <v>45861</v>
      </c>
      <c r="C916" s="364" t="s">
        <v>1172</v>
      </c>
      <c r="D916" s="364" t="s">
        <v>1173</v>
      </c>
      <c r="E916" s="364" t="s">
        <v>1174</v>
      </c>
      <c r="F916" s="364" t="s">
        <v>1175</v>
      </c>
      <c r="G916" s="365" t="n">
        <v>45861</v>
      </c>
      <c r="H916" s="365" t="n">
        <v>45891</v>
      </c>
      <c r="I916" s="364" t="n">
        <f aca="false">H916-G916</f>
        <v>30</v>
      </c>
      <c r="J916" s="366" t="n">
        <f aca="false">TRUNC(I916/30,0)</f>
        <v>1</v>
      </c>
      <c r="K916" s="367" t="s">
        <v>99</v>
      </c>
      <c r="L916" s="368" t="n">
        <v>2</v>
      </c>
      <c r="M916" s="369"/>
      <c r="N916" s="370"/>
      <c r="O916" s="366" t="s">
        <v>303</v>
      </c>
      <c r="P916" s="371" t="n">
        <v>0.0435091</v>
      </c>
      <c r="Q916" s="371"/>
      <c r="R916" s="372" t="s">
        <v>914</v>
      </c>
      <c r="S916" s="373"/>
      <c r="T916" s="372"/>
      <c r="U916" s="373"/>
      <c r="V916" s="373" t="n">
        <v>0.047101</v>
      </c>
      <c r="W916" s="373" t="n">
        <v>0.003297</v>
      </c>
      <c r="X916" s="373" t="n">
        <v>0.005528</v>
      </c>
      <c r="Y916" s="373" t="n">
        <v>0.03164</v>
      </c>
      <c r="Z916" s="373" t="n">
        <v>0.00172</v>
      </c>
      <c r="AA916" s="373" t="n">
        <v>0.002</v>
      </c>
      <c r="AB916" s="374" t="n">
        <f aca="false">S916-Z916</f>
        <v>-0.00172</v>
      </c>
      <c r="AC916" s="374" t="n">
        <f aca="false">U916-Z916-AA916</f>
        <v>-0.00372</v>
      </c>
      <c r="AD916" s="375" t="n">
        <v>0.0365</v>
      </c>
      <c r="AE916" s="376" t="n">
        <v>0.03164</v>
      </c>
      <c r="AF916" s="376" t="n">
        <f aca="false">AD916-AE916</f>
        <v>0.00486</v>
      </c>
      <c r="AG916" s="377" t="n">
        <v>0.0365</v>
      </c>
      <c r="AH916" s="378" t="n">
        <v>45861</v>
      </c>
      <c r="AI916" s="379" t="n">
        <v>2</v>
      </c>
      <c r="AJ916" s="380" t="str">
        <f aca="false">IF(AG916="","N","Y")</f>
        <v>Y</v>
      </c>
      <c r="AK916" s="396" t="s">
        <v>1057</v>
      </c>
      <c r="AL916" s="397"/>
    </row>
    <row r="917" s="382" customFormat="true" ht="20.25" hidden="false" customHeight="true" outlineLevel="0" collapsed="false">
      <c r="A917" s="364" t="n">
        <v>392</v>
      </c>
      <c r="B917" s="363" t="n">
        <v>45862</v>
      </c>
      <c r="C917" s="364" t="s">
        <v>209</v>
      </c>
      <c r="D917" s="364" t="s">
        <v>1178</v>
      </c>
      <c r="E917" s="364" t="s">
        <v>1179</v>
      </c>
      <c r="F917" s="364" t="s">
        <v>1180</v>
      </c>
      <c r="G917" s="365" t="n">
        <v>45862</v>
      </c>
      <c r="H917" s="365" t="n">
        <v>45954</v>
      </c>
      <c r="I917" s="364" t="n">
        <f aca="false">H917-G917</f>
        <v>92</v>
      </c>
      <c r="J917" s="366" t="n">
        <f aca="false">TRUNC(I917/30,0)</f>
        <v>3</v>
      </c>
      <c r="K917" s="395" t="s">
        <v>95</v>
      </c>
      <c r="L917" s="368" t="n">
        <v>1.8</v>
      </c>
      <c r="M917" s="369"/>
      <c r="N917" s="370"/>
      <c r="O917" s="366" t="s">
        <v>303</v>
      </c>
      <c r="P917" s="371" t="n">
        <v>0.0435223</v>
      </c>
      <c r="Q917" s="371"/>
      <c r="R917" s="372" t="s">
        <v>914</v>
      </c>
      <c r="S917" s="373"/>
      <c r="T917" s="372"/>
      <c r="U917" s="373"/>
      <c r="V917" s="373" t="n">
        <v>0.047682</v>
      </c>
      <c r="W917" s="373" t="n">
        <v>0.000954</v>
      </c>
      <c r="X917" s="373" t="n">
        <v>0.002952</v>
      </c>
      <c r="Y917" s="373" t="n">
        <v>0.03942</v>
      </c>
      <c r="Z917" s="373" t="n">
        <v>0.00172</v>
      </c>
      <c r="AA917" s="373" t="n">
        <v>0.002</v>
      </c>
      <c r="AB917" s="374" t="n">
        <f aca="false">S917-Z917</f>
        <v>-0.00172</v>
      </c>
      <c r="AC917" s="374" t="n">
        <f aca="false">U917-Z917-AA917</f>
        <v>-0.00372</v>
      </c>
      <c r="AD917" s="375" t="n">
        <v>0.042</v>
      </c>
      <c r="AE917" s="376" t="n">
        <v>0.03942</v>
      </c>
      <c r="AF917" s="376" t="n">
        <f aca="false">AD917-AE917</f>
        <v>0.00258000000000001</v>
      </c>
      <c r="AG917" s="377" t="n">
        <v>0.042</v>
      </c>
      <c r="AH917" s="378" t="n">
        <v>45862</v>
      </c>
      <c r="AI917" s="379" t="n">
        <v>1</v>
      </c>
      <c r="AJ917" s="380" t="str">
        <f aca="false">IF(AG917="","N","Y")</f>
        <v>Y</v>
      </c>
      <c r="AK917" s="396" t="s">
        <v>1177</v>
      </c>
      <c r="AL917" s="397"/>
    </row>
    <row r="918" s="382" customFormat="true" ht="20.25" hidden="false" customHeight="true" outlineLevel="0" collapsed="false">
      <c r="A918" s="364" t="n">
        <v>393</v>
      </c>
      <c r="B918" s="363" t="n">
        <v>45863</v>
      </c>
      <c r="C918" s="364" t="s">
        <v>1133</v>
      </c>
      <c r="D918" s="364" t="s">
        <v>1134</v>
      </c>
      <c r="E918" s="364" t="s">
        <v>1135</v>
      </c>
      <c r="F918" s="364" t="s">
        <v>1159</v>
      </c>
      <c r="G918" s="365" t="n">
        <v>45863</v>
      </c>
      <c r="H918" s="365" t="n">
        <v>45894</v>
      </c>
      <c r="I918" s="364" t="n">
        <f aca="false">H918-G918</f>
        <v>31</v>
      </c>
      <c r="J918" s="366" t="n">
        <f aca="false">TRUNC(I918/30,0)</f>
        <v>1</v>
      </c>
      <c r="K918" s="367" t="s">
        <v>99</v>
      </c>
      <c r="L918" s="368" t="n">
        <v>1</v>
      </c>
      <c r="M918" s="369"/>
      <c r="N918" s="370"/>
      <c r="O918" s="366" t="s">
        <v>303</v>
      </c>
      <c r="P918" s="371" t="n">
        <v>0.0435277</v>
      </c>
      <c r="Q918" s="371"/>
      <c r="R918" s="372" t="s">
        <v>914</v>
      </c>
      <c r="S918" s="373"/>
      <c r="T918" s="372"/>
      <c r="U918" s="373"/>
      <c r="V918" s="373" t="n">
        <v>0.047115</v>
      </c>
      <c r="W918" s="373" t="n">
        <v>0.003298</v>
      </c>
      <c r="X918" s="373" t="n">
        <v>0.005041</v>
      </c>
      <c r="Y918" s="373" t="n">
        <v>0.03164</v>
      </c>
      <c r="Z918" s="373" t="n">
        <v>0.00172</v>
      </c>
      <c r="AA918" s="373" t="n">
        <v>0.002</v>
      </c>
      <c r="AB918" s="374" t="n">
        <f aca="false">S918-Z918</f>
        <v>-0.00172</v>
      </c>
      <c r="AC918" s="374" t="n">
        <f aca="false">U918-Z918-AA918</f>
        <v>-0.00372</v>
      </c>
      <c r="AD918" s="375" t="n">
        <v>0.037</v>
      </c>
      <c r="AE918" s="373" t="n">
        <v>0.03164</v>
      </c>
      <c r="AF918" s="376" t="n">
        <f aca="false">AD918-AE918</f>
        <v>0.00536</v>
      </c>
      <c r="AG918" s="377" t="n">
        <v>0.037</v>
      </c>
      <c r="AH918" s="378" t="n">
        <v>45863</v>
      </c>
      <c r="AI918" s="379" t="n">
        <v>1</v>
      </c>
      <c r="AJ918" s="380" t="str">
        <f aca="false">IF(AG918="","N","Y")</f>
        <v>Y</v>
      </c>
      <c r="AK918" s="396" t="s">
        <v>1057</v>
      </c>
      <c r="AL918" s="397"/>
    </row>
    <row r="919" s="382" customFormat="true" ht="20.25" hidden="false" customHeight="true" outlineLevel="0" collapsed="false">
      <c r="A919" s="364" t="n">
        <v>394</v>
      </c>
      <c r="B919" s="363" t="n">
        <v>45866</v>
      </c>
      <c r="C919" s="364" t="s">
        <v>925</v>
      </c>
      <c r="D919" s="364" t="s">
        <v>1181</v>
      </c>
      <c r="E919" s="364" t="s">
        <v>987</v>
      </c>
      <c r="F919" s="364" t="s">
        <v>1163</v>
      </c>
      <c r="G919" s="365" t="n">
        <v>45866</v>
      </c>
      <c r="H919" s="365" t="n">
        <v>45897</v>
      </c>
      <c r="I919" s="364" t="n">
        <f aca="false">H919-G919</f>
        <v>31</v>
      </c>
      <c r="J919" s="366" t="n">
        <f aca="false">TRUNC(I919/30,0)</f>
        <v>1</v>
      </c>
      <c r="K919" s="395" t="s">
        <v>95</v>
      </c>
      <c r="L919" s="368" t="n">
        <v>2</v>
      </c>
      <c r="M919" s="369"/>
      <c r="N919" s="370"/>
      <c r="O919" s="366" t="s">
        <v>303</v>
      </c>
      <c r="P919" s="371" t="n">
        <v>0.0435485</v>
      </c>
      <c r="Q919" s="371"/>
      <c r="R919" s="372" t="s">
        <v>914</v>
      </c>
      <c r="S919" s="373"/>
      <c r="T919" s="372"/>
      <c r="U919" s="373"/>
      <c r="V919" s="373" t="n">
        <v>0.046539</v>
      </c>
      <c r="W919" s="373" t="n">
        <v>0.000931</v>
      </c>
      <c r="X919" s="373" t="n">
        <v>0.002832</v>
      </c>
      <c r="Y919" s="373" t="n">
        <v>0.037977</v>
      </c>
      <c r="Z919" s="373" t="n">
        <v>0.00172</v>
      </c>
      <c r="AA919" s="373" t="n">
        <v>0.002</v>
      </c>
      <c r="AB919" s="374" t="n">
        <f aca="false">S919-Z919</f>
        <v>-0.00172</v>
      </c>
      <c r="AC919" s="374" t="n">
        <f aca="false">U919-Z919-AA919</f>
        <v>-0.00372</v>
      </c>
      <c r="AD919" s="375" t="n">
        <v>0.041</v>
      </c>
      <c r="AE919" s="373" t="n">
        <v>0.037977</v>
      </c>
      <c r="AF919" s="376" t="n">
        <f aca="false">AD919-AE919</f>
        <v>0.00302300000000001</v>
      </c>
      <c r="AG919" s="377" t="n">
        <v>0.041</v>
      </c>
      <c r="AH919" s="378" t="n">
        <v>45866</v>
      </c>
      <c r="AI919" s="379" t="n">
        <v>2</v>
      </c>
      <c r="AJ919" s="380" t="str">
        <f aca="false">IF(AG919="","N","Y")</f>
        <v>Y</v>
      </c>
      <c r="AK919" s="396" t="s">
        <v>1097</v>
      </c>
      <c r="AL919" s="397"/>
    </row>
    <row r="920" s="382" customFormat="true" ht="20.25" hidden="false" customHeight="true" outlineLevel="0" collapsed="false">
      <c r="A920" s="364" t="n">
        <v>395</v>
      </c>
      <c r="B920" s="363" t="n">
        <v>45866</v>
      </c>
      <c r="C920" s="364" t="s">
        <v>103</v>
      </c>
      <c r="D920" s="364" t="s">
        <v>1146</v>
      </c>
      <c r="E920" s="364" t="s">
        <v>1147</v>
      </c>
      <c r="F920" s="364" t="s">
        <v>1158</v>
      </c>
      <c r="G920" s="365" t="n">
        <v>45866</v>
      </c>
      <c r="H920" s="365" t="n">
        <v>45897</v>
      </c>
      <c r="I920" s="364" t="n">
        <f aca="false">H920-G920</f>
        <v>31</v>
      </c>
      <c r="J920" s="366" t="n">
        <f aca="false">TRUNC(I920/30,0)</f>
        <v>1</v>
      </c>
      <c r="K920" s="395" t="s">
        <v>95</v>
      </c>
      <c r="L920" s="368" t="n">
        <v>2</v>
      </c>
      <c r="M920" s="369"/>
      <c r="N920" s="370"/>
      <c r="O920" s="366" t="s">
        <v>303</v>
      </c>
      <c r="P920" s="371" t="n">
        <v>0.0435485</v>
      </c>
      <c r="Q920" s="371"/>
      <c r="R920" s="372" t="s">
        <v>914</v>
      </c>
      <c r="S920" s="373"/>
      <c r="T920" s="372"/>
      <c r="U920" s="373"/>
      <c r="V920" s="373" t="n">
        <v>0.046539</v>
      </c>
      <c r="W920" s="373" t="n">
        <v>0.000931</v>
      </c>
      <c r="X920" s="373" t="n">
        <v>0.002832</v>
      </c>
      <c r="Y920" s="373" t="n">
        <v>0.037977</v>
      </c>
      <c r="Z920" s="373" t="n">
        <v>0.00172</v>
      </c>
      <c r="AA920" s="373" t="n">
        <v>0.002</v>
      </c>
      <c r="AB920" s="374" t="n">
        <f aca="false">S920-Z920</f>
        <v>-0.00172</v>
      </c>
      <c r="AC920" s="374" t="n">
        <f aca="false">U920-Z920-AA920</f>
        <v>-0.00372</v>
      </c>
      <c r="AD920" s="375" t="n">
        <v>0.041</v>
      </c>
      <c r="AE920" s="373" t="n">
        <v>0.037977</v>
      </c>
      <c r="AF920" s="376" t="n">
        <f aca="false">AD920-AE920</f>
        <v>0.00302300000000001</v>
      </c>
      <c r="AG920" s="377" t="n">
        <v>0.041</v>
      </c>
      <c r="AH920" s="378" t="n">
        <v>45866</v>
      </c>
      <c r="AI920" s="379" t="n">
        <v>3</v>
      </c>
      <c r="AJ920" s="380" t="str">
        <f aca="false">IF(AG920="","N","Y")</f>
        <v>Y</v>
      </c>
      <c r="AK920" s="396" t="s">
        <v>1097</v>
      </c>
      <c r="AL920" s="397"/>
    </row>
    <row r="921" s="382" customFormat="true" ht="20.25" hidden="false" customHeight="true" outlineLevel="0" collapsed="false">
      <c r="A921" s="364" t="n">
        <v>396</v>
      </c>
      <c r="B921" s="363" t="n">
        <v>45867</v>
      </c>
      <c r="C921" s="364" t="s">
        <v>1104</v>
      </c>
      <c r="D921" s="364" t="s">
        <v>1105</v>
      </c>
      <c r="E921" s="364" t="s">
        <v>1106</v>
      </c>
      <c r="F921" s="364" t="s">
        <v>1107</v>
      </c>
      <c r="G921" s="365" t="n">
        <v>45866</v>
      </c>
      <c r="H921" s="365" t="n">
        <v>45897</v>
      </c>
      <c r="I921" s="364" t="n">
        <f aca="false">H921-G921</f>
        <v>31</v>
      </c>
      <c r="J921" s="366" t="n">
        <f aca="false">TRUNC(I921/30,0)</f>
        <v>1</v>
      </c>
      <c r="K921" s="367" t="s">
        <v>99</v>
      </c>
      <c r="L921" s="368" t="n">
        <v>9</v>
      </c>
      <c r="M921" s="369"/>
      <c r="N921" s="370"/>
      <c r="O921" s="366" t="s">
        <v>303</v>
      </c>
      <c r="P921" s="371" t="n">
        <v>0.0435814</v>
      </c>
      <c r="Q921" s="371"/>
      <c r="R921" s="372" t="s">
        <v>914</v>
      </c>
      <c r="S921" s="373"/>
      <c r="T921" s="372"/>
      <c r="U921" s="373"/>
      <c r="V921" s="373" t="n">
        <v>0.047106</v>
      </c>
      <c r="W921" s="373" t="n">
        <v>0.003297</v>
      </c>
      <c r="X921" s="373" t="n">
        <v>0.005033</v>
      </c>
      <c r="Y921" s="373" t="n">
        <v>0.032244</v>
      </c>
      <c r="Z921" s="373" t="n">
        <v>0.00172</v>
      </c>
      <c r="AA921" s="373" t="n">
        <v>0.002</v>
      </c>
      <c r="AB921" s="374" t="n">
        <f aca="false">S921-Z921</f>
        <v>-0.00172</v>
      </c>
      <c r="AC921" s="374" t="n">
        <f aca="false">U921-Z921-AA921</f>
        <v>-0.00372</v>
      </c>
      <c r="AD921" s="375" t="n">
        <v>0.037</v>
      </c>
      <c r="AE921" s="376" t="n">
        <v>0.032244</v>
      </c>
      <c r="AF921" s="376" t="n">
        <f aca="false">AD921-AE921</f>
        <v>0.004756</v>
      </c>
      <c r="AG921" s="377" t="n">
        <v>0.037</v>
      </c>
      <c r="AH921" s="378" t="n">
        <v>45867</v>
      </c>
      <c r="AI921" s="379" t="n">
        <v>1</v>
      </c>
      <c r="AJ921" s="380" t="str">
        <f aca="false">IF(AG921="","N","Y")</f>
        <v>Y</v>
      </c>
      <c r="AK921" s="396" t="s">
        <v>1057</v>
      </c>
      <c r="AL921" s="397"/>
    </row>
    <row r="922" s="382" customFormat="true" ht="20.25" hidden="false" customHeight="true" outlineLevel="0" collapsed="false">
      <c r="A922" s="364" t="n">
        <v>397</v>
      </c>
      <c r="B922" s="363" t="n">
        <v>45868</v>
      </c>
      <c r="C922" s="364" t="s">
        <v>925</v>
      </c>
      <c r="D922" s="364" t="s">
        <v>1073</v>
      </c>
      <c r="E922" s="364" t="s">
        <v>1074</v>
      </c>
      <c r="F922" s="364" t="s">
        <v>1075</v>
      </c>
      <c r="G922" s="365" t="n">
        <v>45868</v>
      </c>
      <c r="H922" s="365" t="n">
        <v>45901</v>
      </c>
      <c r="I922" s="364" t="n">
        <f aca="false">H922-G922</f>
        <v>33</v>
      </c>
      <c r="J922" s="366" t="n">
        <f aca="false">TRUNC(I922/30,0)</f>
        <v>1</v>
      </c>
      <c r="K922" s="395" t="s">
        <v>95</v>
      </c>
      <c r="L922" s="368" t="n">
        <v>3</v>
      </c>
      <c r="M922" s="369"/>
      <c r="N922" s="370" t="s">
        <v>1124</v>
      </c>
      <c r="O922" s="366" t="s">
        <v>303</v>
      </c>
      <c r="P922" s="371" t="n">
        <v>0.0435624</v>
      </c>
      <c r="Q922" s="371"/>
      <c r="R922" s="372" t="s">
        <v>914</v>
      </c>
      <c r="S922" s="373"/>
      <c r="T922" s="372"/>
      <c r="U922" s="373"/>
      <c r="V922" s="373" t="n">
        <v>0.046591</v>
      </c>
      <c r="W922" s="373" t="n">
        <v>0.000932</v>
      </c>
      <c r="X922" s="373" t="n">
        <v>0.002883</v>
      </c>
      <c r="Y922" s="373" t="n">
        <v>0.037991</v>
      </c>
      <c r="Z922" s="373" t="n">
        <v>0.00172</v>
      </c>
      <c r="AA922" s="373" t="n">
        <v>0.002</v>
      </c>
      <c r="AB922" s="374" t="n">
        <f aca="false">S922-Z922</f>
        <v>-0.00172</v>
      </c>
      <c r="AC922" s="374" t="n">
        <f aca="false">U922-Z922-AA922</f>
        <v>-0.00372</v>
      </c>
      <c r="AD922" s="375" t="n">
        <v>0.041</v>
      </c>
      <c r="AE922" s="376" t="n">
        <v>0.037991</v>
      </c>
      <c r="AF922" s="376" t="n">
        <f aca="false">AD922-AE922</f>
        <v>0.003009</v>
      </c>
      <c r="AG922" s="377" t="n">
        <v>0.041</v>
      </c>
      <c r="AH922" s="378" t="n">
        <v>45869</v>
      </c>
      <c r="AI922" s="379" t="n">
        <v>2</v>
      </c>
      <c r="AJ922" s="380" t="str">
        <f aca="false">IF(AG922="","N","Y")</f>
        <v>Y</v>
      </c>
      <c r="AK922" s="396" t="s">
        <v>1182</v>
      </c>
      <c r="AL922" s="397"/>
    </row>
    <row r="923" s="382" customFormat="true" ht="20.25" hidden="false" customHeight="true" outlineLevel="0" collapsed="false">
      <c r="A923" s="364" t="n">
        <v>398</v>
      </c>
      <c r="B923" s="363" t="n">
        <v>45868</v>
      </c>
      <c r="C923" s="364" t="s">
        <v>925</v>
      </c>
      <c r="D923" s="364" t="s">
        <v>1073</v>
      </c>
      <c r="E923" s="364" t="s">
        <v>1074</v>
      </c>
      <c r="F923" s="364" t="s">
        <v>1075</v>
      </c>
      <c r="G923" s="365" t="n">
        <v>45868</v>
      </c>
      <c r="H923" s="365" t="n">
        <v>45901</v>
      </c>
      <c r="I923" s="364" t="n">
        <f aca="false">H923-G923</f>
        <v>33</v>
      </c>
      <c r="J923" s="366" t="n">
        <f aca="false">TRUNC(I923/30,0)</f>
        <v>1</v>
      </c>
      <c r="K923" s="395" t="s">
        <v>95</v>
      </c>
      <c r="L923" s="368" t="n">
        <v>1</v>
      </c>
      <c r="M923" s="369"/>
      <c r="N923" s="370" t="s">
        <v>1124</v>
      </c>
      <c r="O923" s="366" t="s">
        <v>303</v>
      </c>
      <c r="P923" s="371" t="n">
        <v>0.0435624</v>
      </c>
      <c r="Q923" s="371"/>
      <c r="R923" s="372" t="s">
        <v>914</v>
      </c>
      <c r="S923" s="373"/>
      <c r="T923" s="372"/>
      <c r="U923" s="373"/>
      <c r="V923" s="373" t="n">
        <v>0.046591</v>
      </c>
      <c r="W923" s="373" t="n">
        <v>0.000932</v>
      </c>
      <c r="X923" s="373" t="n">
        <v>0.002883</v>
      </c>
      <c r="Y923" s="373" t="n">
        <v>0.037991</v>
      </c>
      <c r="Z923" s="373" t="n">
        <v>0.00172</v>
      </c>
      <c r="AA923" s="373" t="n">
        <v>0.002</v>
      </c>
      <c r="AB923" s="374" t="n">
        <f aca="false">S923-Z923</f>
        <v>-0.00172</v>
      </c>
      <c r="AC923" s="374" t="n">
        <f aca="false">U923-Z923-AA923</f>
        <v>-0.00372</v>
      </c>
      <c r="AD923" s="375" t="n">
        <v>0.041</v>
      </c>
      <c r="AE923" s="376" t="n">
        <v>0.037991</v>
      </c>
      <c r="AF923" s="376" t="n">
        <f aca="false">AD923-AE923</f>
        <v>0.003009</v>
      </c>
      <c r="AG923" s="377" t="n">
        <v>0.041</v>
      </c>
      <c r="AH923" s="378" t="n">
        <v>45869</v>
      </c>
      <c r="AI923" s="379" t="n">
        <v>2</v>
      </c>
      <c r="AJ923" s="380" t="str">
        <f aca="false">IF(AG923="","N","Y")</f>
        <v>Y</v>
      </c>
      <c r="AK923" s="396" t="s">
        <v>1182</v>
      </c>
      <c r="AL923" s="397"/>
    </row>
    <row r="924" s="382" customFormat="true" ht="20.25" hidden="false" customHeight="true" outlineLevel="0" collapsed="false">
      <c r="A924" s="364" t="n">
        <v>399</v>
      </c>
      <c r="B924" s="363" t="n">
        <v>45869</v>
      </c>
      <c r="C924" s="364" t="s">
        <v>1149</v>
      </c>
      <c r="D924" s="364" t="s">
        <v>1150</v>
      </c>
      <c r="E924" s="364" t="s">
        <v>1183</v>
      </c>
      <c r="F924" s="364" t="s">
        <v>1152</v>
      </c>
      <c r="G924" s="365" t="n">
        <v>45869</v>
      </c>
      <c r="H924" s="365" t="n">
        <v>45901</v>
      </c>
      <c r="I924" s="364" t="n">
        <f aca="false">H924-G924</f>
        <v>32</v>
      </c>
      <c r="J924" s="366" t="n">
        <f aca="false">TRUNC(I924/30,0)</f>
        <v>1</v>
      </c>
      <c r="K924" s="367" t="s">
        <v>99</v>
      </c>
      <c r="L924" s="368" t="n">
        <v>1.25</v>
      </c>
      <c r="M924" s="369"/>
      <c r="N924" s="370"/>
      <c r="O924" s="366" t="s">
        <v>303</v>
      </c>
      <c r="P924" s="371" t="n">
        <v>0.0432887</v>
      </c>
      <c r="Q924" s="371"/>
      <c r="R924" s="372" t="s">
        <v>914</v>
      </c>
      <c r="S924" s="373"/>
      <c r="T924" s="372"/>
      <c r="U924" s="373"/>
      <c r="V924" s="373" t="n">
        <v>0.0471</v>
      </c>
      <c r="W924" s="373" t="n">
        <v>0.003297</v>
      </c>
      <c r="X924" s="373" t="n">
        <v>0.007027</v>
      </c>
      <c r="Y924" s="373" t="n">
        <v>0.032235</v>
      </c>
      <c r="Z924" s="373" t="n">
        <v>0.00172</v>
      </c>
      <c r="AA924" s="373" t="n">
        <v>0.002</v>
      </c>
      <c r="AB924" s="374" t="n">
        <f aca="false">S924-Z924</f>
        <v>-0.00172</v>
      </c>
      <c r="AC924" s="374" t="n">
        <f aca="false">U924-Z924-AA924</f>
        <v>-0.00372</v>
      </c>
      <c r="AD924" s="375" t="n">
        <v>0.035</v>
      </c>
      <c r="AE924" s="373" t="n">
        <v>0.032235</v>
      </c>
      <c r="AF924" s="376" t="n">
        <f aca="false">AD924-AE924</f>
        <v>0.002765</v>
      </c>
      <c r="AG924" s="377" t="n">
        <v>0.035</v>
      </c>
      <c r="AH924" s="378" t="n">
        <v>45869</v>
      </c>
      <c r="AI924" s="379" t="n">
        <v>1</v>
      </c>
      <c r="AJ924" s="380" t="str">
        <f aca="false">IF(AG924="","N","Y")</f>
        <v>Y</v>
      </c>
      <c r="AK924" s="396" t="s">
        <v>1057</v>
      </c>
      <c r="AL924" s="397"/>
    </row>
    <row r="925" s="382" customFormat="true" ht="20.25" hidden="false" customHeight="true" outlineLevel="0" collapsed="false">
      <c r="A925" s="364" t="n">
        <v>400</v>
      </c>
      <c r="B925" s="363" t="n">
        <v>45870</v>
      </c>
      <c r="C925" s="364" t="s">
        <v>1184</v>
      </c>
      <c r="D925" s="364" t="s">
        <v>1185</v>
      </c>
      <c r="E925" s="364" t="s">
        <v>1186</v>
      </c>
      <c r="F925" s="364" t="s">
        <v>1187</v>
      </c>
      <c r="G925" s="365" t="n">
        <v>45870</v>
      </c>
      <c r="H925" s="365" t="n">
        <v>45901</v>
      </c>
      <c r="I925" s="364" t="n">
        <f aca="false">H925-G925</f>
        <v>31</v>
      </c>
      <c r="J925" s="366" t="n">
        <f aca="false">TRUNC(I925/30,0)</f>
        <v>1</v>
      </c>
      <c r="K925" s="367" t="s">
        <v>99</v>
      </c>
      <c r="L925" s="368" t="n">
        <v>7.86</v>
      </c>
      <c r="M925" s="369"/>
      <c r="N925" s="370"/>
      <c r="O925" s="366" t="s">
        <v>303</v>
      </c>
      <c r="P925" s="371" t="n">
        <v>0.0435118</v>
      </c>
      <c r="Q925" s="371"/>
      <c r="R925" s="372" t="s">
        <v>914</v>
      </c>
      <c r="S925" s="373"/>
      <c r="T925" s="372"/>
      <c r="U925" s="373"/>
      <c r="V925" s="373" t="n">
        <v>0.047008</v>
      </c>
      <c r="W925" s="373" t="n">
        <v>0.003291</v>
      </c>
      <c r="X925" s="373" t="n">
        <v>0.006441</v>
      </c>
      <c r="Y925" s="373" t="n">
        <v>0.031935</v>
      </c>
      <c r="Z925" s="373" t="n">
        <v>0.00172</v>
      </c>
      <c r="AA925" s="373" t="n">
        <v>0.002</v>
      </c>
      <c r="AB925" s="374" t="n">
        <f aca="false">S925-Z925</f>
        <v>-0.00172</v>
      </c>
      <c r="AC925" s="374" t="n">
        <f aca="false">U925-Z925-AA925</f>
        <v>-0.00372</v>
      </c>
      <c r="AD925" s="375" t="n">
        <v>0.0355</v>
      </c>
      <c r="AE925" s="373" t="n">
        <v>0.031935</v>
      </c>
      <c r="AF925" s="376" t="n">
        <f aca="false">AD925-AE925</f>
        <v>0.003565</v>
      </c>
      <c r="AG925" s="377" t="n">
        <v>0.0355</v>
      </c>
      <c r="AH925" s="378" t="n">
        <v>45870</v>
      </c>
      <c r="AI925" s="379" t="n">
        <v>1</v>
      </c>
      <c r="AJ925" s="380" t="str">
        <f aca="false">IF(AG925="","N","Y")</f>
        <v>Y</v>
      </c>
      <c r="AK925" s="396" t="s">
        <v>1057</v>
      </c>
      <c r="AL925" s="397"/>
    </row>
    <row r="926" s="382" customFormat="true" ht="20.25" hidden="false" customHeight="true" outlineLevel="0" collapsed="false">
      <c r="A926" s="364" t="n">
        <v>401</v>
      </c>
      <c r="B926" s="363" t="n">
        <v>45873</v>
      </c>
      <c r="C926" s="364" t="s">
        <v>209</v>
      </c>
      <c r="D926" s="364" t="s">
        <v>1178</v>
      </c>
      <c r="E926" s="364" t="s">
        <v>1186</v>
      </c>
      <c r="F926" s="364" t="s">
        <v>1188</v>
      </c>
      <c r="G926" s="365" t="n">
        <v>45873</v>
      </c>
      <c r="H926" s="365" t="n">
        <v>45965</v>
      </c>
      <c r="I926" s="364" t="n">
        <f aca="false">H926-G926</f>
        <v>92</v>
      </c>
      <c r="J926" s="366" t="n">
        <f aca="false">TRUNC(I926/30,0)</f>
        <v>3</v>
      </c>
      <c r="K926" s="395" t="s">
        <v>1189</v>
      </c>
      <c r="L926" s="368" t="n">
        <v>2.13</v>
      </c>
      <c r="M926" s="369"/>
      <c r="N926" s="370"/>
      <c r="O926" s="366" t="s">
        <v>300</v>
      </c>
      <c r="P926" s="371" t="n">
        <v>0.0432123</v>
      </c>
      <c r="Q926" s="371"/>
      <c r="R926" s="372" t="s">
        <v>914</v>
      </c>
      <c r="S926" s="373"/>
      <c r="T926" s="372"/>
      <c r="U926" s="373"/>
      <c r="V926" s="373" t="n">
        <v>0.0475</v>
      </c>
      <c r="W926" s="373" t="n">
        <v>0.00095</v>
      </c>
      <c r="X926" s="373" t="n">
        <v>0.002774</v>
      </c>
      <c r="Y926" s="373" t="n">
        <v>0.038348</v>
      </c>
      <c r="Z926" s="373" t="n">
        <v>0.00172</v>
      </c>
      <c r="AA926" s="373" t="n">
        <v>0.002</v>
      </c>
      <c r="AB926" s="374" t="n">
        <f aca="false">S926-Z926</f>
        <v>-0.00172</v>
      </c>
      <c r="AC926" s="374" t="n">
        <f aca="false">U926-Z926-AA926</f>
        <v>-0.00372</v>
      </c>
      <c r="AD926" s="375" t="n">
        <v>0.042</v>
      </c>
      <c r="AE926" s="373" t="n">
        <v>0.038348</v>
      </c>
      <c r="AF926" s="376" t="n">
        <f aca="false">AD926-AE926</f>
        <v>0.003652</v>
      </c>
      <c r="AG926" s="377" t="n">
        <v>0.042</v>
      </c>
      <c r="AH926" s="378" t="n">
        <v>45873</v>
      </c>
      <c r="AI926" s="379" t="n">
        <v>1</v>
      </c>
      <c r="AJ926" s="380" t="str">
        <f aca="false">IF(AG926="","N","Y")</f>
        <v>Y</v>
      </c>
      <c r="AK926" s="396" t="s">
        <v>1190</v>
      </c>
      <c r="AL926" s="397"/>
    </row>
    <row r="927" s="220" customFormat="true" ht="20.25" hidden="false" customHeight="true" outlineLevel="0" collapsed="false">
      <c r="A927" s="364" t="n">
        <v>402</v>
      </c>
      <c r="B927" s="363" t="n">
        <v>45877</v>
      </c>
      <c r="C927" s="364" t="s">
        <v>1133</v>
      </c>
      <c r="D927" s="364" t="s">
        <v>1134</v>
      </c>
      <c r="E927" s="364" t="s">
        <v>1191</v>
      </c>
      <c r="F927" s="364" t="s">
        <v>1136</v>
      </c>
      <c r="G927" s="365" t="n">
        <v>45877</v>
      </c>
      <c r="H927" s="365" t="n">
        <v>45971</v>
      </c>
      <c r="I927" s="364" t="n">
        <f aca="false">H927-G927</f>
        <v>94</v>
      </c>
      <c r="J927" s="366" t="n">
        <f aca="false">TRUNC(I927/30,0)</f>
        <v>3</v>
      </c>
      <c r="K927" s="395" t="s">
        <v>95</v>
      </c>
      <c r="L927" s="368" t="n">
        <v>2.01</v>
      </c>
      <c r="M927" s="369"/>
      <c r="N927" s="370"/>
      <c r="O927" s="366" t="s">
        <v>300</v>
      </c>
      <c r="P927" s="371" t="n">
        <v>0.04226</v>
      </c>
      <c r="Q927" s="371"/>
      <c r="R927" s="372" t="s">
        <v>914</v>
      </c>
      <c r="S927" s="373"/>
      <c r="T927" s="372"/>
      <c r="U927" s="373"/>
      <c r="V927" s="373" t="n">
        <v>0.046834</v>
      </c>
      <c r="W927" s="373" t="n">
        <v>0.000937</v>
      </c>
      <c r="X927" s="373" t="n">
        <v>0.002621</v>
      </c>
      <c r="Y927" s="373" t="n">
        <v>0.037414</v>
      </c>
      <c r="Z927" s="373" t="n">
        <v>0.00172</v>
      </c>
      <c r="AA927" s="373" t="n">
        <v>0.002</v>
      </c>
      <c r="AB927" s="374" t="n">
        <f aca="false">S927-Z927</f>
        <v>-0.00172</v>
      </c>
      <c r="AC927" s="374" t="n">
        <f aca="false">U927-Z927-AA927</f>
        <v>-0.00372</v>
      </c>
      <c r="AD927" s="375" t="n">
        <v>0.0415</v>
      </c>
      <c r="AE927" s="373" t="n">
        <f aca="false">Y927</f>
        <v>0.037414</v>
      </c>
      <c r="AF927" s="376" t="n">
        <f aca="false">AD927-AE927</f>
        <v>0.004086</v>
      </c>
      <c r="AG927" s="377" t="n">
        <f aca="false">AD927</f>
        <v>0.0415</v>
      </c>
      <c r="AH927" s="378" t="n">
        <v>45877</v>
      </c>
      <c r="AI927" s="379" t="n">
        <v>1</v>
      </c>
      <c r="AJ927" s="380" t="str">
        <f aca="false">IF(AG927="","N","Y")</f>
        <v>Y</v>
      </c>
      <c r="AK927" s="396" t="s">
        <v>1137</v>
      </c>
      <c r="AL927" s="229"/>
    </row>
    <row r="928" s="220" customFormat="true" ht="20.25" hidden="false" customHeight="true" outlineLevel="0" collapsed="false">
      <c r="A928" s="364" t="n">
        <v>403</v>
      </c>
      <c r="B928" s="363" t="n">
        <v>45877</v>
      </c>
      <c r="C928" s="364" t="s">
        <v>1066</v>
      </c>
      <c r="D928" s="444" t="s">
        <v>932</v>
      </c>
      <c r="E928" s="364" t="s">
        <v>1067</v>
      </c>
      <c r="F928" s="364" t="s">
        <v>1192</v>
      </c>
      <c r="G928" s="365" t="n">
        <v>45877</v>
      </c>
      <c r="H928" s="365" t="n">
        <v>45908</v>
      </c>
      <c r="I928" s="364" t="n">
        <f aca="false">H928-G928</f>
        <v>31</v>
      </c>
      <c r="J928" s="366" t="n">
        <f aca="false">TRUNC(I928/30,0)</f>
        <v>1</v>
      </c>
      <c r="K928" s="367" t="s">
        <v>99</v>
      </c>
      <c r="L928" s="368" t="n">
        <v>2</v>
      </c>
      <c r="M928" s="371"/>
      <c r="N928" s="371"/>
      <c r="O928" s="366" t="s">
        <v>303</v>
      </c>
      <c r="P928" s="373" t="n">
        <v>0.0435707</v>
      </c>
      <c r="Q928" s="372"/>
      <c r="R928" s="372" t="s">
        <v>914</v>
      </c>
      <c r="S928" s="373"/>
      <c r="T928" s="373"/>
      <c r="U928" s="373"/>
      <c r="V928" s="373" t="n">
        <v>0.046683</v>
      </c>
      <c r="W928" s="373" t="n">
        <v>0.003268</v>
      </c>
      <c r="X928" s="373" t="n">
        <v>0.003139</v>
      </c>
      <c r="Y928" s="373" t="n">
        <v>0.032094</v>
      </c>
      <c r="Z928" s="373" t="n">
        <v>0.00172</v>
      </c>
      <c r="AA928" s="373" t="n">
        <v>0.002</v>
      </c>
      <c r="AB928" s="374" t="n">
        <f aca="false">S928-Z928</f>
        <v>-0.00172</v>
      </c>
      <c r="AC928" s="374" t="n">
        <f aca="false">U928-Z928-AA928</f>
        <v>-0.00372</v>
      </c>
      <c r="AD928" s="375" t="n">
        <v>0.0385</v>
      </c>
      <c r="AE928" s="373" t="n">
        <f aca="false">Y928</f>
        <v>0.032094</v>
      </c>
      <c r="AF928" s="376" t="n">
        <f aca="false">AD928-AE928</f>
        <v>0.006406</v>
      </c>
      <c r="AG928" s="377" t="n">
        <f aca="false">AD928</f>
        <v>0.0385</v>
      </c>
      <c r="AH928" s="378" t="n">
        <v>45877</v>
      </c>
      <c r="AI928" s="379" t="n">
        <v>3</v>
      </c>
      <c r="AJ928" s="380" t="str">
        <f aca="false">IF(AG928="","N","Y")</f>
        <v>Y</v>
      </c>
      <c r="AK928" s="396" t="s">
        <v>1057</v>
      </c>
      <c r="AL928" s="229"/>
    </row>
    <row r="929" s="382" customFormat="true" ht="20.25" hidden="false" customHeight="true" outlineLevel="0" collapsed="false">
      <c r="A929" s="364" t="n">
        <v>404</v>
      </c>
      <c r="B929" s="363" t="n">
        <v>45877</v>
      </c>
      <c r="C929" s="364" t="s">
        <v>1066</v>
      </c>
      <c r="D929" s="444" t="s">
        <v>932</v>
      </c>
      <c r="E929" s="364" t="s">
        <v>970</v>
      </c>
      <c r="F929" s="364" t="s">
        <v>864</v>
      </c>
      <c r="G929" s="365" t="n">
        <v>45877</v>
      </c>
      <c r="H929" s="365" t="n">
        <v>45908</v>
      </c>
      <c r="I929" s="364" t="n">
        <f aca="false">H929-G929</f>
        <v>31</v>
      </c>
      <c r="J929" s="366" t="n">
        <f aca="false">TRUNC(I929/30,0)</f>
        <v>1</v>
      </c>
      <c r="K929" s="367" t="s">
        <v>99</v>
      </c>
      <c r="L929" s="368" t="n">
        <v>1.5</v>
      </c>
      <c r="M929" s="369"/>
      <c r="N929" s="370"/>
      <c r="O929" s="366" t="s">
        <v>303</v>
      </c>
      <c r="P929" s="373" t="n">
        <v>0.0435707</v>
      </c>
      <c r="Q929" s="371"/>
      <c r="R929" s="372" t="s">
        <v>914</v>
      </c>
      <c r="S929" s="373"/>
      <c r="T929" s="372"/>
      <c r="U929" s="373"/>
      <c r="V929" s="373" t="n">
        <v>0.046683</v>
      </c>
      <c r="W929" s="373" t="n">
        <v>0.003268</v>
      </c>
      <c r="X929" s="373" t="n">
        <v>0.004139</v>
      </c>
      <c r="Y929" s="373" t="n">
        <v>0.032094</v>
      </c>
      <c r="Z929" s="373" t="n">
        <v>0.00172</v>
      </c>
      <c r="AA929" s="373" t="n">
        <v>0.002</v>
      </c>
      <c r="AB929" s="374" t="n">
        <f aca="false">S929-Z929</f>
        <v>-0.00172</v>
      </c>
      <c r="AC929" s="374" t="n">
        <f aca="false">U929-Z929-AA929</f>
        <v>-0.00372</v>
      </c>
      <c r="AD929" s="375" t="n">
        <v>0.0375</v>
      </c>
      <c r="AE929" s="373" t="n">
        <f aca="false">Y929</f>
        <v>0.032094</v>
      </c>
      <c r="AF929" s="376" t="n">
        <f aca="false">AD929-AE929</f>
        <v>0.005406</v>
      </c>
      <c r="AG929" s="377" t="n">
        <f aca="false">AD929</f>
        <v>0.0375</v>
      </c>
      <c r="AH929" s="378" t="n">
        <v>45877</v>
      </c>
      <c r="AI929" s="379" t="n">
        <v>4</v>
      </c>
      <c r="AJ929" s="380" t="str">
        <f aca="false">IF(AG929="","N","Y")</f>
        <v>Y</v>
      </c>
      <c r="AK929" s="396" t="s">
        <v>1057</v>
      </c>
      <c r="AL929" s="397"/>
    </row>
    <row r="930" s="38" customFormat="true" ht="20.25" hidden="false" customHeight="true" outlineLevel="0" collapsed="false">
      <c r="A930" s="19" t="n">
        <v>405</v>
      </c>
      <c r="B930" s="141" t="n">
        <v>45880</v>
      </c>
      <c r="C930" s="63" t="s">
        <v>209</v>
      </c>
      <c r="D930" s="63" t="s">
        <v>1054</v>
      </c>
      <c r="E930" s="63" t="s">
        <v>1055</v>
      </c>
      <c r="F930" s="63" t="s">
        <v>697</v>
      </c>
      <c r="G930" s="142" t="n">
        <v>45880</v>
      </c>
      <c r="H930" s="142" t="n">
        <v>45911</v>
      </c>
      <c r="I930" s="19" t="n">
        <f aca="false">H930-G930</f>
        <v>31</v>
      </c>
      <c r="J930" s="149" t="n">
        <f aca="false">TRUNC(I930/30,0)</f>
        <v>1</v>
      </c>
      <c r="K930" s="183" t="s">
        <v>95</v>
      </c>
      <c r="L930" s="146" t="n">
        <v>11.07</v>
      </c>
      <c r="M930" s="147"/>
      <c r="N930" s="148"/>
      <c r="O930" s="149" t="s">
        <v>303</v>
      </c>
      <c r="P930" s="150" t="n">
        <v>0.0436116</v>
      </c>
      <c r="Q930" s="150"/>
      <c r="R930" s="151" t="s">
        <v>914</v>
      </c>
      <c r="S930" s="152"/>
      <c r="T930" s="151"/>
      <c r="U930" s="152"/>
      <c r="V930" s="152" t="n">
        <v>0.046573</v>
      </c>
      <c r="W930" s="152" t="n">
        <v>0.000931</v>
      </c>
      <c r="X930" s="152" t="n">
        <v>0.003666</v>
      </c>
      <c r="Y930" s="152" t="n">
        <v>0.038039</v>
      </c>
      <c r="Z930" s="152" t="n">
        <v>0.00172</v>
      </c>
      <c r="AA930" s="152" t="n">
        <v>0.002</v>
      </c>
      <c r="AB930" s="154" t="n">
        <f aca="false">S930-Z930</f>
        <v>-0.00172</v>
      </c>
      <c r="AC930" s="154" t="n">
        <f aca="false">U930-Z930-AA930</f>
        <v>-0.00372</v>
      </c>
      <c r="AD930" s="155" t="n">
        <v>0.0402</v>
      </c>
      <c r="AE930" s="153" t="n">
        <v>0.038039</v>
      </c>
      <c r="AF930" s="153" t="n">
        <f aca="false">AD930-AE930</f>
        <v>0.002161</v>
      </c>
      <c r="AG930" s="184" t="n">
        <v>0.0402</v>
      </c>
      <c r="AH930" s="185" t="n">
        <v>45880</v>
      </c>
      <c r="AI930" s="35" t="n">
        <v>1</v>
      </c>
      <c r="AJ930" s="19" t="str">
        <f aca="false">IF(AG930="","N","Y")</f>
        <v>Y</v>
      </c>
      <c r="AK930" s="159" t="s">
        <v>1193</v>
      </c>
      <c r="AL930" s="36"/>
    </row>
    <row r="931" s="442" customFormat="true" ht="20.25" hidden="false" customHeight="true" outlineLevel="0" collapsed="false">
      <c r="A931" s="19" t="n">
        <v>406</v>
      </c>
      <c r="B931" s="141" t="n">
        <v>45880</v>
      </c>
      <c r="C931" s="63" t="s">
        <v>209</v>
      </c>
      <c r="D931" s="63" t="s">
        <v>1054</v>
      </c>
      <c r="E931" s="63" t="s">
        <v>1055</v>
      </c>
      <c r="F931" s="63" t="s">
        <v>697</v>
      </c>
      <c r="G931" s="142" t="n">
        <v>45880</v>
      </c>
      <c r="H931" s="142" t="n">
        <v>45911</v>
      </c>
      <c r="I931" s="19" t="n">
        <f aca="false">H931-G931</f>
        <v>31</v>
      </c>
      <c r="J931" s="149" t="n">
        <f aca="false">TRUNC(I931/30,0)</f>
        <v>1</v>
      </c>
      <c r="K931" s="189" t="s">
        <v>99</v>
      </c>
      <c r="L931" s="146" t="n">
        <v>11</v>
      </c>
      <c r="M931" s="147"/>
      <c r="N931" s="148"/>
      <c r="O931" s="149" t="s">
        <v>303</v>
      </c>
      <c r="P931" s="150" t="n">
        <v>0.0436116</v>
      </c>
      <c r="Q931" s="150"/>
      <c r="R931" s="151" t="s">
        <v>914</v>
      </c>
      <c r="S931" s="152"/>
      <c r="T931" s="151"/>
      <c r="U931" s="152"/>
      <c r="V931" s="152" t="n">
        <v>0.046667</v>
      </c>
      <c r="W931" s="152" t="n">
        <v>0.003267</v>
      </c>
      <c r="X931" s="152" t="n">
        <v>0.005624</v>
      </c>
      <c r="Y931" s="152" t="n">
        <v>0.032176</v>
      </c>
      <c r="Z931" s="152" t="n">
        <v>0.00172</v>
      </c>
      <c r="AA931" s="152" t="n">
        <v>0.002</v>
      </c>
      <c r="AB931" s="154" t="n">
        <f aca="false">S931-Z931</f>
        <v>-0.00172</v>
      </c>
      <c r="AC931" s="154" t="n">
        <f aca="false">U931-Z931-AA931</f>
        <v>-0.00372</v>
      </c>
      <c r="AD931" s="155" t="n">
        <v>0.036</v>
      </c>
      <c r="AE931" s="153" t="n">
        <v>0.032176</v>
      </c>
      <c r="AF931" s="153" t="n">
        <f aca="false">AD931-AE931</f>
        <v>0.00382399999999999</v>
      </c>
      <c r="AG931" s="184" t="n">
        <v>0.036</v>
      </c>
      <c r="AH931" s="185" t="n">
        <v>45880</v>
      </c>
      <c r="AI931" s="35" t="n">
        <v>2</v>
      </c>
      <c r="AJ931" s="19" t="str">
        <f aca="false">IF(AG931="","N","Y")</f>
        <v>Y</v>
      </c>
      <c r="AK931" s="159" t="s">
        <v>1057</v>
      </c>
      <c r="AL931" s="441"/>
    </row>
    <row r="932" s="38" customFormat="true" ht="20.25" hidden="false" customHeight="true" outlineLevel="0" collapsed="false">
      <c r="A932" s="19" t="n">
        <v>407</v>
      </c>
      <c r="B932" s="141" t="n">
        <v>45880</v>
      </c>
      <c r="C932" s="63" t="s">
        <v>644</v>
      </c>
      <c r="D932" s="63" t="s">
        <v>1112</v>
      </c>
      <c r="E932" s="63" t="s">
        <v>492</v>
      </c>
      <c r="F932" s="63" t="s">
        <v>880</v>
      </c>
      <c r="G932" s="142" t="n">
        <v>45880</v>
      </c>
      <c r="H932" s="142" t="n">
        <v>45911</v>
      </c>
      <c r="I932" s="19" t="n">
        <f aca="false">H932-G932</f>
        <v>31</v>
      </c>
      <c r="J932" s="149" t="n">
        <f aca="false">TRUNC(I932/30,0)</f>
        <v>1</v>
      </c>
      <c r="K932" s="189" t="s">
        <v>99</v>
      </c>
      <c r="L932" s="146" t="n">
        <v>6.56</v>
      </c>
      <c r="M932" s="147"/>
      <c r="N932" s="148"/>
      <c r="O932" s="149" t="s">
        <v>303</v>
      </c>
      <c r="P932" s="150" t="n">
        <v>0.0436116</v>
      </c>
      <c r="Q932" s="150"/>
      <c r="R932" s="151" t="s">
        <v>914</v>
      </c>
      <c r="S932" s="152"/>
      <c r="T932" s="151"/>
      <c r="U932" s="152"/>
      <c r="V932" s="152" t="n">
        <v>0.046667</v>
      </c>
      <c r="W932" s="152" t="n">
        <v>0.003267</v>
      </c>
      <c r="X932" s="152" t="n">
        <v>0.004124</v>
      </c>
      <c r="Y932" s="152" t="n">
        <v>0.032176</v>
      </c>
      <c r="Z932" s="152" t="n">
        <v>0.00172</v>
      </c>
      <c r="AA932" s="152" t="n">
        <v>0.002</v>
      </c>
      <c r="AB932" s="154" t="n">
        <f aca="false">S932-Z932</f>
        <v>-0.00172</v>
      </c>
      <c r="AC932" s="154" t="n">
        <f aca="false">U932-Z932-AA932</f>
        <v>-0.00372</v>
      </c>
      <c r="AD932" s="155" t="n">
        <v>0.0375</v>
      </c>
      <c r="AE932" s="152" t="n">
        <v>0.032176</v>
      </c>
      <c r="AF932" s="357" t="n">
        <f aca="false">AD932-AE932</f>
        <v>0.005324</v>
      </c>
      <c r="AG932" s="184" t="n">
        <v>0.0375</v>
      </c>
      <c r="AH932" s="185" t="n">
        <v>45880</v>
      </c>
      <c r="AI932" s="35" t="n">
        <v>3</v>
      </c>
      <c r="AJ932" s="19" t="str">
        <f aca="false">IF(AG932="","N","Y")</f>
        <v>Y</v>
      </c>
      <c r="AK932" s="159" t="s">
        <v>1057</v>
      </c>
      <c r="AL932" s="36"/>
    </row>
    <row r="933" s="418" customFormat="true" ht="20.25" hidden="false" customHeight="true" outlineLevel="0" collapsed="false">
      <c r="A933" s="402" t="n">
        <v>408</v>
      </c>
      <c r="B933" s="403" t="n">
        <v>45882</v>
      </c>
      <c r="C933" s="402" t="s">
        <v>96</v>
      </c>
      <c r="D933" s="402" t="s">
        <v>1063</v>
      </c>
      <c r="E933" s="402" t="s">
        <v>1127</v>
      </c>
      <c r="F933" s="402" t="s">
        <v>662</v>
      </c>
      <c r="G933" s="404" t="n">
        <v>45882</v>
      </c>
      <c r="H933" s="404" t="n">
        <v>45915</v>
      </c>
      <c r="I933" s="402" t="n">
        <f aca="false">H933-G933</f>
        <v>33</v>
      </c>
      <c r="J933" s="405" t="n">
        <f aca="false">TRUNC(I933/30,0)</f>
        <v>1</v>
      </c>
      <c r="K933" s="406" t="s">
        <v>95</v>
      </c>
      <c r="L933" s="407" t="n">
        <v>10</v>
      </c>
      <c r="M933" s="408"/>
      <c r="N933" s="409"/>
      <c r="O933" s="405" t="s">
        <v>303</v>
      </c>
      <c r="P933" s="410" t="n">
        <v>0.0436576</v>
      </c>
      <c r="Q933" s="410"/>
      <c r="R933" s="411" t="s">
        <v>914</v>
      </c>
      <c r="S933" s="412"/>
      <c r="T933" s="411"/>
      <c r="U933" s="412"/>
      <c r="V933" s="412" t="n">
        <v>0.045341</v>
      </c>
      <c r="W933" s="412" t="n">
        <v>0.000907</v>
      </c>
      <c r="X933" s="412" t="n">
        <v>0.003658</v>
      </c>
      <c r="Y933" s="412" t="n">
        <v>0.038084</v>
      </c>
      <c r="Z933" s="412" t="n">
        <v>0.00172</v>
      </c>
      <c r="AA933" s="412" t="n">
        <v>0.002</v>
      </c>
      <c r="AB933" s="412" t="n">
        <f aca="false">S933-Z933</f>
        <v>-0.00172</v>
      </c>
      <c r="AC933" s="412" t="n">
        <f aca="false">U933-Z933-AA933</f>
        <v>-0.00372</v>
      </c>
      <c r="AD933" s="413" t="n">
        <v>0.0415</v>
      </c>
      <c r="AE933" s="412" t="n">
        <v>0.038084</v>
      </c>
      <c r="AF933" s="412" t="n">
        <v>0.003416</v>
      </c>
      <c r="AG933" s="412" t="n">
        <f aca="false">IF(AF933="","",AE933+AF933)</f>
        <v>0.0415</v>
      </c>
      <c r="AH933" s="378" t="n">
        <v>45882</v>
      </c>
      <c r="AI933" s="414" t="n">
        <v>1</v>
      </c>
      <c r="AJ933" s="415" t="str">
        <f aca="false">IF(AG933="","N","Y")</f>
        <v>Y</v>
      </c>
      <c r="AK933" s="416" t="s">
        <v>1194</v>
      </c>
      <c r="AL933" s="417"/>
    </row>
    <row r="934" s="418" customFormat="true" ht="20.25" hidden="false" customHeight="true" outlineLevel="0" collapsed="false">
      <c r="A934" s="402" t="n">
        <v>409</v>
      </c>
      <c r="B934" s="403" t="n">
        <v>45882</v>
      </c>
      <c r="C934" s="402" t="s">
        <v>209</v>
      </c>
      <c r="D934" s="402" t="s">
        <v>913</v>
      </c>
      <c r="E934" s="402" t="s">
        <v>1195</v>
      </c>
      <c r="F934" s="402" t="s">
        <v>524</v>
      </c>
      <c r="G934" s="404" t="n">
        <v>45882</v>
      </c>
      <c r="H934" s="404" t="n">
        <v>45974</v>
      </c>
      <c r="I934" s="402" t="n">
        <f aca="false">H934-G934</f>
        <v>92</v>
      </c>
      <c r="J934" s="405" t="n">
        <f aca="false">TRUNC(I934/30,0)</f>
        <v>3</v>
      </c>
      <c r="K934" s="406" t="s">
        <v>95</v>
      </c>
      <c r="L934" s="407" t="n">
        <v>1.44</v>
      </c>
      <c r="M934" s="408"/>
      <c r="N934" s="409"/>
      <c r="O934" s="405" t="s">
        <v>300</v>
      </c>
      <c r="P934" s="410" t="n">
        <v>0.042329</v>
      </c>
      <c r="Q934" s="410"/>
      <c r="R934" s="411" t="s">
        <v>914</v>
      </c>
      <c r="S934" s="412"/>
      <c r="T934" s="411"/>
      <c r="U934" s="412"/>
      <c r="V934" s="412" t="n">
        <v>0.046775</v>
      </c>
      <c r="W934" s="412" t="n">
        <v>0.000907</v>
      </c>
      <c r="X934" s="412" t="n">
        <v>0.002064</v>
      </c>
      <c r="Y934" s="412" t="n">
        <v>0.037482</v>
      </c>
      <c r="Z934" s="412" t="n">
        <v>0.00172</v>
      </c>
      <c r="AA934" s="412" t="n">
        <v>0.002</v>
      </c>
      <c r="AB934" s="412" t="n">
        <f aca="false">S934-Z934</f>
        <v>-0.00172</v>
      </c>
      <c r="AC934" s="412" t="n">
        <f aca="false">U934-Z934-AA934</f>
        <v>-0.00372</v>
      </c>
      <c r="AD934" s="413" t="n">
        <v>0.042</v>
      </c>
      <c r="AE934" s="412" t="n">
        <v>0.037482</v>
      </c>
      <c r="AF934" s="412" t="n">
        <v>0.004518</v>
      </c>
      <c r="AG934" s="412" t="n">
        <v>0.042</v>
      </c>
      <c r="AH934" s="378" t="n">
        <v>45882</v>
      </c>
      <c r="AI934" s="414" t="n">
        <v>2</v>
      </c>
      <c r="AJ934" s="415" t="str">
        <f aca="false">IF(AG934="","N","Y")</f>
        <v>Y</v>
      </c>
      <c r="AK934" s="416" t="s">
        <v>1196</v>
      </c>
      <c r="AL934" s="417"/>
    </row>
    <row r="935" s="418" customFormat="true" ht="20.25" hidden="false" customHeight="true" outlineLevel="0" collapsed="false">
      <c r="A935" s="402" t="n">
        <v>410</v>
      </c>
      <c r="B935" s="403" t="n">
        <v>45882</v>
      </c>
      <c r="C935" s="402" t="s">
        <v>209</v>
      </c>
      <c r="D935" s="402" t="s">
        <v>913</v>
      </c>
      <c r="E935" s="402" t="s">
        <v>1195</v>
      </c>
      <c r="F935" s="364" t="s">
        <v>1188</v>
      </c>
      <c r="G935" s="404" t="n">
        <v>45882</v>
      </c>
      <c r="H935" s="404" t="n">
        <v>45974</v>
      </c>
      <c r="I935" s="402" t="n">
        <f aca="false">H935-G935</f>
        <v>92</v>
      </c>
      <c r="J935" s="405" t="n">
        <f aca="false">TRUNC(I935/30,0)</f>
        <v>3</v>
      </c>
      <c r="K935" s="406" t="s">
        <v>95</v>
      </c>
      <c r="L935" s="407" t="n">
        <v>1.44</v>
      </c>
      <c r="M935" s="408"/>
      <c r="N935" s="409"/>
      <c r="O935" s="405" t="s">
        <v>300</v>
      </c>
      <c r="P935" s="410" t="n">
        <v>0.042329</v>
      </c>
      <c r="Q935" s="410"/>
      <c r="R935" s="411" t="s">
        <v>914</v>
      </c>
      <c r="S935" s="412"/>
      <c r="T935" s="411"/>
      <c r="U935" s="412"/>
      <c r="V935" s="412" t="n">
        <v>0.046775</v>
      </c>
      <c r="W935" s="412" t="n">
        <v>0.000907</v>
      </c>
      <c r="X935" s="412" t="n">
        <v>0.002064</v>
      </c>
      <c r="Y935" s="412" t="n">
        <v>0.037482</v>
      </c>
      <c r="Z935" s="412" t="n">
        <v>0.00172</v>
      </c>
      <c r="AA935" s="412" t="n">
        <v>0.002</v>
      </c>
      <c r="AB935" s="412" t="n">
        <f aca="false">S935-Z935</f>
        <v>-0.00172</v>
      </c>
      <c r="AC935" s="412" t="n">
        <f aca="false">U935-Z935-AA935</f>
        <v>-0.00372</v>
      </c>
      <c r="AD935" s="413" t="n">
        <v>0.042</v>
      </c>
      <c r="AE935" s="412" t="n">
        <v>0.037482</v>
      </c>
      <c r="AF935" s="412" t="n">
        <v>0.004518</v>
      </c>
      <c r="AG935" s="412" t="n">
        <v>0.042</v>
      </c>
      <c r="AH935" s="378" t="n">
        <v>45882</v>
      </c>
      <c r="AI935" s="414" t="n">
        <v>3</v>
      </c>
      <c r="AJ935" s="415" t="str">
        <f aca="false">IF(AG935="","N","Y")</f>
        <v>Y</v>
      </c>
      <c r="AK935" s="416" t="s">
        <v>1196</v>
      </c>
      <c r="AL935" s="417"/>
    </row>
    <row r="936" s="382" customFormat="true" ht="20.25" hidden="false" customHeight="true" outlineLevel="0" collapsed="false">
      <c r="A936" s="364" t="n">
        <v>411</v>
      </c>
      <c r="B936" s="363" t="n">
        <v>45883</v>
      </c>
      <c r="C936" s="364" t="s">
        <v>644</v>
      </c>
      <c r="D936" s="364" t="s">
        <v>1070</v>
      </c>
      <c r="E936" s="364" t="s">
        <v>1071</v>
      </c>
      <c r="F936" s="364" t="s">
        <v>1072</v>
      </c>
      <c r="G936" s="365" t="n">
        <v>45883</v>
      </c>
      <c r="H936" s="365" t="n">
        <v>45915</v>
      </c>
      <c r="I936" s="364" t="n">
        <f aca="false">H936-G936</f>
        <v>32</v>
      </c>
      <c r="J936" s="366" t="n">
        <f aca="false">TRUNC(I936/30,0)</f>
        <v>1</v>
      </c>
      <c r="K936" s="395" t="s">
        <v>95</v>
      </c>
      <c r="L936" s="368" t="n">
        <v>1.5</v>
      </c>
      <c r="M936" s="369"/>
      <c r="N936" s="370"/>
      <c r="O936" s="366" t="s">
        <v>303</v>
      </c>
      <c r="P936" s="371" t="n">
        <v>0.0434194</v>
      </c>
      <c r="Q936" s="371"/>
      <c r="R936" s="372" t="s">
        <v>914</v>
      </c>
      <c r="S936" s="373"/>
      <c r="T936" s="372"/>
      <c r="U936" s="373"/>
      <c r="V936" s="373" t="n">
        <v>0.046666</v>
      </c>
      <c r="W936" s="373" t="n">
        <v>0.000933</v>
      </c>
      <c r="X936" s="373" t="n">
        <v>0.002551</v>
      </c>
      <c r="Y936" s="373" t="n">
        <v>0.038058</v>
      </c>
      <c r="Z936" s="373" t="n">
        <v>0.00172</v>
      </c>
      <c r="AA936" s="373" t="n">
        <v>0.002</v>
      </c>
      <c r="AB936" s="374" t="n">
        <f aca="false">S936-Z936</f>
        <v>-0.00172</v>
      </c>
      <c r="AC936" s="374" t="n">
        <f aca="false">U936-Z936-AA936</f>
        <v>-0.00372</v>
      </c>
      <c r="AD936" s="375" t="n">
        <v>0.0414</v>
      </c>
      <c r="AE936" s="376" t="n">
        <v>0.038058</v>
      </c>
      <c r="AF936" s="376" t="n">
        <v>0.003342</v>
      </c>
      <c r="AG936" s="377" t="n">
        <f aca="false">IF(AF936="","",AE936+AF936)</f>
        <v>0.0414</v>
      </c>
      <c r="AH936" s="378" t="n">
        <v>45883</v>
      </c>
      <c r="AI936" s="379" t="n">
        <v>1</v>
      </c>
      <c r="AJ936" s="380" t="str">
        <f aca="false">IF(AG936="","N","Y")</f>
        <v>Y</v>
      </c>
      <c r="AK936" s="396" t="s">
        <v>1197</v>
      </c>
      <c r="AL936" s="397"/>
    </row>
    <row r="937" s="418" customFormat="true" ht="20.25" hidden="false" customHeight="true" outlineLevel="0" collapsed="false">
      <c r="A937" s="402" t="n">
        <v>412</v>
      </c>
      <c r="B937" s="403" t="n">
        <v>45883</v>
      </c>
      <c r="C937" s="402" t="s">
        <v>209</v>
      </c>
      <c r="D937" s="402" t="s">
        <v>913</v>
      </c>
      <c r="E937" s="402" t="s">
        <v>1195</v>
      </c>
      <c r="F937" s="402" t="s">
        <v>524</v>
      </c>
      <c r="G937" s="404" t="n">
        <v>45883</v>
      </c>
      <c r="H937" s="404" t="n">
        <v>45975</v>
      </c>
      <c r="I937" s="402" t="n">
        <f aca="false">H937-G937</f>
        <v>92</v>
      </c>
      <c r="J937" s="405" t="n">
        <f aca="false">TRUNC(I937/30,0)</f>
        <v>3</v>
      </c>
      <c r="K937" s="406" t="s">
        <v>95</v>
      </c>
      <c r="L937" s="407" t="n">
        <v>3.61</v>
      </c>
      <c r="M937" s="408"/>
      <c r="N937" s="409"/>
      <c r="O937" s="405" t="s">
        <v>300</v>
      </c>
      <c r="P937" s="410" t="n">
        <v>0.0421138</v>
      </c>
      <c r="Q937" s="410"/>
      <c r="R937" s="411" t="s">
        <v>914</v>
      </c>
      <c r="S937" s="412"/>
      <c r="T937" s="411"/>
      <c r="U937" s="412"/>
      <c r="V937" s="412" t="n">
        <v>0.04682</v>
      </c>
      <c r="W937" s="412" t="n">
        <v>0.000936</v>
      </c>
      <c r="X937" s="412" t="n">
        <v>0.002608</v>
      </c>
      <c r="Y937" s="412" t="n">
        <v>0.037271</v>
      </c>
      <c r="Z937" s="412" t="n">
        <v>0.00172</v>
      </c>
      <c r="AA937" s="412" t="n">
        <v>0.002</v>
      </c>
      <c r="AB937" s="412" t="n">
        <f aca="false">S937-Z937</f>
        <v>-0.00172</v>
      </c>
      <c r="AC937" s="412" t="n">
        <f aca="false">U937-Z937-AA937</f>
        <v>-0.00372</v>
      </c>
      <c r="AD937" s="413" t="n">
        <v>0.0415</v>
      </c>
      <c r="AE937" s="412" t="n">
        <v>0.037271</v>
      </c>
      <c r="AF937" s="412" t="n">
        <v>0.004229</v>
      </c>
      <c r="AG937" s="412" t="n">
        <v>0.0415</v>
      </c>
      <c r="AH937" s="378" t="n">
        <v>45883</v>
      </c>
      <c r="AI937" s="414" t="n">
        <v>2</v>
      </c>
      <c r="AJ937" s="415" t="str">
        <f aca="false">IF(AG937="","N","Y")</f>
        <v>Y</v>
      </c>
      <c r="AK937" s="416" t="s">
        <v>1196</v>
      </c>
      <c r="AL937" s="417"/>
    </row>
    <row r="938" s="382" customFormat="true" ht="20.25" hidden="false" customHeight="true" outlineLevel="0" collapsed="false">
      <c r="A938" s="364" t="n">
        <v>413</v>
      </c>
      <c r="B938" s="363" t="n">
        <v>45887</v>
      </c>
      <c r="C938" s="364" t="s">
        <v>862</v>
      </c>
      <c r="D938" s="364" t="s">
        <v>932</v>
      </c>
      <c r="E938" s="364" t="s">
        <v>1067</v>
      </c>
      <c r="F938" s="364" t="s">
        <v>906</v>
      </c>
      <c r="G938" s="365" t="n">
        <v>45887</v>
      </c>
      <c r="H938" s="365" t="n">
        <v>45918</v>
      </c>
      <c r="I938" s="364" t="n">
        <f aca="false">H938-G938</f>
        <v>31</v>
      </c>
      <c r="J938" s="366" t="n">
        <f aca="false">TRUNC(I938/30,0)</f>
        <v>1</v>
      </c>
      <c r="K938" s="367" t="s">
        <v>99</v>
      </c>
      <c r="L938" s="368" t="n">
        <v>3.7</v>
      </c>
      <c r="M938" s="369"/>
      <c r="N938" s="370"/>
      <c r="O938" s="366" t="s">
        <v>303</v>
      </c>
      <c r="P938" s="371" t="n">
        <v>0.0435325</v>
      </c>
      <c r="Q938" s="371"/>
      <c r="R938" s="372" t="s">
        <v>914</v>
      </c>
      <c r="S938" s="373"/>
      <c r="T938" s="372"/>
      <c r="U938" s="373"/>
      <c r="V938" s="373" t="n">
        <v>0.046622</v>
      </c>
      <c r="W938" s="373" t="n">
        <v>0.003264</v>
      </c>
      <c r="X938" s="373" t="n">
        <v>0.003782</v>
      </c>
      <c r="Y938" s="373" t="n">
        <v>0.032087</v>
      </c>
      <c r="Z938" s="373" t="n">
        <v>0.00172</v>
      </c>
      <c r="AA938" s="373" t="n">
        <v>0.002</v>
      </c>
      <c r="AB938" s="374" t="n">
        <f aca="false">S938-Z938</f>
        <v>-0.00172</v>
      </c>
      <c r="AC938" s="374" t="n">
        <f aca="false">U938-Z938-AA938</f>
        <v>-0.00372</v>
      </c>
      <c r="AD938" s="375" t="n">
        <v>0.0378</v>
      </c>
      <c r="AE938" s="376" t="n">
        <v>0.032087</v>
      </c>
      <c r="AF938" s="376" t="n">
        <f aca="false">AD938-AE938</f>
        <v>0.005713</v>
      </c>
      <c r="AG938" s="377" t="n">
        <v>0.0378</v>
      </c>
      <c r="AH938" s="378" t="n">
        <v>45887</v>
      </c>
      <c r="AI938" s="379" t="n">
        <v>1</v>
      </c>
      <c r="AJ938" s="380" t="str">
        <f aca="false">IF(AG938="","N","Y")</f>
        <v>Y</v>
      </c>
      <c r="AK938" s="396" t="s">
        <v>1057</v>
      </c>
      <c r="AL938" s="397"/>
    </row>
    <row r="939" s="382" customFormat="true" ht="20.25" hidden="false" customHeight="true" outlineLevel="0" collapsed="false">
      <c r="A939" s="364" t="n">
        <v>414</v>
      </c>
      <c r="B939" s="363" t="n">
        <v>45887</v>
      </c>
      <c r="C939" s="364" t="s">
        <v>187</v>
      </c>
      <c r="D939" s="364" t="s">
        <v>1118</v>
      </c>
      <c r="E939" s="364" t="s">
        <v>1119</v>
      </c>
      <c r="F939" s="364" t="s">
        <v>1120</v>
      </c>
      <c r="G939" s="365" t="n">
        <v>45887</v>
      </c>
      <c r="H939" s="365" t="n">
        <v>45918</v>
      </c>
      <c r="I939" s="364" t="n">
        <f aca="false">H939-G939</f>
        <v>31</v>
      </c>
      <c r="J939" s="366" t="n">
        <f aca="false">TRUNC(I939/30,0)</f>
        <v>1</v>
      </c>
      <c r="K939" s="367" t="s">
        <v>99</v>
      </c>
      <c r="L939" s="368" t="n">
        <v>3.16</v>
      </c>
      <c r="M939" s="369"/>
      <c r="N939" s="370"/>
      <c r="O939" s="366" t="s">
        <v>303</v>
      </c>
      <c r="P939" s="371" t="n">
        <v>0.0435325</v>
      </c>
      <c r="Q939" s="371"/>
      <c r="R939" s="372" t="s">
        <v>914</v>
      </c>
      <c r="S939" s="373"/>
      <c r="T939" s="372"/>
      <c r="U939" s="373"/>
      <c r="V939" s="373" t="n">
        <v>0.046622</v>
      </c>
      <c r="W939" s="373" t="n">
        <v>0.003264</v>
      </c>
      <c r="X939" s="373" t="n">
        <v>0.003782</v>
      </c>
      <c r="Y939" s="373" t="n">
        <v>0.032087</v>
      </c>
      <c r="Z939" s="373" t="n">
        <v>0.00172</v>
      </c>
      <c r="AA939" s="373" t="n">
        <v>0.002</v>
      </c>
      <c r="AB939" s="374" t="n">
        <f aca="false">S939-Z939</f>
        <v>-0.00172</v>
      </c>
      <c r="AC939" s="374" t="n">
        <f aca="false">U939-Z939-AA939</f>
        <v>-0.00372</v>
      </c>
      <c r="AD939" s="375" t="n">
        <v>0.0378</v>
      </c>
      <c r="AE939" s="376" t="n">
        <v>0.032087</v>
      </c>
      <c r="AF939" s="376" t="n">
        <v>0.005713</v>
      </c>
      <c r="AG939" s="377" t="n">
        <v>0.0378</v>
      </c>
      <c r="AH939" s="378" t="n">
        <v>45887</v>
      </c>
      <c r="AI939" s="379" t="n">
        <v>2</v>
      </c>
      <c r="AJ939" s="380" t="str">
        <f aca="false">IF(AG939="","N","Y")</f>
        <v>Y</v>
      </c>
      <c r="AK939" s="396" t="s">
        <v>1057</v>
      </c>
      <c r="AL939" s="397"/>
    </row>
    <row r="940" s="382" customFormat="true" ht="20.25" hidden="false" customHeight="true" outlineLevel="0" collapsed="false">
      <c r="A940" s="364" t="n">
        <v>415</v>
      </c>
      <c r="B940" s="363" t="n">
        <v>45887</v>
      </c>
      <c r="C940" s="364" t="s">
        <v>1081</v>
      </c>
      <c r="D940" s="364" t="s">
        <v>1082</v>
      </c>
      <c r="E940" s="364" t="s">
        <v>900</v>
      </c>
      <c r="F940" s="364" t="s">
        <v>1083</v>
      </c>
      <c r="G940" s="365" t="n">
        <v>45887</v>
      </c>
      <c r="H940" s="365" t="n">
        <v>45979</v>
      </c>
      <c r="I940" s="364" t="n">
        <f aca="false">H940-G940</f>
        <v>92</v>
      </c>
      <c r="J940" s="366" t="n">
        <f aca="false">TRUNC(I940/30,0)</f>
        <v>3</v>
      </c>
      <c r="K940" s="395" t="s">
        <v>95</v>
      </c>
      <c r="L940" s="368" t="n">
        <v>1</v>
      </c>
      <c r="M940" s="369"/>
      <c r="N940" s="370"/>
      <c r="O940" s="366" t="s">
        <v>300</v>
      </c>
      <c r="P940" s="371" t="n">
        <v>0.0432322</v>
      </c>
      <c r="Q940" s="371"/>
      <c r="R940" s="372" t="s">
        <v>914</v>
      </c>
      <c r="S940" s="373"/>
      <c r="T940" s="372"/>
      <c r="U940" s="373"/>
      <c r="V940" s="373" t="n">
        <v>0.046604</v>
      </c>
      <c r="W940" s="373" t="n">
        <v>0.000932</v>
      </c>
      <c r="X940" s="373" t="n">
        <v>0.002396</v>
      </c>
      <c r="Y940" s="373" t="n">
        <v>0.037106</v>
      </c>
      <c r="Z940" s="373" t="n">
        <v>0.00172</v>
      </c>
      <c r="AA940" s="373" t="n">
        <v>0.002</v>
      </c>
      <c r="AB940" s="374" t="n">
        <f aca="false">S940-Z940</f>
        <v>-0.00172</v>
      </c>
      <c r="AC940" s="374" t="n">
        <f aca="false">U940-Z940-AA940</f>
        <v>-0.00372</v>
      </c>
      <c r="AD940" s="375" t="n">
        <v>0.0415</v>
      </c>
      <c r="AE940" s="376" t="n">
        <v>0.037106</v>
      </c>
      <c r="AF940" s="376" t="n">
        <v>0.004394</v>
      </c>
      <c r="AG940" s="377" t="n">
        <f aca="false">IF(AF940="","",AE940+AF940)</f>
        <v>0.0415</v>
      </c>
      <c r="AH940" s="378" t="n">
        <v>45887</v>
      </c>
      <c r="AI940" s="379" t="n">
        <v>3</v>
      </c>
      <c r="AJ940" s="380" t="str">
        <f aca="false">IF(AG940="","N","Y")</f>
        <v>Y</v>
      </c>
      <c r="AK940" s="396" t="s">
        <v>1198</v>
      </c>
      <c r="AL940" s="397"/>
    </row>
    <row r="941" s="382" customFormat="true" ht="20.25" hidden="false" customHeight="true" outlineLevel="0" collapsed="false">
      <c r="A941" s="364" t="n">
        <v>416</v>
      </c>
      <c r="B941" s="363" t="n">
        <v>45887</v>
      </c>
      <c r="C941" s="364" t="s">
        <v>1129</v>
      </c>
      <c r="D941" s="364" t="s">
        <v>1130</v>
      </c>
      <c r="E941" s="364" t="s">
        <v>1131</v>
      </c>
      <c r="F941" s="364" t="s">
        <v>1132</v>
      </c>
      <c r="G941" s="365" t="n">
        <v>45887</v>
      </c>
      <c r="H941" s="365" t="n">
        <v>45918</v>
      </c>
      <c r="I941" s="364" t="n">
        <f aca="false">H941-G941</f>
        <v>31</v>
      </c>
      <c r="J941" s="366" t="n">
        <f aca="false">TRUNC(I941/30,0)</f>
        <v>1</v>
      </c>
      <c r="K941" s="395" t="s">
        <v>95</v>
      </c>
      <c r="L941" s="368" t="n">
        <v>1</v>
      </c>
      <c r="M941" s="369"/>
      <c r="N941" s="370" t="s">
        <v>1124</v>
      </c>
      <c r="O941" s="366" t="s">
        <v>303</v>
      </c>
      <c r="P941" s="371" t="n">
        <v>0.0435325</v>
      </c>
      <c r="Q941" s="371"/>
      <c r="R941" s="372" t="s">
        <v>914</v>
      </c>
      <c r="S941" s="373"/>
      <c r="T941" s="372"/>
      <c r="U941" s="373"/>
      <c r="V941" s="373" t="n">
        <v>0.046631</v>
      </c>
      <c r="W941" s="373" t="n">
        <v>0.000933</v>
      </c>
      <c r="X941" s="373" t="n">
        <v>0.002422</v>
      </c>
      <c r="Y941" s="373" t="n">
        <v>0.037961</v>
      </c>
      <c r="Z941" s="373" t="n">
        <v>0.00172</v>
      </c>
      <c r="AA941" s="373" t="n">
        <v>0.002</v>
      </c>
      <c r="AB941" s="374" t="n">
        <f aca="false">S941-Z941</f>
        <v>-0.00172</v>
      </c>
      <c r="AC941" s="374" t="n">
        <f aca="false">U941-Z941-AA941</f>
        <v>-0.00372</v>
      </c>
      <c r="AD941" s="375" t="n">
        <v>0.0415</v>
      </c>
      <c r="AE941" s="376" t="n">
        <v>0.037961</v>
      </c>
      <c r="AF941" s="376" t="n">
        <f aca="false">AD941-AE941</f>
        <v>0.003539</v>
      </c>
      <c r="AG941" s="377" t="n">
        <f aca="false">IF(AF941="","",AE941+AF941)</f>
        <v>0.0415</v>
      </c>
      <c r="AH941" s="378" t="n">
        <v>45887</v>
      </c>
      <c r="AI941" s="379" t="n">
        <v>4</v>
      </c>
      <c r="AJ941" s="380" t="str">
        <f aca="false">IF(AG941="","N","Y")</f>
        <v>Y</v>
      </c>
      <c r="AK941" s="396" t="s">
        <v>1197</v>
      </c>
      <c r="AL941" s="397"/>
    </row>
    <row r="942" s="382" customFormat="true" ht="20.25" hidden="false" customHeight="true" outlineLevel="0" collapsed="false">
      <c r="A942" s="364" t="n">
        <v>417</v>
      </c>
      <c r="B942" s="363" t="n">
        <v>45888</v>
      </c>
      <c r="C942" s="364" t="s">
        <v>96</v>
      </c>
      <c r="D942" s="364" t="s">
        <v>1063</v>
      </c>
      <c r="E942" s="364" t="s">
        <v>1069</v>
      </c>
      <c r="F942" s="364" t="s">
        <v>754</v>
      </c>
      <c r="G942" s="365" t="n">
        <v>45888</v>
      </c>
      <c r="H942" s="365" t="n">
        <v>45980</v>
      </c>
      <c r="I942" s="364" t="n">
        <f aca="false">H942-G942</f>
        <v>92</v>
      </c>
      <c r="J942" s="366" t="n">
        <f aca="false">TRUNC(I942/30,0)</f>
        <v>3</v>
      </c>
      <c r="K942" s="395" t="s">
        <v>95</v>
      </c>
      <c r="L942" s="368" t="n">
        <v>2.08</v>
      </c>
      <c r="M942" s="369" t="n">
        <v>3.9</v>
      </c>
      <c r="N942" s="370" t="s">
        <v>1085</v>
      </c>
      <c r="O942" s="366" t="s">
        <v>300</v>
      </c>
      <c r="P942" s="371" t="n">
        <v>0.0419457</v>
      </c>
      <c r="Q942" s="371"/>
      <c r="R942" s="372" t="s">
        <v>914</v>
      </c>
      <c r="S942" s="373"/>
      <c r="T942" s="372"/>
      <c r="U942" s="373"/>
      <c r="V942" s="373" t="n">
        <v>0.046437</v>
      </c>
      <c r="W942" s="373" t="n">
        <v>0.000929</v>
      </c>
      <c r="X942" s="373" t="n">
        <v>0.002232</v>
      </c>
      <c r="Y942" s="373" t="n">
        <v>0.037106</v>
      </c>
      <c r="Z942" s="373" t="n">
        <v>0.00172</v>
      </c>
      <c r="AA942" s="373" t="n">
        <v>0.002</v>
      </c>
      <c r="AB942" s="374" t="n">
        <f aca="false">S942-Z942</f>
        <v>-0.00172</v>
      </c>
      <c r="AC942" s="374" t="n">
        <f aca="false">U942-Z942-AA942</f>
        <v>-0.00372</v>
      </c>
      <c r="AD942" s="375" t="n">
        <v>0.0415</v>
      </c>
      <c r="AE942" s="376" t="n">
        <v>0.037106</v>
      </c>
      <c r="AF942" s="376" t="n">
        <f aca="false">AD942-AE942</f>
        <v>0.004394</v>
      </c>
      <c r="AG942" s="377" t="n">
        <v>0.0415</v>
      </c>
      <c r="AH942" s="378" t="n">
        <v>45888</v>
      </c>
      <c r="AI942" s="379" t="n">
        <v>1</v>
      </c>
      <c r="AJ942" s="380" t="str">
        <f aca="false">IF(AG942="","N","Y")</f>
        <v>Y</v>
      </c>
      <c r="AK942" s="396" t="s">
        <v>1198</v>
      </c>
      <c r="AL942" s="397"/>
    </row>
    <row r="943" s="38" customFormat="true" ht="20.25" hidden="false" customHeight="true" outlineLevel="0" collapsed="false">
      <c r="A943" s="19" t="n">
        <v>418</v>
      </c>
      <c r="B943" s="141" t="n">
        <v>45891</v>
      </c>
      <c r="C943" s="63" t="s">
        <v>1172</v>
      </c>
      <c r="D943" s="63" t="s">
        <v>1173</v>
      </c>
      <c r="E943" s="63" t="s">
        <v>1174</v>
      </c>
      <c r="F943" s="63" t="s">
        <v>1175</v>
      </c>
      <c r="G943" s="142" t="n">
        <v>45891</v>
      </c>
      <c r="H943" s="142" t="n">
        <v>45922</v>
      </c>
      <c r="I943" s="19" t="n">
        <f aca="false">H943-G943</f>
        <v>31</v>
      </c>
      <c r="J943" s="149" t="n">
        <f aca="false">TRUNC(I943/30,0)</f>
        <v>1</v>
      </c>
      <c r="K943" s="189" t="s">
        <v>99</v>
      </c>
      <c r="L943" s="146" t="n">
        <v>2</v>
      </c>
      <c r="M943" s="147"/>
      <c r="N943" s="148"/>
      <c r="O943" s="149" t="s">
        <v>303</v>
      </c>
      <c r="P943" s="150" t="n">
        <v>0.0432255</v>
      </c>
      <c r="Q943" s="150"/>
      <c r="R943" s="151" t="s">
        <v>914</v>
      </c>
      <c r="S943" s="152"/>
      <c r="T943" s="151"/>
      <c r="U943" s="152"/>
      <c r="V943" s="152" t="n">
        <v>0.046466</v>
      </c>
      <c r="W943" s="152" t="n">
        <v>0.003253</v>
      </c>
      <c r="X943" s="152" t="n">
        <v>0.004937</v>
      </c>
      <c r="Y943" s="152" t="n">
        <v>0.031807</v>
      </c>
      <c r="Z943" s="152" t="n">
        <v>0.00172</v>
      </c>
      <c r="AA943" s="152" t="n">
        <v>0.002</v>
      </c>
      <c r="AB943" s="154" t="n">
        <f aca="false">S943-Z943</f>
        <v>-0.00172</v>
      </c>
      <c r="AC943" s="154" t="n">
        <f aca="false">U943-Z943-AA943</f>
        <v>-0.00372</v>
      </c>
      <c r="AD943" s="155" t="n">
        <v>0.0365</v>
      </c>
      <c r="AE943" s="153" t="n">
        <v>0.031807</v>
      </c>
      <c r="AF943" s="153" t="n">
        <v>0.004693</v>
      </c>
      <c r="AG943" s="184" t="n">
        <f aca="false">AE943+AF943</f>
        <v>0.0365</v>
      </c>
      <c r="AH943" s="185" t="n">
        <v>45891</v>
      </c>
      <c r="AI943" s="35" t="n">
        <v>1</v>
      </c>
      <c r="AJ943" s="19" t="str">
        <f aca="false">IF(AG943="","N","Y")</f>
        <v>Y</v>
      </c>
      <c r="AK943" s="159" t="s">
        <v>1057</v>
      </c>
      <c r="AL943" s="36"/>
    </row>
    <row r="944" s="38" customFormat="true" ht="20.25" hidden="false" customHeight="true" outlineLevel="0" collapsed="false">
      <c r="A944" s="19" t="n">
        <v>419</v>
      </c>
      <c r="B944" s="141" t="n">
        <v>45891</v>
      </c>
      <c r="C944" s="63" t="s">
        <v>116</v>
      </c>
      <c r="D944" s="63" t="s">
        <v>1005</v>
      </c>
      <c r="E944" s="63" t="s">
        <v>1006</v>
      </c>
      <c r="F944" s="63" t="s">
        <v>1056</v>
      </c>
      <c r="G944" s="142" t="n">
        <v>45891</v>
      </c>
      <c r="H944" s="142" t="n">
        <v>45922</v>
      </c>
      <c r="I944" s="19" t="n">
        <f aca="false">H944-G944</f>
        <v>31</v>
      </c>
      <c r="J944" s="149" t="n">
        <f aca="false">TRUNC(I944/30,0)</f>
        <v>1</v>
      </c>
      <c r="K944" s="189" t="s">
        <v>99</v>
      </c>
      <c r="L944" s="146" t="n">
        <v>5.74</v>
      </c>
      <c r="M944" s="147"/>
      <c r="N944" s="148"/>
      <c r="O944" s="149" t="s">
        <v>303</v>
      </c>
      <c r="P944" s="150" t="n">
        <v>0.0432255</v>
      </c>
      <c r="Q944" s="150"/>
      <c r="R944" s="151" t="s">
        <v>914</v>
      </c>
      <c r="S944" s="152"/>
      <c r="T944" s="151"/>
      <c r="U944" s="152"/>
      <c r="V944" s="152" t="n">
        <v>0.046466</v>
      </c>
      <c r="W944" s="152" t="n">
        <v>0.003253</v>
      </c>
      <c r="X944" s="152" t="n">
        <v>0.003937</v>
      </c>
      <c r="Y944" s="152" t="n">
        <v>0.031807</v>
      </c>
      <c r="Z944" s="152" t="n">
        <v>0.00172</v>
      </c>
      <c r="AA944" s="152" t="n">
        <v>0.002</v>
      </c>
      <c r="AB944" s="154" t="n">
        <f aca="false">S944-Z944</f>
        <v>-0.00172</v>
      </c>
      <c r="AC944" s="154" t="n">
        <f aca="false">U944-Z944-AA944</f>
        <v>-0.00372</v>
      </c>
      <c r="AD944" s="155" t="n">
        <v>0.0375</v>
      </c>
      <c r="AE944" s="153" t="n">
        <v>0.031807</v>
      </c>
      <c r="AF944" s="153" t="n">
        <f aca="false">AG944-AE944</f>
        <v>0.005693</v>
      </c>
      <c r="AG944" s="184" t="n">
        <v>0.0375</v>
      </c>
      <c r="AH944" s="185" t="n">
        <v>45891</v>
      </c>
      <c r="AI944" s="35" t="n">
        <v>2</v>
      </c>
      <c r="AJ944" s="19" t="str">
        <f aca="false">IF(AG944="","N","Y")</f>
        <v>Y</v>
      </c>
      <c r="AK944" s="159" t="s">
        <v>1057</v>
      </c>
      <c r="AL944" s="36"/>
    </row>
    <row r="945" s="382" customFormat="true" ht="20.25" hidden="false" customHeight="true" outlineLevel="0" collapsed="false">
      <c r="A945" s="364" t="n">
        <v>420</v>
      </c>
      <c r="B945" s="363" t="n">
        <v>45894</v>
      </c>
      <c r="C945" s="364" t="s">
        <v>925</v>
      </c>
      <c r="D945" s="364" t="s">
        <v>1073</v>
      </c>
      <c r="E945" s="364" t="s">
        <v>1074</v>
      </c>
      <c r="F945" s="364" t="s">
        <v>1075</v>
      </c>
      <c r="G945" s="365" t="n">
        <v>45894</v>
      </c>
      <c r="H945" s="365" t="n">
        <v>45925</v>
      </c>
      <c r="I945" s="364" t="n">
        <f aca="false">H945-G945</f>
        <v>31</v>
      </c>
      <c r="J945" s="366" t="n">
        <f aca="false">TRUNC(I945/30,0)</f>
        <v>1</v>
      </c>
      <c r="K945" s="189" t="s">
        <v>99</v>
      </c>
      <c r="L945" s="368" t="n">
        <v>1</v>
      </c>
      <c r="M945" s="369"/>
      <c r="N945" s="370"/>
      <c r="O945" s="366" t="s">
        <v>303</v>
      </c>
      <c r="P945" s="371" t="n">
        <v>0.0435624</v>
      </c>
      <c r="Q945" s="371"/>
      <c r="R945" s="372" t="s">
        <v>914</v>
      </c>
      <c r="S945" s="373"/>
      <c r="T945" s="372"/>
      <c r="U945" s="373"/>
      <c r="V945" s="373" t="n">
        <v>0.046344</v>
      </c>
      <c r="W945" s="373" t="n">
        <v>0.003244</v>
      </c>
      <c r="X945" s="373" t="n">
        <v>0.004324</v>
      </c>
      <c r="Y945" s="373" t="n">
        <v>0.031897</v>
      </c>
      <c r="Z945" s="373" t="n">
        <v>0.00172</v>
      </c>
      <c r="AA945" s="373" t="n">
        <v>0.002</v>
      </c>
      <c r="AB945" s="374" t="n">
        <f aca="false">S945-Z945</f>
        <v>-0.00172</v>
      </c>
      <c r="AC945" s="374" t="n">
        <f aca="false">U945-Z945-AA945</f>
        <v>-0.00372</v>
      </c>
      <c r="AD945" s="375" t="n">
        <v>0.037</v>
      </c>
      <c r="AE945" s="376" t="n">
        <v>0.031897</v>
      </c>
      <c r="AF945" s="376" t="n">
        <f aca="false">AD945-AE945</f>
        <v>0.005103</v>
      </c>
      <c r="AG945" s="377" t="n">
        <v>0.037</v>
      </c>
      <c r="AH945" s="378" t="n">
        <v>45894</v>
      </c>
      <c r="AI945" s="379" t="n">
        <v>1</v>
      </c>
      <c r="AJ945" s="380" t="str">
        <f aca="false">IF(AG945="","N","Y")</f>
        <v>Y</v>
      </c>
      <c r="AK945" s="159" t="s">
        <v>1057</v>
      </c>
      <c r="AL945" s="397"/>
    </row>
    <row r="946" s="382" customFormat="true" ht="20.25" hidden="false" customHeight="true" outlineLevel="0" collapsed="false">
      <c r="A946" s="364" t="n">
        <v>421</v>
      </c>
      <c r="B946" s="363" t="n">
        <v>45896</v>
      </c>
      <c r="C946" s="364" t="s">
        <v>1066</v>
      </c>
      <c r="D946" s="364" t="s">
        <v>1108</v>
      </c>
      <c r="E946" s="364" t="s">
        <v>1067</v>
      </c>
      <c r="F946" s="364" t="s">
        <v>1109</v>
      </c>
      <c r="G946" s="365" t="n">
        <v>45896</v>
      </c>
      <c r="H946" s="365" t="n">
        <v>45957</v>
      </c>
      <c r="I946" s="364" t="n">
        <f aca="false">H946-G946</f>
        <v>61</v>
      </c>
      <c r="J946" s="366" t="n">
        <f aca="false">TRUNC(I946/30,0)</f>
        <v>2</v>
      </c>
      <c r="K946" s="395" t="s">
        <v>95</v>
      </c>
      <c r="L946" s="368" t="n">
        <v>10</v>
      </c>
      <c r="M946" s="369"/>
      <c r="N946" s="370"/>
      <c r="O946" s="366" t="s">
        <v>936</v>
      </c>
      <c r="P946" s="371" t="n">
        <v>0.0426396</v>
      </c>
      <c r="Q946" s="371"/>
      <c r="R946" s="372" t="s">
        <v>914</v>
      </c>
      <c r="S946" s="373"/>
      <c r="T946" s="372"/>
      <c r="U946" s="373"/>
      <c r="V946" s="373" t="n">
        <v>0.046316</v>
      </c>
      <c r="W946" s="373" t="n">
        <v>0.000926</v>
      </c>
      <c r="X946" s="373" t="n">
        <v>0.002114</v>
      </c>
      <c r="Y946" s="373" t="n">
        <v>0.037664</v>
      </c>
      <c r="Z946" s="373" t="n">
        <v>0.00172</v>
      </c>
      <c r="AA946" s="373" t="n">
        <v>0.002</v>
      </c>
      <c r="AB946" s="374" t="n">
        <f aca="false">S946-Z946</f>
        <v>-0.00172</v>
      </c>
      <c r="AC946" s="374" t="n">
        <f aca="false">U946-Z946-AA946</f>
        <v>-0.00372</v>
      </c>
      <c r="AD946" s="375" t="n">
        <v>0.0415</v>
      </c>
      <c r="AE946" s="376" t="n">
        <v>0.037664</v>
      </c>
      <c r="AF946" s="376" t="n">
        <f aca="false">AD946-AE946</f>
        <v>0.003836</v>
      </c>
      <c r="AG946" s="377" t="n">
        <v>0.0415</v>
      </c>
      <c r="AH946" s="378" t="n">
        <v>45896</v>
      </c>
      <c r="AI946" s="379" t="n">
        <v>1</v>
      </c>
      <c r="AJ946" s="380" t="str">
        <f aca="false">IF(AG946="","N","Y")</f>
        <v>Y</v>
      </c>
      <c r="AK946" s="396" t="s">
        <v>1199</v>
      </c>
      <c r="AL946" s="397"/>
    </row>
    <row r="947" s="382" customFormat="true" ht="20.25" hidden="false" customHeight="true" outlineLevel="0" collapsed="false">
      <c r="A947" s="364" t="n">
        <v>422</v>
      </c>
      <c r="B947" s="363" t="n">
        <v>45897</v>
      </c>
      <c r="C947" s="364" t="s">
        <v>925</v>
      </c>
      <c r="D947" s="364" t="s">
        <v>1181</v>
      </c>
      <c r="E947" s="364" t="s">
        <v>987</v>
      </c>
      <c r="F947" s="364" t="s">
        <v>1163</v>
      </c>
      <c r="G947" s="365" t="n">
        <v>45897</v>
      </c>
      <c r="H947" s="365" t="n">
        <v>45929</v>
      </c>
      <c r="I947" s="364" t="n">
        <f aca="false">H947-G947</f>
        <v>32</v>
      </c>
      <c r="J947" s="366" t="n">
        <f aca="false">TRUNC(I947/30,0)</f>
        <v>1</v>
      </c>
      <c r="K947" s="395" t="s">
        <v>95</v>
      </c>
      <c r="L947" s="368" t="n">
        <v>2</v>
      </c>
      <c r="M947" s="369"/>
      <c r="N947" s="370"/>
      <c r="O947" s="366" t="s">
        <v>303</v>
      </c>
      <c r="P947" s="371" t="n">
        <v>0.0431599</v>
      </c>
      <c r="Q947" s="371"/>
      <c r="R947" s="372" t="s">
        <v>914</v>
      </c>
      <c r="S947" s="373"/>
      <c r="T947" s="372"/>
      <c r="U947" s="373"/>
      <c r="V947" s="373" t="n">
        <v>0.046233</v>
      </c>
      <c r="W947" s="373" t="n">
        <v>0.000925</v>
      </c>
      <c r="X947" s="373" t="n">
        <v>0.002532</v>
      </c>
      <c r="Y947" s="373" t="n">
        <v>0.037596</v>
      </c>
      <c r="Z947" s="373" t="n">
        <v>0.00172</v>
      </c>
      <c r="AA947" s="373" t="n">
        <v>0.002</v>
      </c>
      <c r="AB947" s="374" t="n">
        <f aca="false">S947-Z947</f>
        <v>-0.00172</v>
      </c>
      <c r="AC947" s="374" t="n">
        <f aca="false">U947-Z947-AA947</f>
        <v>-0.00372</v>
      </c>
      <c r="AD947" s="375" t="n">
        <v>0.041</v>
      </c>
      <c r="AE947" s="373" t="n">
        <v>0.037596</v>
      </c>
      <c r="AF947" s="376" t="n">
        <f aca="false">AD947-AE947</f>
        <v>0.003404</v>
      </c>
      <c r="AG947" s="377" t="n">
        <v>0.041</v>
      </c>
      <c r="AH947" s="378" t="n">
        <v>45897</v>
      </c>
      <c r="AI947" s="379" t="n">
        <v>1</v>
      </c>
      <c r="AJ947" s="380" t="str">
        <f aca="false">IF(AG947="","N","Y")</f>
        <v>Y</v>
      </c>
      <c r="AK947" s="396" t="s">
        <v>1197</v>
      </c>
      <c r="AL947" s="397"/>
    </row>
    <row r="948" s="382" customFormat="true" ht="20.25" hidden="false" customHeight="true" outlineLevel="0" collapsed="false">
      <c r="A948" s="364" t="n">
        <v>423</v>
      </c>
      <c r="B948" s="363" t="n">
        <v>45897</v>
      </c>
      <c r="C948" s="364" t="s">
        <v>103</v>
      </c>
      <c r="D948" s="364" t="s">
        <v>1146</v>
      </c>
      <c r="E948" s="364" t="s">
        <v>104</v>
      </c>
      <c r="F948" s="364" t="s">
        <v>1158</v>
      </c>
      <c r="G948" s="365" t="n">
        <v>45897</v>
      </c>
      <c r="H948" s="365" t="n">
        <v>45929</v>
      </c>
      <c r="I948" s="364" t="n">
        <f aca="false">H948-G948</f>
        <v>32</v>
      </c>
      <c r="J948" s="366" t="n">
        <f aca="false">TRUNC(I948/30,0)</f>
        <v>1</v>
      </c>
      <c r="K948" s="395" t="s">
        <v>95</v>
      </c>
      <c r="L948" s="368" t="n">
        <v>2</v>
      </c>
      <c r="M948" s="369"/>
      <c r="N948" s="370"/>
      <c r="O948" s="366" t="s">
        <v>303</v>
      </c>
      <c r="P948" s="371" t="n">
        <v>0.0431599</v>
      </c>
      <c r="Q948" s="371"/>
      <c r="R948" s="372" t="s">
        <v>914</v>
      </c>
      <c r="S948" s="373"/>
      <c r="T948" s="372"/>
      <c r="U948" s="373"/>
      <c r="V948" s="373" t="n">
        <v>0.046233</v>
      </c>
      <c r="W948" s="373" t="n">
        <v>0.000925</v>
      </c>
      <c r="X948" s="373" t="n">
        <v>0.003032</v>
      </c>
      <c r="Y948" s="373" t="n">
        <v>0.037596</v>
      </c>
      <c r="Z948" s="373" t="n">
        <v>0.00172</v>
      </c>
      <c r="AA948" s="373" t="n">
        <v>0.002</v>
      </c>
      <c r="AB948" s="374" t="n">
        <f aca="false">S948-Z948</f>
        <v>-0.00172</v>
      </c>
      <c r="AC948" s="374" t="n">
        <f aca="false">U948-Z948-AA948</f>
        <v>-0.00372</v>
      </c>
      <c r="AD948" s="375" t="n">
        <v>0.0405</v>
      </c>
      <c r="AE948" s="373" t="n">
        <v>0.037596</v>
      </c>
      <c r="AF948" s="376" t="n">
        <f aca="false">AD948-AE948</f>
        <v>0.002904</v>
      </c>
      <c r="AG948" s="377" t="n">
        <v>0.0405</v>
      </c>
      <c r="AH948" s="378" t="n">
        <v>45897</v>
      </c>
      <c r="AI948" s="379" t="n">
        <v>2</v>
      </c>
      <c r="AJ948" s="380" t="str">
        <f aca="false">IF(AG948="","N","Y")</f>
        <v>Y</v>
      </c>
      <c r="AK948" s="396" t="s">
        <v>1197</v>
      </c>
      <c r="AL948" s="397"/>
    </row>
    <row r="949" s="382" customFormat="true" ht="20.25" hidden="false" customHeight="true" outlineLevel="0" collapsed="false">
      <c r="A949" s="364" t="n">
        <v>424</v>
      </c>
      <c r="B949" s="363" t="n">
        <v>45897</v>
      </c>
      <c r="C949" s="364" t="s">
        <v>103</v>
      </c>
      <c r="D949" s="364" t="s">
        <v>1146</v>
      </c>
      <c r="E949" s="364" t="s">
        <v>1147</v>
      </c>
      <c r="F949" s="364" t="s">
        <v>1200</v>
      </c>
      <c r="G949" s="365" t="n">
        <v>45897</v>
      </c>
      <c r="H949" s="365" t="n">
        <v>45929</v>
      </c>
      <c r="I949" s="364" t="n">
        <f aca="false">H949-G949</f>
        <v>32</v>
      </c>
      <c r="J949" s="366" t="n">
        <f aca="false">TRUNC(I949/30,0)</f>
        <v>1</v>
      </c>
      <c r="K949" s="395" t="s">
        <v>95</v>
      </c>
      <c r="L949" s="368" t="n">
        <v>10</v>
      </c>
      <c r="M949" s="369"/>
      <c r="N949" s="370"/>
      <c r="O949" s="366" t="s">
        <v>303</v>
      </c>
      <c r="P949" s="371" t="n">
        <v>0.0431599</v>
      </c>
      <c r="Q949" s="371"/>
      <c r="R949" s="372" t="s">
        <v>914</v>
      </c>
      <c r="S949" s="373"/>
      <c r="T949" s="372"/>
      <c r="U949" s="373"/>
      <c r="V949" s="373" t="n">
        <v>0.046233</v>
      </c>
      <c r="W949" s="373" t="n">
        <v>0.000925</v>
      </c>
      <c r="X949" s="373" t="n">
        <v>0.002532</v>
      </c>
      <c r="Y949" s="373" t="n">
        <v>0.037596</v>
      </c>
      <c r="Z949" s="373" t="n">
        <v>0.00172</v>
      </c>
      <c r="AA949" s="373" t="n">
        <v>0.002</v>
      </c>
      <c r="AB949" s="374" t="n">
        <f aca="false">S949-Z949</f>
        <v>-0.00172</v>
      </c>
      <c r="AC949" s="374" t="n">
        <f aca="false">U949-Z949-AA949</f>
        <v>-0.00372</v>
      </c>
      <c r="AD949" s="375" t="n">
        <v>0.041</v>
      </c>
      <c r="AE949" s="373" t="n">
        <v>0.037596</v>
      </c>
      <c r="AF949" s="376" t="n">
        <f aca="false">AD949-AE949</f>
        <v>0.003404</v>
      </c>
      <c r="AG949" s="377" t="n">
        <v>0.041</v>
      </c>
      <c r="AH949" s="378" t="n">
        <v>45897</v>
      </c>
      <c r="AI949" s="379" t="n">
        <v>3</v>
      </c>
      <c r="AJ949" s="380" t="str">
        <f aca="false">IF(AG949="","N","Y")</f>
        <v>Y</v>
      </c>
      <c r="AK949" s="396" t="s">
        <v>1197</v>
      </c>
      <c r="AL949" s="397"/>
    </row>
    <row r="950" s="382" customFormat="true" ht="20.25" hidden="false" customHeight="true" outlineLevel="0" collapsed="false">
      <c r="A950" s="364" t="n">
        <v>425</v>
      </c>
      <c r="B950" s="363" t="n">
        <v>45901</v>
      </c>
      <c r="C950" s="364" t="s">
        <v>925</v>
      </c>
      <c r="D950" s="364" t="s">
        <v>1073</v>
      </c>
      <c r="E950" s="364" t="s">
        <v>1074</v>
      </c>
      <c r="F950" s="364" t="s">
        <v>1075</v>
      </c>
      <c r="G950" s="365" t="n">
        <v>45901</v>
      </c>
      <c r="H950" s="365" t="n">
        <v>45931</v>
      </c>
      <c r="I950" s="364" t="n">
        <f aca="false">H950-G950</f>
        <v>30</v>
      </c>
      <c r="J950" s="366" t="n">
        <f aca="false">TRUNC(I950/30,0)</f>
        <v>1</v>
      </c>
      <c r="K950" s="395" t="s">
        <v>95</v>
      </c>
      <c r="L950" s="368" t="n">
        <v>3</v>
      </c>
      <c r="M950" s="369"/>
      <c r="N950" s="370" t="s">
        <v>1201</v>
      </c>
      <c r="O950" s="366" t="s">
        <v>303</v>
      </c>
      <c r="P950" s="371" t="n">
        <v>0.0427256</v>
      </c>
      <c r="Q950" s="371"/>
      <c r="R950" s="372" t="s">
        <v>914</v>
      </c>
      <c r="S950" s="373"/>
      <c r="T950" s="372"/>
      <c r="U950" s="373"/>
      <c r="V950" s="373" t="n">
        <v>0.045785</v>
      </c>
      <c r="W950" s="373" t="n">
        <v>0.000916</v>
      </c>
      <c r="X950" s="373" t="n">
        <v>0.002893</v>
      </c>
      <c r="Y950" s="373" t="n">
        <v>0.037171</v>
      </c>
      <c r="Z950" s="373" t="n">
        <v>0.00172</v>
      </c>
      <c r="AA950" s="373" t="n">
        <v>0.002</v>
      </c>
      <c r="AB950" s="374" t="n">
        <f aca="false">S950-Z950</f>
        <v>-0.00172</v>
      </c>
      <c r="AC950" s="374" t="n">
        <f aca="false">U950-Z950-AA950</f>
        <v>-0.00372</v>
      </c>
      <c r="AD950" s="375" t="n">
        <v>0.0402</v>
      </c>
      <c r="AE950" s="376" t="n">
        <v>0.037171</v>
      </c>
      <c r="AF950" s="376" t="n">
        <f aca="false">AD950-AE950</f>
        <v>0.003029</v>
      </c>
      <c r="AG950" s="377" t="n">
        <v>0.0402</v>
      </c>
      <c r="AH950" s="378" t="n">
        <v>45901</v>
      </c>
      <c r="AI950" s="379" t="n">
        <v>1</v>
      </c>
      <c r="AJ950" s="380" t="str">
        <f aca="false">IF(AG950="","N","Y")</f>
        <v>Y</v>
      </c>
      <c r="AK950" s="396" t="s">
        <v>1057</v>
      </c>
      <c r="AL950" s="397"/>
    </row>
    <row r="951" s="382" customFormat="true" ht="20.25" hidden="false" customHeight="true" outlineLevel="0" collapsed="false">
      <c r="A951" s="364" t="n">
        <v>426</v>
      </c>
      <c r="B951" s="363" t="n">
        <v>45901</v>
      </c>
      <c r="C951" s="364" t="s">
        <v>925</v>
      </c>
      <c r="D951" s="364" t="s">
        <v>1073</v>
      </c>
      <c r="E951" s="364" t="s">
        <v>1074</v>
      </c>
      <c r="F951" s="364" t="s">
        <v>1075</v>
      </c>
      <c r="G951" s="365" t="n">
        <v>45901</v>
      </c>
      <c r="H951" s="365" t="n">
        <v>45931</v>
      </c>
      <c r="I951" s="364" t="n">
        <f aca="false">H951-G951</f>
        <v>30</v>
      </c>
      <c r="J951" s="366" t="n">
        <f aca="false">TRUNC(I951/30,0)</f>
        <v>1</v>
      </c>
      <c r="K951" s="395" t="s">
        <v>95</v>
      </c>
      <c r="L951" s="368" t="n">
        <v>1</v>
      </c>
      <c r="M951" s="369"/>
      <c r="N951" s="370" t="s">
        <v>1201</v>
      </c>
      <c r="O951" s="366" t="s">
        <v>303</v>
      </c>
      <c r="P951" s="371" t="n">
        <v>0.0427256</v>
      </c>
      <c r="Q951" s="371"/>
      <c r="R951" s="372" t="s">
        <v>914</v>
      </c>
      <c r="S951" s="373"/>
      <c r="T951" s="372"/>
      <c r="U951" s="373"/>
      <c r="V951" s="373" t="n">
        <v>0.045785</v>
      </c>
      <c r="W951" s="373" t="n">
        <v>0.000916</v>
      </c>
      <c r="X951" s="373" t="n">
        <v>0.002893</v>
      </c>
      <c r="Y951" s="373" t="n">
        <v>0.037171</v>
      </c>
      <c r="Z951" s="373" t="n">
        <v>0.00172</v>
      </c>
      <c r="AA951" s="373" t="n">
        <v>0.002</v>
      </c>
      <c r="AB951" s="374" t="n">
        <f aca="false">S951-Z951</f>
        <v>-0.00172</v>
      </c>
      <c r="AC951" s="374" t="n">
        <f aca="false">U951-Z951-AA951</f>
        <v>-0.00372</v>
      </c>
      <c r="AD951" s="375" t="n">
        <v>0.0402</v>
      </c>
      <c r="AE951" s="376" t="n">
        <v>0.037171</v>
      </c>
      <c r="AF951" s="376" t="n">
        <f aca="false">AD951-AE951</f>
        <v>0.003029</v>
      </c>
      <c r="AG951" s="377" t="n">
        <v>0.0402</v>
      </c>
      <c r="AH951" s="378" t="n">
        <v>45901</v>
      </c>
      <c r="AI951" s="379" t="n">
        <v>2</v>
      </c>
      <c r="AJ951" s="380" t="str">
        <f aca="false">IF(AG951="","N","Y")</f>
        <v>Y</v>
      </c>
      <c r="AK951" s="396" t="s">
        <v>1057</v>
      </c>
      <c r="AL951" s="397"/>
    </row>
    <row r="952" s="382" customFormat="true" ht="20.25" hidden="false" customHeight="true" outlineLevel="0" collapsed="false">
      <c r="A952" s="364" t="n">
        <v>427</v>
      </c>
      <c r="B952" s="363" t="n">
        <v>45901</v>
      </c>
      <c r="C952" s="364" t="s">
        <v>1149</v>
      </c>
      <c r="D952" s="364" t="s">
        <v>1150</v>
      </c>
      <c r="E952" s="364" t="s">
        <v>1183</v>
      </c>
      <c r="F952" s="364" t="s">
        <v>1152</v>
      </c>
      <c r="G952" s="365" t="n">
        <v>45901</v>
      </c>
      <c r="H952" s="365" t="n">
        <v>45931</v>
      </c>
      <c r="I952" s="364" t="n">
        <f aca="false">H952-G952</f>
        <v>30</v>
      </c>
      <c r="J952" s="366" t="n">
        <f aca="false">TRUNC(I952/30,0)</f>
        <v>1</v>
      </c>
      <c r="K952" s="367" t="s">
        <v>99</v>
      </c>
      <c r="L952" s="368" t="n">
        <v>1.25</v>
      </c>
      <c r="M952" s="369"/>
      <c r="N952" s="370"/>
      <c r="O952" s="366" t="s">
        <v>303</v>
      </c>
      <c r="P952" s="371" t="n">
        <v>0.0427256</v>
      </c>
      <c r="Q952" s="371"/>
      <c r="R952" s="372" t="s">
        <v>914</v>
      </c>
      <c r="S952" s="373"/>
      <c r="T952" s="372"/>
      <c r="U952" s="373"/>
      <c r="V952" s="373" t="n">
        <v>0.046957</v>
      </c>
      <c r="W952" s="373" t="n">
        <v>0.003287</v>
      </c>
      <c r="X952" s="373" t="n">
        <v>0.006894</v>
      </c>
      <c r="Y952" s="373" t="n">
        <v>0.031932</v>
      </c>
      <c r="Z952" s="373" t="n">
        <v>0.00172</v>
      </c>
      <c r="AA952" s="373" t="n">
        <v>0.002</v>
      </c>
      <c r="AB952" s="374" t="n">
        <f aca="false">S952-Z952</f>
        <v>-0.00172</v>
      </c>
      <c r="AC952" s="374" t="n">
        <f aca="false">U952-Z952-AA952</f>
        <v>-0.00372</v>
      </c>
      <c r="AD952" s="375" t="n">
        <v>0.035</v>
      </c>
      <c r="AE952" s="373" t="n">
        <v>0.031932</v>
      </c>
      <c r="AF952" s="376" t="n">
        <f aca="false">AD952-AE952</f>
        <v>0.003068</v>
      </c>
      <c r="AG952" s="377" t="n">
        <v>0.035</v>
      </c>
      <c r="AH952" s="378" t="n">
        <v>45901</v>
      </c>
      <c r="AI952" s="379" t="n">
        <v>3</v>
      </c>
      <c r="AJ952" s="380" t="str">
        <f aca="false">IF(AG952="","N","Y")</f>
        <v>Y</v>
      </c>
      <c r="AK952" s="396" t="s">
        <v>1057</v>
      </c>
      <c r="AL952" s="397"/>
    </row>
    <row r="953" s="382" customFormat="true" ht="20.25" hidden="false" customHeight="true" outlineLevel="0" collapsed="false">
      <c r="A953" s="364" t="n">
        <v>428</v>
      </c>
      <c r="B953" s="363" t="n">
        <v>45901</v>
      </c>
      <c r="C953" s="364" t="s">
        <v>1184</v>
      </c>
      <c r="D953" s="364" t="s">
        <v>1185</v>
      </c>
      <c r="E953" s="364" t="s">
        <v>1186</v>
      </c>
      <c r="F953" s="364" t="s">
        <v>1187</v>
      </c>
      <c r="G953" s="365" t="n">
        <v>45901</v>
      </c>
      <c r="H953" s="365" t="n">
        <v>45931</v>
      </c>
      <c r="I953" s="364" t="n">
        <f aca="false">H953-G953</f>
        <v>30</v>
      </c>
      <c r="J953" s="366" t="n">
        <f aca="false">TRUNC(I953/30,0)</f>
        <v>1</v>
      </c>
      <c r="K953" s="367" t="s">
        <v>99</v>
      </c>
      <c r="L953" s="368" t="n">
        <v>10.41</v>
      </c>
      <c r="M953" s="369"/>
      <c r="N953" s="370"/>
      <c r="O953" s="366" t="s">
        <v>303</v>
      </c>
      <c r="P953" s="371" t="n">
        <v>0.0427256</v>
      </c>
      <c r="Q953" s="371"/>
      <c r="R953" s="372" t="s">
        <v>914</v>
      </c>
      <c r="S953" s="373"/>
      <c r="T953" s="372"/>
      <c r="U953" s="373"/>
      <c r="V953" s="373" t="n">
        <v>0.046957</v>
      </c>
      <c r="W953" s="373" t="n">
        <v>0.003287</v>
      </c>
      <c r="X953" s="373" t="n">
        <v>0.006394</v>
      </c>
      <c r="Y953" s="373" t="n">
        <v>0.031932</v>
      </c>
      <c r="Z953" s="373" t="n">
        <v>0.00172</v>
      </c>
      <c r="AA953" s="373" t="n">
        <v>0.002</v>
      </c>
      <c r="AB953" s="374" t="n">
        <f aca="false">S953-Z953</f>
        <v>-0.00172</v>
      </c>
      <c r="AC953" s="374" t="n">
        <f aca="false">U953-Z953-AA953</f>
        <v>-0.00372</v>
      </c>
      <c r="AD953" s="375" t="n">
        <v>0.0355</v>
      </c>
      <c r="AE953" s="373" t="n">
        <v>0.031932</v>
      </c>
      <c r="AF953" s="376" t="n">
        <f aca="false">AD953-AE953</f>
        <v>0.003568</v>
      </c>
      <c r="AG953" s="377" t="n">
        <v>0.0355</v>
      </c>
      <c r="AH953" s="378" t="n">
        <v>45901</v>
      </c>
      <c r="AI953" s="379" t="n">
        <v>4</v>
      </c>
      <c r="AJ953" s="380" t="str">
        <f aca="false">IF(AG953="","N","Y")</f>
        <v>Y</v>
      </c>
      <c r="AK953" s="396" t="s">
        <v>1057</v>
      </c>
      <c r="AL953" s="397"/>
    </row>
    <row r="954" s="382" customFormat="true" ht="20.25" hidden="false" customHeight="true" outlineLevel="0" collapsed="false">
      <c r="A954" s="364" t="n">
        <v>429</v>
      </c>
      <c r="B954" s="363" t="n">
        <v>45904</v>
      </c>
      <c r="C954" s="364" t="s">
        <v>770</v>
      </c>
      <c r="D954" s="364" t="s">
        <v>1111</v>
      </c>
      <c r="E954" s="364" t="s">
        <v>1004</v>
      </c>
      <c r="F954" s="364" t="s">
        <v>773</v>
      </c>
      <c r="G954" s="365" t="n">
        <v>45904</v>
      </c>
      <c r="H954" s="365" t="n">
        <v>45995</v>
      </c>
      <c r="I954" s="364" t="n">
        <f aca="false">H954-G954</f>
        <v>91</v>
      </c>
      <c r="J954" s="366" t="n">
        <f aca="false">TRUNC(I954/30,0)</f>
        <v>3</v>
      </c>
      <c r="K954" s="395" t="s">
        <v>95</v>
      </c>
      <c r="L954" s="368" t="n">
        <v>2</v>
      </c>
      <c r="M954" s="369"/>
      <c r="N954" s="370"/>
      <c r="O954" s="366" t="s">
        <v>300</v>
      </c>
      <c r="P954" s="371" t="n">
        <v>0.0415379</v>
      </c>
      <c r="Q954" s="371"/>
      <c r="R954" s="372" t="s">
        <v>914</v>
      </c>
      <c r="S954" s="373"/>
      <c r="T954" s="372"/>
      <c r="U954" s="373"/>
      <c r="V954" s="373" t="n">
        <v>0.046102</v>
      </c>
      <c r="W954" s="373" t="n">
        <v>0.000922</v>
      </c>
      <c r="X954" s="373" t="n">
        <v>0.002004</v>
      </c>
      <c r="Y954" s="373" t="n">
        <v>0.036707</v>
      </c>
      <c r="Z954" s="373" t="n">
        <v>0.00172</v>
      </c>
      <c r="AA954" s="373" t="n">
        <v>0.002</v>
      </c>
      <c r="AB954" s="374" t="n">
        <f aca="false">S954-Z954</f>
        <v>-0.00172</v>
      </c>
      <c r="AC954" s="374" t="n">
        <f aca="false">U954-Z954-AA954</f>
        <v>-0.00372</v>
      </c>
      <c r="AD954" s="375" t="n">
        <v>0.0414</v>
      </c>
      <c r="AE954" s="373" t="n">
        <v>0.036707</v>
      </c>
      <c r="AF954" s="376" t="n">
        <v>0.004693</v>
      </c>
      <c r="AG954" s="377" t="n">
        <v>0.0414</v>
      </c>
      <c r="AH954" s="378" t="n">
        <v>45904</v>
      </c>
      <c r="AI954" s="379" t="n">
        <v>1</v>
      </c>
      <c r="AJ954" s="380" t="str">
        <f aca="false">IF(AG954="","N","Y")</f>
        <v>Y</v>
      </c>
      <c r="AK954" s="396" t="s">
        <v>1202</v>
      </c>
      <c r="AL954" s="397"/>
    </row>
    <row r="955" s="382" customFormat="true" ht="20.25" hidden="false" customHeight="true" outlineLevel="0" collapsed="false">
      <c r="A955" s="364" t="n">
        <v>430</v>
      </c>
      <c r="B955" s="363" t="n">
        <v>45908</v>
      </c>
      <c r="C955" s="364" t="s">
        <v>1066</v>
      </c>
      <c r="D955" s="444" t="s">
        <v>932</v>
      </c>
      <c r="E955" s="364" t="s">
        <v>1067</v>
      </c>
      <c r="F955" s="364" t="s">
        <v>1192</v>
      </c>
      <c r="G955" s="365" t="n">
        <v>45908</v>
      </c>
      <c r="H955" s="365" t="n">
        <v>45940</v>
      </c>
      <c r="I955" s="364" t="n">
        <f aca="false">H955-G955</f>
        <v>32</v>
      </c>
      <c r="J955" s="366" t="n">
        <f aca="false">TRUNC(I955/30,0)</f>
        <v>1</v>
      </c>
      <c r="K955" s="367" t="s">
        <v>99</v>
      </c>
      <c r="L955" s="368" t="n">
        <v>2</v>
      </c>
      <c r="M955" s="371"/>
      <c r="N955" s="371"/>
      <c r="O955" s="366" t="s">
        <v>303</v>
      </c>
      <c r="P955" s="373" t="n">
        <v>0.0421729</v>
      </c>
      <c r="Q955" s="372"/>
      <c r="R955" s="372" t="s">
        <v>914</v>
      </c>
      <c r="S955" s="373"/>
      <c r="T955" s="373"/>
      <c r="U955" s="373"/>
      <c r="V955" s="373" t="n">
        <v>0.045792</v>
      </c>
      <c r="W955" s="373" t="n">
        <v>0.003205</v>
      </c>
      <c r="X955" s="373" t="n">
        <v>0.003311</v>
      </c>
      <c r="Y955" s="373" t="n">
        <v>0.032342</v>
      </c>
      <c r="Z955" s="373" t="n">
        <v>0.00172</v>
      </c>
      <c r="AA955" s="373" t="n">
        <v>0.002</v>
      </c>
      <c r="AB955" s="374" t="n">
        <f aca="false">S955-Z955</f>
        <v>-0.00172</v>
      </c>
      <c r="AC955" s="374" t="n">
        <f aca="false">U955-Z955-AA955</f>
        <v>-0.00372</v>
      </c>
      <c r="AD955" s="375" t="n">
        <v>0.0375</v>
      </c>
      <c r="AE955" s="373" t="n">
        <f aca="false">Y955</f>
        <v>0.032342</v>
      </c>
      <c r="AF955" s="376" t="n">
        <f aca="false">AD955-AE955</f>
        <v>0.005158</v>
      </c>
      <c r="AG955" s="377" t="n">
        <f aca="false">AD955</f>
        <v>0.0375</v>
      </c>
      <c r="AH955" s="378" t="n">
        <v>45908</v>
      </c>
      <c r="AI955" s="379" t="n">
        <v>1</v>
      </c>
      <c r="AJ955" s="380" t="str">
        <f aca="false">IF(AG955="","N","Y")</f>
        <v>Y</v>
      </c>
      <c r="AK955" s="396" t="s">
        <v>1057</v>
      </c>
      <c r="AL955" s="397"/>
    </row>
    <row r="956" s="382" customFormat="true" ht="20.25" hidden="false" customHeight="true" outlineLevel="0" collapsed="false">
      <c r="A956" s="364" t="n">
        <v>431</v>
      </c>
      <c r="B956" s="363" t="n">
        <v>45908</v>
      </c>
      <c r="C956" s="364" t="s">
        <v>1066</v>
      </c>
      <c r="D956" s="444" t="s">
        <v>932</v>
      </c>
      <c r="E956" s="364" t="s">
        <v>970</v>
      </c>
      <c r="F956" s="364" t="s">
        <v>864</v>
      </c>
      <c r="G956" s="365" t="n">
        <v>45908</v>
      </c>
      <c r="H956" s="365" t="n">
        <v>45940</v>
      </c>
      <c r="I956" s="364" t="n">
        <f aca="false">H956-G956</f>
        <v>32</v>
      </c>
      <c r="J956" s="366" t="n">
        <f aca="false">TRUNC(I956/30,0)</f>
        <v>1</v>
      </c>
      <c r="K956" s="367" t="s">
        <v>99</v>
      </c>
      <c r="L956" s="368" t="n">
        <v>4</v>
      </c>
      <c r="M956" s="369"/>
      <c r="N956" s="370"/>
      <c r="O956" s="366" t="s">
        <v>303</v>
      </c>
      <c r="P956" s="373" t="n">
        <v>0.0421729</v>
      </c>
      <c r="Q956" s="371"/>
      <c r="R956" s="372" t="s">
        <v>914</v>
      </c>
      <c r="S956" s="373"/>
      <c r="T956" s="372"/>
      <c r="U956" s="373"/>
      <c r="V956" s="373" t="n">
        <v>0.045792</v>
      </c>
      <c r="W956" s="373" t="n">
        <v>0.003205</v>
      </c>
      <c r="X956" s="373" t="n">
        <v>0.003811</v>
      </c>
      <c r="Y956" s="373" t="n">
        <v>0.032342</v>
      </c>
      <c r="Z956" s="373" t="n">
        <v>0.00172</v>
      </c>
      <c r="AA956" s="373" t="n">
        <v>0.002</v>
      </c>
      <c r="AB956" s="374" t="n">
        <f aca="false">S956-Z956</f>
        <v>-0.00172</v>
      </c>
      <c r="AC956" s="374" t="n">
        <f aca="false">U956-Z956-AA956</f>
        <v>-0.00372</v>
      </c>
      <c r="AD956" s="375" t="n">
        <v>0.037</v>
      </c>
      <c r="AE956" s="373" t="n">
        <v>0.032342</v>
      </c>
      <c r="AF956" s="376" t="n">
        <f aca="false">AD956-AE956</f>
        <v>0.004658</v>
      </c>
      <c r="AG956" s="377" t="n">
        <f aca="false">AD956</f>
        <v>0.037</v>
      </c>
      <c r="AH956" s="378" t="n">
        <v>45908</v>
      </c>
      <c r="AI956" s="379" t="n">
        <v>1</v>
      </c>
      <c r="AJ956" s="380" t="str">
        <f aca="false">IF(AG956="","N","Y")</f>
        <v>Y</v>
      </c>
      <c r="AK956" s="396" t="s">
        <v>1057</v>
      </c>
      <c r="AL956" s="397"/>
    </row>
    <row r="957" s="382" customFormat="true" ht="20.25" hidden="false" customHeight="true" outlineLevel="0" collapsed="false">
      <c r="A957" s="364" t="n">
        <v>432</v>
      </c>
      <c r="B957" s="363" t="n">
        <v>45909</v>
      </c>
      <c r="C957" s="364" t="s">
        <v>96</v>
      </c>
      <c r="D957" s="364" t="s">
        <v>1063</v>
      </c>
      <c r="E957" s="364" t="s">
        <v>1103</v>
      </c>
      <c r="F957" s="364" t="s">
        <v>1203</v>
      </c>
      <c r="G957" s="365" t="n">
        <v>45909</v>
      </c>
      <c r="H957" s="365" t="n">
        <v>46000</v>
      </c>
      <c r="I957" s="364" t="n">
        <f aca="false">H957-G957</f>
        <v>91</v>
      </c>
      <c r="J957" s="366" t="n">
        <f aca="false">TRUNC(I957/30,0)</f>
        <v>3</v>
      </c>
      <c r="K957" s="395" t="s">
        <v>95</v>
      </c>
      <c r="L957" s="368" t="n">
        <v>20</v>
      </c>
      <c r="M957" s="369"/>
      <c r="N957" s="370" t="s">
        <v>1204</v>
      </c>
      <c r="O957" s="366" t="s">
        <v>300</v>
      </c>
      <c r="P957" s="371" t="n">
        <v>0.0406989</v>
      </c>
      <c r="Q957" s="371"/>
      <c r="R957" s="372" t="s">
        <v>914</v>
      </c>
      <c r="S957" s="373"/>
      <c r="T957" s="372"/>
      <c r="U957" s="373"/>
      <c r="V957" s="373" t="n">
        <v>0.04573</v>
      </c>
      <c r="W957" s="373" t="n">
        <v>0.000915</v>
      </c>
      <c r="X957" s="373" t="n">
        <v>0.002939</v>
      </c>
      <c r="Y957" s="373" t="n">
        <v>0.035884</v>
      </c>
      <c r="Z957" s="373" t="n">
        <v>0.00172</v>
      </c>
      <c r="AA957" s="373" t="n">
        <v>0.002</v>
      </c>
      <c r="AB957" s="374" t="n">
        <f aca="false">S957-Z957</f>
        <v>-0.00172</v>
      </c>
      <c r="AC957" s="374" t="n">
        <f aca="false">U957-Z957-AA957</f>
        <v>-0.00372</v>
      </c>
      <c r="AD957" s="375" t="n">
        <v>0.0401</v>
      </c>
      <c r="AE957" s="376" t="n">
        <v>0.035884</v>
      </c>
      <c r="AF957" s="376" t="n">
        <f aca="false">AD957-AE957</f>
        <v>0.004216</v>
      </c>
      <c r="AG957" s="377" t="n">
        <v>0.0401</v>
      </c>
      <c r="AH957" s="378" t="n">
        <v>45909</v>
      </c>
      <c r="AI957" s="379" t="n">
        <v>1</v>
      </c>
      <c r="AJ957" s="380" t="str">
        <f aca="false">IF(AG957="","N","Y")</f>
        <v>Y</v>
      </c>
      <c r="AK957" s="396" t="s">
        <v>1205</v>
      </c>
      <c r="AL957" s="397"/>
    </row>
    <row r="958" s="382" customFormat="true" ht="19.5" hidden="false" customHeight="true" outlineLevel="0" collapsed="false">
      <c r="A958" s="364" t="n">
        <v>433</v>
      </c>
      <c r="B958" s="363" t="n">
        <v>45910</v>
      </c>
      <c r="C958" s="364" t="s">
        <v>1081</v>
      </c>
      <c r="D958" s="364" t="s">
        <v>1082</v>
      </c>
      <c r="E958" s="364" t="s">
        <v>900</v>
      </c>
      <c r="F958" s="364" t="s">
        <v>1083</v>
      </c>
      <c r="G958" s="365" t="n">
        <v>45910</v>
      </c>
      <c r="H958" s="365" t="n">
        <v>46001</v>
      </c>
      <c r="I958" s="364" t="n">
        <f aca="false">H958-G958</f>
        <v>91</v>
      </c>
      <c r="J958" s="366" t="n">
        <f aca="false">TRUNC(I958/30,0)</f>
        <v>3</v>
      </c>
      <c r="K958" s="395" t="s">
        <v>95</v>
      </c>
      <c r="L958" s="368" t="n">
        <v>1.5</v>
      </c>
      <c r="M958" s="369"/>
      <c r="N958" s="370"/>
      <c r="O958" s="366" t="s">
        <v>300</v>
      </c>
      <c r="P958" s="371" t="n">
        <v>0.0432322</v>
      </c>
      <c r="Q958" s="371"/>
      <c r="R958" s="372" t="s">
        <v>914</v>
      </c>
      <c r="S958" s="373"/>
      <c r="T958" s="372"/>
      <c r="U958" s="373"/>
      <c r="V958" s="373" t="n">
        <v>0.045198</v>
      </c>
      <c r="W958" s="373" t="n">
        <v>0.000904</v>
      </c>
      <c r="X958" s="373" t="n">
        <v>0.002018</v>
      </c>
      <c r="Y958" s="373" t="n">
        <v>0.035748</v>
      </c>
      <c r="Z958" s="373" t="n">
        <v>0.00172</v>
      </c>
      <c r="AA958" s="373" t="n">
        <v>0.002</v>
      </c>
      <c r="AB958" s="374" t="n">
        <f aca="false">S958-Z958</f>
        <v>-0.00172</v>
      </c>
      <c r="AC958" s="374" t="n">
        <f aca="false">U958-Z958-AA958</f>
        <v>-0.00372</v>
      </c>
      <c r="AD958" s="375" t="n">
        <v>0.0405</v>
      </c>
      <c r="AE958" s="376" t="n">
        <v>0.035748</v>
      </c>
      <c r="AF958" s="376" t="n">
        <f aca="false">AD958-AE958</f>
        <v>0.004752</v>
      </c>
      <c r="AG958" s="377" t="n">
        <f aca="false">IF(AF958="","",AE958+AF958)</f>
        <v>0.0405</v>
      </c>
      <c r="AH958" s="378" t="n">
        <v>45910</v>
      </c>
      <c r="AI958" s="379" t="n">
        <v>1</v>
      </c>
      <c r="AJ958" s="380" t="str">
        <f aca="false">IF(AG958="","N","Y")</f>
        <v>Y</v>
      </c>
      <c r="AK958" s="396" t="s">
        <v>1206</v>
      </c>
      <c r="AL958" s="397"/>
    </row>
    <row r="959" s="382" customFormat="true" ht="20.25" hidden="false" customHeight="true" outlineLevel="0" collapsed="false">
      <c r="A959" s="364" t="n">
        <v>434</v>
      </c>
      <c r="B959" s="363" t="n">
        <v>45911</v>
      </c>
      <c r="C959" s="364" t="s">
        <v>209</v>
      </c>
      <c r="D959" s="364" t="s">
        <v>1054</v>
      </c>
      <c r="E959" s="364" t="s">
        <v>1055</v>
      </c>
      <c r="F959" s="364" t="s">
        <v>697</v>
      </c>
      <c r="G959" s="365" t="n">
        <v>45911</v>
      </c>
      <c r="H959" s="365" t="n">
        <v>45943</v>
      </c>
      <c r="I959" s="364" t="n">
        <f aca="false">H959-G959</f>
        <v>32</v>
      </c>
      <c r="J959" s="366" t="n">
        <f aca="false">TRUNC(I959/30,0)</f>
        <v>1</v>
      </c>
      <c r="K959" s="395" t="s">
        <v>95</v>
      </c>
      <c r="L959" s="368" t="n">
        <v>11.07</v>
      </c>
      <c r="M959" s="369"/>
      <c r="N959" s="370"/>
      <c r="O959" s="366" t="s">
        <v>303</v>
      </c>
      <c r="P959" s="371" t="n">
        <v>0.041739</v>
      </c>
      <c r="Q959" s="371"/>
      <c r="R959" s="372" t="s">
        <v>914</v>
      </c>
      <c r="S959" s="373"/>
      <c r="T959" s="372"/>
      <c r="U959" s="373"/>
      <c r="V959" s="373" t="n">
        <v>0.044757</v>
      </c>
      <c r="W959" s="373" t="n">
        <v>0.000895</v>
      </c>
      <c r="X959" s="373" t="n">
        <v>0.002886</v>
      </c>
      <c r="Y959" s="373" t="n">
        <v>0.036204</v>
      </c>
      <c r="Z959" s="373" t="n">
        <v>0.00172</v>
      </c>
      <c r="AA959" s="373" t="n">
        <v>0.002</v>
      </c>
      <c r="AB959" s="374" t="n">
        <f aca="false">S959-Z959</f>
        <v>-0.00172</v>
      </c>
      <c r="AC959" s="374" t="n">
        <f aca="false">U959-Z959-AA959</f>
        <v>-0.00372</v>
      </c>
      <c r="AD959" s="375" t="n">
        <v>0.0392</v>
      </c>
      <c r="AE959" s="376" t="n">
        <v>0.036204</v>
      </c>
      <c r="AF959" s="376" t="n">
        <f aca="false">AD959-AE959</f>
        <v>0.002996</v>
      </c>
      <c r="AG959" s="377" t="n">
        <v>0.0392</v>
      </c>
      <c r="AH959" s="378" t="n">
        <v>45911</v>
      </c>
      <c r="AI959" s="379" t="n">
        <v>1</v>
      </c>
      <c r="AJ959" s="380" t="str">
        <f aca="false">IF(AG959="","N","Y")</f>
        <v>Y</v>
      </c>
      <c r="AK959" s="396" t="s">
        <v>1207</v>
      </c>
      <c r="AL959" s="397"/>
    </row>
    <row r="960" s="420" customFormat="true" ht="20.25" hidden="false" customHeight="true" outlineLevel="0" collapsed="false">
      <c r="A960" s="364" t="n">
        <v>435</v>
      </c>
      <c r="B960" s="363" t="n">
        <v>45911</v>
      </c>
      <c r="C960" s="364" t="s">
        <v>209</v>
      </c>
      <c r="D960" s="364" t="s">
        <v>1054</v>
      </c>
      <c r="E960" s="364" t="s">
        <v>1055</v>
      </c>
      <c r="F960" s="364" t="s">
        <v>697</v>
      </c>
      <c r="G960" s="365" t="n">
        <v>45911</v>
      </c>
      <c r="H960" s="365" t="n">
        <v>45943</v>
      </c>
      <c r="I960" s="364" t="n">
        <f aca="false">H960-G960</f>
        <v>32</v>
      </c>
      <c r="J960" s="366" t="n">
        <f aca="false">TRUNC(I960/30,0)</f>
        <v>1</v>
      </c>
      <c r="K960" s="395" t="s">
        <v>95</v>
      </c>
      <c r="L960" s="368" t="n">
        <v>1.6</v>
      </c>
      <c r="M960" s="369"/>
      <c r="N960" s="370"/>
      <c r="O960" s="366" t="s">
        <v>303</v>
      </c>
      <c r="P960" s="371" t="n">
        <v>0.041739</v>
      </c>
      <c r="Q960" s="371"/>
      <c r="R960" s="372" t="s">
        <v>914</v>
      </c>
      <c r="S960" s="373"/>
      <c r="T960" s="372"/>
      <c r="U960" s="373"/>
      <c r="V960" s="373" t="n">
        <v>0.044757</v>
      </c>
      <c r="W960" s="373" t="n">
        <v>0.000895</v>
      </c>
      <c r="X960" s="373" t="n">
        <v>0.002886</v>
      </c>
      <c r="Y960" s="373" t="n">
        <v>0.036204</v>
      </c>
      <c r="Z960" s="373" t="n">
        <v>0.00172</v>
      </c>
      <c r="AA960" s="373" t="n">
        <v>0.002</v>
      </c>
      <c r="AB960" s="374" t="n">
        <f aca="false">S960-Z960</f>
        <v>-0.00172</v>
      </c>
      <c r="AC960" s="374" t="n">
        <f aca="false">U960-Z960-AA960</f>
        <v>-0.00372</v>
      </c>
      <c r="AD960" s="375" t="n">
        <v>0.0392</v>
      </c>
      <c r="AE960" s="376" t="n">
        <v>0.036204</v>
      </c>
      <c r="AF960" s="376" t="n">
        <f aca="false">AD960-AE960</f>
        <v>0.002996</v>
      </c>
      <c r="AG960" s="377" t="n">
        <v>0.0392</v>
      </c>
      <c r="AH960" s="378" t="n">
        <v>45911</v>
      </c>
      <c r="AI960" s="379" t="n">
        <v>2</v>
      </c>
      <c r="AJ960" s="380" t="str">
        <f aca="false">IF(AG960="","N","Y")</f>
        <v>Y</v>
      </c>
      <c r="AK960" s="396" t="s">
        <v>1207</v>
      </c>
      <c r="AL960" s="419"/>
    </row>
    <row r="961" s="420" customFormat="true" ht="20.25" hidden="false" customHeight="true" outlineLevel="0" collapsed="false">
      <c r="A961" s="364" t="n">
        <v>436</v>
      </c>
      <c r="B961" s="363" t="n">
        <v>45911</v>
      </c>
      <c r="C961" s="364" t="s">
        <v>209</v>
      </c>
      <c r="D961" s="364" t="s">
        <v>1054</v>
      </c>
      <c r="E961" s="364" t="s">
        <v>1055</v>
      </c>
      <c r="F961" s="364" t="s">
        <v>697</v>
      </c>
      <c r="G961" s="365" t="n">
        <v>45911</v>
      </c>
      <c r="H961" s="365" t="n">
        <v>45943</v>
      </c>
      <c r="I961" s="364" t="n">
        <f aca="false">H961-G961</f>
        <v>32</v>
      </c>
      <c r="J961" s="366" t="n">
        <f aca="false">TRUNC(I961/30,0)</f>
        <v>1</v>
      </c>
      <c r="K961" s="367" t="s">
        <v>99</v>
      </c>
      <c r="L961" s="368" t="n">
        <v>1.54</v>
      </c>
      <c r="M961" s="369"/>
      <c r="N961" s="370"/>
      <c r="O961" s="366" t="s">
        <v>303</v>
      </c>
      <c r="P961" s="371" t="n">
        <v>0.041739</v>
      </c>
      <c r="Q961" s="371"/>
      <c r="R961" s="372" t="s">
        <v>914</v>
      </c>
      <c r="S961" s="373"/>
      <c r="T961" s="372"/>
      <c r="U961" s="373"/>
      <c r="V961" s="373" t="n">
        <v>0.044728</v>
      </c>
      <c r="W961" s="373" t="n">
        <v>0.003131</v>
      </c>
      <c r="X961" s="373" t="n">
        <v>0.004821</v>
      </c>
      <c r="Y961" s="373" t="n">
        <v>0.032184</v>
      </c>
      <c r="Z961" s="373" t="n">
        <v>0.00172</v>
      </c>
      <c r="AA961" s="373" t="n">
        <v>0.002</v>
      </c>
      <c r="AB961" s="374" t="n">
        <f aca="false">S961-Z961</f>
        <v>-0.00172</v>
      </c>
      <c r="AC961" s="374" t="n">
        <f aca="false">U961-Z961-AA961</f>
        <v>-0.00372</v>
      </c>
      <c r="AD961" s="375" t="n">
        <v>0.035</v>
      </c>
      <c r="AE961" s="376" t="n">
        <v>0.032184</v>
      </c>
      <c r="AF961" s="376" t="n">
        <f aca="false">AD961-AE961</f>
        <v>0.00281600000000001</v>
      </c>
      <c r="AG961" s="377" t="n">
        <v>0.035</v>
      </c>
      <c r="AH961" s="378" t="n">
        <v>45911</v>
      </c>
      <c r="AI961" s="379" t="n">
        <v>4</v>
      </c>
      <c r="AJ961" s="380" t="str">
        <f aca="false">IF(AG961="","N","Y")</f>
        <v>Y</v>
      </c>
      <c r="AK961" s="396" t="s">
        <v>1057</v>
      </c>
      <c r="AL961" s="419"/>
    </row>
    <row r="962" s="382" customFormat="true" ht="20.25" hidden="false" customHeight="true" outlineLevel="0" collapsed="false">
      <c r="A962" s="364" t="n">
        <v>437</v>
      </c>
      <c r="B962" s="363" t="n">
        <v>45911</v>
      </c>
      <c r="C962" s="364" t="s">
        <v>644</v>
      </c>
      <c r="D962" s="364" t="s">
        <v>1112</v>
      </c>
      <c r="E962" s="364" t="s">
        <v>492</v>
      </c>
      <c r="F962" s="364" t="s">
        <v>880</v>
      </c>
      <c r="G962" s="365" t="n">
        <v>45911</v>
      </c>
      <c r="H962" s="365" t="n">
        <v>45943</v>
      </c>
      <c r="I962" s="364" t="n">
        <f aca="false">H962-G962</f>
        <v>32</v>
      </c>
      <c r="J962" s="366" t="n">
        <f aca="false">TRUNC(I962/30,0)</f>
        <v>1</v>
      </c>
      <c r="K962" s="367" t="s">
        <v>99</v>
      </c>
      <c r="L962" s="368" t="n">
        <v>6.56</v>
      </c>
      <c r="M962" s="369"/>
      <c r="N962" s="370"/>
      <c r="O962" s="366" t="s">
        <v>303</v>
      </c>
      <c r="P962" s="371" t="n">
        <v>0.041739</v>
      </c>
      <c r="Q962" s="371"/>
      <c r="R962" s="372" t="s">
        <v>914</v>
      </c>
      <c r="S962" s="373"/>
      <c r="T962" s="372"/>
      <c r="U962" s="373"/>
      <c r="V962" s="373" t="n">
        <v>0.044728</v>
      </c>
      <c r="W962" s="373" t="n">
        <v>0.003131</v>
      </c>
      <c r="X962" s="373" t="n">
        <v>0.003821</v>
      </c>
      <c r="Y962" s="373" t="n">
        <v>0.032184</v>
      </c>
      <c r="Z962" s="373" t="n">
        <v>0.00172</v>
      </c>
      <c r="AA962" s="373" t="n">
        <v>0.002</v>
      </c>
      <c r="AB962" s="374" t="n">
        <f aca="false">S962-Z962</f>
        <v>-0.00172</v>
      </c>
      <c r="AC962" s="374" t="n">
        <f aca="false">U962-Z962-AA962</f>
        <v>-0.00372</v>
      </c>
      <c r="AD962" s="375" t="n">
        <v>0.036</v>
      </c>
      <c r="AE962" s="373" t="n">
        <v>0.032184</v>
      </c>
      <c r="AF962" s="412" t="n">
        <f aca="false">AD962-AE962</f>
        <v>0.003816</v>
      </c>
      <c r="AG962" s="377" t="n">
        <v>0.036</v>
      </c>
      <c r="AH962" s="378" t="n">
        <v>45911</v>
      </c>
      <c r="AI962" s="379" t="n">
        <v>3</v>
      </c>
      <c r="AJ962" s="380" t="str">
        <f aca="false">IF(AG962="","N","Y")</f>
        <v>Y</v>
      </c>
      <c r="AK962" s="396" t="s">
        <v>1057</v>
      </c>
      <c r="AL962" s="397"/>
    </row>
    <row r="963" s="418" customFormat="true" ht="20.25" hidden="false" customHeight="true" outlineLevel="0" collapsed="false">
      <c r="A963" s="402" t="n">
        <v>438</v>
      </c>
      <c r="B963" s="363" t="n">
        <v>45915</v>
      </c>
      <c r="C963" s="402" t="s">
        <v>96</v>
      </c>
      <c r="D963" s="402" t="s">
        <v>1063</v>
      </c>
      <c r="E963" s="402" t="s">
        <v>1127</v>
      </c>
      <c r="F963" s="402" t="s">
        <v>662</v>
      </c>
      <c r="G963" s="404" t="n">
        <v>45915</v>
      </c>
      <c r="H963" s="404" t="n">
        <v>45951</v>
      </c>
      <c r="I963" s="402" t="n">
        <f aca="false">H963-G963</f>
        <v>36</v>
      </c>
      <c r="J963" s="405" t="n">
        <f aca="false">TRUNC(I963/30,0)</f>
        <v>1</v>
      </c>
      <c r="K963" s="406" t="s">
        <v>95</v>
      </c>
      <c r="L963" s="407" t="n">
        <v>10</v>
      </c>
      <c r="M963" s="408" t="n">
        <v>3.6</v>
      </c>
      <c r="N963" s="409" t="s">
        <v>1208</v>
      </c>
      <c r="O963" s="405" t="s">
        <v>303</v>
      </c>
      <c r="P963" s="410" t="n">
        <v>0.0414693</v>
      </c>
      <c r="Q963" s="410"/>
      <c r="R963" s="411" t="s">
        <v>914</v>
      </c>
      <c r="S963" s="412"/>
      <c r="T963" s="411"/>
      <c r="U963" s="412"/>
      <c r="V963" s="412" t="n">
        <v>0.044507</v>
      </c>
      <c r="W963" s="412" t="n">
        <v>0.00089</v>
      </c>
      <c r="X963" s="412" t="n">
        <f aca="false">V963-AG963-W963-$X$5</f>
        <v>0.002341</v>
      </c>
      <c r="Y963" s="412" t="n">
        <v>0.035939</v>
      </c>
      <c r="Z963" s="412" t="n">
        <v>0.00172</v>
      </c>
      <c r="AA963" s="412" t="n">
        <v>0.002</v>
      </c>
      <c r="AB963" s="374" t="n">
        <f aca="false">S963-Z963</f>
        <v>-0.00172</v>
      </c>
      <c r="AC963" s="374" t="n">
        <f aca="false">U963-Z963-AA963</f>
        <v>-0.00372</v>
      </c>
      <c r="AD963" s="413" t="n">
        <v>0.0395</v>
      </c>
      <c r="AE963" s="412" t="n">
        <f aca="false">Y963</f>
        <v>0.035939</v>
      </c>
      <c r="AF963" s="445" t="n">
        <f aca="false">AD963-AE963</f>
        <v>0.003561</v>
      </c>
      <c r="AG963" s="412" t="n">
        <f aca="false">IF(AF963="","",AE963+AF963)</f>
        <v>0.0395</v>
      </c>
      <c r="AH963" s="378" t="n">
        <v>45915</v>
      </c>
      <c r="AI963" s="414" t="n">
        <v>2</v>
      </c>
      <c r="AJ963" s="415" t="str">
        <f aca="false">IF(AG963="","N","Y")</f>
        <v>Y</v>
      </c>
      <c r="AK963" s="416" t="s">
        <v>1209</v>
      </c>
      <c r="AL963" s="417"/>
    </row>
    <row r="964" s="382" customFormat="true" ht="20.25" hidden="false" customHeight="true" outlineLevel="0" collapsed="false">
      <c r="A964" s="364" t="n">
        <v>439</v>
      </c>
      <c r="B964" s="363" t="n">
        <v>45915</v>
      </c>
      <c r="C964" s="364" t="s">
        <v>644</v>
      </c>
      <c r="D964" s="364" t="s">
        <v>1070</v>
      </c>
      <c r="E964" s="364" t="s">
        <v>1071</v>
      </c>
      <c r="F964" s="364" t="s">
        <v>1072</v>
      </c>
      <c r="G964" s="365" t="n">
        <v>45915</v>
      </c>
      <c r="H964" s="365" t="n">
        <v>45945</v>
      </c>
      <c r="I964" s="364" t="n">
        <f aca="false">H964-G964</f>
        <v>30</v>
      </c>
      <c r="J964" s="366" t="n">
        <f aca="false">TRUNC(I964/30,0)</f>
        <v>1</v>
      </c>
      <c r="K964" s="395" t="s">
        <v>95</v>
      </c>
      <c r="L964" s="368" t="n">
        <v>1.5</v>
      </c>
      <c r="M964" s="408" t="n">
        <v>3.6</v>
      </c>
      <c r="N964" s="409" t="s">
        <v>1208</v>
      </c>
      <c r="O964" s="405" t="s">
        <v>303</v>
      </c>
      <c r="P964" s="410" t="n">
        <v>0.0414693</v>
      </c>
      <c r="Q964" s="371"/>
      <c r="R964" s="372" t="s">
        <v>914</v>
      </c>
      <c r="S964" s="373"/>
      <c r="T964" s="372"/>
      <c r="U964" s="373"/>
      <c r="V964" s="412" t="n">
        <v>0.044507</v>
      </c>
      <c r="W964" s="412" t="n">
        <v>0.00089</v>
      </c>
      <c r="X964" s="412" t="n">
        <f aca="false">V964-AG964-W964-$X$5</f>
        <v>0.002641</v>
      </c>
      <c r="Y964" s="412" t="n">
        <v>0.035939</v>
      </c>
      <c r="Z964" s="412" t="n">
        <v>0.00172</v>
      </c>
      <c r="AA964" s="412" t="n">
        <v>0.002</v>
      </c>
      <c r="AB964" s="374" t="n">
        <f aca="false">S964-Z964</f>
        <v>-0.00172</v>
      </c>
      <c r="AC964" s="374" t="n">
        <f aca="false">U964-Z964-AA964</f>
        <v>-0.00372</v>
      </c>
      <c r="AD964" s="375" t="n">
        <v>0.0392</v>
      </c>
      <c r="AE964" s="412" t="n">
        <f aca="false">Y964</f>
        <v>0.035939</v>
      </c>
      <c r="AF964" s="445" t="n">
        <f aca="false">AD964-AE964</f>
        <v>0.003261</v>
      </c>
      <c r="AG964" s="377" t="n">
        <f aca="false">IF(AF964="","",AE964+AF964)</f>
        <v>0.0392</v>
      </c>
      <c r="AH964" s="378" t="n">
        <v>45915</v>
      </c>
      <c r="AI964" s="379" t="n">
        <v>7</v>
      </c>
      <c r="AJ964" s="380" t="str">
        <f aca="false">IF(AG964="","N","Y")</f>
        <v>Y</v>
      </c>
      <c r="AK964" s="416" t="s">
        <v>1209</v>
      </c>
      <c r="AL964" s="397"/>
    </row>
    <row r="965" s="382" customFormat="true" ht="20.25" hidden="false" customHeight="true" outlineLevel="0" collapsed="false">
      <c r="A965" s="364" t="n">
        <v>440</v>
      </c>
      <c r="B965" s="363" t="n">
        <v>45916</v>
      </c>
      <c r="C965" s="364" t="s">
        <v>209</v>
      </c>
      <c r="D965" s="364" t="s">
        <v>1178</v>
      </c>
      <c r="E965" s="364" t="s">
        <v>1179</v>
      </c>
      <c r="F965" s="364" t="s">
        <v>1180</v>
      </c>
      <c r="G965" s="365" t="n">
        <v>45916</v>
      </c>
      <c r="H965" s="365" t="n">
        <v>46007</v>
      </c>
      <c r="I965" s="364" t="n">
        <f aca="false">H965-G965</f>
        <v>91</v>
      </c>
      <c r="J965" s="366" t="n">
        <f aca="false">TRUNC(I965/30,0)</f>
        <v>3</v>
      </c>
      <c r="K965" s="395" t="s">
        <v>95</v>
      </c>
      <c r="L965" s="368" t="n">
        <v>2.17</v>
      </c>
      <c r="M965" s="369"/>
      <c r="N965" s="409" t="s">
        <v>1208</v>
      </c>
      <c r="O965" s="366" t="n">
        <v>3</v>
      </c>
      <c r="P965" s="371" t="n">
        <v>0.040233</v>
      </c>
      <c r="Q965" s="371"/>
      <c r="R965" s="372" t="s">
        <v>914</v>
      </c>
      <c r="S965" s="373"/>
      <c r="T965" s="372"/>
      <c r="U965" s="373"/>
      <c r="V965" s="373" t="n">
        <v>0.044705</v>
      </c>
      <c r="W965" s="373" t="n">
        <v>0.000894</v>
      </c>
      <c r="X965" s="373" t="n">
        <v>0.002735</v>
      </c>
      <c r="Y965" s="373" t="n">
        <v>0.035428</v>
      </c>
      <c r="Z965" s="373" t="n">
        <v>0.00172</v>
      </c>
      <c r="AA965" s="373" t="n">
        <v>0.002</v>
      </c>
      <c r="AB965" s="374" t="n">
        <f aca="false">S965-Z965</f>
        <v>-0.00172</v>
      </c>
      <c r="AC965" s="374" t="n">
        <f aca="false">U965-Z965-AA965</f>
        <v>-0.00372</v>
      </c>
      <c r="AD965" s="375" t="n">
        <v>0.0393</v>
      </c>
      <c r="AE965" s="376" t="n">
        <v>0.035428</v>
      </c>
      <c r="AF965" s="376" t="n">
        <f aca="false">AD965-AE965</f>
        <v>0.003872</v>
      </c>
      <c r="AG965" s="377" t="n">
        <v>0.0393</v>
      </c>
      <c r="AH965" s="378" t="n">
        <v>45916</v>
      </c>
      <c r="AI965" s="379" t="n">
        <v>1</v>
      </c>
      <c r="AJ965" s="380" t="str">
        <f aca="false">IF(AG965="","N","Y")</f>
        <v>Y</v>
      </c>
      <c r="AK965" s="396" t="s">
        <v>1210</v>
      </c>
      <c r="AL965" s="397"/>
    </row>
    <row r="966" s="382" customFormat="true" ht="20.25" hidden="false" customHeight="true" outlineLevel="0" collapsed="false">
      <c r="A966" s="364" t="n">
        <v>441</v>
      </c>
      <c r="B966" s="363" t="n">
        <v>45916</v>
      </c>
      <c r="C966" s="364" t="s">
        <v>209</v>
      </c>
      <c r="D966" s="364" t="s">
        <v>1178</v>
      </c>
      <c r="E966" s="364" t="s">
        <v>1179</v>
      </c>
      <c r="F966" s="364" t="s">
        <v>1188</v>
      </c>
      <c r="G966" s="365" t="n">
        <v>45916</v>
      </c>
      <c r="H966" s="365" t="n">
        <v>46007</v>
      </c>
      <c r="I966" s="364" t="n">
        <f aca="false">H966-G966</f>
        <v>91</v>
      </c>
      <c r="J966" s="366" t="n">
        <f aca="false">TRUNC(I966/30,0)</f>
        <v>3</v>
      </c>
      <c r="K966" s="395" t="s">
        <v>95</v>
      </c>
      <c r="L966" s="368" t="n">
        <v>3.622</v>
      </c>
      <c r="M966" s="369"/>
      <c r="N966" s="409" t="s">
        <v>1208</v>
      </c>
      <c r="O966" s="366" t="n">
        <v>3</v>
      </c>
      <c r="P966" s="371" t="n">
        <v>0.040233</v>
      </c>
      <c r="Q966" s="371"/>
      <c r="R966" s="372" t="s">
        <v>914</v>
      </c>
      <c r="S966" s="373"/>
      <c r="T966" s="372"/>
      <c r="U966" s="373"/>
      <c r="V966" s="373" t="n">
        <v>0.044705</v>
      </c>
      <c r="W966" s="373" t="n">
        <v>0.000894</v>
      </c>
      <c r="X966" s="373" t="n">
        <v>0.002735</v>
      </c>
      <c r="Y966" s="373" t="n">
        <v>0.035428</v>
      </c>
      <c r="Z966" s="373" t="n">
        <v>0.00172</v>
      </c>
      <c r="AA966" s="373" t="n">
        <v>0.002</v>
      </c>
      <c r="AB966" s="374" t="n">
        <f aca="false">S966-Z966</f>
        <v>-0.00172</v>
      </c>
      <c r="AC966" s="374" t="n">
        <f aca="false">U966-Z966-AA966</f>
        <v>-0.00372</v>
      </c>
      <c r="AD966" s="375" t="n">
        <v>0.0393</v>
      </c>
      <c r="AE966" s="376" t="n">
        <v>0.035428</v>
      </c>
      <c r="AF966" s="376" t="n">
        <f aca="false">AD966-AE966</f>
        <v>0.003872</v>
      </c>
      <c r="AG966" s="377" t="n">
        <v>0.0393</v>
      </c>
      <c r="AH966" s="378" t="n">
        <v>45916</v>
      </c>
      <c r="AI966" s="379" t="n">
        <v>1</v>
      </c>
      <c r="AJ966" s="380" t="str">
        <f aca="false">IF(AG966="","N","Y")</f>
        <v>Y</v>
      </c>
      <c r="AK966" s="396" t="s">
        <v>1210</v>
      </c>
      <c r="AL966" s="397"/>
    </row>
    <row r="967" s="382" customFormat="true" ht="20.25" hidden="false" customHeight="true" outlineLevel="0" collapsed="false">
      <c r="A967" s="364" t="n">
        <v>442</v>
      </c>
      <c r="B967" s="363" t="n">
        <v>45917</v>
      </c>
      <c r="C967" s="364" t="s">
        <v>770</v>
      </c>
      <c r="D967" s="364" t="s">
        <v>1111</v>
      </c>
      <c r="E967" s="364" t="s">
        <v>1004</v>
      </c>
      <c r="F967" s="364" t="s">
        <v>773</v>
      </c>
      <c r="G967" s="365" t="n">
        <v>45917</v>
      </c>
      <c r="H967" s="365" t="n">
        <v>46008</v>
      </c>
      <c r="I967" s="364" t="n">
        <f aca="false">H967-G967</f>
        <v>91</v>
      </c>
      <c r="J967" s="366" t="n">
        <f aca="false">TRUNC(I967/30,0)</f>
        <v>3</v>
      </c>
      <c r="K967" s="395" t="s">
        <v>95</v>
      </c>
      <c r="L967" s="368" t="n">
        <v>1</v>
      </c>
      <c r="M967" s="369"/>
      <c r="N967" s="370"/>
      <c r="O967" s="366" t="s">
        <v>300</v>
      </c>
      <c r="P967" s="371" t="n">
        <v>0.040257</v>
      </c>
      <c r="Q967" s="371"/>
      <c r="R967" s="372" t="s">
        <v>914</v>
      </c>
      <c r="S967" s="373"/>
      <c r="T967" s="372"/>
      <c r="U967" s="373"/>
      <c r="V967" s="373" t="n">
        <v>0.044732</v>
      </c>
      <c r="W967" s="373" t="n">
        <v>0.000895</v>
      </c>
      <c r="X967" s="373" t="n">
        <v>0.002061</v>
      </c>
      <c r="Y967" s="373" t="n">
        <v>0.035451</v>
      </c>
      <c r="Z967" s="373" t="n">
        <v>0.00172</v>
      </c>
      <c r="AA967" s="373" t="n">
        <v>0.002</v>
      </c>
      <c r="AB967" s="374" t="n">
        <f aca="false">S967-Z967</f>
        <v>-0.00172</v>
      </c>
      <c r="AC967" s="374" t="n">
        <f aca="false">U967-Z967-AA967</f>
        <v>-0.00372</v>
      </c>
      <c r="AD967" s="375" t="n">
        <v>0.04</v>
      </c>
      <c r="AE967" s="373" t="n">
        <v>0.035451</v>
      </c>
      <c r="AF967" s="376" t="n">
        <v>0.004549</v>
      </c>
      <c r="AG967" s="377" t="n">
        <v>0.04</v>
      </c>
      <c r="AH967" s="378" t="n">
        <v>45917</v>
      </c>
      <c r="AI967" s="379" t="n">
        <v>1</v>
      </c>
      <c r="AJ967" s="380" t="str">
        <f aca="false">IF(AG967="","N","Y")</f>
        <v>Y</v>
      </c>
      <c r="AK967" s="396" t="s">
        <v>1210</v>
      </c>
      <c r="AL967" s="397"/>
    </row>
    <row r="968" s="382" customFormat="true" ht="20.25" hidden="false" customHeight="true" outlineLevel="0" collapsed="false">
      <c r="A968" s="364" t="n">
        <v>443</v>
      </c>
      <c r="B968" s="363" t="n">
        <v>45917</v>
      </c>
      <c r="C968" s="364" t="s">
        <v>770</v>
      </c>
      <c r="D968" s="364" t="s">
        <v>1111</v>
      </c>
      <c r="E968" s="364" t="s">
        <v>1004</v>
      </c>
      <c r="F968" s="364" t="s">
        <v>773</v>
      </c>
      <c r="G968" s="365" t="n">
        <v>45917</v>
      </c>
      <c r="H968" s="365" t="n">
        <v>46008</v>
      </c>
      <c r="I968" s="364" t="n">
        <f aca="false">H968-G968</f>
        <v>91</v>
      </c>
      <c r="J968" s="366" t="n">
        <f aca="false">TRUNC(I968/30,0)</f>
        <v>3</v>
      </c>
      <c r="K968" s="395" t="s">
        <v>95</v>
      </c>
      <c r="L968" s="368" t="n">
        <v>1</v>
      </c>
      <c r="M968" s="369"/>
      <c r="N968" s="370"/>
      <c r="O968" s="366" t="s">
        <v>300</v>
      </c>
      <c r="P968" s="371" t="n">
        <v>0.040257</v>
      </c>
      <c r="Q968" s="371"/>
      <c r="R968" s="372" t="s">
        <v>914</v>
      </c>
      <c r="S968" s="373"/>
      <c r="T968" s="372"/>
      <c r="U968" s="373"/>
      <c r="V968" s="373" t="n">
        <v>0.044732</v>
      </c>
      <c r="W968" s="373" t="n">
        <v>0.000895</v>
      </c>
      <c r="X968" s="373" t="n">
        <v>0.002061</v>
      </c>
      <c r="Y968" s="373" t="n">
        <v>0.035451</v>
      </c>
      <c r="Z968" s="373" t="n">
        <v>0.00172</v>
      </c>
      <c r="AA968" s="373" t="n">
        <v>0.002</v>
      </c>
      <c r="AB968" s="374" t="n">
        <f aca="false">S968-Z968</f>
        <v>-0.00172</v>
      </c>
      <c r="AC968" s="374" t="n">
        <f aca="false">U968-Z968-AA968</f>
        <v>-0.00372</v>
      </c>
      <c r="AD968" s="375" t="n">
        <v>0.04</v>
      </c>
      <c r="AE968" s="373" t="n">
        <v>0.035451</v>
      </c>
      <c r="AF968" s="376" t="n">
        <v>0.004549</v>
      </c>
      <c r="AG968" s="377" t="n">
        <v>0.04</v>
      </c>
      <c r="AH968" s="378" t="n">
        <v>45917</v>
      </c>
      <c r="AI968" s="379" t="n">
        <v>2</v>
      </c>
      <c r="AJ968" s="380" t="str">
        <f aca="false">IF(AG968="","N","Y")</f>
        <v>Y</v>
      </c>
      <c r="AK968" s="396" t="s">
        <v>1210</v>
      </c>
      <c r="AL968" s="397"/>
    </row>
    <row r="969" s="420" customFormat="true" ht="20.25" hidden="false" customHeight="true" outlineLevel="0" collapsed="false">
      <c r="A969" s="364" t="n">
        <v>444</v>
      </c>
      <c r="B969" s="363" t="n">
        <v>45917</v>
      </c>
      <c r="C969" s="364" t="s">
        <v>96</v>
      </c>
      <c r="D969" s="364" t="s">
        <v>1063</v>
      </c>
      <c r="E969" s="364" t="s">
        <v>1211</v>
      </c>
      <c r="F969" s="364" t="s">
        <v>1212</v>
      </c>
      <c r="G969" s="365" t="n">
        <v>45917</v>
      </c>
      <c r="H969" s="365" t="n">
        <v>45947</v>
      </c>
      <c r="I969" s="364" t="n">
        <f aca="false">H969-G969</f>
        <v>30</v>
      </c>
      <c r="J969" s="366" t="n">
        <f aca="false">TRUNC(I969/30,0)</f>
        <v>1</v>
      </c>
      <c r="K969" s="367" t="s">
        <v>99</v>
      </c>
      <c r="L969" s="368" t="n">
        <v>41.86</v>
      </c>
      <c r="M969" s="369"/>
      <c r="N969" s="370"/>
      <c r="O969" s="366" t="s">
        <v>303</v>
      </c>
      <c r="P969" s="371" t="n">
        <v>0.0413584</v>
      </c>
      <c r="Q969" s="371"/>
      <c r="R969" s="372" t="s">
        <v>914</v>
      </c>
      <c r="S969" s="373"/>
      <c r="T969" s="372"/>
      <c r="U969" s="373"/>
      <c r="V969" s="373" t="n">
        <v>0.043993</v>
      </c>
      <c r="W969" s="373" t="n">
        <v>0.00308</v>
      </c>
      <c r="X969" s="373" t="n">
        <v>0.002737</v>
      </c>
      <c r="Y969" s="373" t="n">
        <v>0.032923</v>
      </c>
      <c r="Z969" s="373" t="n">
        <v>0.00172</v>
      </c>
      <c r="AA969" s="373" t="n">
        <v>0.002</v>
      </c>
      <c r="AB969" s="374" t="n">
        <f aca="false">S969-Z969</f>
        <v>-0.00172</v>
      </c>
      <c r="AC969" s="374" t="n">
        <f aca="false">U969-Z969-AA969</f>
        <v>-0.00372</v>
      </c>
      <c r="AD969" s="375" t="n">
        <v>0.0364</v>
      </c>
      <c r="AE969" s="376" t="n">
        <v>0.032923</v>
      </c>
      <c r="AF969" s="376" t="n">
        <f aca="false">AD969-AE969</f>
        <v>0.003477</v>
      </c>
      <c r="AG969" s="377" t="n">
        <v>0.0364</v>
      </c>
      <c r="AH969" s="378" t="n">
        <v>45917</v>
      </c>
      <c r="AI969" s="379" t="n">
        <v>3</v>
      </c>
      <c r="AJ969" s="380" t="str">
        <f aca="false">IF(AG969="","N","Y")</f>
        <v>Y</v>
      </c>
      <c r="AK969" s="396" t="s">
        <v>1057</v>
      </c>
      <c r="AL969" s="419"/>
    </row>
    <row r="970" s="382" customFormat="true" ht="20.25" hidden="false" customHeight="true" outlineLevel="0" collapsed="false">
      <c r="A970" s="364" t="n">
        <v>445</v>
      </c>
      <c r="B970" s="363" t="n">
        <v>45918</v>
      </c>
      <c r="C970" s="364" t="s">
        <v>862</v>
      </c>
      <c r="D970" s="364" t="s">
        <v>932</v>
      </c>
      <c r="E970" s="364" t="s">
        <v>1067</v>
      </c>
      <c r="F970" s="364" t="s">
        <v>906</v>
      </c>
      <c r="G970" s="365" t="n">
        <v>45918</v>
      </c>
      <c r="H970" s="365" t="n">
        <v>45950</v>
      </c>
      <c r="I970" s="364" t="n">
        <f aca="false">H970-G970</f>
        <v>32</v>
      </c>
      <c r="J970" s="366" t="n">
        <f aca="false">TRUNC(I970/30,0)</f>
        <v>1</v>
      </c>
      <c r="K970" s="367" t="s">
        <v>99</v>
      </c>
      <c r="L970" s="368" t="n">
        <v>3.9</v>
      </c>
      <c r="M970" s="369"/>
      <c r="N970" s="370"/>
      <c r="O970" s="366" t="s">
        <v>303</v>
      </c>
      <c r="P970" s="371" t="n">
        <v>0.0413359</v>
      </c>
      <c r="Q970" s="371"/>
      <c r="R970" s="372" t="s">
        <v>914</v>
      </c>
      <c r="S970" s="373"/>
      <c r="T970" s="372"/>
      <c r="U970" s="373"/>
      <c r="V970" s="373" t="n">
        <v>0.043214</v>
      </c>
      <c r="W970" s="373" t="n">
        <v>0.003025</v>
      </c>
      <c r="X970" s="373" t="n">
        <v>0.002913</v>
      </c>
      <c r="Y970" s="373" t="n">
        <v>0.032033</v>
      </c>
      <c r="Z970" s="373" t="n">
        <v>0.00172</v>
      </c>
      <c r="AA970" s="373" t="n">
        <v>0.002</v>
      </c>
      <c r="AB970" s="374" t="n">
        <f aca="false">S970-Z970</f>
        <v>-0.00172</v>
      </c>
      <c r="AC970" s="374" t="n">
        <f aca="false">U970-Z970-AA970</f>
        <v>-0.00372</v>
      </c>
      <c r="AD970" s="375" t="n">
        <v>0.0355</v>
      </c>
      <c r="AE970" s="376" t="n">
        <v>0.032033</v>
      </c>
      <c r="AF970" s="376" t="n">
        <f aca="false">AD970-AE970</f>
        <v>0.003467</v>
      </c>
      <c r="AG970" s="377" t="n">
        <v>0.0355</v>
      </c>
      <c r="AH970" s="378" t="n">
        <v>45918</v>
      </c>
      <c r="AI970" s="379" t="n">
        <v>1</v>
      </c>
      <c r="AJ970" s="380" t="str">
        <f aca="false">IF(AG970="","N","Y")</f>
        <v>Y</v>
      </c>
      <c r="AK970" s="396" t="s">
        <v>1213</v>
      </c>
      <c r="AL970" s="397"/>
    </row>
    <row r="971" s="382" customFormat="true" ht="20.25" hidden="false" customHeight="true" outlineLevel="0" collapsed="false">
      <c r="A971" s="364" t="n">
        <v>446</v>
      </c>
      <c r="B971" s="363" t="n">
        <v>45887</v>
      </c>
      <c r="C971" s="364" t="s">
        <v>187</v>
      </c>
      <c r="D971" s="364" t="s">
        <v>1118</v>
      </c>
      <c r="E971" s="364" t="s">
        <v>1119</v>
      </c>
      <c r="F971" s="364" t="s">
        <v>1120</v>
      </c>
      <c r="G971" s="365" t="n">
        <v>45918</v>
      </c>
      <c r="H971" s="365" t="n">
        <v>45950</v>
      </c>
      <c r="I971" s="364" t="n">
        <f aca="false">H971-G971</f>
        <v>32</v>
      </c>
      <c r="J971" s="366" t="n">
        <f aca="false">TRUNC(I971/30,0)</f>
        <v>1</v>
      </c>
      <c r="K971" s="367" t="s">
        <v>99</v>
      </c>
      <c r="L971" s="368" t="n">
        <v>4.4</v>
      </c>
      <c r="M971" s="369"/>
      <c r="N971" s="370"/>
      <c r="O971" s="366" t="s">
        <v>303</v>
      </c>
      <c r="P971" s="371" t="n">
        <v>0.0413359</v>
      </c>
      <c r="Q971" s="371"/>
      <c r="R971" s="372" t="s">
        <v>914</v>
      </c>
      <c r="S971" s="373"/>
      <c r="T971" s="372"/>
      <c r="U971" s="373"/>
      <c r="V971" s="373" t="n">
        <v>0.043214</v>
      </c>
      <c r="W971" s="373" t="n">
        <v>0.003025</v>
      </c>
      <c r="X971" s="373" t="n">
        <v>0.003113</v>
      </c>
      <c r="Y971" s="373" t="n">
        <v>0.032033</v>
      </c>
      <c r="Z971" s="373" t="n">
        <v>0.00172</v>
      </c>
      <c r="AA971" s="373" t="n">
        <v>0.002</v>
      </c>
      <c r="AB971" s="374" t="n">
        <f aca="false">S971-Z971</f>
        <v>-0.00172</v>
      </c>
      <c r="AC971" s="374" t="n">
        <f aca="false">U971-Z971-AA971</f>
        <v>-0.00372</v>
      </c>
      <c r="AD971" s="375" t="n">
        <v>0.0353</v>
      </c>
      <c r="AE971" s="376" t="n">
        <v>0.032033</v>
      </c>
      <c r="AF971" s="376" t="n">
        <v>0.003267</v>
      </c>
      <c r="AG971" s="377" t="n">
        <v>0.0353</v>
      </c>
      <c r="AH971" s="378" t="n">
        <v>45918</v>
      </c>
      <c r="AI971" s="379" t="n">
        <v>2</v>
      </c>
      <c r="AJ971" s="380" t="str">
        <f aca="false">IF(AG971="","N","Y")</f>
        <v>Y</v>
      </c>
      <c r="AK971" s="396" t="s">
        <v>1213</v>
      </c>
      <c r="AL971" s="397"/>
    </row>
    <row r="972" s="382" customFormat="true" ht="20.25" hidden="false" customHeight="true" outlineLevel="0" collapsed="false">
      <c r="A972" s="364" t="n">
        <v>447</v>
      </c>
      <c r="B972" s="363" t="n">
        <v>45919</v>
      </c>
      <c r="C972" s="364" t="s">
        <v>1129</v>
      </c>
      <c r="D972" s="364" t="s">
        <v>1130</v>
      </c>
      <c r="E972" s="364" t="s">
        <v>1214</v>
      </c>
      <c r="F972" s="364" t="s">
        <v>1132</v>
      </c>
      <c r="G972" s="365" t="n">
        <v>45919</v>
      </c>
      <c r="H972" s="365" t="n">
        <v>45950</v>
      </c>
      <c r="I972" s="364" t="n">
        <f aca="false">H972-G972</f>
        <v>31</v>
      </c>
      <c r="J972" s="366" t="n">
        <f aca="false">TRUNC(I972/30,0)</f>
        <v>1</v>
      </c>
      <c r="K972" s="395" t="s">
        <v>95</v>
      </c>
      <c r="L972" s="368" t="n">
        <v>1.006</v>
      </c>
      <c r="M972" s="369"/>
      <c r="N972" s="370" t="s">
        <v>1215</v>
      </c>
      <c r="O972" s="366" t="s">
        <v>303</v>
      </c>
      <c r="P972" s="371" t="n">
        <v>0.0413544</v>
      </c>
      <c r="Q972" s="371"/>
      <c r="R972" s="372" t="s">
        <v>914</v>
      </c>
      <c r="S972" s="373"/>
      <c r="T972" s="372"/>
      <c r="U972" s="373"/>
      <c r="V972" s="373" t="n">
        <v>0.044344</v>
      </c>
      <c r="W972" s="373" t="n">
        <v>0.000887</v>
      </c>
      <c r="X972" s="373" t="n">
        <v>0.003181</v>
      </c>
      <c r="Y972" s="373" t="n">
        <v>0.035827</v>
      </c>
      <c r="Z972" s="373" t="n">
        <v>0.00172</v>
      </c>
      <c r="AA972" s="373" t="n">
        <v>0.002</v>
      </c>
      <c r="AB972" s="374" t="n">
        <f aca="false">S972-Z972</f>
        <v>-0.00172</v>
      </c>
      <c r="AC972" s="374" t="n">
        <f aca="false">U972-Z972-AA972</f>
        <v>-0.00372</v>
      </c>
      <c r="AD972" s="375" t="n">
        <v>0.0385</v>
      </c>
      <c r="AE972" s="376" t="n">
        <v>0.035827</v>
      </c>
      <c r="AF972" s="376" t="n">
        <f aca="false">AD972-AE972</f>
        <v>0.002673</v>
      </c>
      <c r="AG972" s="377" t="n">
        <f aca="false">IF(AF972="","",AE972+AF972)</f>
        <v>0.0385</v>
      </c>
      <c r="AH972" s="378" t="n">
        <v>45918</v>
      </c>
      <c r="AI972" s="379" t="n">
        <v>1</v>
      </c>
      <c r="AJ972" s="380" t="str">
        <f aca="false">IF(AG972="","N","Y")</f>
        <v>Y</v>
      </c>
      <c r="AK972" s="416" t="s">
        <v>1216</v>
      </c>
      <c r="AL972" s="397"/>
    </row>
    <row r="973" s="382" customFormat="true" ht="20.25" hidden="false" customHeight="true" outlineLevel="0" collapsed="false">
      <c r="A973" s="364" t="n">
        <v>448</v>
      </c>
      <c r="B973" s="363" t="n">
        <v>45922</v>
      </c>
      <c r="C973" s="364" t="s">
        <v>770</v>
      </c>
      <c r="D973" s="364" t="s">
        <v>1051</v>
      </c>
      <c r="E973" s="364" t="s">
        <v>1155</v>
      </c>
      <c r="F973" s="364" t="s">
        <v>1156</v>
      </c>
      <c r="G973" s="365" t="n">
        <v>45922</v>
      </c>
      <c r="H973" s="365" t="n">
        <v>46013</v>
      </c>
      <c r="I973" s="364" t="n">
        <f aca="false">H973-G973</f>
        <v>91</v>
      </c>
      <c r="J973" s="366" t="n">
        <f aca="false">TRUNC(I973/30,0)</f>
        <v>3</v>
      </c>
      <c r="K973" s="395" t="s">
        <v>95</v>
      </c>
      <c r="L973" s="368" t="n">
        <v>2</v>
      </c>
      <c r="M973" s="369"/>
      <c r="N973" s="370" t="s">
        <v>1215</v>
      </c>
      <c r="O973" s="366" t="s">
        <v>300</v>
      </c>
      <c r="P973" s="371" t="n">
        <v>0.0401248</v>
      </c>
      <c r="Q973" s="371"/>
      <c r="R973" s="372" t="s">
        <v>914</v>
      </c>
      <c r="S973" s="373"/>
      <c r="T973" s="372"/>
      <c r="U973" s="373"/>
      <c r="V973" s="373" t="n">
        <v>0.044532</v>
      </c>
      <c r="W973" s="373" t="n">
        <v>0.000891</v>
      </c>
      <c r="X973" s="373" t="n">
        <f aca="false">V973-AD973-$X$5-W973</f>
        <v>0.002065</v>
      </c>
      <c r="Y973" s="373" t="n">
        <v>0.039472</v>
      </c>
      <c r="Z973" s="373" t="n">
        <v>0.00172</v>
      </c>
      <c r="AA973" s="373" t="n">
        <v>0.002</v>
      </c>
      <c r="AB973" s="374" t="n">
        <f aca="false">S973-Z973</f>
        <v>-0.00172</v>
      </c>
      <c r="AC973" s="374" t="n">
        <f aca="false">U973-Z973-AA973</f>
        <v>-0.00372</v>
      </c>
      <c r="AD973" s="375" t="n">
        <v>0.0398</v>
      </c>
      <c r="AE973" s="373" t="n">
        <v>0.035322</v>
      </c>
      <c r="AF973" s="376" t="n">
        <f aca="false">AD973-AE973</f>
        <v>0.004478</v>
      </c>
      <c r="AG973" s="377" t="n">
        <f aca="false">IF(AF973="","",AE973+AF973)</f>
        <v>0.0398</v>
      </c>
      <c r="AH973" s="378" t="n">
        <v>45922</v>
      </c>
      <c r="AI973" s="379" t="n">
        <v>1</v>
      </c>
      <c r="AJ973" s="380" t="str">
        <f aca="false">IF(AG973="","N","Y")</f>
        <v>Y</v>
      </c>
      <c r="AK973" s="396" t="s">
        <v>1217</v>
      </c>
      <c r="AL973" s="397"/>
    </row>
    <row r="974" s="382" customFormat="true" ht="20.25" hidden="false" customHeight="true" outlineLevel="0" collapsed="false">
      <c r="A974" s="364" t="n">
        <v>449</v>
      </c>
      <c r="B974" s="363" t="n">
        <v>45922</v>
      </c>
      <c r="C974" s="364" t="s">
        <v>1172</v>
      </c>
      <c r="D974" s="364" t="s">
        <v>1173</v>
      </c>
      <c r="E974" s="364" t="s">
        <v>1218</v>
      </c>
      <c r="F974" s="364" t="s">
        <v>1175</v>
      </c>
      <c r="G974" s="365" t="n">
        <v>45922</v>
      </c>
      <c r="H974" s="365" t="n">
        <v>45952</v>
      </c>
      <c r="I974" s="364" t="n">
        <f aca="false">H974-G974</f>
        <v>30</v>
      </c>
      <c r="J974" s="366" t="n">
        <f aca="false">TRUNC(I974/30,0)</f>
        <v>1</v>
      </c>
      <c r="K974" s="367" t="s">
        <v>99</v>
      </c>
      <c r="L974" s="368" t="n">
        <v>1.6</v>
      </c>
      <c r="M974" s="369"/>
      <c r="N974" s="370"/>
      <c r="O974" s="366" t="s">
        <v>303</v>
      </c>
      <c r="P974" s="371" t="n">
        <v>0.0415457</v>
      </c>
      <c r="Q974" s="371"/>
      <c r="R974" s="372" t="s">
        <v>914</v>
      </c>
      <c r="S974" s="373"/>
      <c r="T974" s="372"/>
      <c r="U974" s="373"/>
      <c r="V974" s="373" t="n">
        <v>0.04411</v>
      </c>
      <c r="W974" s="373" t="n">
        <v>0.003088</v>
      </c>
      <c r="X974" s="373" t="n">
        <f aca="false">V974-AD974-$X$5-W974</f>
        <v>0.00274600000000001</v>
      </c>
      <c r="Y974" s="373" t="n">
        <v>0.031807</v>
      </c>
      <c r="Z974" s="373" t="n">
        <v>0.00172</v>
      </c>
      <c r="AA974" s="373" t="n">
        <v>0.002</v>
      </c>
      <c r="AB974" s="374" t="n">
        <f aca="false">S974-Z974</f>
        <v>-0.00172</v>
      </c>
      <c r="AC974" s="374" t="n">
        <f aca="false">U974-Z974-AA974</f>
        <v>-0.00372</v>
      </c>
      <c r="AD974" s="375" t="n">
        <v>0.0365</v>
      </c>
      <c r="AE974" s="376" t="n">
        <v>0.031807</v>
      </c>
      <c r="AF974" s="376" t="n">
        <f aca="false">AD974-AE974</f>
        <v>0.004693</v>
      </c>
      <c r="AG974" s="377" t="n">
        <f aca="false">AE974+AF974</f>
        <v>0.0365</v>
      </c>
      <c r="AH974" s="378" t="n">
        <v>45922</v>
      </c>
      <c r="AI974" s="379" t="n">
        <v>2</v>
      </c>
      <c r="AJ974" s="380" t="str">
        <f aca="false">IF(AG974="","N","Y")</f>
        <v>Y</v>
      </c>
      <c r="AK974" s="396" t="s">
        <v>1057</v>
      </c>
      <c r="AL974" s="397"/>
    </row>
    <row r="975" s="382" customFormat="true" ht="20.25" hidden="false" customHeight="true" outlineLevel="0" collapsed="false">
      <c r="A975" s="364" t="n">
        <v>450</v>
      </c>
      <c r="B975" s="363" t="n">
        <v>45922</v>
      </c>
      <c r="C975" s="364" t="s">
        <v>1219</v>
      </c>
      <c r="D975" s="364" t="s">
        <v>1005</v>
      </c>
      <c r="E975" s="364" t="s">
        <v>1006</v>
      </c>
      <c r="F975" s="364" t="s">
        <v>1056</v>
      </c>
      <c r="G975" s="365" t="n">
        <v>45922</v>
      </c>
      <c r="H975" s="365" t="n">
        <v>45952</v>
      </c>
      <c r="I975" s="364" t="n">
        <f aca="false">H975-G975</f>
        <v>30</v>
      </c>
      <c r="J975" s="366" t="n">
        <f aca="false">TRUNC(I975/30,0)</f>
        <v>1</v>
      </c>
      <c r="K975" s="367" t="s">
        <v>99</v>
      </c>
      <c r="L975" s="368" t="n">
        <v>12.86</v>
      </c>
      <c r="M975" s="369"/>
      <c r="N975" s="370"/>
      <c r="O975" s="366" t="s">
        <v>303</v>
      </c>
      <c r="P975" s="371" t="n">
        <v>0.0415457</v>
      </c>
      <c r="Q975" s="371"/>
      <c r="R975" s="372" t="s">
        <v>914</v>
      </c>
      <c r="S975" s="373"/>
      <c r="T975" s="372"/>
      <c r="U975" s="373"/>
      <c r="V975" s="373" t="n">
        <v>0.04411</v>
      </c>
      <c r="W975" s="373" t="n">
        <v>0.003088</v>
      </c>
      <c r="X975" s="373" t="n">
        <f aca="false">V975-AD975-$X$5-W975</f>
        <v>0.00394600000000001</v>
      </c>
      <c r="Y975" s="373" t="n">
        <v>0.031807</v>
      </c>
      <c r="Z975" s="373" t="n">
        <v>0.00172</v>
      </c>
      <c r="AA975" s="373" t="n">
        <v>0.002</v>
      </c>
      <c r="AB975" s="374" t="n">
        <f aca="false">S975-Z975</f>
        <v>-0.00172</v>
      </c>
      <c r="AC975" s="374" t="n">
        <f aca="false">U975-Z975-AA975</f>
        <v>-0.00372</v>
      </c>
      <c r="AD975" s="375" t="n">
        <v>0.0353</v>
      </c>
      <c r="AE975" s="376" t="n">
        <v>0.031807</v>
      </c>
      <c r="AF975" s="376" t="n">
        <f aca="false">AG975-AE975</f>
        <v>0.003493</v>
      </c>
      <c r="AG975" s="377" t="n">
        <v>0.0353</v>
      </c>
      <c r="AH975" s="378" t="n">
        <v>45922</v>
      </c>
      <c r="AI975" s="379" t="n">
        <v>3</v>
      </c>
      <c r="AJ975" s="380" t="str">
        <f aca="false">IF(AG975="","N","Y")</f>
        <v>Y</v>
      </c>
      <c r="AK975" s="396" t="s">
        <v>1057</v>
      </c>
      <c r="AL975" s="397"/>
    </row>
    <row r="976" s="382" customFormat="true" ht="20.25" hidden="false" customHeight="true" outlineLevel="0" collapsed="false">
      <c r="A976" s="364" t="n">
        <v>451</v>
      </c>
      <c r="B976" s="363" t="n">
        <v>45925</v>
      </c>
      <c r="C976" s="364" t="s">
        <v>925</v>
      </c>
      <c r="D976" s="364" t="s">
        <v>1181</v>
      </c>
      <c r="E976" s="364" t="s">
        <v>1074</v>
      </c>
      <c r="F976" s="364" t="s">
        <v>779</v>
      </c>
      <c r="G976" s="365" t="n">
        <v>45925</v>
      </c>
      <c r="H976" s="365" t="n">
        <v>45957</v>
      </c>
      <c r="I976" s="364" t="n">
        <f aca="false">H976-G976</f>
        <v>32</v>
      </c>
      <c r="J976" s="366" t="n">
        <f aca="false">TRUNC(I976/30,0)</f>
        <v>1</v>
      </c>
      <c r="K976" s="367" t="s">
        <v>99</v>
      </c>
      <c r="L976" s="368" t="n">
        <v>1</v>
      </c>
      <c r="M976" s="369"/>
      <c r="N976" s="409"/>
      <c r="O976" s="366" t="s">
        <v>303</v>
      </c>
      <c r="P976" s="371" t="n">
        <v>0.0415848</v>
      </c>
      <c r="Q976" s="371"/>
      <c r="R976" s="372" t="s">
        <v>914</v>
      </c>
      <c r="S976" s="373"/>
      <c r="T976" s="372"/>
      <c r="U976" s="373"/>
      <c r="V976" s="373" t="n">
        <v>0.046252</v>
      </c>
      <c r="W976" s="373" t="n">
        <v>0.003238</v>
      </c>
      <c r="X976" s="373" t="n">
        <f aca="false">V976-AD976-$X$5-W976</f>
        <v>0.006238</v>
      </c>
      <c r="Y976" s="373" t="n">
        <v>0.03009</v>
      </c>
      <c r="Z976" s="373" t="n">
        <v>0.00172</v>
      </c>
      <c r="AA976" s="373" t="n">
        <v>0.002</v>
      </c>
      <c r="AB976" s="374" t="n">
        <f aca="false">S976-Z976</f>
        <v>-0.00172</v>
      </c>
      <c r="AC976" s="374" t="n">
        <f aca="false">U976-Z976-AA976</f>
        <v>-0.00372</v>
      </c>
      <c r="AD976" s="375" t="n">
        <v>0.035</v>
      </c>
      <c r="AE976" s="376" t="n">
        <v>0.03009</v>
      </c>
      <c r="AF976" s="376" t="n">
        <f aca="false">AG976-AE976</f>
        <v>0.00491000000000001</v>
      </c>
      <c r="AG976" s="377" t="n">
        <v>0.035</v>
      </c>
      <c r="AH976" s="378" t="n">
        <v>45923</v>
      </c>
      <c r="AI976" s="379" t="n">
        <v>1</v>
      </c>
      <c r="AJ976" s="380" t="str">
        <f aca="false">IF(AG976="","N","Y")</f>
        <v>Y</v>
      </c>
      <c r="AK976" s="396"/>
      <c r="AL976" s="397"/>
    </row>
    <row r="977" s="382" customFormat="true" ht="20.25" hidden="false" customHeight="true" outlineLevel="0" collapsed="false">
      <c r="A977" s="364" t="n">
        <v>452</v>
      </c>
      <c r="B977" s="363" t="n">
        <v>45926</v>
      </c>
      <c r="C977" s="364" t="s">
        <v>187</v>
      </c>
      <c r="D977" s="402" t="s">
        <v>1062</v>
      </c>
      <c r="E977" s="402" t="s">
        <v>1165</v>
      </c>
      <c r="F977" s="402" t="s">
        <v>877</v>
      </c>
      <c r="G977" s="365" t="n">
        <v>45926</v>
      </c>
      <c r="H977" s="365" t="n">
        <v>45932</v>
      </c>
      <c r="I977" s="364" t="n">
        <f aca="false">H977-G977</f>
        <v>6</v>
      </c>
      <c r="J977" s="366" t="n">
        <f aca="false">TRUNC(I977/30,0)</f>
        <v>0</v>
      </c>
      <c r="K977" s="395" t="s">
        <v>95</v>
      </c>
      <c r="L977" s="368" t="n">
        <v>2</v>
      </c>
      <c r="M977" s="369"/>
      <c r="N977" s="409"/>
      <c r="O977" s="366" t="s">
        <v>305</v>
      </c>
      <c r="P977" s="371" t="n">
        <v>0.0413735</v>
      </c>
      <c r="Q977" s="371"/>
      <c r="R977" s="372" t="s">
        <v>914</v>
      </c>
      <c r="S977" s="373"/>
      <c r="T977" s="372"/>
      <c r="U977" s="373"/>
      <c r="V977" s="373" t="n">
        <v>0.04268</v>
      </c>
      <c r="W977" s="373" t="n">
        <v>0.002988</v>
      </c>
      <c r="X977" s="373" t="n">
        <f aca="false">V977-AD977-$X$5-W977</f>
        <v>0.002916</v>
      </c>
      <c r="Y977" s="373" t="n">
        <v>0.030177</v>
      </c>
      <c r="Z977" s="373" t="n">
        <v>0.00172</v>
      </c>
      <c r="AA977" s="373" t="n">
        <v>0.002</v>
      </c>
      <c r="AB977" s="374" t="n">
        <f aca="false">S977-Z977</f>
        <v>-0.00172</v>
      </c>
      <c r="AC977" s="374" t="n">
        <f aca="false">U977-Z977-AA977</f>
        <v>-0.00372</v>
      </c>
      <c r="AD977" s="375" t="n">
        <v>0.035</v>
      </c>
      <c r="AE977" s="376" t="n">
        <v>0.030177</v>
      </c>
      <c r="AF977" s="376" t="n">
        <f aca="false">AG977-AE977</f>
        <v>0.004823</v>
      </c>
      <c r="AG977" s="377" t="n">
        <v>0.035</v>
      </c>
      <c r="AH977" s="378" t="n">
        <v>45926</v>
      </c>
      <c r="AI977" s="379" t="n">
        <v>1</v>
      </c>
      <c r="AJ977" s="380" t="str">
        <f aca="false">IF(AG977="","N","Y")</f>
        <v>Y</v>
      </c>
      <c r="AK977" s="396"/>
      <c r="AL977" s="397"/>
    </row>
    <row r="978" s="382" customFormat="true" ht="20.25" hidden="false" customHeight="true" outlineLevel="0" collapsed="false">
      <c r="A978" s="364" t="n">
        <v>453</v>
      </c>
      <c r="B978" s="363" t="n">
        <v>45926</v>
      </c>
      <c r="C978" s="364" t="s">
        <v>187</v>
      </c>
      <c r="D978" s="402" t="s">
        <v>1062</v>
      </c>
      <c r="E978" s="402" t="s">
        <v>1165</v>
      </c>
      <c r="F978" s="402" t="s">
        <v>877</v>
      </c>
      <c r="G978" s="365" t="n">
        <v>45926</v>
      </c>
      <c r="H978" s="365" t="n">
        <v>45932</v>
      </c>
      <c r="I978" s="364" t="n">
        <f aca="false">H978-G978</f>
        <v>6</v>
      </c>
      <c r="J978" s="366" t="n">
        <f aca="false">TRUNC(I978/30,0)</f>
        <v>0</v>
      </c>
      <c r="K978" s="395" t="s">
        <v>95</v>
      </c>
      <c r="L978" s="368" t="n">
        <v>2</v>
      </c>
      <c r="M978" s="369"/>
      <c r="N978" s="409"/>
      <c r="O978" s="366" t="s">
        <v>305</v>
      </c>
      <c r="P978" s="371" t="n">
        <v>0.0413735</v>
      </c>
      <c r="Q978" s="371"/>
      <c r="R978" s="372" t="s">
        <v>914</v>
      </c>
      <c r="S978" s="373"/>
      <c r="T978" s="372"/>
      <c r="U978" s="373"/>
      <c r="V978" s="373" t="n">
        <v>0.04268</v>
      </c>
      <c r="W978" s="373" t="n">
        <v>0.002988</v>
      </c>
      <c r="X978" s="373" t="n">
        <f aca="false">V978-AD978-$X$5-W978</f>
        <v>0.002916</v>
      </c>
      <c r="Y978" s="373" t="n">
        <v>0.030177</v>
      </c>
      <c r="Z978" s="373" t="n">
        <v>0.00172</v>
      </c>
      <c r="AA978" s="373" t="n">
        <v>0.002</v>
      </c>
      <c r="AB978" s="374" t="n">
        <f aca="false">S978-Z978</f>
        <v>-0.00172</v>
      </c>
      <c r="AC978" s="374" t="n">
        <f aca="false">U978-Z978-AA978</f>
        <v>-0.00372</v>
      </c>
      <c r="AD978" s="375" t="n">
        <v>0.035</v>
      </c>
      <c r="AE978" s="376" t="n">
        <v>0.030177</v>
      </c>
      <c r="AF978" s="376" t="n">
        <f aca="false">AG978-AE978</f>
        <v>0.004823</v>
      </c>
      <c r="AG978" s="377" t="n">
        <v>0.035</v>
      </c>
      <c r="AH978" s="378" t="n">
        <v>45926</v>
      </c>
      <c r="AI978" s="379" t="n">
        <v>3</v>
      </c>
      <c r="AJ978" s="380" t="str">
        <f aca="false">IF(AG978="","N","Y")</f>
        <v>Y</v>
      </c>
      <c r="AK978" s="396"/>
      <c r="AL978" s="397"/>
    </row>
    <row r="979" s="382" customFormat="true" ht="20.25" hidden="false" customHeight="true" outlineLevel="0" collapsed="false">
      <c r="A979" s="364" t="n">
        <v>454</v>
      </c>
      <c r="B979" s="363" t="n">
        <v>45926</v>
      </c>
      <c r="C979" s="364" t="s">
        <v>187</v>
      </c>
      <c r="D979" s="402" t="s">
        <v>1062</v>
      </c>
      <c r="E979" s="402" t="s">
        <v>1165</v>
      </c>
      <c r="F979" s="402" t="s">
        <v>877</v>
      </c>
      <c r="G979" s="365" t="n">
        <v>45926</v>
      </c>
      <c r="H979" s="365" t="n">
        <v>45932</v>
      </c>
      <c r="I979" s="364" t="n">
        <f aca="false">H979-G979</f>
        <v>6</v>
      </c>
      <c r="J979" s="366" t="n">
        <f aca="false">TRUNC(I979/30,0)</f>
        <v>0</v>
      </c>
      <c r="K979" s="395" t="s">
        <v>95</v>
      </c>
      <c r="L979" s="368" t="n">
        <v>2</v>
      </c>
      <c r="M979" s="369"/>
      <c r="N979" s="409"/>
      <c r="O979" s="366" t="s">
        <v>305</v>
      </c>
      <c r="P979" s="371" t="n">
        <v>0.0413735</v>
      </c>
      <c r="Q979" s="371"/>
      <c r="R979" s="372" t="s">
        <v>914</v>
      </c>
      <c r="S979" s="373"/>
      <c r="T979" s="372"/>
      <c r="U979" s="373"/>
      <c r="V979" s="373" t="n">
        <v>0.04268</v>
      </c>
      <c r="W979" s="373" t="n">
        <v>0.002988</v>
      </c>
      <c r="X979" s="373" t="n">
        <f aca="false">V979-AD979-$X$5-W979</f>
        <v>0.002916</v>
      </c>
      <c r="Y979" s="373" t="n">
        <v>0.030177</v>
      </c>
      <c r="Z979" s="373" t="n">
        <v>0.00172</v>
      </c>
      <c r="AA979" s="373" t="n">
        <v>0.002</v>
      </c>
      <c r="AB979" s="374" t="n">
        <f aca="false">S979-Z979</f>
        <v>-0.00172</v>
      </c>
      <c r="AC979" s="374" t="n">
        <f aca="false">U979-Z979-AA979</f>
        <v>-0.00372</v>
      </c>
      <c r="AD979" s="375" t="n">
        <v>0.035</v>
      </c>
      <c r="AE979" s="376" t="n">
        <v>0.030177</v>
      </c>
      <c r="AF979" s="376" t="n">
        <f aca="false">AG979-AE979</f>
        <v>0.004823</v>
      </c>
      <c r="AG979" s="377" t="n">
        <v>0.035</v>
      </c>
      <c r="AH979" s="378" t="n">
        <v>45926</v>
      </c>
      <c r="AI979" s="379" t="n">
        <v>4</v>
      </c>
      <c r="AJ979" s="380" t="str">
        <f aca="false">IF(AG979="","N","Y")</f>
        <v>Y</v>
      </c>
      <c r="AK979" s="396"/>
      <c r="AL979" s="397"/>
    </row>
    <row r="980" s="382" customFormat="true" ht="20.25" hidden="false" customHeight="true" outlineLevel="0" collapsed="false">
      <c r="A980" s="364" t="n">
        <v>455</v>
      </c>
      <c r="B980" s="363" t="n">
        <v>45926</v>
      </c>
      <c r="C980" s="364" t="s">
        <v>187</v>
      </c>
      <c r="D980" s="402" t="s">
        <v>1062</v>
      </c>
      <c r="E980" s="402" t="s">
        <v>1165</v>
      </c>
      <c r="F980" s="402" t="s">
        <v>877</v>
      </c>
      <c r="G980" s="365" t="n">
        <v>45926</v>
      </c>
      <c r="H980" s="365" t="n">
        <v>45932</v>
      </c>
      <c r="I980" s="364" t="n">
        <f aca="false">H980-G980</f>
        <v>6</v>
      </c>
      <c r="J980" s="366" t="n">
        <f aca="false">TRUNC(I980/30,0)</f>
        <v>0</v>
      </c>
      <c r="K980" s="395" t="s">
        <v>95</v>
      </c>
      <c r="L980" s="368" t="n">
        <v>2</v>
      </c>
      <c r="M980" s="369"/>
      <c r="N980" s="409"/>
      <c r="O980" s="366" t="s">
        <v>305</v>
      </c>
      <c r="P980" s="371" t="n">
        <v>0.0413735</v>
      </c>
      <c r="Q980" s="371"/>
      <c r="R980" s="372" t="s">
        <v>914</v>
      </c>
      <c r="S980" s="373"/>
      <c r="T980" s="372"/>
      <c r="U980" s="373"/>
      <c r="V980" s="373" t="n">
        <v>0.04268</v>
      </c>
      <c r="W980" s="373" t="n">
        <v>0.002988</v>
      </c>
      <c r="X980" s="373" t="n">
        <f aca="false">V980-AD980-$X$5-W980</f>
        <v>0.002916</v>
      </c>
      <c r="Y980" s="373" t="n">
        <v>0.030177</v>
      </c>
      <c r="Z980" s="373" t="n">
        <v>0.00172</v>
      </c>
      <c r="AA980" s="373" t="n">
        <v>0.002</v>
      </c>
      <c r="AB980" s="374" t="n">
        <f aca="false">S980-Z980</f>
        <v>-0.00172</v>
      </c>
      <c r="AC980" s="374" t="n">
        <f aca="false">U980-Z980-AA980</f>
        <v>-0.00372</v>
      </c>
      <c r="AD980" s="375" t="n">
        <v>0.035</v>
      </c>
      <c r="AE980" s="376" t="n">
        <v>0.030177</v>
      </c>
      <c r="AF980" s="376" t="n">
        <f aca="false">AG980-AE980</f>
        <v>0.004823</v>
      </c>
      <c r="AG980" s="377" t="n">
        <v>0.035</v>
      </c>
      <c r="AH980" s="378" t="n">
        <v>45926</v>
      </c>
      <c r="AI980" s="379" t="n">
        <v>5</v>
      </c>
      <c r="AJ980" s="380" t="str">
        <f aca="false">IF(AG980="","N","Y")</f>
        <v>Y</v>
      </c>
      <c r="AK980" s="396"/>
      <c r="AL980" s="397"/>
    </row>
    <row r="981" s="382" customFormat="true" ht="20.25" hidden="false" customHeight="true" outlineLevel="0" collapsed="false">
      <c r="A981" s="364" t="n">
        <v>456</v>
      </c>
      <c r="B981" s="363" t="n">
        <v>45926</v>
      </c>
      <c r="C981" s="364" t="s">
        <v>187</v>
      </c>
      <c r="D981" s="402" t="s">
        <v>1062</v>
      </c>
      <c r="E981" s="402" t="s">
        <v>1165</v>
      </c>
      <c r="F981" s="402" t="s">
        <v>877</v>
      </c>
      <c r="G981" s="365" t="n">
        <v>45926</v>
      </c>
      <c r="H981" s="365" t="n">
        <v>45932</v>
      </c>
      <c r="I981" s="364" t="n">
        <f aca="false">H981-G981</f>
        <v>6</v>
      </c>
      <c r="J981" s="366" t="n">
        <f aca="false">TRUNC(I981/30,0)</f>
        <v>0</v>
      </c>
      <c r="K981" s="395" t="s">
        <v>95</v>
      </c>
      <c r="L981" s="368" t="n">
        <v>2</v>
      </c>
      <c r="M981" s="369"/>
      <c r="N981" s="409"/>
      <c r="O981" s="366" t="s">
        <v>305</v>
      </c>
      <c r="P981" s="371" t="n">
        <v>0.0413735</v>
      </c>
      <c r="Q981" s="371"/>
      <c r="R981" s="372" t="s">
        <v>914</v>
      </c>
      <c r="S981" s="373"/>
      <c r="T981" s="372"/>
      <c r="U981" s="373"/>
      <c r="V981" s="373" t="n">
        <v>0.04268</v>
      </c>
      <c r="W981" s="373" t="n">
        <v>0.002988</v>
      </c>
      <c r="X981" s="373" t="n">
        <f aca="false">V981-AD981-$X$5-W981</f>
        <v>0.002916</v>
      </c>
      <c r="Y981" s="373" t="n">
        <v>0.030177</v>
      </c>
      <c r="Z981" s="373" t="n">
        <v>0.00172</v>
      </c>
      <c r="AA981" s="373" t="n">
        <v>0.002</v>
      </c>
      <c r="AB981" s="374" t="n">
        <f aca="false">S981-Z981</f>
        <v>-0.00172</v>
      </c>
      <c r="AC981" s="374" t="n">
        <f aca="false">U981-Z981-AA981</f>
        <v>-0.00372</v>
      </c>
      <c r="AD981" s="375" t="n">
        <v>0.035</v>
      </c>
      <c r="AE981" s="376" t="n">
        <v>0.030177</v>
      </c>
      <c r="AF981" s="376" t="n">
        <f aca="false">AG981-AE981</f>
        <v>0.004823</v>
      </c>
      <c r="AG981" s="377" t="n">
        <v>0.035</v>
      </c>
      <c r="AH981" s="378" t="n">
        <v>45926</v>
      </c>
      <c r="AI981" s="379" t="n">
        <v>6</v>
      </c>
      <c r="AJ981" s="380" t="str">
        <f aca="false">IF(AG981="","N","Y")</f>
        <v>Y</v>
      </c>
      <c r="AK981" s="396"/>
      <c r="AL981" s="397"/>
    </row>
    <row r="982" s="382" customFormat="true" ht="20.25" hidden="false" customHeight="true" outlineLevel="0" collapsed="false">
      <c r="A982" s="364" t="n">
        <v>457</v>
      </c>
      <c r="B982" s="363" t="n">
        <v>45929</v>
      </c>
      <c r="C982" s="364" t="s">
        <v>925</v>
      </c>
      <c r="D982" s="364" t="s">
        <v>1181</v>
      </c>
      <c r="E982" s="364" t="s">
        <v>987</v>
      </c>
      <c r="F982" s="364" t="s">
        <v>1163</v>
      </c>
      <c r="G982" s="365" t="n">
        <v>45929</v>
      </c>
      <c r="H982" s="365" t="n">
        <v>45959</v>
      </c>
      <c r="I982" s="364" t="n">
        <f aca="false">H982-G982</f>
        <v>30</v>
      </c>
      <c r="J982" s="366" t="n">
        <f aca="false">TRUNC(I982/30,0)</f>
        <v>1</v>
      </c>
      <c r="K982" s="395" t="s">
        <v>95</v>
      </c>
      <c r="L982" s="368" t="n">
        <v>2</v>
      </c>
      <c r="M982" s="369"/>
      <c r="N982" s="370"/>
      <c r="O982" s="366" t="s">
        <v>303</v>
      </c>
      <c r="P982" s="371" t="n">
        <v>0.0416553</v>
      </c>
      <c r="Q982" s="371"/>
      <c r="R982" s="372" t="s">
        <v>914</v>
      </c>
      <c r="S982" s="373"/>
      <c r="T982" s="372"/>
      <c r="U982" s="373"/>
      <c r="V982" s="373" t="n">
        <v>0.044655</v>
      </c>
      <c r="W982" s="373" t="n">
        <v>0.000893</v>
      </c>
      <c r="X982" s="373" t="n">
        <v>0.002986</v>
      </c>
      <c r="Y982" s="373" t="n">
        <v>0.036101</v>
      </c>
      <c r="Z982" s="373" t="n">
        <v>0.00172</v>
      </c>
      <c r="AA982" s="373" t="n">
        <v>0.002</v>
      </c>
      <c r="AB982" s="374" t="n">
        <f aca="false">S982-Z982</f>
        <v>-0.00172</v>
      </c>
      <c r="AC982" s="374" t="n">
        <f aca="false">U982-Z982-AA982</f>
        <v>-0.00372</v>
      </c>
      <c r="AD982" s="375" t="n">
        <v>0.039</v>
      </c>
      <c r="AE982" s="373" t="n">
        <v>0.036101</v>
      </c>
      <c r="AF982" s="376" t="n">
        <f aca="false">AD982-AE982</f>
        <v>0.002899</v>
      </c>
      <c r="AG982" s="377" t="n">
        <v>0.039</v>
      </c>
      <c r="AH982" s="378" t="n">
        <v>45929</v>
      </c>
      <c r="AI982" s="379" t="n">
        <v>1</v>
      </c>
      <c r="AJ982" s="380" t="str">
        <f aca="false">IF(AG982="","N","Y")</f>
        <v>Y</v>
      </c>
      <c r="AK982" s="396" t="s">
        <v>1220</v>
      </c>
      <c r="AL982" s="397"/>
    </row>
    <row r="983" s="382" customFormat="true" ht="20.25" hidden="false" customHeight="true" outlineLevel="0" collapsed="false">
      <c r="A983" s="364" t="n">
        <v>458</v>
      </c>
      <c r="B983" s="363" t="n">
        <v>45929</v>
      </c>
      <c r="C983" s="364" t="s">
        <v>103</v>
      </c>
      <c r="D983" s="364" t="s">
        <v>1146</v>
      </c>
      <c r="E983" s="364" t="s">
        <v>104</v>
      </c>
      <c r="F983" s="364" t="s">
        <v>1158</v>
      </c>
      <c r="G983" s="365" t="n">
        <v>45929</v>
      </c>
      <c r="H983" s="365" t="n">
        <v>45959</v>
      </c>
      <c r="I983" s="364" t="n">
        <f aca="false">H983-G983</f>
        <v>30</v>
      </c>
      <c r="J983" s="366" t="n">
        <f aca="false">TRUNC(I983/30,0)</f>
        <v>1</v>
      </c>
      <c r="K983" s="395" t="s">
        <v>95</v>
      </c>
      <c r="L983" s="368" t="n">
        <v>2</v>
      </c>
      <c r="M983" s="369"/>
      <c r="N983" s="370"/>
      <c r="O983" s="366" t="s">
        <v>303</v>
      </c>
      <c r="P983" s="371" t="n">
        <v>0.0416553</v>
      </c>
      <c r="Q983" s="371"/>
      <c r="R983" s="372" t="s">
        <v>914</v>
      </c>
      <c r="S983" s="373"/>
      <c r="T983" s="372"/>
      <c r="U983" s="373"/>
      <c r="V983" s="373" t="n">
        <v>0.044655</v>
      </c>
      <c r="W983" s="373" t="n">
        <v>0.000893</v>
      </c>
      <c r="X983" s="373" t="n">
        <v>0.003186</v>
      </c>
      <c r="Y983" s="373" t="n">
        <v>0.036101</v>
      </c>
      <c r="Z983" s="373" t="n">
        <v>0.00172</v>
      </c>
      <c r="AA983" s="373" t="n">
        <v>0.002</v>
      </c>
      <c r="AB983" s="374" t="n">
        <f aca="false">S983-Z983</f>
        <v>-0.00172</v>
      </c>
      <c r="AC983" s="374" t="n">
        <f aca="false">U983-Z983-AA983</f>
        <v>-0.00372</v>
      </c>
      <c r="AD983" s="375" t="n">
        <v>0.0388</v>
      </c>
      <c r="AE983" s="373" t="n">
        <v>0.036101</v>
      </c>
      <c r="AF983" s="376" t="n">
        <f aca="false">AD983-AE983</f>
        <v>0.002699</v>
      </c>
      <c r="AG983" s="377" t="n">
        <v>0.0388</v>
      </c>
      <c r="AH983" s="378" t="n">
        <v>45929</v>
      </c>
      <c r="AI983" s="379" t="n">
        <v>2</v>
      </c>
      <c r="AJ983" s="380" t="str">
        <f aca="false">IF(AG983="","N","Y")</f>
        <v>Y</v>
      </c>
      <c r="AK983" s="396" t="s">
        <v>1220</v>
      </c>
      <c r="AL983" s="397"/>
    </row>
    <row r="984" s="382" customFormat="true" ht="20.25" hidden="false" customHeight="true" outlineLevel="0" collapsed="false">
      <c r="A984" s="364" t="n">
        <v>459</v>
      </c>
      <c r="B984" s="363" t="n">
        <v>45929</v>
      </c>
      <c r="C984" s="364" t="s">
        <v>916</v>
      </c>
      <c r="D984" s="364" t="s">
        <v>917</v>
      </c>
      <c r="E984" s="364" t="s">
        <v>143</v>
      </c>
      <c r="F984" s="364" t="s">
        <v>1020</v>
      </c>
      <c r="G984" s="365" t="n">
        <v>45929</v>
      </c>
      <c r="H984" s="365" t="n">
        <v>46111</v>
      </c>
      <c r="I984" s="364" t="n">
        <f aca="false">H984-G984</f>
        <v>182</v>
      </c>
      <c r="J984" s="366" t="n">
        <f aca="false">TRUNC(I984/30,0)</f>
        <v>6</v>
      </c>
      <c r="K984" s="395" t="s">
        <v>95</v>
      </c>
      <c r="L984" s="368" t="n">
        <v>2.18</v>
      </c>
      <c r="M984" s="369" t="n">
        <v>3.46</v>
      </c>
      <c r="N984" s="370" t="s">
        <v>1221</v>
      </c>
      <c r="O984" s="366" t="n">
        <v>6</v>
      </c>
      <c r="P984" s="371" t="n">
        <v>0.0387187</v>
      </c>
      <c r="Q984" s="371"/>
      <c r="R984" s="372" t="s">
        <v>914</v>
      </c>
      <c r="S984" s="373"/>
      <c r="T984" s="372"/>
      <c r="U984" s="373"/>
      <c r="V984" s="373" t="n">
        <v>0.043402</v>
      </c>
      <c r="W984" s="373" t="n">
        <v>0.000868</v>
      </c>
      <c r="X984" s="373" t="n">
        <v>0.003758</v>
      </c>
      <c r="Y984" s="373" t="n">
        <v>0.034544</v>
      </c>
      <c r="Z984" s="373" t="n">
        <v>0.00172</v>
      </c>
      <c r="AA984" s="373" t="n">
        <v>0.002</v>
      </c>
      <c r="AB984" s="374" t="n">
        <f aca="false">S984-Z984</f>
        <v>-0.00172</v>
      </c>
      <c r="AC984" s="374" t="n">
        <f aca="false">U984-Z984-AA984</f>
        <v>-0.00372</v>
      </c>
      <c r="AD984" s="375" t="n">
        <v>0.037</v>
      </c>
      <c r="AE984" s="376" t="n">
        <f aca="false">IF(Y984="","",Y984)</f>
        <v>0.034544</v>
      </c>
      <c r="AF984" s="376" t="n">
        <f aca="false">AD984-AE984</f>
        <v>0.002456</v>
      </c>
      <c r="AG984" s="377" t="n">
        <f aca="false">IF(AF984="","",AE984+AF984)</f>
        <v>0.037</v>
      </c>
      <c r="AH984" s="378" t="n">
        <v>45929</v>
      </c>
      <c r="AI984" s="379" t="n">
        <v>3</v>
      </c>
      <c r="AJ984" s="380" t="str">
        <f aca="false">IF(AG984="","N","Y")</f>
        <v>Y</v>
      </c>
      <c r="AK984" s="396" t="s">
        <v>1222</v>
      </c>
      <c r="AL984" s="397"/>
    </row>
    <row r="985" s="382" customFormat="true" ht="20.25" hidden="false" customHeight="true" outlineLevel="0" collapsed="false">
      <c r="A985" s="364" t="n">
        <v>460</v>
      </c>
      <c r="B985" s="363" t="n">
        <v>45929</v>
      </c>
      <c r="C985" s="364" t="s">
        <v>103</v>
      </c>
      <c r="D985" s="364" t="s">
        <v>1146</v>
      </c>
      <c r="E985" s="364" t="s">
        <v>1147</v>
      </c>
      <c r="F985" s="364" t="s">
        <v>1200</v>
      </c>
      <c r="G985" s="365" t="n">
        <v>45929</v>
      </c>
      <c r="H985" s="365" t="n">
        <v>45959</v>
      </c>
      <c r="I985" s="364" t="n">
        <f aca="false">H985-G985</f>
        <v>30</v>
      </c>
      <c r="J985" s="366" t="n">
        <f aca="false">TRUNC(I985/30,0)</f>
        <v>1</v>
      </c>
      <c r="K985" s="395" t="s">
        <v>95</v>
      </c>
      <c r="L985" s="368" t="n">
        <v>10</v>
      </c>
      <c r="M985" s="369"/>
      <c r="N985" s="370"/>
      <c r="O985" s="366" t="s">
        <v>303</v>
      </c>
      <c r="P985" s="371" t="n">
        <v>0.0416553</v>
      </c>
      <c r="Q985" s="371"/>
      <c r="R985" s="372" t="s">
        <v>914</v>
      </c>
      <c r="S985" s="373"/>
      <c r="T985" s="372"/>
      <c r="U985" s="373"/>
      <c r="V985" s="373" t="n">
        <v>0.044655</v>
      </c>
      <c r="W985" s="373" t="n">
        <v>0.000893</v>
      </c>
      <c r="X985" s="373" t="n">
        <v>0.002586</v>
      </c>
      <c r="Y985" s="373" t="n">
        <v>0.036101</v>
      </c>
      <c r="Z985" s="373" t="n">
        <v>0.00172</v>
      </c>
      <c r="AA985" s="373" t="n">
        <v>0.002</v>
      </c>
      <c r="AB985" s="374" t="n">
        <f aca="false">S985-Z985</f>
        <v>-0.00172</v>
      </c>
      <c r="AC985" s="374" t="n">
        <f aca="false">U985-Z985-AA985</f>
        <v>-0.00372</v>
      </c>
      <c r="AD985" s="375" t="n">
        <v>0.0394</v>
      </c>
      <c r="AE985" s="373" t="n">
        <v>0.036101</v>
      </c>
      <c r="AF985" s="376" t="n">
        <f aca="false">AD985-AE985</f>
        <v>0.003299</v>
      </c>
      <c r="AG985" s="377" t="n">
        <v>0.0394</v>
      </c>
      <c r="AH985" s="378" t="n">
        <v>45929</v>
      </c>
      <c r="AI985" s="379" t="n">
        <v>4</v>
      </c>
      <c r="AJ985" s="380" t="str">
        <f aca="false">IF(AG985="","N","Y")</f>
        <v>Y</v>
      </c>
      <c r="AK985" s="396" t="s">
        <v>1220</v>
      </c>
      <c r="AL985" s="397"/>
    </row>
    <row r="986" s="382" customFormat="true" ht="20.25" hidden="false" customHeight="true" outlineLevel="0" collapsed="false">
      <c r="A986" s="364" t="n">
        <v>461</v>
      </c>
      <c r="B986" s="363" t="n">
        <v>45931</v>
      </c>
      <c r="C986" s="364" t="s">
        <v>925</v>
      </c>
      <c r="D986" s="364" t="s">
        <v>1073</v>
      </c>
      <c r="E986" s="364" t="s">
        <v>1074</v>
      </c>
      <c r="F986" s="364" t="s">
        <v>1075</v>
      </c>
      <c r="G986" s="365" t="n">
        <v>45931</v>
      </c>
      <c r="H986" s="365" t="n">
        <v>45964</v>
      </c>
      <c r="I986" s="364" t="n">
        <f aca="false">H986-G986</f>
        <v>33</v>
      </c>
      <c r="J986" s="366" t="n">
        <f aca="false">TRUNC(I986/30,0)</f>
        <v>1</v>
      </c>
      <c r="K986" s="395" t="s">
        <v>95</v>
      </c>
      <c r="L986" s="368" t="n">
        <v>1</v>
      </c>
      <c r="M986" s="369"/>
      <c r="N986" s="370" t="s">
        <v>1215</v>
      </c>
      <c r="O986" s="366" t="s">
        <v>303</v>
      </c>
      <c r="P986" s="371" t="n">
        <v>0.041292</v>
      </c>
      <c r="Q986" s="371"/>
      <c r="R986" s="372" t="s">
        <v>914</v>
      </c>
      <c r="S986" s="373"/>
      <c r="T986" s="372"/>
      <c r="U986" s="373"/>
      <c r="V986" s="373" t="n">
        <v>0.044343</v>
      </c>
      <c r="W986" s="373" t="n">
        <v>0.000887</v>
      </c>
      <c r="X986" s="373" t="n">
        <v>0.00318</v>
      </c>
      <c r="Y986" s="373" t="n">
        <v>0.035766</v>
      </c>
      <c r="Z986" s="373" t="n">
        <v>0.00172</v>
      </c>
      <c r="AA986" s="373" t="n">
        <v>0.002</v>
      </c>
      <c r="AB986" s="374" t="n">
        <f aca="false">S986-Z986</f>
        <v>-0.00172</v>
      </c>
      <c r="AC986" s="374" t="n">
        <f aca="false">U986-Z986-AA986</f>
        <v>-0.00372</v>
      </c>
      <c r="AD986" s="375" t="n">
        <v>0.0385</v>
      </c>
      <c r="AE986" s="376" t="n">
        <v>0.035766</v>
      </c>
      <c r="AF986" s="376" t="n">
        <f aca="false">AD986-AE986</f>
        <v>0.002734</v>
      </c>
      <c r="AG986" s="377" t="n">
        <v>0.0385</v>
      </c>
      <c r="AH986" s="378" t="n">
        <v>45931</v>
      </c>
      <c r="AI986" s="379" t="n">
        <v>1</v>
      </c>
      <c r="AJ986" s="380" t="str">
        <f aca="false">IF(AG986="","N","Y")</f>
        <v>Y</v>
      </c>
      <c r="AK986" s="396" t="s">
        <v>1223</v>
      </c>
      <c r="AL986" s="397"/>
    </row>
    <row r="987" s="382" customFormat="true" ht="20.25" hidden="false" customHeight="true" outlineLevel="0" collapsed="false">
      <c r="A987" s="364" t="n">
        <v>462</v>
      </c>
      <c r="B987" s="363" t="n">
        <v>45931</v>
      </c>
      <c r="C987" s="364" t="s">
        <v>925</v>
      </c>
      <c r="D987" s="364" t="s">
        <v>1073</v>
      </c>
      <c r="E987" s="364" t="s">
        <v>1074</v>
      </c>
      <c r="F987" s="364" t="s">
        <v>1075</v>
      </c>
      <c r="G987" s="365" t="n">
        <v>45931</v>
      </c>
      <c r="H987" s="365" t="n">
        <v>45964</v>
      </c>
      <c r="I987" s="364" t="n">
        <f aca="false">H987-G987</f>
        <v>33</v>
      </c>
      <c r="J987" s="366" t="n">
        <f aca="false">TRUNC(I987/30,0)</f>
        <v>1</v>
      </c>
      <c r="K987" s="395" t="s">
        <v>95</v>
      </c>
      <c r="L987" s="368" t="n">
        <v>1</v>
      </c>
      <c r="M987" s="369"/>
      <c r="N987" s="370" t="s">
        <v>1215</v>
      </c>
      <c r="O987" s="366" t="s">
        <v>303</v>
      </c>
      <c r="P987" s="371" t="n">
        <v>0.041292</v>
      </c>
      <c r="Q987" s="371"/>
      <c r="R987" s="372" t="s">
        <v>914</v>
      </c>
      <c r="S987" s="373"/>
      <c r="T987" s="372"/>
      <c r="U987" s="373"/>
      <c r="V987" s="373" t="n">
        <v>0.044343</v>
      </c>
      <c r="W987" s="373" t="n">
        <v>0.000887</v>
      </c>
      <c r="X987" s="373" t="n">
        <v>0.00318</v>
      </c>
      <c r="Y987" s="373" t="n">
        <v>0.035766</v>
      </c>
      <c r="Z987" s="373" t="n">
        <v>0.00172</v>
      </c>
      <c r="AA987" s="373" t="n">
        <v>0.002</v>
      </c>
      <c r="AB987" s="374" t="n">
        <f aca="false">S987-Z987</f>
        <v>-0.00172</v>
      </c>
      <c r="AC987" s="374" t="n">
        <f aca="false">U987-Z987-AA987</f>
        <v>-0.00372</v>
      </c>
      <c r="AD987" s="375" t="n">
        <v>0.0385</v>
      </c>
      <c r="AE987" s="376" t="n">
        <v>0.035766</v>
      </c>
      <c r="AF987" s="376" t="n">
        <f aca="false">AD987-AE987</f>
        <v>0.002734</v>
      </c>
      <c r="AG987" s="377" t="n">
        <v>0.0385</v>
      </c>
      <c r="AH987" s="378" t="n">
        <v>45931</v>
      </c>
      <c r="AI987" s="379" t="n">
        <v>2</v>
      </c>
      <c r="AJ987" s="380" t="str">
        <f aca="false">IF(AG987="","N","Y")</f>
        <v>Y</v>
      </c>
      <c r="AK987" s="396"/>
      <c r="AL987" s="397"/>
    </row>
    <row r="988" s="382" customFormat="true" ht="20.25" hidden="false" customHeight="true" outlineLevel="0" collapsed="false">
      <c r="A988" s="364" t="n">
        <v>463</v>
      </c>
      <c r="B988" s="363" t="n">
        <v>45931</v>
      </c>
      <c r="C988" s="364" t="s">
        <v>925</v>
      </c>
      <c r="D988" s="364" t="s">
        <v>1073</v>
      </c>
      <c r="E988" s="364" t="s">
        <v>1074</v>
      </c>
      <c r="F988" s="364" t="s">
        <v>1075</v>
      </c>
      <c r="G988" s="365" t="n">
        <v>45931</v>
      </c>
      <c r="H988" s="365" t="n">
        <v>45964</v>
      </c>
      <c r="I988" s="364" t="n">
        <f aca="false">H988-G988</f>
        <v>33</v>
      </c>
      <c r="J988" s="366" t="n">
        <f aca="false">TRUNC(I988/30,0)</f>
        <v>1</v>
      </c>
      <c r="K988" s="395" t="s">
        <v>95</v>
      </c>
      <c r="L988" s="368" t="n">
        <v>1</v>
      </c>
      <c r="M988" s="369"/>
      <c r="N988" s="370" t="s">
        <v>1215</v>
      </c>
      <c r="O988" s="366" t="s">
        <v>303</v>
      </c>
      <c r="P988" s="371" t="n">
        <v>0.041292</v>
      </c>
      <c r="Q988" s="371"/>
      <c r="R988" s="372" t="s">
        <v>914</v>
      </c>
      <c r="S988" s="373"/>
      <c r="T988" s="372"/>
      <c r="U988" s="373"/>
      <c r="V988" s="373" t="n">
        <v>0.044343</v>
      </c>
      <c r="W988" s="373" t="n">
        <v>0.000887</v>
      </c>
      <c r="X988" s="373" t="n">
        <v>0.00318</v>
      </c>
      <c r="Y988" s="373" t="n">
        <v>0.035766</v>
      </c>
      <c r="Z988" s="373" t="n">
        <v>0.00172</v>
      </c>
      <c r="AA988" s="373" t="n">
        <v>0.002</v>
      </c>
      <c r="AB988" s="374" t="n">
        <f aca="false">S988-Z988</f>
        <v>-0.00172</v>
      </c>
      <c r="AC988" s="374" t="n">
        <f aca="false">U988-Z988-AA988</f>
        <v>-0.00372</v>
      </c>
      <c r="AD988" s="375" t="n">
        <v>0.0385</v>
      </c>
      <c r="AE988" s="376" t="n">
        <v>0.035766</v>
      </c>
      <c r="AF988" s="376" t="n">
        <f aca="false">AD988-AE988</f>
        <v>0.002734</v>
      </c>
      <c r="AG988" s="377" t="n">
        <v>0.0385</v>
      </c>
      <c r="AH988" s="378" t="n">
        <v>45931</v>
      </c>
      <c r="AI988" s="379" t="n">
        <v>3</v>
      </c>
      <c r="AJ988" s="380" t="str">
        <f aca="false">IF(AG988="","N","Y")</f>
        <v>Y</v>
      </c>
      <c r="AK988" s="396"/>
      <c r="AL988" s="397"/>
    </row>
    <row r="989" s="382" customFormat="true" ht="20.25" hidden="false" customHeight="true" outlineLevel="0" collapsed="false">
      <c r="A989" s="364" t="n">
        <v>464</v>
      </c>
      <c r="B989" s="363" t="n">
        <v>45931</v>
      </c>
      <c r="C989" s="364" t="s">
        <v>925</v>
      </c>
      <c r="D989" s="364" t="s">
        <v>1073</v>
      </c>
      <c r="E989" s="364" t="s">
        <v>1074</v>
      </c>
      <c r="F989" s="364" t="s">
        <v>1075</v>
      </c>
      <c r="G989" s="365" t="n">
        <v>45931</v>
      </c>
      <c r="H989" s="365" t="n">
        <v>45964</v>
      </c>
      <c r="I989" s="364" t="n">
        <f aca="false">H989-G989</f>
        <v>33</v>
      </c>
      <c r="J989" s="366" t="n">
        <f aca="false">TRUNC(I989/30,0)</f>
        <v>1</v>
      </c>
      <c r="K989" s="395" t="s">
        <v>95</v>
      </c>
      <c r="L989" s="368" t="n">
        <v>1</v>
      </c>
      <c r="M989" s="369"/>
      <c r="N989" s="370" t="s">
        <v>1215</v>
      </c>
      <c r="O989" s="366" t="s">
        <v>303</v>
      </c>
      <c r="P989" s="371" t="n">
        <v>0.041292</v>
      </c>
      <c r="Q989" s="371"/>
      <c r="R989" s="372" t="s">
        <v>914</v>
      </c>
      <c r="S989" s="373"/>
      <c r="T989" s="372"/>
      <c r="U989" s="373"/>
      <c r="V989" s="373" t="n">
        <v>0.044343</v>
      </c>
      <c r="W989" s="373" t="n">
        <v>0.000887</v>
      </c>
      <c r="X989" s="373" t="n">
        <v>0.00318</v>
      </c>
      <c r="Y989" s="373" t="n">
        <v>0.035766</v>
      </c>
      <c r="Z989" s="373" t="n">
        <v>0.00172</v>
      </c>
      <c r="AA989" s="373" t="n">
        <v>0.002</v>
      </c>
      <c r="AB989" s="374" t="n">
        <f aca="false">S989-Z989</f>
        <v>-0.00172</v>
      </c>
      <c r="AC989" s="374" t="n">
        <f aca="false">U989-Z989-AA989</f>
        <v>-0.00372</v>
      </c>
      <c r="AD989" s="375" t="n">
        <v>0.0385</v>
      </c>
      <c r="AE989" s="376" t="n">
        <v>0.035766</v>
      </c>
      <c r="AF989" s="376" t="n">
        <f aca="false">AD989-AE989</f>
        <v>0.002734</v>
      </c>
      <c r="AG989" s="377" t="n">
        <v>0.0385</v>
      </c>
      <c r="AH989" s="378" t="n">
        <v>45931</v>
      </c>
      <c r="AI989" s="379" t="n">
        <v>4</v>
      </c>
      <c r="AJ989" s="380" t="str">
        <f aca="false">IF(AG989="","N","Y")</f>
        <v>Y</v>
      </c>
      <c r="AK989" s="396"/>
      <c r="AL989" s="397"/>
    </row>
    <row r="990" s="382" customFormat="true" ht="20.25" hidden="false" customHeight="true" outlineLevel="0" collapsed="false">
      <c r="A990" s="364" t="n">
        <v>465</v>
      </c>
      <c r="B990" s="363" t="n">
        <v>45931</v>
      </c>
      <c r="C990" s="364" t="s">
        <v>1149</v>
      </c>
      <c r="D990" s="364" t="s">
        <v>1150</v>
      </c>
      <c r="E990" s="364" t="s">
        <v>1183</v>
      </c>
      <c r="F990" s="364" t="s">
        <v>1152</v>
      </c>
      <c r="G990" s="365" t="n">
        <v>45931</v>
      </c>
      <c r="H990" s="365" t="n">
        <v>45964</v>
      </c>
      <c r="I990" s="364" t="n">
        <f aca="false">H990-G990</f>
        <v>33</v>
      </c>
      <c r="J990" s="366" t="n">
        <f aca="false">TRUNC(I990/30,0)</f>
        <v>1</v>
      </c>
      <c r="K990" s="367" t="s">
        <v>99</v>
      </c>
      <c r="L990" s="368" t="n">
        <v>1.25</v>
      </c>
      <c r="M990" s="369"/>
      <c r="N990" s="370"/>
      <c r="O990" s="366" t="s">
        <v>303</v>
      </c>
      <c r="P990" s="371" t="n">
        <v>0.041292</v>
      </c>
      <c r="Q990" s="371"/>
      <c r="R990" s="372" t="s">
        <v>914</v>
      </c>
      <c r="S990" s="373"/>
      <c r="T990" s="372"/>
      <c r="U990" s="373"/>
      <c r="V990" s="373" t="n">
        <v>0.044348</v>
      </c>
      <c r="W990" s="373" t="n">
        <v>0.003104</v>
      </c>
      <c r="X990" s="373" t="n">
        <v>0.004468</v>
      </c>
      <c r="Y990" s="373" t="n">
        <v>0.030107</v>
      </c>
      <c r="Z990" s="373" t="n">
        <v>0.00172</v>
      </c>
      <c r="AA990" s="373" t="n">
        <v>0.002</v>
      </c>
      <c r="AB990" s="374" t="n">
        <f aca="false">S990-Z990</f>
        <v>-0.00172</v>
      </c>
      <c r="AC990" s="374" t="n">
        <f aca="false">U990-Z990-AA990</f>
        <v>-0.00372</v>
      </c>
      <c r="AD990" s="375" t="n">
        <v>0.035</v>
      </c>
      <c r="AE990" s="373" t="n">
        <v>0.030107</v>
      </c>
      <c r="AF990" s="376" t="n">
        <f aca="false">AD990-AE990</f>
        <v>0.00489300000000001</v>
      </c>
      <c r="AG990" s="377" t="n">
        <v>0.035</v>
      </c>
      <c r="AH990" s="378" t="n">
        <v>45931</v>
      </c>
      <c r="AI990" s="379" t="n">
        <v>5</v>
      </c>
      <c r="AJ990" s="380" t="str">
        <f aca="false">IF(AG990="","N","Y")</f>
        <v>Y</v>
      </c>
      <c r="AK990" s="396"/>
      <c r="AL990" s="397"/>
    </row>
    <row r="991" s="382" customFormat="true" ht="20.25" hidden="false" customHeight="true" outlineLevel="0" collapsed="false">
      <c r="A991" s="364" t="n">
        <v>466</v>
      </c>
      <c r="B991" s="363" t="n">
        <v>45931</v>
      </c>
      <c r="C991" s="364" t="s">
        <v>1184</v>
      </c>
      <c r="D991" s="364" t="s">
        <v>1185</v>
      </c>
      <c r="E991" s="364" t="s">
        <v>1186</v>
      </c>
      <c r="F991" s="364" t="s">
        <v>1187</v>
      </c>
      <c r="G991" s="365" t="n">
        <v>45931</v>
      </c>
      <c r="H991" s="365" t="n">
        <v>45964</v>
      </c>
      <c r="I991" s="364" t="n">
        <f aca="false">H991-G991</f>
        <v>33</v>
      </c>
      <c r="J991" s="366" t="n">
        <f aca="false">TRUNC(I991/30,0)</f>
        <v>1</v>
      </c>
      <c r="K991" s="367" t="s">
        <v>99</v>
      </c>
      <c r="L991" s="368" t="n">
        <v>9</v>
      </c>
      <c r="M991" s="369"/>
      <c r="N991" s="370"/>
      <c r="O991" s="366" t="s">
        <v>303</v>
      </c>
      <c r="P991" s="371" t="n">
        <v>0.041292</v>
      </c>
      <c r="Q991" s="371"/>
      <c r="R991" s="372" t="s">
        <v>914</v>
      </c>
      <c r="S991" s="373"/>
      <c r="T991" s="372"/>
      <c r="U991" s="373"/>
      <c r="V991" s="373" t="n">
        <v>0.044348</v>
      </c>
      <c r="W991" s="373" t="n">
        <v>0.003104</v>
      </c>
      <c r="X991" s="373" t="n">
        <v>0.005468</v>
      </c>
      <c r="Y991" s="373" t="n">
        <v>0.030107</v>
      </c>
      <c r="Z991" s="373" t="n">
        <v>0.00172</v>
      </c>
      <c r="AA991" s="373" t="n">
        <v>0.002</v>
      </c>
      <c r="AB991" s="374" t="n">
        <f aca="false">S991-Z991</f>
        <v>-0.00172</v>
      </c>
      <c r="AC991" s="374" t="n">
        <f aca="false">U991-Z991-AA991</f>
        <v>-0.00372</v>
      </c>
      <c r="AD991" s="375" t="n">
        <v>0.034</v>
      </c>
      <c r="AE991" s="373" t="n">
        <v>0.030107</v>
      </c>
      <c r="AF991" s="376" t="n">
        <f aca="false">AD991-AE991</f>
        <v>0.003893</v>
      </c>
      <c r="AG991" s="377" t="n">
        <v>0.034</v>
      </c>
      <c r="AH991" s="378" t="n">
        <v>45931</v>
      </c>
      <c r="AI991" s="379" t="n">
        <v>6</v>
      </c>
      <c r="AJ991" s="380" t="str">
        <f aca="false">IF(AG991="","N","Y")</f>
        <v>Y</v>
      </c>
      <c r="AK991" s="396" t="s">
        <v>1224</v>
      </c>
      <c r="AL991" s="397"/>
    </row>
    <row r="992" s="418" customFormat="true" ht="20.25" hidden="false" customHeight="true" outlineLevel="0" collapsed="false">
      <c r="A992" s="402" t="n">
        <v>465</v>
      </c>
      <c r="B992" s="403" t="n">
        <v>45931</v>
      </c>
      <c r="C992" s="402" t="s">
        <v>96</v>
      </c>
      <c r="D992" s="402" t="s">
        <v>1063</v>
      </c>
      <c r="E992" s="402" t="s">
        <v>1127</v>
      </c>
      <c r="F992" s="402" t="s">
        <v>662</v>
      </c>
      <c r="G992" s="404" t="n">
        <v>45931</v>
      </c>
      <c r="H992" s="404" t="n">
        <v>45966</v>
      </c>
      <c r="I992" s="402" t="n">
        <f aca="false">H992-G992</f>
        <v>35</v>
      </c>
      <c r="J992" s="405" t="n">
        <f aca="false">TRUNC(I992/30,0)</f>
        <v>1</v>
      </c>
      <c r="K992" s="406" t="s">
        <v>95</v>
      </c>
      <c r="L992" s="407" t="n">
        <v>10</v>
      </c>
      <c r="M992" s="408"/>
      <c r="N992" s="409"/>
      <c r="O992" s="366" t="s">
        <v>303</v>
      </c>
      <c r="P992" s="371" t="n">
        <v>0.041292</v>
      </c>
      <c r="Q992" s="410"/>
      <c r="R992" s="411" t="s">
        <v>914</v>
      </c>
      <c r="S992" s="412"/>
      <c r="T992" s="411"/>
      <c r="U992" s="412"/>
      <c r="V992" s="412" t="n">
        <v>0.044343</v>
      </c>
      <c r="W992" s="412" t="n">
        <v>0.000887</v>
      </c>
      <c r="X992" s="412" t="n">
        <v>0.002181</v>
      </c>
      <c r="Y992" s="412" t="n">
        <v>0.035766</v>
      </c>
      <c r="Z992" s="412" t="n">
        <v>0.00172</v>
      </c>
      <c r="AA992" s="412" t="n">
        <v>0.002</v>
      </c>
      <c r="AB992" s="412" t="n">
        <f aca="false">S992-Z992</f>
        <v>-0.00172</v>
      </c>
      <c r="AC992" s="412" t="n">
        <f aca="false">U992-Z992-AA992</f>
        <v>-0.00372</v>
      </c>
      <c r="AD992" s="413" t="n">
        <v>0.0395</v>
      </c>
      <c r="AE992" s="412" t="n">
        <v>0.035766</v>
      </c>
      <c r="AF992" s="376" t="n">
        <f aca="false">AD992-AE992</f>
        <v>0.003734</v>
      </c>
      <c r="AG992" s="412" t="n">
        <v>0.0395</v>
      </c>
      <c r="AH992" s="378" t="n">
        <v>45931</v>
      </c>
      <c r="AI992" s="414" t="n">
        <v>7</v>
      </c>
      <c r="AJ992" s="415" t="str">
        <f aca="false">IF(AG992="","N","Y")</f>
        <v>Y</v>
      </c>
      <c r="AK992" s="416"/>
      <c r="AL992" s="417"/>
    </row>
    <row r="993" s="382" customFormat="true" ht="20.25" hidden="false" customHeight="true" outlineLevel="0" collapsed="false">
      <c r="A993" s="364" t="n">
        <v>466</v>
      </c>
      <c r="B993" s="363" t="n">
        <v>45940</v>
      </c>
      <c r="C993" s="364" t="s">
        <v>187</v>
      </c>
      <c r="D993" s="402" t="s">
        <v>1062</v>
      </c>
      <c r="E993" s="402" t="s">
        <v>1165</v>
      </c>
      <c r="F993" s="402" t="s">
        <v>877</v>
      </c>
      <c r="G993" s="365" t="n">
        <v>45940</v>
      </c>
      <c r="H993" s="365" t="n">
        <v>45947</v>
      </c>
      <c r="I993" s="364" t="n">
        <f aca="false">H993-G993</f>
        <v>7</v>
      </c>
      <c r="J993" s="366" t="n">
        <f aca="false">TRUNC(I993/30,0)</f>
        <v>0</v>
      </c>
      <c r="K993" s="395" t="s">
        <v>95</v>
      </c>
      <c r="L993" s="368" t="n">
        <v>1.5</v>
      </c>
      <c r="M993" s="369"/>
      <c r="N993" s="409"/>
      <c r="O993" s="366" t="s">
        <v>305</v>
      </c>
      <c r="P993" s="371" t="n">
        <v>0.0410504</v>
      </c>
      <c r="Q993" s="371"/>
      <c r="R993" s="372" t="s">
        <v>914</v>
      </c>
      <c r="S993" s="373"/>
      <c r="T993" s="372"/>
      <c r="U993" s="373"/>
      <c r="V993" s="373" t="n">
        <v>0.043565</v>
      </c>
      <c r="W993" s="373" t="n">
        <v>0.00305</v>
      </c>
      <c r="X993" s="373" t="n">
        <f aca="false">V993-AD993-$X$5-W993</f>
        <v>0.003739</v>
      </c>
      <c r="Y993" s="373" t="n">
        <v>0.031876</v>
      </c>
      <c r="Z993" s="373" t="n">
        <v>0.00172</v>
      </c>
      <c r="AA993" s="373" t="n">
        <v>0.002</v>
      </c>
      <c r="AB993" s="374" t="n">
        <f aca="false">S993-Z993</f>
        <v>-0.00172</v>
      </c>
      <c r="AC993" s="374" t="n">
        <f aca="false">U993-Z993-AA993</f>
        <v>-0.00372</v>
      </c>
      <c r="AD993" s="375" t="n">
        <v>0.035</v>
      </c>
      <c r="AE993" s="376" t="n">
        <v>0.031876</v>
      </c>
      <c r="AF993" s="376" t="n">
        <f aca="false">AG993-AE993</f>
        <v>0.003124</v>
      </c>
      <c r="AG993" s="377" t="n">
        <v>0.035</v>
      </c>
      <c r="AH993" s="378" t="n">
        <v>45940</v>
      </c>
      <c r="AI993" s="379" t="n">
        <v>1</v>
      </c>
      <c r="AJ993" s="380" t="str">
        <f aca="false">IF(AG993="","N","Y")</f>
        <v>Y</v>
      </c>
      <c r="AK993" s="396" t="s">
        <v>1224</v>
      </c>
      <c r="AL993" s="397"/>
    </row>
    <row r="994" s="382" customFormat="true" ht="20.25" hidden="false" customHeight="true" outlineLevel="0" collapsed="false">
      <c r="A994" s="364" t="n">
        <v>467</v>
      </c>
      <c r="B994" s="363" t="n">
        <v>45940</v>
      </c>
      <c r="C994" s="364" t="s">
        <v>187</v>
      </c>
      <c r="D994" s="402" t="s">
        <v>1062</v>
      </c>
      <c r="E994" s="402" t="s">
        <v>1165</v>
      </c>
      <c r="F994" s="402" t="s">
        <v>877</v>
      </c>
      <c r="G994" s="365" t="n">
        <v>45940</v>
      </c>
      <c r="H994" s="365" t="n">
        <v>45947</v>
      </c>
      <c r="I994" s="364" t="n">
        <f aca="false">H994-G994</f>
        <v>7</v>
      </c>
      <c r="J994" s="366" t="n">
        <f aca="false">TRUNC(I994/30,0)</f>
        <v>0</v>
      </c>
      <c r="K994" s="395" t="s">
        <v>95</v>
      </c>
      <c r="L994" s="368" t="n">
        <v>2</v>
      </c>
      <c r="M994" s="369"/>
      <c r="N994" s="409"/>
      <c r="O994" s="366" t="s">
        <v>305</v>
      </c>
      <c r="P994" s="371" t="n">
        <v>0.0410504</v>
      </c>
      <c r="Q994" s="371"/>
      <c r="R994" s="372" t="s">
        <v>914</v>
      </c>
      <c r="S994" s="373"/>
      <c r="T994" s="372"/>
      <c r="U994" s="373"/>
      <c r="V994" s="373" t="n">
        <v>0.043565</v>
      </c>
      <c r="W994" s="373" t="n">
        <v>0.00305</v>
      </c>
      <c r="X994" s="373" t="n">
        <f aca="false">V994-AD994-$X$5-W994</f>
        <v>0.003739</v>
      </c>
      <c r="Y994" s="373" t="n">
        <v>0.031876</v>
      </c>
      <c r="Z994" s="373" t="n">
        <v>0.00172</v>
      </c>
      <c r="AA994" s="373" t="n">
        <v>0.002</v>
      </c>
      <c r="AB994" s="374" t="n">
        <f aca="false">S994-Z994</f>
        <v>-0.00172</v>
      </c>
      <c r="AC994" s="374" t="n">
        <f aca="false">U994-Z994-AA994</f>
        <v>-0.00372</v>
      </c>
      <c r="AD994" s="375" t="n">
        <v>0.035</v>
      </c>
      <c r="AE994" s="376" t="n">
        <v>0.031876</v>
      </c>
      <c r="AF994" s="376" t="n">
        <f aca="false">AG994-AE994</f>
        <v>0.003124</v>
      </c>
      <c r="AG994" s="377" t="n">
        <v>0.035</v>
      </c>
      <c r="AH994" s="378" t="n">
        <v>45940</v>
      </c>
      <c r="AI994" s="379" t="n">
        <v>2</v>
      </c>
      <c r="AJ994" s="380" t="str">
        <f aca="false">IF(AG994="","N","Y")</f>
        <v>Y</v>
      </c>
      <c r="AK994" s="396" t="s">
        <v>1224</v>
      </c>
      <c r="AL994" s="397"/>
    </row>
    <row r="995" s="382" customFormat="true" ht="20.25" hidden="false" customHeight="true" outlineLevel="0" collapsed="false">
      <c r="A995" s="364" t="n">
        <v>468</v>
      </c>
      <c r="B995" s="363" t="n">
        <v>45940</v>
      </c>
      <c r="C995" s="364" t="s">
        <v>187</v>
      </c>
      <c r="D995" s="402" t="s">
        <v>1062</v>
      </c>
      <c r="E995" s="402" t="s">
        <v>1165</v>
      </c>
      <c r="F995" s="402" t="s">
        <v>877</v>
      </c>
      <c r="G995" s="365" t="n">
        <v>45940</v>
      </c>
      <c r="H995" s="365" t="n">
        <v>45947</v>
      </c>
      <c r="I995" s="364" t="n">
        <f aca="false">H995-G995</f>
        <v>7</v>
      </c>
      <c r="J995" s="366" t="n">
        <f aca="false">TRUNC(I995/30,0)</f>
        <v>0</v>
      </c>
      <c r="K995" s="395" t="s">
        <v>95</v>
      </c>
      <c r="L995" s="368" t="n">
        <v>2</v>
      </c>
      <c r="M995" s="369"/>
      <c r="N995" s="409"/>
      <c r="O995" s="366" t="s">
        <v>305</v>
      </c>
      <c r="P995" s="371" t="n">
        <v>0.0410504</v>
      </c>
      <c r="Q995" s="371"/>
      <c r="R995" s="372" t="s">
        <v>914</v>
      </c>
      <c r="S995" s="373"/>
      <c r="T995" s="372"/>
      <c r="U995" s="373"/>
      <c r="V995" s="373" t="n">
        <v>0.043565</v>
      </c>
      <c r="W995" s="373" t="n">
        <v>0.00305</v>
      </c>
      <c r="X995" s="373" t="n">
        <f aca="false">V995-AD995-$X$5-W995</f>
        <v>0.003739</v>
      </c>
      <c r="Y995" s="373" t="n">
        <v>0.031876</v>
      </c>
      <c r="Z995" s="373" t="n">
        <v>0.00172</v>
      </c>
      <c r="AA995" s="373" t="n">
        <v>0.002</v>
      </c>
      <c r="AB995" s="374" t="n">
        <f aca="false">S995-Z995</f>
        <v>-0.00172</v>
      </c>
      <c r="AC995" s="374" t="n">
        <f aca="false">U995-Z995-AA995</f>
        <v>-0.00372</v>
      </c>
      <c r="AD995" s="375" t="n">
        <v>0.035</v>
      </c>
      <c r="AE995" s="376" t="n">
        <v>0.031876</v>
      </c>
      <c r="AF995" s="376" t="n">
        <f aca="false">AG995-AE995</f>
        <v>0.003124</v>
      </c>
      <c r="AG995" s="377" t="n">
        <v>0.035</v>
      </c>
      <c r="AH995" s="378" t="n">
        <v>45940</v>
      </c>
      <c r="AI995" s="379" t="n">
        <v>3</v>
      </c>
      <c r="AJ995" s="380" t="str">
        <f aca="false">IF(AG995="","N","Y")</f>
        <v>Y</v>
      </c>
      <c r="AK995" s="396" t="s">
        <v>1224</v>
      </c>
      <c r="AL995" s="397"/>
    </row>
    <row r="996" s="382" customFormat="true" ht="20.25" hidden="false" customHeight="true" outlineLevel="0" collapsed="false">
      <c r="A996" s="364" t="n">
        <v>469</v>
      </c>
      <c r="B996" s="363" t="n">
        <v>45940</v>
      </c>
      <c r="C996" s="364" t="s">
        <v>187</v>
      </c>
      <c r="D996" s="402" t="s">
        <v>1062</v>
      </c>
      <c r="E996" s="402" t="s">
        <v>1165</v>
      </c>
      <c r="F996" s="402" t="s">
        <v>877</v>
      </c>
      <c r="G996" s="365" t="n">
        <v>45940</v>
      </c>
      <c r="H996" s="365" t="n">
        <v>45947</v>
      </c>
      <c r="I996" s="364" t="n">
        <f aca="false">H996-G996</f>
        <v>7</v>
      </c>
      <c r="J996" s="366" t="n">
        <f aca="false">TRUNC(I996/30,0)</f>
        <v>0</v>
      </c>
      <c r="K996" s="395" t="s">
        <v>95</v>
      </c>
      <c r="L996" s="368" t="n">
        <v>2</v>
      </c>
      <c r="M996" s="369"/>
      <c r="N996" s="409"/>
      <c r="O996" s="366" t="s">
        <v>305</v>
      </c>
      <c r="P996" s="371" t="n">
        <v>0.0410504</v>
      </c>
      <c r="Q996" s="371"/>
      <c r="R996" s="372" t="s">
        <v>914</v>
      </c>
      <c r="S996" s="373"/>
      <c r="T996" s="372"/>
      <c r="U996" s="373"/>
      <c r="V996" s="373" t="n">
        <v>0.043565</v>
      </c>
      <c r="W996" s="373" t="n">
        <v>0.00305</v>
      </c>
      <c r="X996" s="373" t="n">
        <f aca="false">V996-AD996-$X$5-W996</f>
        <v>0.003739</v>
      </c>
      <c r="Y996" s="373" t="n">
        <v>0.031876</v>
      </c>
      <c r="Z996" s="373" t="n">
        <v>0.00172</v>
      </c>
      <c r="AA996" s="373" t="n">
        <v>0.002</v>
      </c>
      <c r="AB996" s="374" t="n">
        <f aca="false">S996-Z996</f>
        <v>-0.00172</v>
      </c>
      <c r="AC996" s="374" t="n">
        <f aca="false">U996-Z996-AA996</f>
        <v>-0.00372</v>
      </c>
      <c r="AD996" s="375" t="n">
        <v>0.035</v>
      </c>
      <c r="AE996" s="376" t="n">
        <v>0.031876</v>
      </c>
      <c r="AF996" s="376" t="n">
        <f aca="false">AG996-AE996</f>
        <v>0.003124</v>
      </c>
      <c r="AG996" s="377" t="n">
        <v>0.035</v>
      </c>
      <c r="AH996" s="378" t="n">
        <v>45940</v>
      </c>
      <c r="AI996" s="379" t="n">
        <v>4</v>
      </c>
      <c r="AJ996" s="380" t="str">
        <f aca="false">IF(AG996="","N","Y")</f>
        <v>Y</v>
      </c>
      <c r="AK996" s="396" t="s">
        <v>1224</v>
      </c>
      <c r="AL996" s="397"/>
    </row>
    <row r="997" s="382" customFormat="true" ht="20.25" hidden="false" customHeight="true" outlineLevel="0" collapsed="false">
      <c r="A997" s="364" t="n">
        <v>470</v>
      </c>
      <c r="B997" s="363" t="n">
        <v>45940</v>
      </c>
      <c r="C997" s="364" t="s">
        <v>187</v>
      </c>
      <c r="D997" s="402" t="s">
        <v>1062</v>
      </c>
      <c r="E997" s="402" t="s">
        <v>1165</v>
      </c>
      <c r="F997" s="402" t="s">
        <v>877</v>
      </c>
      <c r="G997" s="365" t="n">
        <v>45940</v>
      </c>
      <c r="H997" s="365" t="n">
        <v>45947</v>
      </c>
      <c r="I997" s="364" t="n">
        <f aca="false">H997-G997</f>
        <v>7</v>
      </c>
      <c r="J997" s="366" t="n">
        <f aca="false">TRUNC(I997/30,0)</f>
        <v>0</v>
      </c>
      <c r="K997" s="395" t="s">
        <v>95</v>
      </c>
      <c r="L997" s="368" t="n">
        <v>2</v>
      </c>
      <c r="M997" s="369"/>
      <c r="N997" s="409"/>
      <c r="O997" s="366" t="s">
        <v>305</v>
      </c>
      <c r="P997" s="371" t="n">
        <v>0.0410504</v>
      </c>
      <c r="Q997" s="371"/>
      <c r="R997" s="372" t="s">
        <v>914</v>
      </c>
      <c r="S997" s="373"/>
      <c r="T997" s="372"/>
      <c r="U997" s="373"/>
      <c r="V997" s="373" t="n">
        <v>0.043565</v>
      </c>
      <c r="W997" s="373" t="n">
        <v>0.00305</v>
      </c>
      <c r="X997" s="373" t="n">
        <f aca="false">V997-AD997-$X$5-W997</f>
        <v>0.003739</v>
      </c>
      <c r="Y997" s="373" t="n">
        <v>0.031876</v>
      </c>
      <c r="Z997" s="373" t="n">
        <v>0.00172</v>
      </c>
      <c r="AA997" s="373" t="n">
        <v>0.002</v>
      </c>
      <c r="AB997" s="374" t="n">
        <f aca="false">S997-Z997</f>
        <v>-0.00172</v>
      </c>
      <c r="AC997" s="374" t="n">
        <f aca="false">U997-Z997-AA997</f>
        <v>-0.00372</v>
      </c>
      <c r="AD997" s="375" t="n">
        <v>0.035</v>
      </c>
      <c r="AE997" s="376" t="n">
        <v>0.031876</v>
      </c>
      <c r="AF997" s="376" t="n">
        <f aca="false">AG997-AE997</f>
        <v>0.003124</v>
      </c>
      <c r="AG997" s="377" t="n">
        <v>0.035</v>
      </c>
      <c r="AH997" s="378" t="n">
        <v>45940</v>
      </c>
      <c r="AI997" s="379" t="n">
        <v>5</v>
      </c>
      <c r="AJ997" s="380" t="str">
        <f aca="false">IF(AG997="","N","Y")</f>
        <v>Y</v>
      </c>
      <c r="AK997" s="396" t="s">
        <v>1224</v>
      </c>
      <c r="AL997" s="397"/>
    </row>
    <row r="998" s="382" customFormat="true" ht="20.25" hidden="false" customHeight="true" outlineLevel="0" collapsed="false">
      <c r="A998" s="364" t="n">
        <v>471</v>
      </c>
      <c r="B998" s="363" t="n">
        <v>45940</v>
      </c>
      <c r="C998" s="364" t="s">
        <v>1066</v>
      </c>
      <c r="D998" s="444" t="s">
        <v>932</v>
      </c>
      <c r="E998" s="364" t="s">
        <v>1067</v>
      </c>
      <c r="F998" s="364" t="s">
        <v>1192</v>
      </c>
      <c r="G998" s="365" t="n">
        <v>45940</v>
      </c>
      <c r="H998" s="365" t="n">
        <v>45971</v>
      </c>
      <c r="I998" s="364" t="n">
        <f aca="false">H998-G998</f>
        <v>31</v>
      </c>
      <c r="J998" s="366" t="n">
        <f aca="false">TRUNC(I998/30,0)</f>
        <v>1</v>
      </c>
      <c r="K998" s="367" t="s">
        <v>99</v>
      </c>
      <c r="L998" s="368" t="n">
        <v>2</v>
      </c>
      <c r="M998" s="371"/>
      <c r="N998" s="371"/>
      <c r="O998" s="366" t="s">
        <v>303</v>
      </c>
      <c r="P998" s="373" t="n">
        <v>0.0404771</v>
      </c>
      <c r="Q998" s="372"/>
      <c r="R998" s="372" t="s">
        <v>914</v>
      </c>
      <c r="S998" s="373"/>
      <c r="T998" s="373"/>
      <c r="U998" s="373"/>
      <c r="V998" s="373" t="n">
        <v>0.044165</v>
      </c>
      <c r="W998" s="373" t="n">
        <v>0.003092</v>
      </c>
      <c r="X998" s="373" t="n">
        <v>0.004297</v>
      </c>
      <c r="Y998" s="373" t="n">
        <v>0.029876</v>
      </c>
      <c r="Z998" s="373" t="n">
        <v>0.00172</v>
      </c>
      <c r="AA998" s="373" t="n">
        <v>0.002</v>
      </c>
      <c r="AB998" s="374" t="n">
        <f aca="false">S998-Z998</f>
        <v>-0.00172</v>
      </c>
      <c r="AC998" s="374" t="n">
        <f aca="false">U998-Z998-AA998</f>
        <v>-0.00372</v>
      </c>
      <c r="AD998" s="375" t="n">
        <v>0.035</v>
      </c>
      <c r="AE998" s="373" t="n">
        <f aca="false">Y998</f>
        <v>0.029876</v>
      </c>
      <c r="AF998" s="376" t="n">
        <f aca="false">AD998-AE998</f>
        <v>0.005124</v>
      </c>
      <c r="AG998" s="377" t="n">
        <f aca="false">AD998</f>
        <v>0.035</v>
      </c>
      <c r="AH998" s="378" t="n">
        <v>45940</v>
      </c>
      <c r="AI998" s="379" t="n">
        <v>6</v>
      </c>
      <c r="AJ998" s="380" t="str">
        <f aca="false">IF(AG998="","N","Y")</f>
        <v>Y</v>
      </c>
      <c r="AK998" s="396" t="s">
        <v>1224</v>
      </c>
      <c r="AL998" s="397"/>
    </row>
    <row r="999" s="382" customFormat="true" ht="20.25" hidden="false" customHeight="true" outlineLevel="0" collapsed="false">
      <c r="A999" s="364" t="n">
        <v>472</v>
      </c>
      <c r="B999" s="363" t="n">
        <v>45940</v>
      </c>
      <c r="C999" s="364" t="s">
        <v>1066</v>
      </c>
      <c r="D999" s="444" t="s">
        <v>932</v>
      </c>
      <c r="E999" s="364" t="s">
        <v>970</v>
      </c>
      <c r="F999" s="364" t="s">
        <v>864</v>
      </c>
      <c r="G999" s="365" t="n">
        <v>45940</v>
      </c>
      <c r="H999" s="365" t="n">
        <v>45971</v>
      </c>
      <c r="I999" s="364" t="n">
        <f aca="false">H999-G999</f>
        <v>31</v>
      </c>
      <c r="J999" s="366" t="n">
        <f aca="false">TRUNC(I999/30,0)</f>
        <v>1</v>
      </c>
      <c r="K999" s="367" t="s">
        <v>99</v>
      </c>
      <c r="L999" s="368" t="n">
        <v>3.17</v>
      </c>
      <c r="M999" s="369"/>
      <c r="N999" s="370"/>
      <c r="O999" s="366" t="s">
        <v>303</v>
      </c>
      <c r="P999" s="373" t="n">
        <v>0.0404771</v>
      </c>
      <c r="Q999" s="371"/>
      <c r="R999" s="372" t="s">
        <v>914</v>
      </c>
      <c r="S999" s="373"/>
      <c r="T999" s="372"/>
      <c r="U999" s="373"/>
      <c r="V999" s="373" t="n">
        <v>0.044165</v>
      </c>
      <c r="W999" s="373" t="n">
        <v>0.003092</v>
      </c>
      <c r="X999" s="373" t="n">
        <v>0.004297</v>
      </c>
      <c r="Y999" s="373" t="n">
        <v>0.029876</v>
      </c>
      <c r="Z999" s="373" t="n">
        <v>0.00172</v>
      </c>
      <c r="AA999" s="373" t="n">
        <v>0.002</v>
      </c>
      <c r="AB999" s="374" t="n">
        <f aca="false">S999-Z999</f>
        <v>-0.00172</v>
      </c>
      <c r="AC999" s="374" t="n">
        <f aca="false">U999-Z999-AA999</f>
        <v>-0.00372</v>
      </c>
      <c r="AD999" s="375" t="n">
        <v>0.035</v>
      </c>
      <c r="AE999" s="373" t="n">
        <v>0.029876</v>
      </c>
      <c r="AF999" s="376" t="n">
        <f aca="false">AD999-AE999</f>
        <v>0.005124</v>
      </c>
      <c r="AG999" s="377" t="n">
        <f aca="false">AD999</f>
        <v>0.035</v>
      </c>
      <c r="AH999" s="378" t="n">
        <v>45940</v>
      </c>
      <c r="AI999" s="379" t="n">
        <v>7</v>
      </c>
      <c r="AJ999" s="380" t="str">
        <f aca="false">IF(AG999="","N","Y")</f>
        <v>Y</v>
      </c>
      <c r="AK999" s="396" t="s">
        <v>1224</v>
      </c>
      <c r="AL999" s="397"/>
    </row>
    <row r="1000" s="382" customFormat="true" ht="20.25" hidden="false" customHeight="true" outlineLevel="0" collapsed="false">
      <c r="A1000" s="364" t="n">
        <v>473</v>
      </c>
      <c r="B1000" s="363" t="n">
        <v>45943</v>
      </c>
      <c r="C1000" s="364" t="s">
        <v>209</v>
      </c>
      <c r="D1000" s="364" t="s">
        <v>1054</v>
      </c>
      <c r="E1000" s="364" t="s">
        <v>1055</v>
      </c>
      <c r="F1000" s="364" t="s">
        <v>697</v>
      </c>
      <c r="G1000" s="365" t="n">
        <v>45943</v>
      </c>
      <c r="H1000" s="365" t="n">
        <v>45974</v>
      </c>
      <c r="I1000" s="364" t="n">
        <f aca="false">H1000-G1000</f>
        <v>31</v>
      </c>
      <c r="J1000" s="366" t="n">
        <f aca="false">TRUNC(I1000/30,0)</f>
        <v>1</v>
      </c>
      <c r="K1000" s="395" t="s">
        <v>95</v>
      </c>
      <c r="L1000" s="368" t="n">
        <v>11.6</v>
      </c>
      <c r="M1000" s="369"/>
      <c r="N1000" s="370"/>
      <c r="O1000" s="366" t="s">
        <v>303</v>
      </c>
      <c r="P1000" s="371" t="n">
        <v>0.0403217</v>
      </c>
      <c r="Q1000" s="371"/>
      <c r="R1000" s="372" t="s">
        <v>914</v>
      </c>
      <c r="S1000" s="373"/>
      <c r="T1000" s="372"/>
      <c r="U1000" s="373"/>
      <c r="V1000" s="373" t="n">
        <v>0.043479</v>
      </c>
      <c r="W1000" s="373" t="n">
        <v>0.00087</v>
      </c>
      <c r="X1000" s="373" t="n">
        <v>0.002833</v>
      </c>
      <c r="Y1000" s="373" t="n">
        <v>0.034815</v>
      </c>
      <c r="Z1000" s="373" t="n">
        <v>0.00172</v>
      </c>
      <c r="AA1000" s="373" t="n">
        <v>0.002</v>
      </c>
      <c r="AB1000" s="374" t="n">
        <f aca="false">S1000-Z1000</f>
        <v>-0.00172</v>
      </c>
      <c r="AC1000" s="374" t="n">
        <f aca="false">U1000-Z1000-AA1000</f>
        <v>-0.00372</v>
      </c>
      <c r="AD1000" s="375" t="n">
        <v>0.038</v>
      </c>
      <c r="AE1000" s="376" t="n">
        <v>0.034815</v>
      </c>
      <c r="AF1000" s="376" t="n">
        <f aca="false">AD1000-AE1000</f>
        <v>0.003185</v>
      </c>
      <c r="AG1000" s="377" t="n">
        <v>0.038</v>
      </c>
      <c r="AH1000" s="378" t="n">
        <v>45943</v>
      </c>
      <c r="AI1000" s="379" t="n">
        <v>1</v>
      </c>
      <c r="AJ1000" s="380" t="str">
        <f aca="false">IF(AG1000="","N","Y")</f>
        <v>Y</v>
      </c>
      <c r="AK1000" s="396" t="s">
        <v>1224</v>
      </c>
      <c r="AL1000" s="397"/>
    </row>
    <row r="1001" s="466" customFormat="true" ht="20.25" hidden="false" customHeight="true" outlineLevel="0" collapsed="false">
      <c r="A1001" s="446" t="n">
        <v>474</v>
      </c>
      <c r="B1001" s="447" t="n">
        <v>45943</v>
      </c>
      <c r="C1001" s="448" t="s">
        <v>209</v>
      </c>
      <c r="D1001" s="448" t="s">
        <v>1054</v>
      </c>
      <c r="E1001" s="448" t="s">
        <v>1055</v>
      </c>
      <c r="F1001" s="448" t="s">
        <v>1225</v>
      </c>
      <c r="G1001" s="449" t="n">
        <v>45943</v>
      </c>
      <c r="H1001" s="449" t="n">
        <v>45974</v>
      </c>
      <c r="I1001" s="446" t="n">
        <f aca="false">H1001-G1001</f>
        <v>31</v>
      </c>
      <c r="J1001" s="450" t="n">
        <f aca="false">TRUNC(I1001/30,0)</f>
        <v>1</v>
      </c>
      <c r="K1001" s="451" t="s">
        <v>95</v>
      </c>
      <c r="L1001" s="452" t="n">
        <v>1.6</v>
      </c>
      <c r="M1001" s="453"/>
      <c r="N1001" s="454"/>
      <c r="O1001" s="450" t="s">
        <v>303</v>
      </c>
      <c r="P1001" s="455" t="n">
        <v>0.0403217</v>
      </c>
      <c r="Q1001" s="455"/>
      <c r="R1001" s="456" t="s">
        <v>914</v>
      </c>
      <c r="S1001" s="457"/>
      <c r="T1001" s="456"/>
      <c r="U1001" s="457"/>
      <c r="V1001" s="457" t="n">
        <v>0.043479</v>
      </c>
      <c r="W1001" s="457" t="n">
        <v>0.00087</v>
      </c>
      <c r="X1001" s="457" t="n">
        <v>0.002833</v>
      </c>
      <c r="Y1001" s="457" t="n">
        <v>0.034815</v>
      </c>
      <c r="Z1001" s="457" t="n">
        <v>0.00172</v>
      </c>
      <c r="AA1001" s="457" t="n">
        <v>0.002</v>
      </c>
      <c r="AB1001" s="458" t="n">
        <f aca="false">S1001-Z1001</f>
        <v>-0.00172</v>
      </c>
      <c r="AC1001" s="458" t="n">
        <f aca="false">U1001-Z1001-AA1001</f>
        <v>-0.00372</v>
      </c>
      <c r="AD1001" s="459" t="n">
        <v>0.038</v>
      </c>
      <c r="AE1001" s="460" t="n">
        <v>0.034815</v>
      </c>
      <c r="AF1001" s="460" t="n">
        <f aca="false">AD1001-AE1001</f>
        <v>0.003185</v>
      </c>
      <c r="AG1001" s="461" t="n">
        <v>0.038</v>
      </c>
      <c r="AH1001" s="462" t="n">
        <v>45943</v>
      </c>
      <c r="AI1001" s="463" t="n">
        <v>2</v>
      </c>
      <c r="AJ1001" s="446" t="str">
        <f aca="false">IF(AG1001="","N","Y")</f>
        <v>Y</v>
      </c>
      <c r="AK1001" s="464" t="s">
        <v>1224</v>
      </c>
      <c r="AL1001" s="465"/>
    </row>
    <row r="1002" s="420" customFormat="true" ht="20.25" hidden="false" customHeight="true" outlineLevel="0" collapsed="false">
      <c r="A1002" s="364" t="n">
        <v>475</v>
      </c>
      <c r="B1002" s="363" t="n">
        <v>45943</v>
      </c>
      <c r="C1002" s="364" t="s">
        <v>209</v>
      </c>
      <c r="D1002" s="364" t="s">
        <v>1054</v>
      </c>
      <c r="E1002" s="364" t="s">
        <v>1055</v>
      </c>
      <c r="F1002" s="364" t="s">
        <v>697</v>
      </c>
      <c r="G1002" s="365" t="n">
        <v>45943</v>
      </c>
      <c r="H1002" s="365" t="n">
        <v>45974</v>
      </c>
      <c r="I1002" s="364" t="n">
        <f aca="false">H1002-G1002</f>
        <v>31</v>
      </c>
      <c r="J1002" s="366" t="n">
        <f aca="false">TRUNC(I1002/30,0)</f>
        <v>1</v>
      </c>
      <c r="K1002" s="367" t="s">
        <v>99</v>
      </c>
      <c r="L1002" s="368" t="n">
        <v>1.23</v>
      </c>
      <c r="M1002" s="369"/>
      <c r="N1002" s="370"/>
      <c r="O1002" s="366" t="s">
        <v>303</v>
      </c>
      <c r="P1002" s="371" t="n">
        <v>0.0403217</v>
      </c>
      <c r="Q1002" s="371"/>
      <c r="R1002" s="372" t="s">
        <v>914</v>
      </c>
      <c r="S1002" s="373"/>
      <c r="T1002" s="372"/>
      <c r="U1002" s="373"/>
      <c r="V1002" s="373" t="n">
        <v>0.043546</v>
      </c>
      <c r="W1002" s="373" t="n">
        <v>0.003048</v>
      </c>
      <c r="X1002" s="373" t="n">
        <v>0.004722</v>
      </c>
      <c r="Y1002" s="373" t="n">
        <v>0.02992</v>
      </c>
      <c r="Z1002" s="373" t="n">
        <v>0.00172</v>
      </c>
      <c r="AA1002" s="373" t="n">
        <v>0.002</v>
      </c>
      <c r="AB1002" s="374" t="n">
        <f aca="false">S1002-Z1002</f>
        <v>-0.00172</v>
      </c>
      <c r="AC1002" s="374" t="n">
        <f aca="false">U1002-Z1002-AA1002</f>
        <v>-0.00372</v>
      </c>
      <c r="AD1002" s="375" t="n">
        <v>0.034</v>
      </c>
      <c r="AE1002" s="376" t="n">
        <v>0.02992</v>
      </c>
      <c r="AF1002" s="376" t="n">
        <f aca="false">AD1002-AE1002</f>
        <v>0.00408</v>
      </c>
      <c r="AG1002" s="377" t="n">
        <v>0.034</v>
      </c>
      <c r="AH1002" s="378" t="n">
        <v>45943</v>
      </c>
      <c r="AI1002" s="379" t="n">
        <v>4</v>
      </c>
      <c r="AJ1002" s="380" t="str">
        <f aca="false">IF(AG1002="","N","Y")</f>
        <v>Y</v>
      </c>
      <c r="AK1002" s="396" t="s">
        <v>1224</v>
      </c>
      <c r="AL1002" s="419"/>
    </row>
    <row r="1003" s="382" customFormat="true" ht="20.25" hidden="false" customHeight="true" outlineLevel="0" collapsed="false">
      <c r="A1003" s="364" t="n">
        <v>476</v>
      </c>
      <c r="B1003" s="363" t="n">
        <v>45943</v>
      </c>
      <c r="C1003" s="364" t="s">
        <v>644</v>
      </c>
      <c r="D1003" s="364" t="s">
        <v>1112</v>
      </c>
      <c r="E1003" s="364" t="s">
        <v>492</v>
      </c>
      <c r="F1003" s="364" t="s">
        <v>880</v>
      </c>
      <c r="G1003" s="365" t="n">
        <v>45943</v>
      </c>
      <c r="H1003" s="365" t="n">
        <v>45974</v>
      </c>
      <c r="I1003" s="364" t="n">
        <f aca="false">H1003-G1003</f>
        <v>31</v>
      </c>
      <c r="J1003" s="366" t="n">
        <f aca="false">TRUNC(I1003/30,0)</f>
        <v>1</v>
      </c>
      <c r="K1003" s="367" t="s">
        <v>99</v>
      </c>
      <c r="L1003" s="368" t="n">
        <v>6.58</v>
      </c>
      <c r="M1003" s="369"/>
      <c r="N1003" s="370"/>
      <c r="O1003" s="366" t="s">
        <v>303</v>
      </c>
      <c r="P1003" s="371" t="n">
        <v>0.0403217</v>
      </c>
      <c r="Q1003" s="371"/>
      <c r="R1003" s="372" t="s">
        <v>914</v>
      </c>
      <c r="S1003" s="373"/>
      <c r="T1003" s="372"/>
      <c r="U1003" s="373"/>
      <c r="V1003" s="373" t="n">
        <v>0.043546</v>
      </c>
      <c r="W1003" s="373" t="n">
        <v>0.003048</v>
      </c>
      <c r="X1003" s="373" t="n">
        <v>0.003722</v>
      </c>
      <c r="Y1003" s="373" t="n">
        <v>0.02992</v>
      </c>
      <c r="Z1003" s="373" t="n">
        <v>0.00172</v>
      </c>
      <c r="AA1003" s="373" t="n">
        <v>0.002</v>
      </c>
      <c r="AB1003" s="374" t="n">
        <f aca="false">S1003-Z1003</f>
        <v>-0.00172</v>
      </c>
      <c r="AC1003" s="374" t="n">
        <f aca="false">U1003-Z1003-AA1003</f>
        <v>-0.00372</v>
      </c>
      <c r="AD1003" s="375" t="n">
        <v>0.035</v>
      </c>
      <c r="AE1003" s="373" t="n">
        <v>0.02992</v>
      </c>
      <c r="AF1003" s="412" t="n">
        <f aca="false">AD1003-AE1003</f>
        <v>0.00508000000000001</v>
      </c>
      <c r="AG1003" s="377" t="n">
        <v>0.035</v>
      </c>
      <c r="AH1003" s="378" t="n">
        <v>45943</v>
      </c>
      <c r="AI1003" s="379" t="n">
        <v>3</v>
      </c>
      <c r="AJ1003" s="380" t="str">
        <f aca="false">IF(AG1003="","N","Y")</f>
        <v>Y</v>
      </c>
      <c r="AK1003" s="396" t="s">
        <v>1224</v>
      </c>
      <c r="AL1003" s="397"/>
    </row>
    <row r="1004" s="382" customFormat="true" ht="20.25" hidden="false" customHeight="true" outlineLevel="0" collapsed="false">
      <c r="A1004" s="364" t="n">
        <v>477</v>
      </c>
      <c r="B1004" s="363" t="n">
        <v>45945</v>
      </c>
      <c r="C1004" s="364" t="s">
        <v>644</v>
      </c>
      <c r="D1004" s="364" t="s">
        <v>1070</v>
      </c>
      <c r="E1004" s="364" t="s">
        <v>1226</v>
      </c>
      <c r="F1004" s="364" t="s">
        <v>1072</v>
      </c>
      <c r="G1004" s="365" t="n">
        <v>45945</v>
      </c>
      <c r="H1004" s="365" t="n">
        <v>45978</v>
      </c>
      <c r="I1004" s="364" t="n">
        <f aca="false">H1004-G1004</f>
        <v>33</v>
      </c>
      <c r="J1004" s="366" t="n">
        <f aca="false">TRUNC(I1004/30,0)</f>
        <v>1</v>
      </c>
      <c r="K1004" s="395" t="s">
        <v>95</v>
      </c>
      <c r="L1004" s="368" t="n">
        <v>1.5</v>
      </c>
      <c r="M1004" s="408" t="n">
        <v>3.51</v>
      </c>
      <c r="N1004" s="409" t="s">
        <v>1227</v>
      </c>
      <c r="O1004" s="405" t="s">
        <v>303</v>
      </c>
      <c r="P1004" s="410" t="n">
        <v>0.0403184</v>
      </c>
      <c r="Q1004" s="371"/>
      <c r="R1004" s="372" t="s">
        <v>914</v>
      </c>
      <c r="S1004" s="373"/>
      <c r="T1004" s="372"/>
      <c r="U1004" s="373"/>
      <c r="V1004" s="412" t="n">
        <v>0.043326</v>
      </c>
      <c r="W1004" s="412" t="n">
        <v>0.000867</v>
      </c>
      <c r="X1004" s="412" t="n">
        <f aca="false">V1004-AG1004-W1004-$X$5</f>
        <v>0.00318300000000001</v>
      </c>
      <c r="Y1004" s="412" t="n">
        <v>0.034812</v>
      </c>
      <c r="Z1004" s="412" t="n">
        <v>0.00172</v>
      </c>
      <c r="AA1004" s="412" t="n">
        <v>0.002</v>
      </c>
      <c r="AB1004" s="374" t="n">
        <f aca="false">S1004-Z1004</f>
        <v>-0.00172</v>
      </c>
      <c r="AC1004" s="374" t="n">
        <f aca="false">U1004-Z1004-AA1004</f>
        <v>-0.00372</v>
      </c>
      <c r="AD1004" s="375" t="n">
        <v>0.0375</v>
      </c>
      <c r="AE1004" s="412" t="n">
        <f aca="false">Y1004</f>
        <v>0.034812</v>
      </c>
      <c r="AF1004" s="412" t="n">
        <f aca="false">AD1004-AE1004</f>
        <v>0.002688</v>
      </c>
      <c r="AG1004" s="377" t="n">
        <v>0.0375</v>
      </c>
      <c r="AH1004" s="378" t="n">
        <v>45945</v>
      </c>
      <c r="AI1004" s="379" t="n">
        <v>1</v>
      </c>
      <c r="AJ1004" s="380" t="str">
        <f aca="false">IF(AG1004="","N","Y")</f>
        <v>Y</v>
      </c>
      <c r="AK1004" s="416" t="s">
        <v>1228</v>
      </c>
      <c r="AL1004" s="397"/>
    </row>
    <row r="1005" s="474" customFormat="true" ht="20.25" hidden="false" customHeight="true" outlineLevel="0" collapsed="false">
      <c r="A1005" s="446" t="n">
        <v>478</v>
      </c>
      <c r="B1005" s="447" t="n">
        <v>45946</v>
      </c>
      <c r="C1005" s="448" t="s">
        <v>209</v>
      </c>
      <c r="D1005" s="448" t="s">
        <v>1054</v>
      </c>
      <c r="E1005" s="448" t="s">
        <v>1055</v>
      </c>
      <c r="F1005" s="448" t="s">
        <v>1225</v>
      </c>
      <c r="G1005" s="449" t="n">
        <v>45946</v>
      </c>
      <c r="H1005" s="449" t="n">
        <v>45978</v>
      </c>
      <c r="I1005" s="446" t="n">
        <f aca="false">H1005-G1005</f>
        <v>32</v>
      </c>
      <c r="J1005" s="450" t="n">
        <f aca="false">TRUNC(I1005/30,0)</f>
        <v>1</v>
      </c>
      <c r="K1005" s="451" t="s">
        <v>95</v>
      </c>
      <c r="L1005" s="452" t="n">
        <v>1.15</v>
      </c>
      <c r="M1005" s="467"/>
      <c r="N1005" s="468"/>
      <c r="O1005" s="469" t="s">
        <v>303</v>
      </c>
      <c r="P1005" s="470" t="n">
        <v>0.0403217</v>
      </c>
      <c r="Q1005" s="455"/>
      <c r="R1005" s="456" t="s">
        <v>914</v>
      </c>
      <c r="S1005" s="457"/>
      <c r="T1005" s="456"/>
      <c r="U1005" s="457"/>
      <c r="V1005" s="471" t="n">
        <v>0.043322</v>
      </c>
      <c r="W1005" s="471" t="n">
        <v>0.000866</v>
      </c>
      <c r="X1005" s="471" t="n">
        <v>0.002678</v>
      </c>
      <c r="Y1005" s="471" t="n">
        <v>0.034861</v>
      </c>
      <c r="Z1005" s="471" t="n">
        <v>0.00172</v>
      </c>
      <c r="AA1005" s="471" t="n">
        <v>0.002</v>
      </c>
      <c r="AB1005" s="458" t="n">
        <f aca="false">S1005-Z1005</f>
        <v>-0.00172</v>
      </c>
      <c r="AC1005" s="458" t="n">
        <f aca="false">U1005-Z1005-AA1005</f>
        <v>-0.00372</v>
      </c>
      <c r="AD1005" s="459" t="n">
        <v>0.038</v>
      </c>
      <c r="AE1005" s="471" t="n">
        <v>0.034861</v>
      </c>
      <c r="AF1005" s="471" t="n">
        <f aca="false">AD1005-AE1005</f>
        <v>0.003139</v>
      </c>
      <c r="AG1005" s="461" t="n">
        <v>0.038</v>
      </c>
      <c r="AH1005" s="462" t="n">
        <v>45946</v>
      </c>
      <c r="AI1005" s="463" t="n">
        <v>1</v>
      </c>
      <c r="AJ1005" s="446" t="str">
        <f aca="false">IF(AG1005="","N","Y")</f>
        <v>Y</v>
      </c>
      <c r="AK1005" s="472" t="s">
        <v>1228</v>
      </c>
      <c r="AL1005" s="473"/>
    </row>
    <row r="1006" s="382" customFormat="true" ht="20.25" hidden="false" customHeight="true" outlineLevel="0" collapsed="false">
      <c r="A1006" s="364" t="n">
        <v>479</v>
      </c>
      <c r="B1006" s="363" t="n">
        <v>45947</v>
      </c>
      <c r="C1006" s="364" t="s">
        <v>187</v>
      </c>
      <c r="D1006" s="402" t="s">
        <v>1062</v>
      </c>
      <c r="E1006" s="402" t="s">
        <v>1165</v>
      </c>
      <c r="F1006" s="402" t="s">
        <v>877</v>
      </c>
      <c r="G1006" s="365" t="n">
        <v>45947</v>
      </c>
      <c r="H1006" s="365" t="n">
        <v>45954</v>
      </c>
      <c r="I1006" s="364" t="n">
        <f aca="false">H1006-G1006</f>
        <v>7</v>
      </c>
      <c r="J1006" s="366" t="n">
        <f aca="false">TRUNC(I1006/30,0)</f>
        <v>0</v>
      </c>
      <c r="K1006" s="395" t="s">
        <v>95</v>
      </c>
      <c r="L1006" s="368" t="n">
        <v>1.5</v>
      </c>
      <c r="M1006" s="408"/>
      <c r="N1006" s="409"/>
      <c r="O1006" s="405" t="s">
        <v>305</v>
      </c>
      <c r="P1006" s="410" t="n">
        <v>0.0423642</v>
      </c>
      <c r="Q1006" s="371"/>
      <c r="R1006" s="372" t="s">
        <v>914</v>
      </c>
      <c r="S1006" s="373"/>
      <c r="T1006" s="372"/>
      <c r="U1006" s="373"/>
      <c r="V1006" s="412" t="n">
        <v>0.042983</v>
      </c>
      <c r="W1006" s="412" t="n">
        <v>0.003009</v>
      </c>
      <c r="X1006" s="412" t="n">
        <f aca="false">V1006-AD1006-$X$5-W1006</f>
        <v>0.003198</v>
      </c>
      <c r="Y1006" s="412" t="n">
        <f aca="false">P1006</f>
        <v>0.0423642</v>
      </c>
      <c r="Z1006" s="412" t="n">
        <v>0.00172</v>
      </c>
      <c r="AA1006" s="412" t="n">
        <v>0.002</v>
      </c>
      <c r="AB1006" s="374" t="n">
        <f aca="false">S1006-Z1006</f>
        <v>-0.00172</v>
      </c>
      <c r="AC1006" s="374" t="n">
        <f aca="false">U1006-Z1006-AA1006</f>
        <v>-0.00372</v>
      </c>
      <c r="AD1006" s="375" t="n">
        <v>0.035</v>
      </c>
      <c r="AE1006" s="412" t="n">
        <v>0.033098</v>
      </c>
      <c r="AF1006" s="412" t="n">
        <f aca="false">AD1006-AE1006</f>
        <v>0.001902</v>
      </c>
      <c r="AG1006" s="377" t="n">
        <f aca="false">AD1006</f>
        <v>0.035</v>
      </c>
      <c r="AH1006" s="378" t="n">
        <v>45941</v>
      </c>
      <c r="AI1006" s="379" t="n">
        <v>1</v>
      </c>
      <c r="AJ1006" s="380" t="str">
        <f aca="false">IF(AG1006="","N","Y")</f>
        <v>Y</v>
      </c>
      <c r="AK1006" s="416"/>
      <c r="AL1006" s="397"/>
    </row>
    <row r="1007" s="382" customFormat="true" ht="20.25" hidden="false" customHeight="true" outlineLevel="0" collapsed="false">
      <c r="A1007" s="364" t="n">
        <v>480</v>
      </c>
      <c r="B1007" s="363" t="n">
        <v>45947</v>
      </c>
      <c r="C1007" s="364" t="s">
        <v>187</v>
      </c>
      <c r="D1007" s="402" t="s">
        <v>1062</v>
      </c>
      <c r="E1007" s="402" t="s">
        <v>1165</v>
      </c>
      <c r="F1007" s="402" t="s">
        <v>877</v>
      </c>
      <c r="G1007" s="365" t="n">
        <v>45947</v>
      </c>
      <c r="H1007" s="365" t="n">
        <v>45954</v>
      </c>
      <c r="I1007" s="364" t="n">
        <f aca="false">H1007-G1007</f>
        <v>7</v>
      </c>
      <c r="J1007" s="366" t="n">
        <f aca="false">TRUNC(I1007/30,0)</f>
        <v>0</v>
      </c>
      <c r="K1007" s="395" t="s">
        <v>95</v>
      </c>
      <c r="L1007" s="368" t="n">
        <v>2</v>
      </c>
      <c r="M1007" s="408"/>
      <c r="N1007" s="409"/>
      <c r="O1007" s="405" t="s">
        <v>305</v>
      </c>
      <c r="P1007" s="410" t="n">
        <v>0.0423642</v>
      </c>
      <c r="Q1007" s="371"/>
      <c r="R1007" s="372" t="s">
        <v>914</v>
      </c>
      <c r="S1007" s="373"/>
      <c r="T1007" s="372"/>
      <c r="U1007" s="373"/>
      <c r="V1007" s="412" t="n">
        <v>0.042983</v>
      </c>
      <c r="W1007" s="412" t="n">
        <v>0.003009</v>
      </c>
      <c r="X1007" s="412" t="n">
        <f aca="false">V1007-AD1007-$X$5-W1007</f>
        <v>0.003198</v>
      </c>
      <c r="Y1007" s="412" t="n">
        <f aca="false">P1007</f>
        <v>0.0423642</v>
      </c>
      <c r="Z1007" s="412" t="n">
        <v>0.00172</v>
      </c>
      <c r="AA1007" s="412" t="n">
        <v>0.002</v>
      </c>
      <c r="AB1007" s="374" t="n">
        <f aca="false">S1007-Z1007</f>
        <v>-0.00172</v>
      </c>
      <c r="AC1007" s="374" t="n">
        <f aca="false">U1007-Z1007-AA1007</f>
        <v>-0.00372</v>
      </c>
      <c r="AD1007" s="375" t="n">
        <v>0.035</v>
      </c>
      <c r="AE1007" s="412" t="n">
        <v>0.033098</v>
      </c>
      <c r="AF1007" s="412" t="n">
        <f aca="false">AD1007-AE1007</f>
        <v>0.001902</v>
      </c>
      <c r="AG1007" s="377" t="n">
        <f aca="false">AD1007</f>
        <v>0.035</v>
      </c>
      <c r="AH1007" s="378" t="n">
        <v>45942</v>
      </c>
      <c r="AI1007" s="379" t="n">
        <v>2</v>
      </c>
      <c r="AJ1007" s="380" t="str">
        <f aca="false">IF(AG1007="","N","Y")</f>
        <v>Y</v>
      </c>
      <c r="AK1007" s="416"/>
      <c r="AL1007" s="397"/>
    </row>
    <row r="1008" s="382" customFormat="true" ht="20.25" hidden="false" customHeight="true" outlineLevel="0" collapsed="false">
      <c r="A1008" s="364" t="n">
        <v>481</v>
      </c>
      <c r="B1008" s="363" t="n">
        <v>45947</v>
      </c>
      <c r="C1008" s="364" t="s">
        <v>187</v>
      </c>
      <c r="D1008" s="402" t="s">
        <v>1062</v>
      </c>
      <c r="E1008" s="402" t="s">
        <v>1165</v>
      </c>
      <c r="F1008" s="402" t="s">
        <v>877</v>
      </c>
      <c r="G1008" s="365" t="n">
        <v>45947</v>
      </c>
      <c r="H1008" s="365" t="n">
        <v>45954</v>
      </c>
      <c r="I1008" s="364" t="n">
        <f aca="false">H1008-G1008</f>
        <v>7</v>
      </c>
      <c r="J1008" s="366" t="n">
        <f aca="false">TRUNC(I1008/30,0)</f>
        <v>0</v>
      </c>
      <c r="K1008" s="395" t="s">
        <v>95</v>
      </c>
      <c r="L1008" s="368" t="n">
        <v>2</v>
      </c>
      <c r="M1008" s="408"/>
      <c r="N1008" s="409"/>
      <c r="O1008" s="405" t="s">
        <v>305</v>
      </c>
      <c r="P1008" s="410" t="n">
        <v>0.0423642</v>
      </c>
      <c r="Q1008" s="371"/>
      <c r="R1008" s="372" t="s">
        <v>914</v>
      </c>
      <c r="S1008" s="373"/>
      <c r="T1008" s="372"/>
      <c r="U1008" s="373"/>
      <c r="V1008" s="412" t="n">
        <v>0.042983</v>
      </c>
      <c r="W1008" s="412" t="n">
        <v>0.003009</v>
      </c>
      <c r="X1008" s="412" t="n">
        <f aca="false">V1008-AD1008-$X$5-W1008</f>
        <v>0.003198</v>
      </c>
      <c r="Y1008" s="412" t="n">
        <f aca="false">P1008</f>
        <v>0.0423642</v>
      </c>
      <c r="Z1008" s="412" t="n">
        <v>0.00172</v>
      </c>
      <c r="AA1008" s="412" t="n">
        <v>0.002</v>
      </c>
      <c r="AB1008" s="374" t="n">
        <f aca="false">S1008-Z1008</f>
        <v>-0.00172</v>
      </c>
      <c r="AC1008" s="374" t="n">
        <f aca="false">U1008-Z1008-AA1008</f>
        <v>-0.00372</v>
      </c>
      <c r="AD1008" s="375" t="n">
        <v>0.035</v>
      </c>
      <c r="AE1008" s="412" t="n">
        <v>0.033098</v>
      </c>
      <c r="AF1008" s="412" t="n">
        <f aca="false">AD1008-AE1008</f>
        <v>0.001902</v>
      </c>
      <c r="AG1008" s="377" t="n">
        <f aca="false">AD1008</f>
        <v>0.035</v>
      </c>
      <c r="AH1008" s="378" t="n">
        <v>45943</v>
      </c>
      <c r="AI1008" s="379" t="n">
        <v>3</v>
      </c>
      <c r="AJ1008" s="380" t="str">
        <f aca="false">IF(AG1008="","N","Y")</f>
        <v>Y</v>
      </c>
      <c r="AK1008" s="416"/>
      <c r="AL1008" s="397"/>
    </row>
    <row r="1009" s="382" customFormat="true" ht="20.25" hidden="false" customHeight="true" outlineLevel="0" collapsed="false">
      <c r="A1009" s="364" t="n">
        <v>482</v>
      </c>
      <c r="B1009" s="363" t="n">
        <v>45947</v>
      </c>
      <c r="C1009" s="364" t="s">
        <v>187</v>
      </c>
      <c r="D1009" s="402" t="s">
        <v>1062</v>
      </c>
      <c r="E1009" s="402" t="s">
        <v>1165</v>
      </c>
      <c r="F1009" s="402" t="s">
        <v>877</v>
      </c>
      <c r="G1009" s="365" t="n">
        <v>45947</v>
      </c>
      <c r="H1009" s="365" t="n">
        <v>45954</v>
      </c>
      <c r="I1009" s="364" t="n">
        <f aca="false">H1009-G1009</f>
        <v>7</v>
      </c>
      <c r="J1009" s="366" t="n">
        <f aca="false">TRUNC(I1009/30,0)</f>
        <v>0</v>
      </c>
      <c r="K1009" s="395" t="s">
        <v>95</v>
      </c>
      <c r="L1009" s="368" t="n">
        <v>2</v>
      </c>
      <c r="M1009" s="408"/>
      <c r="N1009" s="409"/>
      <c r="O1009" s="405" t="s">
        <v>305</v>
      </c>
      <c r="P1009" s="410" t="n">
        <v>0.0423642</v>
      </c>
      <c r="Q1009" s="371"/>
      <c r="R1009" s="372" t="s">
        <v>914</v>
      </c>
      <c r="S1009" s="373"/>
      <c r="T1009" s="372"/>
      <c r="U1009" s="373"/>
      <c r="V1009" s="412" t="n">
        <v>0.042983</v>
      </c>
      <c r="W1009" s="412" t="n">
        <v>0.003009</v>
      </c>
      <c r="X1009" s="412" t="n">
        <f aca="false">V1009-AD1009-$X$5-W1009</f>
        <v>0.003198</v>
      </c>
      <c r="Y1009" s="412" t="n">
        <f aca="false">P1009</f>
        <v>0.0423642</v>
      </c>
      <c r="Z1009" s="412" t="n">
        <v>0.00172</v>
      </c>
      <c r="AA1009" s="412" t="n">
        <v>0.002</v>
      </c>
      <c r="AB1009" s="374" t="n">
        <f aca="false">S1009-Z1009</f>
        <v>-0.00172</v>
      </c>
      <c r="AC1009" s="374" t="n">
        <f aca="false">U1009-Z1009-AA1009</f>
        <v>-0.00372</v>
      </c>
      <c r="AD1009" s="375" t="n">
        <v>0.035</v>
      </c>
      <c r="AE1009" s="412" t="n">
        <v>0.033098</v>
      </c>
      <c r="AF1009" s="412" t="n">
        <f aca="false">AD1009-AE1009</f>
        <v>0.001902</v>
      </c>
      <c r="AG1009" s="377" t="n">
        <f aca="false">AD1009</f>
        <v>0.035</v>
      </c>
      <c r="AH1009" s="378" t="n">
        <v>45944</v>
      </c>
      <c r="AI1009" s="379" t="n">
        <v>5</v>
      </c>
      <c r="AJ1009" s="380" t="str">
        <f aca="false">IF(AG1009="","N","Y")</f>
        <v>Y</v>
      </c>
      <c r="AK1009" s="416"/>
      <c r="AL1009" s="397"/>
    </row>
    <row r="1010" s="382" customFormat="true" ht="20.25" hidden="false" customHeight="true" outlineLevel="0" collapsed="false">
      <c r="A1010" s="364" t="n">
        <v>483</v>
      </c>
      <c r="B1010" s="363" t="n">
        <v>45947</v>
      </c>
      <c r="C1010" s="364" t="s">
        <v>187</v>
      </c>
      <c r="D1010" s="402" t="s">
        <v>1062</v>
      </c>
      <c r="E1010" s="402" t="s">
        <v>1165</v>
      </c>
      <c r="F1010" s="402" t="s">
        <v>877</v>
      </c>
      <c r="G1010" s="365" t="n">
        <v>45947</v>
      </c>
      <c r="H1010" s="365" t="n">
        <v>45954</v>
      </c>
      <c r="I1010" s="364" t="n">
        <f aca="false">H1010-G1010</f>
        <v>7</v>
      </c>
      <c r="J1010" s="366" t="n">
        <f aca="false">TRUNC(I1010/30,0)</f>
        <v>0</v>
      </c>
      <c r="K1010" s="395" t="s">
        <v>95</v>
      </c>
      <c r="L1010" s="368" t="n">
        <v>2</v>
      </c>
      <c r="M1010" s="408"/>
      <c r="N1010" s="409"/>
      <c r="O1010" s="405" t="s">
        <v>305</v>
      </c>
      <c r="P1010" s="410" t="n">
        <v>0.0423642</v>
      </c>
      <c r="Q1010" s="371"/>
      <c r="R1010" s="372" t="s">
        <v>914</v>
      </c>
      <c r="S1010" s="373"/>
      <c r="T1010" s="372"/>
      <c r="U1010" s="373"/>
      <c r="V1010" s="412" t="n">
        <v>0.042983</v>
      </c>
      <c r="W1010" s="412" t="n">
        <v>0.003009</v>
      </c>
      <c r="X1010" s="412" t="n">
        <f aca="false">V1010-AD1010-$X$5-W1010</f>
        <v>0.003198</v>
      </c>
      <c r="Y1010" s="412" t="n">
        <f aca="false">P1010</f>
        <v>0.0423642</v>
      </c>
      <c r="Z1010" s="412" t="n">
        <v>0.00172</v>
      </c>
      <c r="AA1010" s="412" t="n">
        <v>0.002</v>
      </c>
      <c r="AB1010" s="374" t="n">
        <f aca="false">S1010-Z1010</f>
        <v>-0.00172</v>
      </c>
      <c r="AC1010" s="374" t="n">
        <f aca="false">U1010-Z1010-AA1010</f>
        <v>-0.00372</v>
      </c>
      <c r="AD1010" s="375" t="n">
        <v>0.035</v>
      </c>
      <c r="AE1010" s="412" t="n">
        <v>0.033098</v>
      </c>
      <c r="AF1010" s="412" t="n">
        <f aca="false">AD1010-AE1010</f>
        <v>0.001902</v>
      </c>
      <c r="AG1010" s="377" t="n">
        <f aca="false">AD1010</f>
        <v>0.035</v>
      </c>
      <c r="AH1010" s="378" t="n">
        <v>45945</v>
      </c>
      <c r="AI1010" s="379" t="n">
        <v>6</v>
      </c>
      <c r="AJ1010" s="380" t="str">
        <f aca="false">IF(AG1010="","N","Y")</f>
        <v>Y</v>
      </c>
      <c r="AK1010" s="416"/>
      <c r="AL1010" s="397"/>
    </row>
    <row r="1011" s="382" customFormat="true" ht="20.25" hidden="false" customHeight="true" outlineLevel="0" collapsed="false">
      <c r="A1011" s="364" t="n">
        <v>484</v>
      </c>
      <c r="B1011" s="363" t="n">
        <v>45947</v>
      </c>
      <c r="C1011" s="364" t="s">
        <v>187</v>
      </c>
      <c r="D1011" s="402" t="s">
        <v>1062</v>
      </c>
      <c r="E1011" s="402" t="s">
        <v>1165</v>
      </c>
      <c r="F1011" s="402" t="s">
        <v>877</v>
      </c>
      <c r="G1011" s="365" t="n">
        <v>45947</v>
      </c>
      <c r="H1011" s="365" t="n">
        <v>45954</v>
      </c>
      <c r="I1011" s="364" t="n">
        <f aca="false">H1011-G1011</f>
        <v>7</v>
      </c>
      <c r="J1011" s="366" t="n">
        <f aca="false">TRUNC(I1011/30,0)</f>
        <v>0</v>
      </c>
      <c r="K1011" s="395" t="s">
        <v>95</v>
      </c>
      <c r="L1011" s="368" t="n">
        <v>2</v>
      </c>
      <c r="M1011" s="408"/>
      <c r="N1011" s="409"/>
      <c r="O1011" s="405" t="s">
        <v>305</v>
      </c>
      <c r="P1011" s="410" t="n">
        <v>0.0423642</v>
      </c>
      <c r="Q1011" s="371"/>
      <c r="R1011" s="372" t="s">
        <v>914</v>
      </c>
      <c r="S1011" s="373"/>
      <c r="T1011" s="372"/>
      <c r="U1011" s="373"/>
      <c r="V1011" s="412" t="n">
        <v>0.042983</v>
      </c>
      <c r="W1011" s="412" t="n">
        <v>0.003009</v>
      </c>
      <c r="X1011" s="412" t="n">
        <f aca="false">V1011-AD1011-$X$5-W1011</f>
        <v>0.003198</v>
      </c>
      <c r="Y1011" s="412" t="n">
        <f aca="false">P1011</f>
        <v>0.0423642</v>
      </c>
      <c r="Z1011" s="412" t="n">
        <v>0.00172</v>
      </c>
      <c r="AA1011" s="412" t="n">
        <v>0.002</v>
      </c>
      <c r="AB1011" s="374" t="n">
        <f aca="false">S1011-Z1011</f>
        <v>-0.00172</v>
      </c>
      <c r="AC1011" s="374" t="n">
        <f aca="false">U1011-Z1011-AA1011</f>
        <v>-0.00372</v>
      </c>
      <c r="AD1011" s="375" t="n">
        <v>0.035</v>
      </c>
      <c r="AE1011" s="412" t="n">
        <v>0.033098</v>
      </c>
      <c r="AF1011" s="412" t="n">
        <f aca="false">AD1011-AE1011</f>
        <v>0.001902</v>
      </c>
      <c r="AG1011" s="377" t="n">
        <f aca="false">AD1011</f>
        <v>0.035</v>
      </c>
      <c r="AH1011" s="378" t="n">
        <v>45946</v>
      </c>
      <c r="AI1011" s="379" t="n">
        <v>7</v>
      </c>
      <c r="AJ1011" s="380" t="str">
        <f aca="false">IF(AG1011="","N","Y")</f>
        <v>Y</v>
      </c>
      <c r="AK1011" s="416"/>
      <c r="AL1011" s="397"/>
    </row>
    <row r="1012" s="382" customFormat="true" ht="20.25" hidden="false" customHeight="true" outlineLevel="0" collapsed="false">
      <c r="A1012" s="364" t="n">
        <v>485</v>
      </c>
      <c r="B1012" s="363" t="n">
        <v>45950</v>
      </c>
      <c r="C1012" s="364" t="s">
        <v>103</v>
      </c>
      <c r="D1012" s="364" t="s">
        <v>1229</v>
      </c>
      <c r="E1012" s="364" t="s">
        <v>1230</v>
      </c>
      <c r="F1012" s="364" t="s">
        <v>1231</v>
      </c>
      <c r="G1012" s="365" t="n">
        <v>45947</v>
      </c>
      <c r="H1012" s="365" t="n">
        <v>46041</v>
      </c>
      <c r="I1012" s="364" t="n">
        <f aca="false">H1012-G1012</f>
        <v>94</v>
      </c>
      <c r="J1012" s="366" t="n">
        <f aca="false">TRUNC(I1012/30,0)</f>
        <v>3</v>
      </c>
      <c r="K1012" s="395" t="s">
        <v>95</v>
      </c>
      <c r="L1012" s="368" t="n">
        <v>6.6</v>
      </c>
      <c r="M1012" s="408"/>
      <c r="N1012" s="409"/>
      <c r="O1012" s="405" t="s">
        <v>300</v>
      </c>
      <c r="P1012" s="410" t="n">
        <v>0.0388444</v>
      </c>
      <c r="Q1012" s="371"/>
      <c r="R1012" s="372" t="s">
        <v>914</v>
      </c>
      <c r="S1012" s="373"/>
      <c r="T1012" s="372"/>
      <c r="U1012" s="373"/>
      <c r="V1012" s="412" t="n">
        <v>0.043282</v>
      </c>
      <c r="W1012" s="412" t="n">
        <v>0.000866</v>
      </c>
      <c r="X1012" s="412" t="n">
        <f aca="false">V1012-AD1012-$X$5-W1012</f>
        <v>0.00184</v>
      </c>
      <c r="Y1012" s="412" t="n">
        <f aca="false">P1012</f>
        <v>0.0388444</v>
      </c>
      <c r="Z1012" s="412" t="n">
        <v>0.00172</v>
      </c>
      <c r="AA1012" s="412" t="n">
        <v>0.002</v>
      </c>
      <c r="AB1012" s="374" t="n">
        <f aca="false">S1012-Z1012</f>
        <v>-0.00172</v>
      </c>
      <c r="AC1012" s="374" t="n">
        <f aca="false">U1012-Z1012-AA1012</f>
        <v>-0.00372</v>
      </c>
      <c r="AD1012" s="375" t="n">
        <v>0.0388</v>
      </c>
      <c r="AE1012" s="412" t="n">
        <v>0.034067</v>
      </c>
      <c r="AF1012" s="412" t="n">
        <v>0.004733</v>
      </c>
      <c r="AG1012" s="377" t="n">
        <f aca="false">AE1012+AF1012</f>
        <v>0.0388</v>
      </c>
      <c r="AH1012" s="378" t="n">
        <v>45947</v>
      </c>
      <c r="AI1012" s="379" t="n">
        <v>8</v>
      </c>
      <c r="AJ1012" s="265" t="str">
        <f aca="false">IF(AG1012="","N","Y")</f>
        <v>Y</v>
      </c>
      <c r="AK1012" s="416"/>
      <c r="AL1012" s="397"/>
    </row>
    <row r="1013" s="382" customFormat="true" ht="20.25" hidden="false" customHeight="true" outlineLevel="0" collapsed="false">
      <c r="A1013" s="364" t="n">
        <v>486</v>
      </c>
      <c r="B1013" s="363" t="n">
        <v>45950</v>
      </c>
      <c r="C1013" s="364" t="s">
        <v>862</v>
      </c>
      <c r="D1013" s="364" t="s">
        <v>932</v>
      </c>
      <c r="E1013" s="364" t="s">
        <v>1067</v>
      </c>
      <c r="F1013" s="364" t="s">
        <v>906</v>
      </c>
      <c r="G1013" s="365" t="n">
        <v>45950</v>
      </c>
      <c r="H1013" s="365" t="n">
        <v>45981</v>
      </c>
      <c r="I1013" s="364" t="n">
        <f aca="false">H1013-G1013</f>
        <v>31</v>
      </c>
      <c r="J1013" s="366" t="n">
        <f aca="false">TRUNC(I1013/30,0)</f>
        <v>1</v>
      </c>
      <c r="K1013" s="367" t="s">
        <v>99</v>
      </c>
      <c r="L1013" s="368" t="n">
        <v>3.9</v>
      </c>
      <c r="M1013" s="369"/>
      <c r="N1013" s="370"/>
      <c r="O1013" s="366" t="s">
        <v>303</v>
      </c>
      <c r="P1013" s="371" t="n">
        <v>0.0402374</v>
      </c>
      <c r="Q1013" s="371"/>
      <c r="R1013" s="372" t="s">
        <v>914</v>
      </c>
      <c r="S1013" s="373"/>
      <c r="T1013" s="372"/>
      <c r="U1013" s="373"/>
      <c r="V1013" s="373" t="n">
        <v>0.043327</v>
      </c>
      <c r="W1013" s="373" t="n">
        <v>0.003033</v>
      </c>
      <c r="X1013" s="373" t="n">
        <v>0.003518</v>
      </c>
      <c r="Y1013" s="373" t="n">
        <v>0.031158</v>
      </c>
      <c r="Z1013" s="373" t="n">
        <v>0.00172</v>
      </c>
      <c r="AA1013" s="373" t="n">
        <v>0.002</v>
      </c>
      <c r="AB1013" s="374" t="n">
        <f aca="false">S1013-Z1013</f>
        <v>-0.00172</v>
      </c>
      <c r="AC1013" s="374" t="n">
        <f aca="false">U1013-Z1013-AA1013</f>
        <v>-0.00372</v>
      </c>
      <c r="AD1013" s="375" t="n">
        <v>0.035</v>
      </c>
      <c r="AE1013" s="376" t="n">
        <v>0.031158</v>
      </c>
      <c r="AF1013" s="376" t="n">
        <f aca="false">AD1013-AE1013</f>
        <v>0.003842</v>
      </c>
      <c r="AG1013" s="377" t="n">
        <v>0.035</v>
      </c>
      <c r="AH1013" s="378" t="n">
        <v>45950</v>
      </c>
      <c r="AI1013" s="379" t="n">
        <v>1</v>
      </c>
      <c r="AJ1013" s="380" t="str">
        <f aca="false">IF(AG1013="","N","Y")</f>
        <v>Y</v>
      </c>
      <c r="AK1013" s="396" t="s">
        <v>1213</v>
      </c>
      <c r="AL1013" s="397"/>
    </row>
    <row r="1014" s="382" customFormat="true" ht="20.25" hidden="false" customHeight="true" outlineLevel="0" collapsed="false">
      <c r="A1014" s="364" t="n">
        <v>487</v>
      </c>
      <c r="B1014" s="363" t="n">
        <v>45950</v>
      </c>
      <c r="C1014" s="364" t="s">
        <v>187</v>
      </c>
      <c r="D1014" s="364" t="s">
        <v>1118</v>
      </c>
      <c r="E1014" s="364" t="s">
        <v>1119</v>
      </c>
      <c r="F1014" s="364" t="s">
        <v>1120</v>
      </c>
      <c r="G1014" s="365" t="n">
        <v>45950</v>
      </c>
      <c r="H1014" s="365" t="n">
        <v>45981</v>
      </c>
      <c r="I1014" s="364" t="n">
        <f aca="false">H1014-G1014</f>
        <v>31</v>
      </c>
      <c r="J1014" s="366" t="n">
        <f aca="false">TRUNC(I1014/30,0)</f>
        <v>1</v>
      </c>
      <c r="K1014" s="367" t="s">
        <v>99</v>
      </c>
      <c r="L1014" s="368" t="n">
        <v>4.4</v>
      </c>
      <c r="M1014" s="369"/>
      <c r="N1014" s="370"/>
      <c r="O1014" s="366" t="s">
        <v>303</v>
      </c>
      <c r="P1014" s="371" t="n">
        <v>0.0402374</v>
      </c>
      <c r="Q1014" s="371"/>
      <c r="R1014" s="372" t="s">
        <v>914</v>
      </c>
      <c r="S1014" s="373"/>
      <c r="T1014" s="372"/>
      <c r="U1014" s="373"/>
      <c r="V1014" s="373" t="n">
        <v>0.043327</v>
      </c>
      <c r="W1014" s="373" t="n">
        <v>0.003033</v>
      </c>
      <c r="X1014" s="373" t="n">
        <v>0.003518</v>
      </c>
      <c r="Y1014" s="373" t="n">
        <v>0.031158</v>
      </c>
      <c r="Z1014" s="373" t="n">
        <v>0.00172</v>
      </c>
      <c r="AA1014" s="373" t="n">
        <v>0.002</v>
      </c>
      <c r="AB1014" s="374" t="n">
        <f aca="false">S1014-Z1014</f>
        <v>-0.00172</v>
      </c>
      <c r="AC1014" s="374" t="n">
        <f aca="false">U1014-Z1014-AA1014</f>
        <v>-0.00372</v>
      </c>
      <c r="AD1014" s="375" t="n">
        <v>0.035</v>
      </c>
      <c r="AE1014" s="376" t="n">
        <v>0.031158</v>
      </c>
      <c r="AF1014" s="376" t="n">
        <v>0.003842</v>
      </c>
      <c r="AG1014" s="377" t="n">
        <v>0.035</v>
      </c>
      <c r="AH1014" s="378" t="n">
        <v>45950</v>
      </c>
      <c r="AI1014" s="379" t="n">
        <v>2</v>
      </c>
      <c r="AJ1014" s="380" t="str">
        <f aca="false">IF(AG1014="","N","Y")</f>
        <v>Y</v>
      </c>
      <c r="AK1014" s="396" t="s">
        <v>1213</v>
      </c>
      <c r="AL1014" s="397"/>
    </row>
    <row r="1015" s="382" customFormat="true" ht="20.25" hidden="false" customHeight="true" outlineLevel="0" collapsed="false">
      <c r="A1015" s="364" t="n">
        <v>488</v>
      </c>
      <c r="B1015" s="363" t="n">
        <v>45950</v>
      </c>
      <c r="C1015" s="364" t="s">
        <v>1129</v>
      </c>
      <c r="D1015" s="364" t="s">
        <v>1130</v>
      </c>
      <c r="E1015" s="364" t="s">
        <v>1214</v>
      </c>
      <c r="F1015" s="364" t="s">
        <v>1132</v>
      </c>
      <c r="G1015" s="365" t="n">
        <v>45950</v>
      </c>
      <c r="H1015" s="365" t="n">
        <v>45981</v>
      </c>
      <c r="I1015" s="364" t="n">
        <f aca="false">H1015-G1015</f>
        <v>31</v>
      </c>
      <c r="J1015" s="366" t="n">
        <f aca="false">TRUNC(I1015/30,0)</f>
        <v>1</v>
      </c>
      <c r="K1015" s="395" t="s">
        <v>95</v>
      </c>
      <c r="L1015" s="368" t="n">
        <v>1.006</v>
      </c>
      <c r="M1015" s="369"/>
      <c r="N1015" s="370" t="s">
        <v>1232</v>
      </c>
      <c r="O1015" s="366" t="s">
        <v>303</v>
      </c>
      <c r="P1015" s="371" t="n">
        <v>0.0402374</v>
      </c>
      <c r="Q1015" s="371"/>
      <c r="R1015" s="372" t="s">
        <v>914</v>
      </c>
      <c r="S1015" s="373"/>
      <c r="T1015" s="372"/>
      <c r="U1015" s="373"/>
      <c r="V1015" s="373" t="n">
        <v>0.043311</v>
      </c>
      <c r="W1015" s="373" t="n">
        <v>0.000866</v>
      </c>
      <c r="X1015" s="373" t="n">
        <v>0.003169</v>
      </c>
      <c r="Y1015" s="373" t="n">
        <v>0.034732</v>
      </c>
      <c r="Z1015" s="373" t="n">
        <v>0.00172</v>
      </c>
      <c r="AA1015" s="373" t="n">
        <v>0.002</v>
      </c>
      <c r="AB1015" s="374" t="n">
        <f aca="false">S1015-Z1015</f>
        <v>-0.00172</v>
      </c>
      <c r="AC1015" s="374" t="n">
        <f aca="false">U1015-Z1015-AA1015</f>
        <v>-0.00372</v>
      </c>
      <c r="AD1015" s="375" t="n">
        <v>0.0375</v>
      </c>
      <c r="AE1015" s="376" t="n">
        <v>0.034732</v>
      </c>
      <c r="AF1015" s="376" t="n">
        <f aca="false">AD1015-AE1015</f>
        <v>0.002768</v>
      </c>
      <c r="AG1015" s="377" t="n">
        <f aca="false">IF(AF1015="","",AE1015+AF1015)</f>
        <v>0.0375</v>
      </c>
      <c r="AH1015" s="378" t="n">
        <v>45950</v>
      </c>
      <c r="AI1015" s="379" t="n">
        <v>3</v>
      </c>
      <c r="AJ1015" s="380" t="str">
        <f aca="false">IF(AG1015="","N","Y")</f>
        <v>Y</v>
      </c>
      <c r="AK1015" s="416" t="s">
        <v>1233</v>
      </c>
      <c r="AL1015" s="397"/>
    </row>
    <row r="1016" s="382" customFormat="true" ht="20.25" hidden="false" customHeight="true" outlineLevel="0" collapsed="false">
      <c r="A1016" s="364" t="n">
        <v>489</v>
      </c>
      <c r="B1016" s="363" t="n">
        <v>45952</v>
      </c>
      <c r="C1016" s="364" t="s">
        <v>1172</v>
      </c>
      <c r="D1016" s="364" t="s">
        <v>1173</v>
      </c>
      <c r="E1016" s="364" t="s">
        <v>1218</v>
      </c>
      <c r="F1016" s="364" t="s">
        <v>1175</v>
      </c>
      <c r="G1016" s="365" t="n">
        <v>45952</v>
      </c>
      <c r="H1016" s="365" t="n">
        <v>45982</v>
      </c>
      <c r="I1016" s="364" t="n">
        <f aca="false">H1016-G1016</f>
        <v>30</v>
      </c>
      <c r="J1016" s="366" t="n">
        <f aca="false">TRUNC(I1016/30,0)</f>
        <v>1</v>
      </c>
      <c r="K1016" s="367" t="s">
        <v>99</v>
      </c>
      <c r="L1016" s="368" t="n">
        <v>1.6</v>
      </c>
      <c r="M1016" s="369"/>
      <c r="N1016" s="370"/>
      <c r="O1016" s="366" t="s">
        <v>303</v>
      </c>
      <c r="P1016" s="371" t="n">
        <v>0.0400162</v>
      </c>
      <c r="Q1016" s="371"/>
      <c r="R1016" s="372" t="s">
        <v>914</v>
      </c>
      <c r="S1016" s="373"/>
      <c r="T1016" s="372"/>
      <c r="U1016" s="373"/>
      <c r="V1016" s="373" t="n">
        <v>0.043046</v>
      </c>
      <c r="W1016" s="373" t="n">
        <v>0.003013</v>
      </c>
      <c r="X1016" s="373" t="n">
        <f aca="false">V1016-AD1016-$X$5-W1016</f>
        <v>0.003757</v>
      </c>
      <c r="Y1016" s="373" t="n">
        <v>0.030083</v>
      </c>
      <c r="Z1016" s="373" t="n">
        <v>0.00172</v>
      </c>
      <c r="AA1016" s="373" t="n">
        <v>0.002</v>
      </c>
      <c r="AB1016" s="374" t="n">
        <f aca="false">S1016-Z1016</f>
        <v>-0.00172</v>
      </c>
      <c r="AC1016" s="374" t="n">
        <f aca="false">U1016-Z1016-AA1016</f>
        <v>-0.00372</v>
      </c>
      <c r="AD1016" s="375" t="n">
        <v>0.0345</v>
      </c>
      <c r="AE1016" s="376" t="n">
        <v>0.030083</v>
      </c>
      <c r="AF1016" s="376" t="n">
        <f aca="false">AD1016-AE1016</f>
        <v>0.004417</v>
      </c>
      <c r="AG1016" s="377" t="n">
        <f aca="false">AE1016+AF1016</f>
        <v>0.0345</v>
      </c>
      <c r="AH1016" s="378" t="n">
        <v>45952</v>
      </c>
      <c r="AI1016" s="379" t="n">
        <v>1</v>
      </c>
      <c r="AJ1016" s="380" t="str">
        <f aca="false">IF(AG1016="","N","Y")</f>
        <v>Y</v>
      </c>
      <c r="AK1016" s="396" t="s">
        <v>1213</v>
      </c>
      <c r="AL1016" s="397"/>
    </row>
    <row r="1017" s="382" customFormat="true" ht="20.25" hidden="false" customHeight="true" outlineLevel="0" collapsed="false">
      <c r="A1017" s="364" t="n">
        <v>490</v>
      </c>
      <c r="B1017" s="363" t="n">
        <v>45952</v>
      </c>
      <c r="C1017" s="364" t="s">
        <v>1219</v>
      </c>
      <c r="D1017" s="364" t="s">
        <v>1005</v>
      </c>
      <c r="E1017" s="364" t="s">
        <v>1006</v>
      </c>
      <c r="F1017" s="364" t="s">
        <v>1056</v>
      </c>
      <c r="G1017" s="365" t="n">
        <v>45952</v>
      </c>
      <c r="H1017" s="365" t="n">
        <v>45982</v>
      </c>
      <c r="I1017" s="364" t="n">
        <f aca="false">H1017-G1017</f>
        <v>30</v>
      </c>
      <c r="J1017" s="366" t="n">
        <f aca="false">TRUNC(I1017/30,0)</f>
        <v>1</v>
      </c>
      <c r="K1017" s="367" t="s">
        <v>99</v>
      </c>
      <c r="L1017" s="368" t="n">
        <v>13.08</v>
      </c>
      <c r="M1017" s="369"/>
      <c r="N1017" s="370"/>
      <c r="O1017" s="366" t="s">
        <v>303</v>
      </c>
      <c r="P1017" s="371" t="n">
        <v>0.0400162</v>
      </c>
      <c r="Q1017" s="371"/>
      <c r="R1017" s="372" t="s">
        <v>914</v>
      </c>
      <c r="S1017" s="373"/>
      <c r="T1017" s="372"/>
      <c r="U1017" s="373"/>
      <c r="V1017" s="373" t="n">
        <v>0.043046</v>
      </c>
      <c r="W1017" s="373" t="n">
        <v>0.003013</v>
      </c>
      <c r="X1017" s="373" t="n">
        <f aca="false">V1017-AD1017-$X$5-W1017</f>
        <v>0.003757</v>
      </c>
      <c r="Y1017" s="373" t="n">
        <v>0.030083</v>
      </c>
      <c r="Z1017" s="373" t="n">
        <v>0.00172</v>
      </c>
      <c r="AA1017" s="373" t="n">
        <v>0.002</v>
      </c>
      <c r="AB1017" s="374" t="n">
        <f aca="false">S1017-Z1017</f>
        <v>-0.00172</v>
      </c>
      <c r="AC1017" s="374" t="n">
        <f aca="false">U1017-Z1017-AA1017</f>
        <v>-0.00372</v>
      </c>
      <c r="AD1017" s="375" t="n">
        <v>0.0345</v>
      </c>
      <c r="AE1017" s="376" t="n">
        <v>0.030083</v>
      </c>
      <c r="AF1017" s="376" t="n">
        <f aca="false">AG1017-AE1017</f>
        <v>0.004417</v>
      </c>
      <c r="AG1017" s="377" t="n">
        <v>0.0345</v>
      </c>
      <c r="AH1017" s="378" t="n">
        <v>45952</v>
      </c>
      <c r="AI1017" s="379" t="n">
        <v>2</v>
      </c>
      <c r="AJ1017" s="380" t="str">
        <f aca="false">IF(AG1017="","N","Y")</f>
        <v>Y</v>
      </c>
      <c r="AK1017" s="396" t="s">
        <v>1213</v>
      </c>
      <c r="AL1017" s="397"/>
    </row>
    <row r="1018" s="382" customFormat="true" ht="20.25" hidden="false" customHeight="true" outlineLevel="0" collapsed="false">
      <c r="A1018" s="364" t="n">
        <v>491</v>
      </c>
      <c r="B1018" s="363" t="n">
        <v>45954</v>
      </c>
      <c r="C1018" s="364" t="s">
        <v>187</v>
      </c>
      <c r="D1018" s="402" t="s">
        <v>1062</v>
      </c>
      <c r="E1018" s="402" t="s">
        <v>1165</v>
      </c>
      <c r="F1018" s="402" t="s">
        <v>877</v>
      </c>
      <c r="G1018" s="365" t="n">
        <v>45954</v>
      </c>
      <c r="H1018" s="365" t="n">
        <v>45961</v>
      </c>
      <c r="I1018" s="364" t="n">
        <f aca="false">H1018-G1018</f>
        <v>7</v>
      </c>
      <c r="J1018" s="366" t="n">
        <f aca="false">TRUNC(I1018/30,0)</f>
        <v>0</v>
      </c>
      <c r="K1018" s="395" t="s">
        <v>95</v>
      </c>
      <c r="L1018" s="368" t="n">
        <v>1.5</v>
      </c>
      <c r="M1018" s="408"/>
      <c r="N1018" s="409"/>
      <c r="O1018" s="405" t="s">
        <v>305</v>
      </c>
      <c r="P1018" s="410" t="n">
        <v>0.041647</v>
      </c>
      <c r="Q1018" s="371"/>
      <c r="R1018" s="372" t="s">
        <v>914</v>
      </c>
      <c r="S1018" s="373"/>
      <c r="T1018" s="372"/>
      <c r="U1018" s="373"/>
      <c r="V1018" s="412" t="n">
        <v>0.043256</v>
      </c>
      <c r="W1018" s="412" t="n">
        <v>0.003028</v>
      </c>
      <c r="X1018" s="412" t="n">
        <f aca="false">V1018-AD1018-$X$5-W1018</f>
        <v>0.003452</v>
      </c>
      <c r="Y1018" s="412" t="n">
        <v>0.032431</v>
      </c>
      <c r="Z1018" s="412" t="n">
        <v>0.00172</v>
      </c>
      <c r="AA1018" s="412" t="n">
        <v>0.002</v>
      </c>
      <c r="AB1018" s="374" t="n">
        <f aca="false">S1018-Z1018</f>
        <v>-0.00172</v>
      </c>
      <c r="AC1018" s="374" t="n">
        <f aca="false">U1018-Z1018-AA1018</f>
        <v>-0.00372</v>
      </c>
      <c r="AD1018" s="375" t="n">
        <v>0.035</v>
      </c>
      <c r="AE1018" s="412" t="n">
        <v>0.032431</v>
      </c>
      <c r="AF1018" s="412" t="n">
        <f aca="false">AD1018-AE1018</f>
        <v>0.002569</v>
      </c>
      <c r="AG1018" s="377" t="n">
        <f aca="false">AD1018</f>
        <v>0.035</v>
      </c>
      <c r="AH1018" s="378" t="n">
        <v>45954</v>
      </c>
      <c r="AI1018" s="379" t="n">
        <v>1</v>
      </c>
      <c r="AJ1018" s="380" t="str">
        <f aca="false">IF(AG1018="","N","Y")</f>
        <v>Y</v>
      </c>
      <c r="AK1018" s="396" t="s">
        <v>1213</v>
      </c>
      <c r="AL1018" s="397"/>
    </row>
    <row r="1019" s="382" customFormat="true" ht="20.25" hidden="false" customHeight="true" outlineLevel="0" collapsed="false">
      <c r="A1019" s="364" t="n">
        <v>492</v>
      </c>
      <c r="B1019" s="363" t="n">
        <v>45954</v>
      </c>
      <c r="C1019" s="364" t="s">
        <v>187</v>
      </c>
      <c r="D1019" s="402" t="s">
        <v>1062</v>
      </c>
      <c r="E1019" s="402" t="s">
        <v>1165</v>
      </c>
      <c r="F1019" s="402" t="s">
        <v>877</v>
      </c>
      <c r="G1019" s="365" t="n">
        <v>45954</v>
      </c>
      <c r="H1019" s="365" t="n">
        <v>45961</v>
      </c>
      <c r="I1019" s="364" t="n">
        <f aca="false">H1019-G1019</f>
        <v>7</v>
      </c>
      <c r="J1019" s="366" t="n">
        <f aca="false">TRUNC(I1019/30,0)</f>
        <v>0</v>
      </c>
      <c r="K1019" s="395" t="s">
        <v>95</v>
      </c>
      <c r="L1019" s="368" t="n">
        <v>2</v>
      </c>
      <c r="M1019" s="408"/>
      <c r="N1019" s="409"/>
      <c r="O1019" s="405" t="s">
        <v>305</v>
      </c>
      <c r="P1019" s="410" t="n">
        <v>0.041647</v>
      </c>
      <c r="Q1019" s="371"/>
      <c r="R1019" s="372" t="s">
        <v>914</v>
      </c>
      <c r="S1019" s="373"/>
      <c r="T1019" s="372"/>
      <c r="U1019" s="373"/>
      <c r="V1019" s="412" t="n">
        <v>0.043256</v>
      </c>
      <c r="W1019" s="412" t="n">
        <v>0.003028</v>
      </c>
      <c r="X1019" s="412" t="n">
        <f aca="false">V1019-AD1019-$X$5-W1019</f>
        <v>0.003452</v>
      </c>
      <c r="Y1019" s="412" t="n">
        <v>0.032431</v>
      </c>
      <c r="Z1019" s="412" t="n">
        <v>0.00172</v>
      </c>
      <c r="AA1019" s="412" t="n">
        <v>0.002</v>
      </c>
      <c r="AB1019" s="374" t="n">
        <f aca="false">S1019-Z1019</f>
        <v>-0.00172</v>
      </c>
      <c r="AC1019" s="374" t="n">
        <f aca="false">U1019-Z1019-AA1019</f>
        <v>-0.00372</v>
      </c>
      <c r="AD1019" s="375" t="n">
        <v>0.035</v>
      </c>
      <c r="AE1019" s="412" t="n">
        <v>0.032431</v>
      </c>
      <c r="AF1019" s="412" t="n">
        <f aca="false">AD1019-AE1019</f>
        <v>0.002569</v>
      </c>
      <c r="AG1019" s="377" t="n">
        <f aca="false">AD1019</f>
        <v>0.035</v>
      </c>
      <c r="AH1019" s="378" t="n">
        <v>45954</v>
      </c>
      <c r="AI1019" s="379" t="n">
        <v>2</v>
      </c>
      <c r="AJ1019" s="380" t="str">
        <f aca="false">IF(AG1019="","N","Y")</f>
        <v>Y</v>
      </c>
      <c r="AK1019" s="396" t="s">
        <v>1213</v>
      </c>
      <c r="AL1019" s="397"/>
    </row>
    <row r="1020" s="382" customFormat="true" ht="20.25" hidden="false" customHeight="true" outlineLevel="0" collapsed="false">
      <c r="A1020" s="364" t="n">
        <v>493</v>
      </c>
      <c r="B1020" s="363" t="n">
        <v>45954</v>
      </c>
      <c r="C1020" s="364" t="s">
        <v>187</v>
      </c>
      <c r="D1020" s="402" t="s">
        <v>1062</v>
      </c>
      <c r="E1020" s="402" t="s">
        <v>1165</v>
      </c>
      <c r="F1020" s="402" t="s">
        <v>877</v>
      </c>
      <c r="G1020" s="365" t="n">
        <v>45954</v>
      </c>
      <c r="H1020" s="365" t="n">
        <v>45961</v>
      </c>
      <c r="I1020" s="364" t="n">
        <f aca="false">H1020-G1020</f>
        <v>7</v>
      </c>
      <c r="J1020" s="366" t="n">
        <f aca="false">TRUNC(I1020/30,0)</f>
        <v>0</v>
      </c>
      <c r="K1020" s="395" t="s">
        <v>95</v>
      </c>
      <c r="L1020" s="368" t="n">
        <v>2</v>
      </c>
      <c r="M1020" s="408"/>
      <c r="N1020" s="409"/>
      <c r="O1020" s="405" t="s">
        <v>305</v>
      </c>
      <c r="P1020" s="410" t="n">
        <v>0.041647</v>
      </c>
      <c r="Q1020" s="371"/>
      <c r="R1020" s="372" t="s">
        <v>914</v>
      </c>
      <c r="S1020" s="373"/>
      <c r="T1020" s="372"/>
      <c r="U1020" s="373"/>
      <c r="V1020" s="412" t="n">
        <v>0.043256</v>
      </c>
      <c r="W1020" s="412" t="n">
        <v>0.003028</v>
      </c>
      <c r="X1020" s="412" t="n">
        <f aca="false">V1020-AD1020-$X$5-W1020</f>
        <v>0.003452</v>
      </c>
      <c r="Y1020" s="412" t="n">
        <v>0.032431</v>
      </c>
      <c r="Z1020" s="412" t="n">
        <v>0.00172</v>
      </c>
      <c r="AA1020" s="412" t="n">
        <v>0.002</v>
      </c>
      <c r="AB1020" s="374" t="n">
        <f aca="false">S1020-Z1020</f>
        <v>-0.00172</v>
      </c>
      <c r="AC1020" s="374" t="n">
        <f aca="false">U1020-Z1020-AA1020</f>
        <v>-0.00372</v>
      </c>
      <c r="AD1020" s="375" t="n">
        <v>0.035</v>
      </c>
      <c r="AE1020" s="412" t="n">
        <v>0.032431</v>
      </c>
      <c r="AF1020" s="412" t="n">
        <f aca="false">AD1020-AE1020</f>
        <v>0.002569</v>
      </c>
      <c r="AG1020" s="377" t="n">
        <f aca="false">AD1020</f>
        <v>0.035</v>
      </c>
      <c r="AH1020" s="378" t="n">
        <v>45954</v>
      </c>
      <c r="AI1020" s="379" t="n">
        <v>3</v>
      </c>
      <c r="AJ1020" s="380" t="str">
        <f aca="false">IF(AG1020="","N","Y")</f>
        <v>Y</v>
      </c>
      <c r="AK1020" s="396" t="s">
        <v>1213</v>
      </c>
      <c r="AL1020" s="397"/>
    </row>
    <row r="1021" s="382" customFormat="true" ht="20.25" hidden="false" customHeight="true" outlineLevel="0" collapsed="false">
      <c r="A1021" s="364" t="n">
        <v>494</v>
      </c>
      <c r="B1021" s="363" t="n">
        <v>45954</v>
      </c>
      <c r="C1021" s="364" t="s">
        <v>187</v>
      </c>
      <c r="D1021" s="402" t="s">
        <v>1062</v>
      </c>
      <c r="E1021" s="402" t="s">
        <v>1165</v>
      </c>
      <c r="F1021" s="402" t="s">
        <v>877</v>
      </c>
      <c r="G1021" s="365" t="n">
        <v>45954</v>
      </c>
      <c r="H1021" s="365" t="n">
        <v>45961</v>
      </c>
      <c r="I1021" s="364" t="n">
        <f aca="false">H1021-G1021</f>
        <v>7</v>
      </c>
      <c r="J1021" s="366" t="n">
        <f aca="false">TRUNC(I1021/30,0)</f>
        <v>0</v>
      </c>
      <c r="K1021" s="395" t="s">
        <v>95</v>
      </c>
      <c r="L1021" s="368" t="n">
        <v>2</v>
      </c>
      <c r="M1021" s="408"/>
      <c r="N1021" s="409"/>
      <c r="O1021" s="405" t="s">
        <v>305</v>
      </c>
      <c r="P1021" s="410" t="n">
        <v>0.041647</v>
      </c>
      <c r="Q1021" s="371"/>
      <c r="R1021" s="372" t="s">
        <v>914</v>
      </c>
      <c r="S1021" s="373"/>
      <c r="T1021" s="372"/>
      <c r="U1021" s="373"/>
      <c r="V1021" s="412" t="n">
        <v>0.043256</v>
      </c>
      <c r="W1021" s="412" t="n">
        <v>0.003028</v>
      </c>
      <c r="X1021" s="412" t="n">
        <f aca="false">V1021-AD1021-$X$5-W1021</f>
        <v>0.003452</v>
      </c>
      <c r="Y1021" s="412" t="n">
        <v>0.032431</v>
      </c>
      <c r="Z1021" s="412" t="n">
        <v>0.00172</v>
      </c>
      <c r="AA1021" s="412" t="n">
        <v>0.002</v>
      </c>
      <c r="AB1021" s="374" t="n">
        <f aca="false">S1021-Z1021</f>
        <v>-0.00172</v>
      </c>
      <c r="AC1021" s="374" t="n">
        <f aca="false">U1021-Z1021-AA1021</f>
        <v>-0.00372</v>
      </c>
      <c r="AD1021" s="375" t="n">
        <v>0.035</v>
      </c>
      <c r="AE1021" s="412" t="n">
        <v>0.032431</v>
      </c>
      <c r="AF1021" s="412" t="n">
        <f aca="false">AD1021-AE1021</f>
        <v>0.002569</v>
      </c>
      <c r="AG1021" s="377" t="n">
        <f aca="false">AD1021</f>
        <v>0.035</v>
      </c>
      <c r="AH1021" s="378" t="n">
        <v>45954</v>
      </c>
      <c r="AI1021" s="379" t="n">
        <v>5</v>
      </c>
      <c r="AJ1021" s="380" t="str">
        <f aca="false">IF(AG1021="","N","Y")</f>
        <v>Y</v>
      </c>
      <c r="AK1021" s="396" t="s">
        <v>1213</v>
      </c>
      <c r="AL1021" s="397"/>
    </row>
    <row r="1022" s="382" customFormat="true" ht="20.25" hidden="false" customHeight="true" outlineLevel="0" collapsed="false">
      <c r="A1022" s="364" t="n">
        <v>495</v>
      </c>
      <c r="B1022" s="363" t="n">
        <v>45954</v>
      </c>
      <c r="C1022" s="364" t="s">
        <v>187</v>
      </c>
      <c r="D1022" s="402" t="s">
        <v>1062</v>
      </c>
      <c r="E1022" s="402" t="s">
        <v>1165</v>
      </c>
      <c r="F1022" s="402" t="s">
        <v>877</v>
      </c>
      <c r="G1022" s="365" t="n">
        <v>45954</v>
      </c>
      <c r="H1022" s="365" t="n">
        <v>45961</v>
      </c>
      <c r="I1022" s="364" t="n">
        <f aca="false">H1022-G1022</f>
        <v>7</v>
      </c>
      <c r="J1022" s="366" t="n">
        <f aca="false">TRUNC(I1022/30,0)</f>
        <v>0</v>
      </c>
      <c r="K1022" s="395" t="s">
        <v>95</v>
      </c>
      <c r="L1022" s="368" t="n">
        <v>2</v>
      </c>
      <c r="M1022" s="408"/>
      <c r="N1022" s="409"/>
      <c r="O1022" s="405" t="s">
        <v>305</v>
      </c>
      <c r="P1022" s="410" t="n">
        <v>0.041647</v>
      </c>
      <c r="Q1022" s="371"/>
      <c r="R1022" s="372" t="s">
        <v>914</v>
      </c>
      <c r="S1022" s="373"/>
      <c r="T1022" s="372"/>
      <c r="U1022" s="373"/>
      <c r="V1022" s="412" t="n">
        <v>0.043256</v>
      </c>
      <c r="W1022" s="412" t="n">
        <v>0.003028</v>
      </c>
      <c r="X1022" s="412" t="n">
        <f aca="false">V1022-AD1022-$X$5-W1022</f>
        <v>0.003452</v>
      </c>
      <c r="Y1022" s="412" t="n">
        <v>0.032431</v>
      </c>
      <c r="Z1022" s="412" t="n">
        <v>0.00172</v>
      </c>
      <c r="AA1022" s="412" t="n">
        <v>0.002</v>
      </c>
      <c r="AB1022" s="374" t="n">
        <f aca="false">S1022-Z1022</f>
        <v>-0.00172</v>
      </c>
      <c r="AC1022" s="374" t="n">
        <f aca="false">U1022-Z1022-AA1022</f>
        <v>-0.00372</v>
      </c>
      <c r="AD1022" s="375" t="n">
        <v>0.035</v>
      </c>
      <c r="AE1022" s="412" t="n">
        <v>0.032431</v>
      </c>
      <c r="AF1022" s="412" t="n">
        <f aca="false">AD1022-AE1022</f>
        <v>0.002569</v>
      </c>
      <c r="AG1022" s="377" t="n">
        <f aca="false">AD1022</f>
        <v>0.035</v>
      </c>
      <c r="AH1022" s="378" t="n">
        <v>45954</v>
      </c>
      <c r="AI1022" s="379" t="n">
        <v>6</v>
      </c>
      <c r="AJ1022" s="380" t="str">
        <f aca="false">IF(AG1022="","N","Y")</f>
        <v>Y</v>
      </c>
      <c r="AK1022" s="396" t="s">
        <v>1213</v>
      </c>
      <c r="AL1022" s="397"/>
    </row>
    <row r="1023" s="382" customFormat="true" ht="20.25" hidden="false" customHeight="true" outlineLevel="0" collapsed="false">
      <c r="A1023" s="364" t="n">
        <v>496</v>
      </c>
      <c r="B1023" s="363" t="n">
        <v>45954</v>
      </c>
      <c r="C1023" s="364" t="s">
        <v>187</v>
      </c>
      <c r="D1023" s="402" t="s">
        <v>1062</v>
      </c>
      <c r="E1023" s="402" t="s">
        <v>1165</v>
      </c>
      <c r="F1023" s="402" t="s">
        <v>877</v>
      </c>
      <c r="G1023" s="365" t="n">
        <v>45954</v>
      </c>
      <c r="H1023" s="365" t="n">
        <v>45961</v>
      </c>
      <c r="I1023" s="364" t="n">
        <f aca="false">H1023-G1023</f>
        <v>7</v>
      </c>
      <c r="J1023" s="366" t="n">
        <f aca="false">TRUNC(I1023/30,0)</f>
        <v>0</v>
      </c>
      <c r="K1023" s="395" t="s">
        <v>95</v>
      </c>
      <c r="L1023" s="368" t="n">
        <v>2</v>
      </c>
      <c r="M1023" s="408"/>
      <c r="N1023" s="409"/>
      <c r="O1023" s="405" t="s">
        <v>305</v>
      </c>
      <c r="P1023" s="410" t="n">
        <v>0.041647</v>
      </c>
      <c r="Q1023" s="371"/>
      <c r="R1023" s="372" t="s">
        <v>914</v>
      </c>
      <c r="S1023" s="373"/>
      <c r="T1023" s="372"/>
      <c r="U1023" s="373"/>
      <c r="V1023" s="412" t="n">
        <v>0.043256</v>
      </c>
      <c r="W1023" s="412" t="n">
        <v>0.003028</v>
      </c>
      <c r="X1023" s="412" t="n">
        <f aca="false">V1023-AD1023-$X$5-W1023</f>
        <v>0.003452</v>
      </c>
      <c r="Y1023" s="412" t="n">
        <v>0.032431</v>
      </c>
      <c r="Z1023" s="412" t="n">
        <v>0.00172</v>
      </c>
      <c r="AA1023" s="412" t="n">
        <v>0.002</v>
      </c>
      <c r="AB1023" s="374" t="n">
        <f aca="false">S1023-Z1023</f>
        <v>-0.00172</v>
      </c>
      <c r="AC1023" s="374" t="n">
        <f aca="false">U1023-Z1023-AA1023</f>
        <v>-0.00372</v>
      </c>
      <c r="AD1023" s="375" t="n">
        <v>0.035</v>
      </c>
      <c r="AE1023" s="412" t="n">
        <v>0.032431</v>
      </c>
      <c r="AF1023" s="412" t="n">
        <f aca="false">AD1023-AE1023</f>
        <v>0.002569</v>
      </c>
      <c r="AG1023" s="377" t="n">
        <f aca="false">AD1023</f>
        <v>0.035</v>
      </c>
      <c r="AH1023" s="378" t="n">
        <v>45954</v>
      </c>
      <c r="AI1023" s="379" t="n">
        <v>7</v>
      </c>
      <c r="AJ1023" s="380" t="str">
        <f aca="false">IF(AG1023="","N","Y")</f>
        <v>Y</v>
      </c>
      <c r="AK1023" s="396" t="s">
        <v>1213</v>
      </c>
      <c r="AL1023" s="397"/>
    </row>
    <row r="1024" s="382" customFormat="true" ht="20.25" hidden="false" customHeight="true" outlineLevel="0" collapsed="false">
      <c r="A1024" s="364" t="n">
        <v>497</v>
      </c>
      <c r="B1024" s="363" t="n">
        <v>45957</v>
      </c>
      <c r="C1024" s="364" t="s">
        <v>925</v>
      </c>
      <c r="D1024" s="364" t="s">
        <v>1181</v>
      </c>
      <c r="E1024" s="364" t="s">
        <v>1074</v>
      </c>
      <c r="F1024" s="364" t="s">
        <v>779</v>
      </c>
      <c r="G1024" s="365" t="n">
        <v>45957</v>
      </c>
      <c r="H1024" s="365" t="n">
        <v>45988</v>
      </c>
      <c r="I1024" s="364" t="n">
        <f aca="false">H1024-G1024</f>
        <v>31</v>
      </c>
      <c r="J1024" s="366" t="n">
        <f aca="false">TRUNC(I1024/30,0)</f>
        <v>1</v>
      </c>
      <c r="K1024" s="367" t="s">
        <v>99</v>
      </c>
      <c r="L1024" s="368" t="n">
        <v>1</v>
      </c>
      <c r="M1024" s="369"/>
      <c r="N1024" s="409"/>
      <c r="O1024" s="366" t="s">
        <v>303</v>
      </c>
      <c r="P1024" s="371" t="n">
        <v>0.0398631</v>
      </c>
      <c r="Q1024" s="371"/>
      <c r="R1024" s="372" t="s">
        <v>914</v>
      </c>
      <c r="S1024" s="373"/>
      <c r="T1024" s="372"/>
      <c r="U1024" s="373"/>
      <c r="V1024" s="373" t="n">
        <v>0.042995</v>
      </c>
      <c r="W1024" s="373" t="n">
        <v>0.00301</v>
      </c>
      <c r="X1024" s="373" t="n">
        <f aca="false">V1024-AD1024-$X$5-W1024</f>
        <v>0.004209</v>
      </c>
      <c r="Y1024" s="373" t="n">
        <v>0.030643</v>
      </c>
      <c r="Z1024" s="373" t="n">
        <v>0.00172</v>
      </c>
      <c r="AA1024" s="373" t="n">
        <v>0.002</v>
      </c>
      <c r="AB1024" s="374" t="n">
        <f aca="false">S1024-Z1024</f>
        <v>-0.00172</v>
      </c>
      <c r="AC1024" s="374" t="n">
        <f aca="false">U1024-Z1024-AA1024</f>
        <v>-0.00372</v>
      </c>
      <c r="AD1024" s="375" t="n">
        <v>0.034</v>
      </c>
      <c r="AE1024" s="376" t="n">
        <v>0.030643</v>
      </c>
      <c r="AF1024" s="376" t="n">
        <f aca="false">AG1024-AE1024</f>
        <v>0.003357</v>
      </c>
      <c r="AG1024" s="377" t="n">
        <v>0.034</v>
      </c>
      <c r="AH1024" s="378" t="n">
        <v>45957</v>
      </c>
      <c r="AI1024" s="379" t="n">
        <v>1</v>
      </c>
      <c r="AJ1024" s="380" t="str">
        <f aca="false">IF(AG1024="","N","Y")</f>
        <v>Y</v>
      </c>
      <c r="AK1024" s="396" t="s">
        <v>1213</v>
      </c>
      <c r="AL1024" s="397"/>
    </row>
    <row r="1025" s="382" customFormat="true" ht="20.25" hidden="false" customHeight="true" outlineLevel="0" collapsed="false">
      <c r="A1025" s="364" t="n">
        <v>498</v>
      </c>
      <c r="B1025" s="363" t="n">
        <v>45959</v>
      </c>
      <c r="C1025" s="364" t="s">
        <v>925</v>
      </c>
      <c r="D1025" s="364" t="s">
        <v>1181</v>
      </c>
      <c r="E1025" s="364" t="s">
        <v>987</v>
      </c>
      <c r="F1025" s="364" t="s">
        <v>1234</v>
      </c>
      <c r="G1025" s="365" t="n">
        <v>45959</v>
      </c>
      <c r="H1025" s="365" t="n">
        <v>45992</v>
      </c>
      <c r="I1025" s="364" t="n">
        <f aca="false">H1025-G1025</f>
        <v>33</v>
      </c>
      <c r="J1025" s="366" t="n">
        <f aca="false">TRUNC(I1025/30,0)</f>
        <v>1</v>
      </c>
      <c r="K1025" s="395" t="s">
        <v>95</v>
      </c>
      <c r="L1025" s="368" t="n">
        <v>2</v>
      </c>
      <c r="M1025" s="369"/>
      <c r="N1025" s="370"/>
      <c r="O1025" s="366" t="s">
        <v>303</v>
      </c>
      <c r="P1025" s="371" t="n">
        <v>0.0396839</v>
      </c>
      <c r="Q1025" s="371"/>
      <c r="R1025" s="372" t="s">
        <v>914</v>
      </c>
      <c r="S1025" s="373"/>
      <c r="T1025" s="372"/>
      <c r="U1025" s="373"/>
      <c r="V1025" s="373" t="n">
        <v>0.042776</v>
      </c>
      <c r="W1025" s="373" t="n">
        <v>0.000856</v>
      </c>
      <c r="X1025" s="373" t="n">
        <v>0.00314</v>
      </c>
      <c r="Y1025" s="373" t="n">
        <v>0.03419</v>
      </c>
      <c r="Z1025" s="373" t="n">
        <v>0.00172</v>
      </c>
      <c r="AA1025" s="373" t="n">
        <v>0.002</v>
      </c>
      <c r="AB1025" s="374" t="n">
        <f aca="false">S1025-Z1025</f>
        <v>-0.00172</v>
      </c>
      <c r="AC1025" s="374" t="n">
        <f aca="false">U1025-Z1025-AA1025</f>
        <v>-0.00372</v>
      </c>
      <c r="AD1025" s="375" t="n">
        <v>0.037</v>
      </c>
      <c r="AE1025" s="373" t="n">
        <v>0.03419</v>
      </c>
      <c r="AF1025" s="376" t="n">
        <f aca="false">AD1025-AE1025</f>
        <v>0.00281</v>
      </c>
      <c r="AG1025" s="377" t="n">
        <v>0.037</v>
      </c>
      <c r="AH1025" s="378" t="n">
        <v>45959</v>
      </c>
      <c r="AI1025" s="379" t="n">
        <v>1</v>
      </c>
      <c r="AJ1025" s="380" t="str">
        <f aca="false">IF(AG1025="","N","Y")</f>
        <v>Y</v>
      </c>
      <c r="AK1025" s="396" t="s">
        <v>1213</v>
      </c>
      <c r="AL1025" s="397"/>
    </row>
    <row r="1026" s="382" customFormat="true" ht="20.25" hidden="false" customHeight="true" outlineLevel="0" collapsed="false">
      <c r="A1026" s="364" t="n">
        <v>499</v>
      </c>
      <c r="B1026" s="363" t="n">
        <v>45959</v>
      </c>
      <c r="C1026" s="364" t="s">
        <v>103</v>
      </c>
      <c r="D1026" s="364" t="s">
        <v>1146</v>
      </c>
      <c r="E1026" s="364" t="s">
        <v>104</v>
      </c>
      <c r="F1026" s="364" t="s">
        <v>1158</v>
      </c>
      <c r="G1026" s="365" t="n">
        <v>45959</v>
      </c>
      <c r="H1026" s="365" t="n">
        <v>45992</v>
      </c>
      <c r="I1026" s="364" t="n">
        <f aca="false">H1026-G1026</f>
        <v>33</v>
      </c>
      <c r="J1026" s="366" t="n">
        <f aca="false">TRUNC(I1026/30,0)</f>
        <v>1</v>
      </c>
      <c r="K1026" s="395" t="s">
        <v>95</v>
      </c>
      <c r="L1026" s="368" t="n">
        <v>2</v>
      </c>
      <c r="M1026" s="369"/>
      <c r="N1026" s="370"/>
      <c r="O1026" s="366" t="s">
        <v>303</v>
      </c>
      <c r="P1026" s="371" t="n">
        <v>0.0396839</v>
      </c>
      <c r="Q1026" s="371"/>
      <c r="R1026" s="372" t="s">
        <v>914</v>
      </c>
      <c r="S1026" s="373"/>
      <c r="T1026" s="372"/>
      <c r="U1026" s="373"/>
      <c r="V1026" s="373" t="n">
        <v>0.042776</v>
      </c>
      <c r="W1026" s="373" t="n">
        <v>0.000856</v>
      </c>
      <c r="X1026" s="373" t="n">
        <v>0.003144</v>
      </c>
      <c r="Y1026" s="373" t="n">
        <v>0.03419</v>
      </c>
      <c r="Z1026" s="373" t="n">
        <v>0.00172</v>
      </c>
      <c r="AA1026" s="373" t="n">
        <v>0.002</v>
      </c>
      <c r="AB1026" s="374" t="n">
        <f aca="false">S1026-Z1026</f>
        <v>-0.00172</v>
      </c>
      <c r="AC1026" s="374" t="n">
        <f aca="false">U1026-Z1026-AA1026</f>
        <v>-0.00372</v>
      </c>
      <c r="AD1026" s="375" t="n">
        <v>0.037</v>
      </c>
      <c r="AE1026" s="373" t="n">
        <v>0.03419</v>
      </c>
      <c r="AF1026" s="376" t="n">
        <f aca="false">AD1026-AE1026</f>
        <v>0.00281</v>
      </c>
      <c r="AG1026" s="377" t="n">
        <v>0.037</v>
      </c>
      <c r="AH1026" s="378" t="n">
        <v>45959</v>
      </c>
      <c r="AI1026" s="379" t="n">
        <v>2</v>
      </c>
      <c r="AJ1026" s="380" t="str">
        <f aca="false">IF(AG1026="","N","Y")</f>
        <v>Y</v>
      </c>
      <c r="AK1026" s="396" t="s">
        <v>1213</v>
      </c>
      <c r="AL1026" s="397"/>
    </row>
    <row r="1027" s="382" customFormat="true" ht="20.25" hidden="false" customHeight="true" outlineLevel="0" collapsed="false">
      <c r="A1027" s="364" t="n">
        <v>500</v>
      </c>
      <c r="B1027" s="363" t="n">
        <v>45959</v>
      </c>
      <c r="C1027" s="364" t="s">
        <v>103</v>
      </c>
      <c r="D1027" s="364" t="s">
        <v>1146</v>
      </c>
      <c r="E1027" s="364" t="s">
        <v>1147</v>
      </c>
      <c r="F1027" s="364" t="s">
        <v>1200</v>
      </c>
      <c r="G1027" s="365" t="n">
        <v>45959</v>
      </c>
      <c r="H1027" s="365" t="n">
        <v>45992</v>
      </c>
      <c r="I1027" s="364" t="n">
        <f aca="false">H1027-G1027</f>
        <v>33</v>
      </c>
      <c r="J1027" s="366" t="n">
        <f aca="false">TRUNC(I1027/30,0)</f>
        <v>1</v>
      </c>
      <c r="K1027" s="395" t="s">
        <v>95</v>
      </c>
      <c r="L1027" s="368" t="n">
        <v>10</v>
      </c>
      <c r="M1027" s="369"/>
      <c r="N1027" s="370"/>
      <c r="O1027" s="366" t="s">
        <v>303</v>
      </c>
      <c r="P1027" s="371" t="n">
        <v>0.0396839</v>
      </c>
      <c r="Q1027" s="371"/>
      <c r="R1027" s="372" t="s">
        <v>914</v>
      </c>
      <c r="S1027" s="373"/>
      <c r="T1027" s="372"/>
      <c r="U1027" s="373"/>
      <c r="V1027" s="373" t="n">
        <v>0.042776</v>
      </c>
      <c r="W1027" s="373" t="n">
        <v>0.000856</v>
      </c>
      <c r="X1027" s="373" t="n">
        <v>0.00264</v>
      </c>
      <c r="Y1027" s="373" t="n">
        <v>0.03419</v>
      </c>
      <c r="Z1027" s="373" t="n">
        <v>0.00172</v>
      </c>
      <c r="AA1027" s="373" t="n">
        <v>0.002</v>
      </c>
      <c r="AB1027" s="374" t="n">
        <f aca="false">S1027-Z1027</f>
        <v>-0.00172</v>
      </c>
      <c r="AC1027" s="374" t="n">
        <f aca="false">U1027-Z1027-AA1027</f>
        <v>-0.00372</v>
      </c>
      <c r="AD1027" s="375" t="n">
        <v>0.0375</v>
      </c>
      <c r="AE1027" s="373" t="n">
        <v>0.03419</v>
      </c>
      <c r="AF1027" s="376" t="n">
        <f aca="false">AD1027-AE1027</f>
        <v>0.00331</v>
      </c>
      <c r="AG1027" s="377" t="n">
        <v>0.0375</v>
      </c>
      <c r="AH1027" s="378" t="n">
        <v>45959</v>
      </c>
      <c r="AI1027" s="379" t="n">
        <v>3</v>
      </c>
      <c r="AJ1027" s="380" t="str">
        <f aca="false">IF(AG1027="","N","Y")</f>
        <v>Y</v>
      </c>
      <c r="AK1027" s="396" t="s">
        <v>1213</v>
      </c>
      <c r="AL1027" s="397"/>
    </row>
    <row r="1028" s="382" customFormat="true" ht="20.25" hidden="false" customHeight="true" outlineLevel="0" collapsed="false">
      <c r="A1028" s="364" t="n">
        <v>501</v>
      </c>
      <c r="B1028" s="363" t="n">
        <v>45960</v>
      </c>
      <c r="C1028" s="364" t="s">
        <v>1172</v>
      </c>
      <c r="D1028" s="364" t="s">
        <v>1173</v>
      </c>
      <c r="E1028" s="364" t="s">
        <v>1218</v>
      </c>
      <c r="F1028" s="364" t="s">
        <v>1175</v>
      </c>
      <c r="G1028" s="365" t="n">
        <v>45960</v>
      </c>
      <c r="H1028" s="365" t="n">
        <v>46052</v>
      </c>
      <c r="I1028" s="364" t="n">
        <f aca="false">H1028-G1028</f>
        <v>92</v>
      </c>
      <c r="J1028" s="366" t="n">
        <f aca="false">TRUNC(I1028/30,0)</f>
        <v>3</v>
      </c>
      <c r="K1028" s="395" t="s">
        <v>95</v>
      </c>
      <c r="L1028" s="368" t="n">
        <v>4</v>
      </c>
      <c r="M1028" s="369"/>
      <c r="N1028" s="370"/>
      <c r="O1028" s="366" t="s">
        <v>303</v>
      </c>
      <c r="P1028" s="371" t="n">
        <v>0.0396461</v>
      </c>
      <c r="Q1028" s="371"/>
      <c r="R1028" s="372" t="s">
        <v>914</v>
      </c>
      <c r="S1028" s="373"/>
      <c r="T1028" s="372"/>
      <c r="U1028" s="373"/>
      <c r="V1028" s="373" t="n">
        <v>0.042872</v>
      </c>
      <c r="W1028" s="373" t="n">
        <v>0.000857</v>
      </c>
      <c r="X1028" s="373" t="n">
        <f aca="false">V1028-AD1028-$X$5-W1028</f>
        <v>0.003039</v>
      </c>
      <c r="Y1028" s="373" t="n">
        <v>0.033635</v>
      </c>
      <c r="Z1028" s="373" t="n">
        <v>0.00172</v>
      </c>
      <c r="AA1028" s="373" t="n">
        <v>0.002</v>
      </c>
      <c r="AB1028" s="374" t="n">
        <f aca="false">S1028-Z1028</f>
        <v>-0.00172</v>
      </c>
      <c r="AC1028" s="374" t="n">
        <f aca="false">U1028-Z1028-AA1028</f>
        <v>-0.00372</v>
      </c>
      <c r="AD1028" s="375" t="n">
        <v>0.0372</v>
      </c>
      <c r="AE1028" s="376" t="n">
        <v>0.033635</v>
      </c>
      <c r="AF1028" s="376" t="n">
        <f aca="false">AD1028-AE1028</f>
        <v>0.003565</v>
      </c>
      <c r="AG1028" s="377" t="n">
        <f aca="false">AE1028+AF1028</f>
        <v>0.0372</v>
      </c>
      <c r="AH1028" s="378" t="n">
        <v>45960</v>
      </c>
      <c r="AI1028" s="379" t="n">
        <v>1</v>
      </c>
      <c r="AJ1028" s="380" t="str">
        <f aca="false">IF(AG1028="","N","Y")</f>
        <v>Y</v>
      </c>
      <c r="AK1028" s="396" t="s">
        <v>1235</v>
      </c>
      <c r="AL1028" s="397"/>
    </row>
    <row r="1029" s="382" customFormat="true" ht="20.25" hidden="false" customHeight="true" outlineLevel="0" collapsed="false">
      <c r="A1029" s="364" t="n">
        <v>502</v>
      </c>
      <c r="B1029" s="363" t="n">
        <v>45961</v>
      </c>
      <c r="C1029" s="364" t="s">
        <v>187</v>
      </c>
      <c r="D1029" s="402" t="s">
        <v>1062</v>
      </c>
      <c r="E1029" s="402" t="s">
        <v>1165</v>
      </c>
      <c r="F1029" s="402" t="s">
        <v>877</v>
      </c>
      <c r="G1029" s="365" t="n">
        <v>45961</v>
      </c>
      <c r="H1029" s="365" t="n">
        <v>45968</v>
      </c>
      <c r="I1029" s="364" t="n">
        <f aca="false">H1029-G1029</f>
        <v>7</v>
      </c>
      <c r="J1029" s="366" t="n">
        <f aca="false">TRUNC(I1029/30,0)</f>
        <v>0</v>
      </c>
      <c r="K1029" s="395" t="s">
        <v>95</v>
      </c>
      <c r="L1029" s="368" t="n">
        <v>1.5</v>
      </c>
      <c r="M1029" s="408"/>
      <c r="N1029" s="409"/>
      <c r="O1029" s="405" t="s">
        <v>305</v>
      </c>
      <c r="P1029" s="410" t="n">
        <v>0.0421083</v>
      </c>
      <c r="Q1029" s="371"/>
      <c r="R1029" s="372" t="s">
        <v>914</v>
      </c>
      <c r="S1029" s="373"/>
      <c r="T1029" s="372"/>
      <c r="U1029" s="373"/>
      <c r="V1029" s="412" t="n">
        <v>0.043256</v>
      </c>
      <c r="W1029" s="412" t="n">
        <v>0.003065</v>
      </c>
      <c r="X1029" s="412" t="n">
        <v>0.003944</v>
      </c>
      <c r="Y1029" s="412" t="n">
        <v>0.03286</v>
      </c>
      <c r="Z1029" s="412" t="n">
        <v>0.00172</v>
      </c>
      <c r="AA1029" s="412" t="n">
        <v>0.002</v>
      </c>
      <c r="AB1029" s="374" t="n">
        <f aca="false">S1029-Z1029</f>
        <v>-0.00172</v>
      </c>
      <c r="AC1029" s="374" t="n">
        <f aca="false">U1029-Z1029-AA1029</f>
        <v>-0.00372</v>
      </c>
      <c r="AD1029" s="375" t="n">
        <v>0.035</v>
      </c>
      <c r="AE1029" s="412" t="n">
        <v>0.03286</v>
      </c>
      <c r="AF1029" s="412" t="n">
        <f aca="false">AD1029-AE1029</f>
        <v>0.00214</v>
      </c>
      <c r="AG1029" s="377" t="n">
        <f aca="false">AD1029</f>
        <v>0.035</v>
      </c>
      <c r="AH1029" s="378" t="n">
        <v>45961</v>
      </c>
      <c r="AI1029" s="379" t="n">
        <v>1</v>
      </c>
      <c r="AJ1029" s="380" t="str">
        <f aca="false">IF(AG1029="","N","Y")</f>
        <v>Y</v>
      </c>
      <c r="AK1029" s="396" t="s">
        <v>1236</v>
      </c>
      <c r="AL1029" s="397"/>
    </row>
    <row r="1030" s="382" customFormat="true" ht="20.25" hidden="false" customHeight="true" outlineLevel="0" collapsed="false">
      <c r="A1030" s="364" t="n">
        <v>503</v>
      </c>
      <c r="B1030" s="363" t="n">
        <v>45961</v>
      </c>
      <c r="C1030" s="364" t="s">
        <v>187</v>
      </c>
      <c r="D1030" s="402" t="s">
        <v>1062</v>
      </c>
      <c r="E1030" s="402" t="s">
        <v>1165</v>
      </c>
      <c r="F1030" s="402" t="s">
        <v>877</v>
      </c>
      <c r="G1030" s="365" t="n">
        <v>45961</v>
      </c>
      <c r="H1030" s="365" t="n">
        <v>45968</v>
      </c>
      <c r="I1030" s="364" t="n">
        <f aca="false">H1030-G1030</f>
        <v>7</v>
      </c>
      <c r="J1030" s="366" t="n">
        <f aca="false">TRUNC(I1030/30,0)</f>
        <v>0</v>
      </c>
      <c r="K1030" s="395" t="s">
        <v>95</v>
      </c>
      <c r="L1030" s="368" t="n">
        <v>2</v>
      </c>
      <c r="M1030" s="408"/>
      <c r="N1030" s="409"/>
      <c r="O1030" s="405" t="s">
        <v>305</v>
      </c>
      <c r="P1030" s="410" t="n">
        <v>0.0421083</v>
      </c>
      <c r="Q1030" s="371"/>
      <c r="R1030" s="372" t="s">
        <v>914</v>
      </c>
      <c r="S1030" s="373"/>
      <c r="T1030" s="372"/>
      <c r="U1030" s="373"/>
      <c r="V1030" s="412" t="n">
        <v>0.043256</v>
      </c>
      <c r="W1030" s="412" t="n">
        <v>0.003065</v>
      </c>
      <c r="X1030" s="412" t="n">
        <v>0.003944</v>
      </c>
      <c r="Y1030" s="412" t="n">
        <v>0.03286</v>
      </c>
      <c r="Z1030" s="412" t="n">
        <v>0.00172</v>
      </c>
      <c r="AA1030" s="412" t="n">
        <v>0.002</v>
      </c>
      <c r="AB1030" s="374" t="n">
        <f aca="false">S1030-Z1030</f>
        <v>-0.00172</v>
      </c>
      <c r="AC1030" s="374" t="n">
        <f aca="false">U1030-Z1030-AA1030</f>
        <v>-0.00372</v>
      </c>
      <c r="AD1030" s="375" t="n">
        <v>0.035</v>
      </c>
      <c r="AE1030" s="412" t="n">
        <v>0.03286</v>
      </c>
      <c r="AF1030" s="412" t="n">
        <f aca="false">AD1030-AE1030</f>
        <v>0.00214</v>
      </c>
      <c r="AG1030" s="377" t="n">
        <f aca="false">AD1030</f>
        <v>0.035</v>
      </c>
      <c r="AH1030" s="378" t="n">
        <v>45961</v>
      </c>
      <c r="AI1030" s="379" t="n">
        <v>2</v>
      </c>
      <c r="AJ1030" s="380" t="str">
        <f aca="false">IF(AG1030="","N","Y")</f>
        <v>Y</v>
      </c>
      <c r="AK1030" s="396" t="s">
        <v>1236</v>
      </c>
      <c r="AL1030" s="397"/>
    </row>
    <row r="1031" s="382" customFormat="true" ht="20.25" hidden="false" customHeight="true" outlineLevel="0" collapsed="false">
      <c r="A1031" s="364" t="n">
        <v>504</v>
      </c>
      <c r="B1031" s="363" t="n">
        <v>45961</v>
      </c>
      <c r="C1031" s="364" t="s">
        <v>187</v>
      </c>
      <c r="D1031" s="402" t="s">
        <v>1062</v>
      </c>
      <c r="E1031" s="402" t="s">
        <v>1165</v>
      </c>
      <c r="F1031" s="402" t="s">
        <v>877</v>
      </c>
      <c r="G1031" s="365" t="n">
        <v>45961</v>
      </c>
      <c r="H1031" s="365" t="n">
        <v>45968</v>
      </c>
      <c r="I1031" s="364" t="n">
        <f aca="false">H1031-G1031</f>
        <v>7</v>
      </c>
      <c r="J1031" s="366" t="n">
        <f aca="false">TRUNC(I1031/30,0)</f>
        <v>0</v>
      </c>
      <c r="K1031" s="395" t="s">
        <v>95</v>
      </c>
      <c r="L1031" s="368" t="n">
        <v>2</v>
      </c>
      <c r="M1031" s="408"/>
      <c r="N1031" s="409"/>
      <c r="O1031" s="405" t="s">
        <v>305</v>
      </c>
      <c r="P1031" s="410" t="n">
        <v>0.0421083</v>
      </c>
      <c r="Q1031" s="371"/>
      <c r="R1031" s="372" t="s">
        <v>914</v>
      </c>
      <c r="S1031" s="373"/>
      <c r="T1031" s="372"/>
      <c r="U1031" s="373"/>
      <c r="V1031" s="412" t="n">
        <v>0.043256</v>
      </c>
      <c r="W1031" s="412" t="n">
        <v>0.003065</v>
      </c>
      <c r="X1031" s="412" t="n">
        <v>0.003944</v>
      </c>
      <c r="Y1031" s="412" t="n">
        <v>0.03286</v>
      </c>
      <c r="Z1031" s="412" t="n">
        <v>0.00172</v>
      </c>
      <c r="AA1031" s="412" t="n">
        <v>0.002</v>
      </c>
      <c r="AB1031" s="374" t="n">
        <f aca="false">S1031-Z1031</f>
        <v>-0.00172</v>
      </c>
      <c r="AC1031" s="374" t="n">
        <f aca="false">U1031-Z1031-AA1031</f>
        <v>-0.00372</v>
      </c>
      <c r="AD1031" s="375" t="n">
        <v>0.035</v>
      </c>
      <c r="AE1031" s="412" t="n">
        <v>0.03286</v>
      </c>
      <c r="AF1031" s="412" t="n">
        <f aca="false">AD1031-AE1031</f>
        <v>0.00214</v>
      </c>
      <c r="AG1031" s="377" t="n">
        <f aca="false">AD1031</f>
        <v>0.035</v>
      </c>
      <c r="AH1031" s="378" t="n">
        <v>45961</v>
      </c>
      <c r="AI1031" s="379" t="n">
        <v>3</v>
      </c>
      <c r="AJ1031" s="380" t="str">
        <f aca="false">IF(AG1031="","N","Y")</f>
        <v>Y</v>
      </c>
      <c r="AK1031" s="396" t="s">
        <v>1236</v>
      </c>
      <c r="AL1031" s="397"/>
    </row>
    <row r="1032" s="382" customFormat="true" ht="20.25" hidden="false" customHeight="true" outlineLevel="0" collapsed="false">
      <c r="A1032" s="364" t="n">
        <v>505</v>
      </c>
      <c r="B1032" s="363" t="n">
        <v>45961</v>
      </c>
      <c r="C1032" s="364" t="s">
        <v>187</v>
      </c>
      <c r="D1032" s="402" t="s">
        <v>1062</v>
      </c>
      <c r="E1032" s="402" t="s">
        <v>1165</v>
      </c>
      <c r="F1032" s="402" t="s">
        <v>877</v>
      </c>
      <c r="G1032" s="365" t="n">
        <v>45961</v>
      </c>
      <c r="H1032" s="365" t="n">
        <v>45968</v>
      </c>
      <c r="I1032" s="364" t="n">
        <f aca="false">H1032-G1032</f>
        <v>7</v>
      </c>
      <c r="J1032" s="366" t="n">
        <f aca="false">TRUNC(I1032/30,0)</f>
        <v>0</v>
      </c>
      <c r="K1032" s="395" t="s">
        <v>95</v>
      </c>
      <c r="L1032" s="368" t="n">
        <v>2</v>
      </c>
      <c r="M1032" s="408"/>
      <c r="N1032" s="409"/>
      <c r="O1032" s="405" t="s">
        <v>305</v>
      </c>
      <c r="P1032" s="410" t="n">
        <v>0.0421083</v>
      </c>
      <c r="Q1032" s="371"/>
      <c r="R1032" s="372" t="s">
        <v>914</v>
      </c>
      <c r="S1032" s="373"/>
      <c r="T1032" s="372"/>
      <c r="U1032" s="373"/>
      <c r="V1032" s="412" t="n">
        <v>0.043256</v>
      </c>
      <c r="W1032" s="412" t="n">
        <v>0.003065</v>
      </c>
      <c r="X1032" s="412" t="n">
        <v>0.003944</v>
      </c>
      <c r="Y1032" s="412" t="n">
        <v>0.03286</v>
      </c>
      <c r="Z1032" s="412" t="n">
        <v>0.00172</v>
      </c>
      <c r="AA1032" s="412" t="n">
        <v>0.002</v>
      </c>
      <c r="AB1032" s="374" t="n">
        <f aca="false">S1032-Z1032</f>
        <v>-0.00172</v>
      </c>
      <c r="AC1032" s="374" t="n">
        <f aca="false">U1032-Z1032-AA1032</f>
        <v>-0.00372</v>
      </c>
      <c r="AD1032" s="375" t="n">
        <v>0.035</v>
      </c>
      <c r="AE1032" s="412" t="n">
        <v>0.03286</v>
      </c>
      <c r="AF1032" s="412" t="n">
        <f aca="false">AD1032-AE1032</f>
        <v>0.00214</v>
      </c>
      <c r="AG1032" s="377" t="n">
        <f aca="false">AD1032</f>
        <v>0.035</v>
      </c>
      <c r="AH1032" s="378" t="n">
        <v>45961</v>
      </c>
      <c r="AI1032" s="379" t="n">
        <v>4</v>
      </c>
      <c r="AJ1032" s="380" t="str">
        <f aca="false">IF(AG1032="","N","Y")</f>
        <v>Y</v>
      </c>
      <c r="AK1032" s="396" t="s">
        <v>1236</v>
      </c>
      <c r="AL1032" s="397"/>
    </row>
    <row r="1033" s="382" customFormat="true" ht="20.25" hidden="false" customHeight="true" outlineLevel="0" collapsed="false">
      <c r="A1033" s="364" t="n">
        <v>506</v>
      </c>
      <c r="B1033" s="363" t="n">
        <v>45961</v>
      </c>
      <c r="C1033" s="364" t="s">
        <v>187</v>
      </c>
      <c r="D1033" s="402" t="s">
        <v>1062</v>
      </c>
      <c r="E1033" s="402" t="s">
        <v>1165</v>
      </c>
      <c r="F1033" s="402" t="s">
        <v>877</v>
      </c>
      <c r="G1033" s="365" t="n">
        <v>45961</v>
      </c>
      <c r="H1033" s="365" t="n">
        <v>45968</v>
      </c>
      <c r="I1033" s="364" t="n">
        <f aca="false">H1033-G1033</f>
        <v>7</v>
      </c>
      <c r="J1033" s="366" t="n">
        <f aca="false">TRUNC(I1033/30,0)</f>
        <v>0</v>
      </c>
      <c r="K1033" s="395" t="s">
        <v>95</v>
      </c>
      <c r="L1033" s="368" t="n">
        <v>2</v>
      </c>
      <c r="M1033" s="408"/>
      <c r="N1033" s="409"/>
      <c r="O1033" s="405" t="s">
        <v>305</v>
      </c>
      <c r="P1033" s="410" t="n">
        <v>0.0421083</v>
      </c>
      <c r="Q1033" s="371"/>
      <c r="R1033" s="372" t="s">
        <v>914</v>
      </c>
      <c r="S1033" s="373"/>
      <c r="T1033" s="372"/>
      <c r="U1033" s="373"/>
      <c r="V1033" s="412" t="n">
        <v>0.043256</v>
      </c>
      <c r="W1033" s="412" t="n">
        <v>0.003065</v>
      </c>
      <c r="X1033" s="412" t="n">
        <v>0.003944</v>
      </c>
      <c r="Y1033" s="412" t="n">
        <v>0.03286</v>
      </c>
      <c r="Z1033" s="412" t="n">
        <v>0.00172</v>
      </c>
      <c r="AA1033" s="412" t="n">
        <v>0.002</v>
      </c>
      <c r="AB1033" s="374" t="n">
        <f aca="false">S1033-Z1033</f>
        <v>-0.00172</v>
      </c>
      <c r="AC1033" s="374" t="n">
        <f aca="false">U1033-Z1033-AA1033</f>
        <v>-0.00372</v>
      </c>
      <c r="AD1033" s="375" t="n">
        <v>0.035</v>
      </c>
      <c r="AE1033" s="412" t="n">
        <v>0.03286</v>
      </c>
      <c r="AF1033" s="412" t="n">
        <f aca="false">AD1033-AE1033</f>
        <v>0.00214</v>
      </c>
      <c r="AG1033" s="377" t="n">
        <f aca="false">AD1033</f>
        <v>0.035</v>
      </c>
      <c r="AH1033" s="378" t="n">
        <v>45961</v>
      </c>
      <c r="AI1033" s="379" t="n">
        <v>5</v>
      </c>
      <c r="AJ1033" s="380" t="str">
        <f aca="false">IF(AG1033="","N","Y")</f>
        <v>Y</v>
      </c>
      <c r="AK1033" s="396" t="s">
        <v>1236</v>
      </c>
      <c r="AL1033" s="397"/>
    </row>
    <row r="1034" s="382" customFormat="true" ht="20.25" hidden="false" customHeight="true" outlineLevel="0" collapsed="false">
      <c r="A1034" s="364" t="n">
        <v>507</v>
      </c>
      <c r="B1034" s="363" t="n">
        <v>45961</v>
      </c>
      <c r="C1034" s="364" t="s">
        <v>187</v>
      </c>
      <c r="D1034" s="402" t="s">
        <v>1062</v>
      </c>
      <c r="E1034" s="402" t="s">
        <v>1165</v>
      </c>
      <c r="F1034" s="402" t="s">
        <v>877</v>
      </c>
      <c r="G1034" s="365" t="n">
        <v>45961</v>
      </c>
      <c r="H1034" s="365" t="n">
        <v>45968</v>
      </c>
      <c r="I1034" s="364" t="n">
        <f aca="false">H1034-G1034</f>
        <v>7</v>
      </c>
      <c r="J1034" s="366" t="n">
        <f aca="false">TRUNC(I1034/30,0)</f>
        <v>0</v>
      </c>
      <c r="K1034" s="395" t="s">
        <v>95</v>
      </c>
      <c r="L1034" s="368" t="n">
        <v>2</v>
      </c>
      <c r="M1034" s="408"/>
      <c r="N1034" s="409"/>
      <c r="O1034" s="405" t="s">
        <v>305</v>
      </c>
      <c r="P1034" s="410" t="n">
        <v>0.0421083</v>
      </c>
      <c r="Q1034" s="371"/>
      <c r="R1034" s="372" t="s">
        <v>914</v>
      </c>
      <c r="S1034" s="373"/>
      <c r="T1034" s="372"/>
      <c r="U1034" s="373"/>
      <c r="V1034" s="412" t="n">
        <v>0.043256</v>
      </c>
      <c r="W1034" s="412" t="n">
        <v>0.003065</v>
      </c>
      <c r="X1034" s="412" t="n">
        <v>0.003944</v>
      </c>
      <c r="Y1034" s="412" t="n">
        <v>0.03286</v>
      </c>
      <c r="Z1034" s="412" t="n">
        <v>0.00172</v>
      </c>
      <c r="AA1034" s="412" t="n">
        <v>0.002</v>
      </c>
      <c r="AB1034" s="374" t="n">
        <f aca="false">S1034-Z1034</f>
        <v>-0.00172</v>
      </c>
      <c r="AC1034" s="374" t="n">
        <f aca="false">U1034-Z1034-AA1034</f>
        <v>-0.00372</v>
      </c>
      <c r="AD1034" s="375" t="n">
        <v>0.035</v>
      </c>
      <c r="AE1034" s="412" t="n">
        <v>0.03286</v>
      </c>
      <c r="AF1034" s="412" t="n">
        <f aca="false">AD1034-AE1034</f>
        <v>0.00214</v>
      </c>
      <c r="AG1034" s="377" t="n">
        <f aca="false">AD1034</f>
        <v>0.035</v>
      </c>
      <c r="AH1034" s="378" t="n">
        <v>45961</v>
      </c>
      <c r="AI1034" s="379" t="n">
        <v>6</v>
      </c>
      <c r="AJ1034" s="380" t="str">
        <f aca="false">IF(AG1034="","N","Y")</f>
        <v>Y</v>
      </c>
      <c r="AK1034" s="396" t="s">
        <v>1236</v>
      </c>
      <c r="AL1034" s="397"/>
    </row>
    <row r="1035" s="382" customFormat="true" ht="20.25" hidden="false" customHeight="true" outlineLevel="0" collapsed="false">
      <c r="A1035" s="364" t="n">
        <v>508</v>
      </c>
      <c r="B1035" s="363" t="n">
        <v>45961</v>
      </c>
      <c r="C1035" s="364" t="s">
        <v>187</v>
      </c>
      <c r="D1035" s="402" t="s">
        <v>1062</v>
      </c>
      <c r="E1035" s="402" t="s">
        <v>1165</v>
      </c>
      <c r="F1035" s="402" t="s">
        <v>877</v>
      </c>
      <c r="G1035" s="365" t="n">
        <v>45961</v>
      </c>
      <c r="H1035" s="365" t="n">
        <v>45968</v>
      </c>
      <c r="I1035" s="364" t="n">
        <f aca="false">H1035-G1035</f>
        <v>7</v>
      </c>
      <c r="J1035" s="366" t="n">
        <f aca="false">TRUNC(I1035/30,0)</f>
        <v>0</v>
      </c>
      <c r="K1035" s="395" t="s">
        <v>95</v>
      </c>
      <c r="L1035" s="368" t="n">
        <v>4.5</v>
      </c>
      <c r="M1035" s="408"/>
      <c r="N1035" s="409"/>
      <c r="O1035" s="405" t="s">
        <v>305</v>
      </c>
      <c r="P1035" s="410" t="n">
        <v>0.0421083</v>
      </c>
      <c r="Q1035" s="371"/>
      <c r="R1035" s="372" t="s">
        <v>914</v>
      </c>
      <c r="S1035" s="373"/>
      <c r="T1035" s="372"/>
      <c r="U1035" s="373"/>
      <c r="V1035" s="412" t="n">
        <v>0.043256</v>
      </c>
      <c r="W1035" s="412" t="n">
        <v>0.003065</v>
      </c>
      <c r="X1035" s="412" t="n">
        <v>0.003944</v>
      </c>
      <c r="Y1035" s="412" t="n">
        <v>0.03286</v>
      </c>
      <c r="Z1035" s="412" t="n">
        <v>0.00172</v>
      </c>
      <c r="AA1035" s="412" t="n">
        <v>0.002</v>
      </c>
      <c r="AB1035" s="374" t="n">
        <f aca="false">S1035-Z1035</f>
        <v>-0.00172</v>
      </c>
      <c r="AC1035" s="374" t="n">
        <f aca="false">U1035-Z1035-AA1035</f>
        <v>-0.00372</v>
      </c>
      <c r="AD1035" s="375" t="n">
        <v>0.035</v>
      </c>
      <c r="AE1035" s="412" t="n">
        <v>0.03286</v>
      </c>
      <c r="AF1035" s="412" t="n">
        <f aca="false">AD1035-AE1035</f>
        <v>0.00214</v>
      </c>
      <c r="AG1035" s="377" t="n">
        <f aca="false">AD1035</f>
        <v>0.035</v>
      </c>
      <c r="AH1035" s="378" t="n">
        <v>45961</v>
      </c>
      <c r="AI1035" s="379" t="n">
        <v>7</v>
      </c>
      <c r="AJ1035" s="380" t="str">
        <f aca="false">IF(AG1035="","N","Y")</f>
        <v>Y</v>
      </c>
      <c r="AK1035" s="396" t="s">
        <v>1236</v>
      </c>
      <c r="AL1035" s="397"/>
    </row>
    <row r="1036" s="382" customFormat="true" ht="20.25" hidden="false" customHeight="true" outlineLevel="0" collapsed="false">
      <c r="A1036" s="364" t="n">
        <v>509</v>
      </c>
      <c r="B1036" s="363" t="n">
        <v>45964</v>
      </c>
      <c r="C1036" s="364" t="s">
        <v>1149</v>
      </c>
      <c r="D1036" s="364" t="s">
        <v>1150</v>
      </c>
      <c r="E1036" s="364" t="s">
        <v>1183</v>
      </c>
      <c r="F1036" s="364" t="s">
        <v>1152</v>
      </c>
      <c r="G1036" s="365" t="n">
        <v>45964</v>
      </c>
      <c r="H1036" s="365" t="n">
        <v>45994</v>
      </c>
      <c r="I1036" s="364" t="n">
        <f aca="false">H1036-G1036</f>
        <v>30</v>
      </c>
      <c r="J1036" s="366" t="n">
        <f aca="false">TRUNC(I1036/30,0)</f>
        <v>1</v>
      </c>
      <c r="K1036" s="367" t="s">
        <v>99</v>
      </c>
      <c r="L1036" s="368" t="n">
        <v>1.25</v>
      </c>
      <c r="M1036" s="369"/>
      <c r="N1036" s="370"/>
      <c r="O1036" s="366" t="s">
        <v>303</v>
      </c>
      <c r="P1036" s="371" t="n">
        <v>0.0399963</v>
      </c>
      <c r="Q1036" s="371"/>
      <c r="R1036" s="372" t="s">
        <v>914</v>
      </c>
      <c r="S1036" s="373"/>
      <c r="T1036" s="372"/>
      <c r="U1036" s="373"/>
      <c r="V1036" s="373" t="n">
        <v>0.042939</v>
      </c>
      <c r="W1036" s="373" t="n">
        <v>0.003006</v>
      </c>
      <c r="X1036" s="373" t="n">
        <v>0.004657</v>
      </c>
      <c r="Y1036" s="373" t="n">
        <v>0.029194</v>
      </c>
      <c r="Z1036" s="373" t="n">
        <v>0.00172</v>
      </c>
      <c r="AA1036" s="373" t="n">
        <v>0.002</v>
      </c>
      <c r="AB1036" s="374" t="n">
        <f aca="false">S1036-Z1036</f>
        <v>-0.00172</v>
      </c>
      <c r="AC1036" s="374" t="n">
        <f aca="false">U1036-Z1036-AA1036</f>
        <v>-0.00372</v>
      </c>
      <c r="AD1036" s="375" t="n">
        <v>0.0335</v>
      </c>
      <c r="AE1036" s="373" t="n">
        <v>0.029194</v>
      </c>
      <c r="AF1036" s="376" t="n">
        <f aca="false">AD1036-AE1036</f>
        <v>0.004306</v>
      </c>
      <c r="AG1036" s="377" t="n">
        <v>0.0335</v>
      </c>
      <c r="AH1036" s="378" t="n">
        <v>45964</v>
      </c>
      <c r="AI1036" s="379" t="n">
        <v>1</v>
      </c>
      <c r="AJ1036" s="380" t="str">
        <f aca="false">IF(AG1036="","N","Y")</f>
        <v>Y</v>
      </c>
      <c r="AK1036" s="396" t="s">
        <v>1236</v>
      </c>
      <c r="AL1036" s="397"/>
    </row>
    <row r="1037" s="382" customFormat="true" ht="20.25" hidden="false" customHeight="true" outlineLevel="0" collapsed="false">
      <c r="A1037" s="364" t="n">
        <v>510</v>
      </c>
      <c r="B1037" s="363" t="n">
        <v>45964</v>
      </c>
      <c r="C1037" s="364" t="s">
        <v>1184</v>
      </c>
      <c r="D1037" s="364" t="s">
        <v>1185</v>
      </c>
      <c r="E1037" s="364" t="s">
        <v>1186</v>
      </c>
      <c r="F1037" s="364" t="s">
        <v>1187</v>
      </c>
      <c r="G1037" s="365" t="n">
        <v>45964</v>
      </c>
      <c r="H1037" s="365" t="n">
        <v>45994</v>
      </c>
      <c r="I1037" s="364" t="n">
        <f aca="false">H1037-G1037</f>
        <v>30</v>
      </c>
      <c r="J1037" s="366" t="n">
        <f aca="false">TRUNC(I1037/30,0)</f>
        <v>1</v>
      </c>
      <c r="K1037" s="367" t="s">
        <v>99</v>
      </c>
      <c r="L1037" s="368" t="n">
        <v>6.53</v>
      </c>
      <c r="M1037" s="369"/>
      <c r="N1037" s="370"/>
      <c r="O1037" s="366" t="s">
        <v>303</v>
      </c>
      <c r="P1037" s="371" t="n">
        <v>0.0399963</v>
      </c>
      <c r="Q1037" s="371"/>
      <c r="R1037" s="372" t="s">
        <v>914</v>
      </c>
      <c r="S1037" s="373"/>
      <c r="T1037" s="372"/>
      <c r="U1037" s="373"/>
      <c r="V1037" s="373" t="n">
        <v>0.042939</v>
      </c>
      <c r="W1037" s="373" t="n">
        <v>0.003006</v>
      </c>
      <c r="X1037" s="373" t="n">
        <v>0.004657</v>
      </c>
      <c r="Y1037" s="373" t="n">
        <v>0.029194</v>
      </c>
      <c r="Z1037" s="373" t="n">
        <v>0.00172</v>
      </c>
      <c r="AA1037" s="373" t="n">
        <v>0.002</v>
      </c>
      <c r="AB1037" s="374" t="n">
        <f aca="false">S1037-Z1037</f>
        <v>-0.00172</v>
      </c>
      <c r="AC1037" s="374" t="n">
        <f aca="false">U1037-Z1037-AA1037</f>
        <v>-0.00372</v>
      </c>
      <c r="AD1037" s="375" t="n">
        <v>0.0335</v>
      </c>
      <c r="AE1037" s="373" t="n">
        <v>0.029194</v>
      </c>
      <c r="AF1037" s="376" t="n">
        <f aca="false">AD1037-AE1037</f>
        <v>0.004306</v>
      </c>
      <c r="AG1037" s="377" t="n">
        <v>0.0335</v>
      </c>
      <c r="AH1037" s="378" t="n">
        <v>45964</v>
      </c>
      <c r="AI1037" s="379" t="n">
        <v>2</v>
      </c>
      <c r="AJ1037" s="380" t="str">
        <f aca="false">IF(AG1037="","N","Y")</f>
        <v>Y</v>
      </c>
      <c r="AK1037" s="396" t="s">
        <v>1236</v>
      </c>
      <c r="AL1037" s="397"/>
    </row>
    <row r="1038" s="382" customFormat="true" ht="20.25" hidden="false" customHeight="true" outlineLevel="0" collapsed="false">
      <c r="A1038" s="364" t="n">
        <v>511</v>
      </c>
      <c r="B1038" s="363" t="n">
        <v>45965</v>
      </c>
      <c r="C1038" s="364" t="s">
        <v>209</v>
      </c>
      <c r="D1038" s="364" t="s">
        <v>1178</v>
      </c>
      <c r="E1038" s="364" t="s">
        <v>1186</v>
      </c>
      <c r="F1038" s="364" t="s">
        <v>1188</v>
      </c>
      <c r="G1038" s="365" t="n">
        <v>45965</v>
      </c>
      <c r="H1038" s="365" t="n">
        <v>46057</v>
      </c>
      <c r="I1038" s="364" t="n">
        <f aca="false">H1038-G1038</f>
        <v>92</v>
      </c>
      <c r="J1038" s="366" t="n">
        <f aca="false">TRUNC(I1038/30,0)</f>
        <v>3</v>
      </c>
      <c r="K1038" s="395" t="s">
        <v>1189</v>
      </c>
      <c r="L1038" s="368" t="n">
        <v>2.13</v>
      </c>
      <c r="M1038" s="369"/>
      <c r="N1038" s="370"/>
      <c r="O1038" s="366" t="s">
        <v>300</v>
      </c>
      <c r="P1038" s="371" t="n">
        <v>0.0390059</v>
      </c>
      <c r="Q1038" s="371"/>
      <c r="R1038" s="372" t="s">
        <v>914</v>
      </c>
      <c r="S1038" s="373"/>
      <c r="T1038" s="372"/>
      <c r="U1038" s="373"/>
      <c r="V1038" s="373" t="n">
        <v>0.043387</v>
      </c>
      <c r="W1038" s="373" t="n">
        <v>0.00095</v>
      </c>
      <c r="X1038" s="373" t="n">
        <v>0.002943</v>
      </c>
      <c r="Y1038" s="373" t="n">
        <v>0.034225</v>
      </c>
      <c r="Z1038" s="373" t="n">
        <v>0.00172</v>
      </c>
      <c r="AA1038" s="373" t="n">
        <v>0.002</v>
      </c>
      <c r="AB1038" s="374" t="n">
        <f aca="false">S1038-Z1038</f>
        <v>-0.00172</v>
      </c>
      <c r="AC1038" s="374" t="n">
        <f aca="false">U1038-Z1038-AA1038</f>
        <v>-0.00372</v>
      </c>
      <c r="AD1038" s="375" t="n">
        <v>0.0378</v>
      </c>
      <c r="AE1038" s="373" t="n">
        <v>0.034225</v>
      </c>
      <c r="AF1038" s="376" t="n">
        <f aca="false">AD1038-AE1038</f>
        <v>0.003575</v>
      </c>
      <c r="AG1038" s="377" t="n">
        <v>0.0378</v>
      </c>
      <c r="AH1038" s="378" t="n">
        <v>45965</v>
      </c>
      <c r="AI1038" s="379" t="n">
        <v>1</v>
      </c>
      <c r="AJ1038" s="380" t="str">
        <f aca="false">IF(AG1038="","N","Y")</f>
        <v>Y</v>
      </c>
      <c r="AK1038" s="396" t="s">
        <v>1237</v>
      </c>
      <c r="AL1038" s="397"/>
    </row>
    <row r="1039" s="382" customFormat="true" ht="21.75" hidden="false" customHeight="true" outlineLevel="0" collapsed="false">
      <c r="A1039" s="364" t="n">
        <v>512</v>
      </c>
      <c r="B1039" s="363" t="n">
        <v>45965</v>
      </c>
      <c r="C1039" s="364" t="s">
        <v>1129</v>
      </c>
      <c r="D1039" s="364" t="s">
        <v>1130</v>
      </c>
      <c r="E1039" s="364" t="s">
        <v>1214</v>
      </c>
      <c r="F1039" s="364" t="s">
        <v>1132</v>
      </c>
      <c r="G1039" s="365" t="n">
        <v>45965</v>
      </c>
      <c r="H1039" s="365" t="n">
        <v>45995</v>
      </c>
      <c r="I1039" s="364" t="n">
        <f aca="false">H1039-G1039</f>
        <v>30</v>
      </c>
      <c r="J1039" s="366" t="n">
        <f aca="false">TRUNC(I1039/30,0)</f>
        <v>1</v>
      </c>
      <c r="K1039" s="395" t="s">
        <v>95</v>
      </c>
      <c r="L1039" s="368" t="n">
        <v>5.12</v>
      </c>
      <c r="M1039" s="369"/>
      <c r="N1039" s="370" t="s">
        <v>1238</v>
      </c>
      <c r="O1039" s="366" t="s">
        <v>303</v>
      </c>
      <c r="P1039" s="371" t="n">
        <v>0.0400728</v>
      </c>
      <c r="Q1039" s="371"/>
      <c r="R1039" s="372" t="s">
        <v>914</v>
      </c>
      <c r="S1039" s="373"/>
      <c r="T1039" s="372"/>
      <c r="U1039" s="373"/>
      <c r="V1039" s="373" t="n">
        <v>0.042996</v>
      </c>
      <c r="W1039" s="373" t="n">
        <v>0.00086</v>
      </c>
      <c r="X1039" s="373" t="n">
        <v>0.00286</v>
      </c>
      <c r="Y1039" s="373" t="n">
        <v>0.034571</v>
      </c>
      <c r="Z1039" s="373" t="n">
        <v>0.00172</v>
      </c>
      <c r="AA1039" s="373" t="n">
        <v>0.002</v>
      </c>
      <c r="AB1039" s="374" t="n">
        <f aca="false">S1039-Z1039</f>
        <v>-0.00172</v>
      </c>
      <c r="AC1039" s="374" t="n">
        <f aca="false">U1039-Z1039-AA1039</f>
        <v>-0.00372</v>
      </c>
      <c r="AD1039" s="375" t="n">
        <v>0.0375</v>
      </c>
      <c r="AE1039" s="376" t="n">
        <v>0.034571</v>
      </c>
      <c r="AF1039" s="376" t="n">
        <f aca="false">AD1039-AE1039</f>
        <v>0.002929</v>
      </c>
      <c r="AG1039" s="377" t="n">
        <f aca="false">IF(AF1039="","",AE1039+AF1039)</f>
        <v>0.0375</v>
      </c>
      <c r="AH1039" s="378" t="n">
        <v>45965</v>
      </c>
      <c r="AI1039" s="379" t="n">
        <v>2</v>
      </c>
      <c r="AJ1039" s="380" t="str">
        <f aca="false">IF(AG1039="","N","Y")</f>
        <v>Y</v>
      </c>
      <c r="AK1039" s="416" t="s">
        <v>1239</v>
      </c>
      <c r="AL1039" s="397"/>
    </row>
    <row r="1040" s="382" customFormat="true" ht="20.25" hidden="false" customHeight="true" outlineLevel="0" collapsed="false">
      <c r="A1040" s="364" t="n">
        <v>513</v>
      </c>
      <c r="B1040" s="363" t="n">
        <v>45968</v>
      </c>
      <c r="C1040" s="364" t="s">
        <v>187</v>
      </c>
      <c r="D1040" s="402" t="s">
        <v>1062</v>
      </c>
      <c r="E1040" s="402" t="s">
        <v>1165</v>
      </c>
      <c r="F1040" s="402" t="s">
        <v>877</v>
      </c>
      <c r="G1040" s="365" t="n">
        <v>45968</v>
      </c>
      <c r="H1040" s="365" t="n">
        <v>45975</v>
      </c>
      <c r="I1040" s="364" t="n">
        <f aca="false">H1040-G1040</f>
        <v>7</v>
      </c>
      <c r="J1040" s="366" t="n">
        <f aca="false">TRUNC(I1040/30,0)</f>
        <v>0</v>
      </c>
      <c r="K1040" s="395" t="s">
        <v>95</v>
      </c>
      <c r="L1040" s="368" t="n">
        <v>1.5</v>
      </c>
      <c r="M1040" s="408"/>
      <c r="N1040" s="409"/>
      <c r="O1040" s="405" t="s">
        <v>305</v>
      </c>
      <c r="P1040" s="410" t="n">
        <v>0.0392282</v>
      </c>
      <c r="Q1040" s="371"/>
      <c r="R1040" s="372" t="s">
        <v>914</v>
      </c>
      <c r="S1040" s="373"/>
      <c r="T1040" s="372"/>
      <c r="U1040" s="373"/>
      <c r="V1040" s="412" t="n">
        <v>0.041384</v>
      </c>
      <c r="W1040" s="412" t="n">
        <v>0.002897</v>
      </c>
      <c r="X1040" s="412" t="n">
        <v>0.002211</v>
      </c>
      <c r="Y1040" s="412" t="n">
        <v>0.030182</v>
      </c>
      <c r="Z1040" s="412" t="n">
        <v>0.00172</v>
      </c>
      <c r="AA1040" s="412" t="n">
        <v>0.002</v>
      </c>
      <c r="AB1040" s="374" t="n">
        <f aca="false">S1040-Z1040</f>
        <v>-0.00172</v>
      </c>
      <c r="AC1040" s="374" t="n">
        <f aca="false">U1040-Z1040-AA1040</f>
        <v>-0.00372</v>
      </c>
      <c r="AD1040" s="375" t="n">
        <v>0.0345</v>
      </c>
      <c r="AE1040" s="412" t="n">
        <v>0.030182</v>
      </c>
      <c r="AF1040" s="412" t="n">
        <f aca="false">AD1040-AE1040</f>
        <v>0.004318</v>
      </c>
      <c r="AG1040" s="377" t="n">
        <v>0.0345</v>
      </c>
      <c r="AH1040" s="378" t="n">
        <v>45968</v>
      </c>
      <c r="AI1040" s="379" t="n">
        <v>1</v>
      </c>
      <c r="AJ1040" s="380" t="str">
        <f aca="false">IF(AG1040="","N","Y")</f>
        <v>Y</v>
      </c>
      <c r="AK1040" s="396" t="s">
        <v>1236</v>
      </c>
      <c r="AL1040" s="397"/>
    </row>
    <row r="1041" s="382" customFormat="true" ht="20.25" hidden="false" customHeight="true" outlineLevel="0" collapsed="false">
      <c r="A1041" s="364" t="n">
        <v>514</v>
      </c>
      <c r="B1041" s="363" t="n">
        <v>45968</v>
      </c>
      <c r="C1041" s="364" t="s">
        <v>187</v>
      </c>
      <c r="D1041" s="402" t="s">
        <v>1062</v>
      </c>
      <c r="E1041" s="402" t="s">
        <v>1165</v>
      </c>
      <c r="F1041" s="402" t="s">
        <v>877</v>
      </c>
      <c r="G1041" s="365" t="n">
        <v>45968</v>
      </c>
      <c r="H1041" s="365" t="n">
        <v>45975</v>
      </c>
      <c r="I1041" s="364" t="n">
        <f aca="false">H1041-G1041</f>
        <v>7</v>
      </c>
      <c r="J1041" s="366" t="n">
        <f aca="false">TRUNC(I1041/30,0)</f>
        <v>0</v>
      </c>
      <c r="K1041" s="395" t="s">
        <v>95</v>
      </c>
      <c r="L1041" s="368" t="n">
        <v>2</v>
      </c>
      <c r="M1041" s="408"/>
      <c r="N1041" s="409"/>
      <c r="O1041" s="405" t="s">
        <v>305</v>
      </c>
      <c r="P1041" s="410" t="n">
        <v>0.0392282</v>
      </c>
      <c r="Q1041" s="371"/>
      <c r="R1041" s="372" t="s">
        <v>914</v>
      </c>
      <c r="S1041" s="373"/>
      <c r="T1041" s="372"/>
      <c r="U1041" s="373"/>
      <c r="V1041" s="412" t="n">
        <v>0.041384</v>
      </c>
      <c r="W1041" s="412" t="n">
        <v>0.002897</v>
      </c>
      <c r="X1041" s="412" t="n">
        <v>0.002211</v>
      </c>
      <c r="Y1041" s="412" t="n">
        <v>0.030182</v>
      </c>
      <c r="Z1041" s="412" t="n">
        <v>0.00172</v>
      </c>
      <c r="AA1041" s="412" t="n">
        <v>0.002</v>
      </c>
      <c r="AB1041" s="374" t="n">
        <f aca="false">S1041-Z1041</f>
        <v>-0.00172</v>
      </c>
      <c r="AC1041" s="374" t="n">
        <f aca="false">U1041-Z1041-AA1041</f>
        <v>-0.00372</v>
      </c>
      <c r="AD1041" s="375" t="n">
        <v>0.0345</v>
      </c>
      <c r="AE1041" s="412" t="n">
        <v>0.030182</v>
      </c>
      <c r="AF1041" s="412" t="n">
        <f aca="false">AD1041-AE1041</f>
        <v>0.004318</v>
      </c>
      <c r="AG1041" s="377" t="n">
        <v>0.0345</v>
      </c>
      <c r="AH1041" s="378" t="n">
        <v>45968</v>
      </c>
      <c r="AI1041" s="379" t="n">
        <v>2</v>
      </c>
      <c r="AJ1041" s="380" t="str">
        <f aca="false">IF(AG1041="","N","Y")</f>
        <v>Y</v>
      </c>
      <c r="AK1041" s="396" t="s">
        <v>1236</v>
      </c>
      <c r="AL1041" s="397"/>
    </row>
    <row r="1042" s="382" customFormat="true" ht="20.25" hidden="false" customHeight="true" outlineLevel="0" collapsed="false">
      <c r="A1042" s="364" t="n">
        <v>515</v>
      </c>
      <c r="B1042" s="363" t="n">
        <v>45968</v>
      </c>
      <c r="C1042" s="364" t="s">
        <v>187</v>
      </c>
      <c r="D1042" s="402" t="s">
        <v>1062</v>
      </c>
      <c r="E1042" s="402" t="s">
        <v>1165</v>
      </c>
      <c r="F1042" s="402" t="s">
        <v>877</v>
      </c>
      <c r="G1042" s="365" t="n">
        <v>45968</v>
      </c>
      <c r="H1042" s="365" t="n">
        <v>45975</v>
      </c>
      <c r="I1042" s="364" t="n">
        <f aca="false">H1042-G1042</f>
        <v>7</v>
      </c>
      <c r="J1042" s="366" t="n">
        <f aca="false">TRUNC(I1042/30,0)</f>
        <v>0</v>
      </c>
      <c r="K1042" s="395" t="s">
        <v>95</v>
      </c>
      <c r="L1042" s="368" t="n">
        <v>2</v>
      </c>
      <c r="M1042" s="408"/>
      <c r="N1042" s="409"/>
      <c r="O1042" s="405" t="s">
        <v>305</v>
      </c>
      <c r="P1042" s="410" t="n">
        <v>0.0392282</v>
      </c>
      <c r="Q1042" s="371"/>
      <c r="R1042" s="372" t="s">
        <v>914</v>
      </c>
      <c r="S1042" s="373"/>
      <c r="T1042" s="372"/>
      <c r="U1042" s="373"/>
      <c r="V1042" s="412" t="n">
        <v>0.041384</v>
      </c>
      <c r="W1042" s="412" t="n">
        <v>0.002897</v>
      </c>
      <c r="X1042" s="412" t="n">
        <v>0.002211</v>
      </c>
      <c r="Y1042" s="412" t="n">
        <v>0.030182</v>
      </c>
      <c r="Z1042" s="412" t="n">
        <v>0.00172</v>
      </c>
      <c r="AA1042" s="412" t="n">
        <v>0.002</v>
      </c>
      <c r="AB1042" s="374" t="n">
        <f aca="false">S1042-Z1042</f>
        <v>-0.00172</v>
      </c>
      <c r="AC1042" s="374" t="n">
        <f aca="false">U1042-Z1042-AA1042</f>
        <v>-0.00372</v>
      </c>
      <c r="AD1042" s="375" t="n">
        <v>0.0345</v>
      </c>
      <c r="AE1042" s="412" t="n">
        <v>0.030182</v>
      </c>
      <c r="AF1042" s="412" t="n">
        <f aca="false">AD1042-AE1042</f>
        <v>0.004318</v>
      </c>
      <c r="AG1042" s="377" t="n">
        <v>0.0345</v>
      </c>
      <c r="AH1042" s="378" t="n">
        <v>45968</v>
      </c>
      <c r="AI1042" s="379" t="n">
        <v>3</v>
      </c>
      <c r="AJ1042" s="380" t="str">
        <f aca="false">IF(AG1042="","N","Y")</f>
        <v>Y</v>
      </c>
      <c r="AK1042" s="396" t="s">
        <v>1236</v>
      </c>
      <c r="AL1042" s="397"/>
    </row>
    <row r="1043" s="382" customFormat="true" ht="20.25" hidden="false" customHeight="true" outlineLevel="0" collapsed="false">
      <c r="A1043" s="364" t="n">
        <v>516</v>
      </c>
      <c r="B1043" s="363" t="n">
        <v>45968</v>
      </c>
      <c r="C1043" s="364" t="s">
        <v>187</v>
      </c>
      <c r="D1043" s="402" t="s">
        <v>1062</v>
      </c>
      <c r="E1043" s="402" t="s">
        <v>1165</v>
      </c>
      <c r="F1043" s="402" t="s">
        <v>877</v>
      </c>
      <c r="G1043" s="365" t="n">
        <v>45968</v>
      </c>
      <c r="H1043" s="365" t="n">
        <v>45975</v>
      </c>
      <c r="I1043" s="364" t="n">
        <f aca="false">H1043-G1043</f>
        <v>7</v>
      </c>
      <c r="J1043" s="366" t="n">
        <f aca="false">TRUNC(I1043/30,0)</f>
        <v>0</v>
      </c>
      <c r="K1043" s="395" t="s">
        <v>95</v>
      </c>
      <c r="L1043" s="368" t="n">
        <v>2</v>
      </c>
      <c r="M1043" s="408"/>
      <c r="N1043" s="409"/>
      <c r="O1043" s="405" t="s">
        <v>305</v>
      </c>
      <c r="P1043" s="410" t="n">
        <v>0.0392282</v>
      </c>
      <c r="Q1043" s="371"/>
      <c r="R1043" s="372" t="s">
        <v>914</v>
      </c>
      <c r="S1043" s="373"/>
      <c r="T1043" s="372"/>
      <c r="U1043" s="373"/>
      <c r="V1043" s="412" t="n">
        <v>0.041384</v>
      </c>
      <c r="W1043" s="412" t="n">
        <v>0.002897</v>
      </c>
      <c r="X1043" s="412" t="n">
        <v>0.002211</v>
      </c>
      <c r="Y1043" s="412" t="n">
        <v>0.030182</v>
      </c>
      <c r="Z1043" s="412" t="n">
        <v>0.00172</v>
      </c>
      <c r="AA1043" s="412" t="n">
        <v>0.002</v>
      </c>
      <c r="AB1043" s="374" t="n">
        <f aca="false">S1043-Z1043</f>
        <v>-0.00172</v>
      </c>
      <c r="AC1043" s="374" t="n">
        <f aca="false">U1043-Z1043-AA1043</f>
        <v>-0.00372</v>
      </c>
      <c r="AD1043" s="375" t="n">
        <v>0.0345</v>
      </c>
      <c r="AE1043" s="412" t="n">
        <v>0.030182</v>
      </c>
      <c r="AF1043" s="412" t="n">
        <f aca="false">AD1043-AE1043</f>
        <v>0.004318</v>
      </c>
      <c r="AG1043" s="377" t="n">
        <v>0.0345</v>
      </c>
      <c r="AH1043" s="378" t="n">
        <v>45968</v>
      </c>
      <c r="AI1043" s="379" t="n">
        <v>4</v>
      </c>
      <c r="AJ1043" s="380" t="str">
        <f aca="false">IF(AG1043="","N","Y")</f>
        <v>Y</v>
      </c>
      <c r="AK1043" s="396" t="s">
        <v>1236</v>
      </c>
      <c r="AL1043" s="397"/>
    </row>
    <row r="1044" s="382" customFormat="true" ht="20.25" hidden="false" customHeight="true" outlineLevel="0" collapsed="false">
      <c r="A1044" s="364" t="n">
        <v>517</v>
      </c>
      <c r="B1044" s="363" t="n">
        <v>45968</v>
      </c>
      <c r="C1044" s="364" t="s">
        <v>187</v>
      </c>
      <c r="D1044" s="402" t="s">
        <v>1062</v>
      </c>
      <c r="E1044" s="402" t="s">
        <v>1165</v>
      </c>
      <c r="F1044" s="402" t="s">
        <v>877</v>
      </c>
      <c r="G1044" s="365" t="n">
        <v>45968</v>
      </c>
      <c r="H1044" s="365" t="n">
        <v>45975</v>
      </c>
      <c r="I1044" s="364" t="n">
        <f aca="false">H1044-G1044</f>
        <v>7</v>
      </c>
      <c r="J1044" s="366" t="n">
        <f aca="false">TRUNC(I1044/30,0)</f>
        <v>0</v>
      </c>
      <c r="K1044" s="395" t="s">
        <v>95</v>
      </c>
      <c r="L1044" s="368" t="n">
        <v>2</v>
      </c>
      <c r="M1044" s="408"/>
      <c r="N1044" s="409"/>
      <c r="O1044" s="405" t="s">
        <v>305</v>
      </c>
      <c r="P1044" s="410" t="n">
        <v>0.0392282</v>
      </c>
      <c r="Q1044" s="371"/>
      <c r="R1044" s="372" t="s">
        <v>914</v>
      </c>
      <c r="S1044" s="373"/>
      <c r="T1044" s="372"/>
      <c r="U1044" s="373"/>
      <c r="V1044" s="412" t="n">
        <v>0.041384</v>
      </c>
      <c r="W1044" s="412" t="n">
        <v>0.002897</v>
      </c>
      <c r="X1044" s="412" t="n">
        <v>0.002211</v>
      </c>
      <c r="Y1044" s="412" t="n">
        <v>0.030182</v>
      </c>
      <c r="Z1044" s="412" t="n">
        <v>0.00172</v>
      </c>
      <c r="AA1044" s="412" t="n">
        <v>0.002</v>
      </c>
      <c r="AB1044" s="374" t="n">
        <f aca="false">S1044-Z1044</f>
        <v>-0.00172</v>
      </c>
      <c r="AC1044" s="374" t="n">
        <f aca="false">U1044-Z1044-AA1044</f>
        <v>-0.00372</v>
      </c>
      <c r="AD1044" s="375" t="n">
        <v>0.0345</v>
      </c>
      <c r="AE1044" s="412" t="n">
        <v>0.030182</v>
      </c>
      <c r="AF1044" s="412" t="n">
        <f aca="false">AD1044-AE1044</f>
        <v>0.004318</v>
      </c>
      <c r="AG1044" s="377" t="n">
        <v>0.0345</v>
      </c>
      <c r="AH1044" s="378" t="n">
        <v>45968</v>
      </c>
      <c r="AI1044" s="379" t="n">
        <v>5</v>
      </c>
      <c r="AJ1044" s="380" t="str">
        <f aca="false">IF(AG1044="","N","Y")</f>
        <v>Y</v>
      </c>
      <c r="AK1044" s="396" t="s">
        <v>1236</v>
      </c>
      <c r="AL1044" s="397"/>
    </row>
    <row r="1045" s="382" customFormat="true" ht="20.25" hidden="false" customHeight="true" outlineLevel="0" collapsed="false">
      <c r="A1045" s="364" t="n">
        <v>518</v>
      </c>
      <c r="B1045" s="363" t="n">
        <v>45968</v>
      </c>
      <c r="C1045" s="364" t="s">
        <v>187</v>
      </c>
      <c r="D1045" s="402" t="s">
        <v>1062</v>
      </c>
      <c r="E1045" s="402" t="s">
        <v>1165</v>
      </c>
      <c r="F1045" s="402" t="s">
        <v>877</v>
      </c>
      <c r="G1045" s="365" t="n">
        <v>45968</v>
      </c>
      <c r="H1045" s="365" t="n">
        <v>45975</v>
      </c>
      <c r="I1045" s="364" t="n">
        <f aca="false">H1045-G1045</f>
        <v>7</v>
      </c>
      <c r="J1045" s="366" t="n">
        <f aca="false">TRUNC(I1045/30,0)</f>
        <v>0</v>
      </c>
      <c r="K1045" s="395" t="s">
        <v>95</v>
      </c>
      <c r="L1045" s="368" t="n">
        <v>2</v>
      </c>
      <c r="M1045" s="408"/>
      <c r="N1045" s="409"/>
      <c r="O1045" s="405" t="s">
        <v>305</v>
      </c>
      <c r="P1045" s="410" t="n">
        <v>0.0392282</v>
      </c>
      <c r="Q1045" s="371"/>
      <c r="R1045" s="372" t="s">
        <v>914</v>
      </c>
      <c r="S1045" s="373"/>
      <c r="T1045" s="372"/>
      <c r="U1045" s="373"/>
      <c r="V1045" s="412" t="n">
        <v>0.041384</v>
      </c>
      <c r="W1045" s="412" t="n">
        <v>0.002897</v>
      </c>
      <c r="X1045" s="412" t="n">
        <v>0.002211</v>
      </c>
      <c r="Y1045" s="412" t="n">
        <v>0.030182</v>
      </c>
      <c r="Z1045" s="412" t="n">
        <v>0.00172</v>
      </c>
      <c r="AA1045" s="412" t="n">
        <v>0.002</v>
      </c>
      <c r="AB1045" s="374" t="n">
        <f aca="false">S1045-Z1045</f>
        <v>-0.00172</v>
      </c>
      <c r="AC1045" s="374" t="n">
        <f aca="false">U1045-Z1045-AA1045</f>
        <v>-0.00372</v>
      </c>
      <c r="AD1045" s="375" t="n">
        <v>0.0345</v>
      </c>
      <c r="AE1045" s="412" t="n">
        <v>0.030182</v>
      </c>
      <c r="AF1045" s="412" t="n">
        <f aca="false">AD1045-AE1045</f>
        <v>0.004318</v>
      </c>
      <c r="AG1045" s="377" t="n">
        <v>0.0345</v>
      </c>
      <c r="AH1045" s="378" t="n">
        <v>45968</v>
      </c>
      <c r="AI1045" s="379" t="n">
        <v>6</v>
      </c>
      <c r="AJ1045" s="380" t="str">
        <f aca="false">IF(AG1045="","N","Y")</f>
        <v>Y</v>
      </c>
      <c r="AK1045" s="396" t="s">
        <v>1236</v>
      </c>
      <c r="AL1045" s="397"/>
    </row>
    <row r="1046" s="382" customFormat="true" ht="20.25" hidden="false" customHeight="true" outlineLevel="0" collapsed="false">
      <c r="A1046" s="364" t="n">
        <v>519</v>
      </c>
      <c r="B1046" s="363" t="n">
        <v>45968</v>
      </c>
      <c r="C1046" s="364" t="s">
        <v>187</v>
      </c>
      <c r="D1046" s="402" t="s">
        <v>1062</v>
      </c>
      <c r="E1046" s="402" t="s">
        <v>1165</v>
      </c>
      <c r="F1046" s="402" t="s">
        <v>877</v>
      </c>
      <c r="G1046" s="365" t="n">
        <v>45968</v>
      </c>
      <c r="H1046" s="365" t="n">
        <v>45975</v>
      </c>
      <c r="I1046" s="364" t="n">
        <f aca="false">H1046-G1046</f>
        <v>7</v>
      </c>
      <c r="J1046" s="366" t="n">
        <f aca="false">TRUNC(I1046/30,0)</f>
        <v>0</v>
      </c>
      <c r="K1046" s="395" t="s">
        <v>95</v>
      </c>
      <c r="L1046" s="368" t="n">
        <v>4.5</v>
      </c>
      <c r="M1046" s="408"/>
      <c r="N1046" s="409"/>
      <c r="O1046" s="405" t="s">
        <v>305</v>
      </c>
      <c r="P1046" s="410" t="n">
        <v>0.0392282</v>
      </c>
      <c r="Q1046" s="371"/>
      <c r="R1046" s="372" t="s">
        <v>914</v>
      </c>
      <c r="S1046" s="373"/>
      <c r="T1046" s="372"/>
      <c r="U1046" s="373"/>
      <c r="V1046" s="412" t="n">
        <v>0.041384</v>
      </c>
      <c r="W1046" s="412" t="n">
        <v>0.002897</v>
      </c>
      <c r="X1046" s="412" t="n">
        <v>0.002211</v>
      </c>
      <c r="Y1046" s="412" t="n">
        <v>0.030182</v>
      </c>
      <c r="Z1046" s="412" t="n">
        <v>0.00172</v>
      </c>
      <c r="AA1046" s="412" t="n">
        <v>0.002</v>
      </c>
      <c r="AB1046" s="374" t="n">
        <f aca="false">S1046-Z1046</f>
        <v>-0.00172</v>
      </c>
      <c r="AC1046" s="374" t="n">
        <f aca="false">U1046-Z1046-AA1046</f>
        <v>-0.00372</v>
      </c>
      <c r="AD1046" s="375" t="n">
        <v>0.0345</v>
      </c>
      <c r="AE1046" s="412" t="n">
        <v>0.030182</v>
      </c>
      <c r="AF1046" s="412" t="n">
        <f aca="false">AD1046-AE1046</f>
        <v>0.004318</v>
      </c>
      <c r="AG1046" s="377" t="n">
        <v>0.0345</v>
      </c>
      <c r="AH1046" s="378" t="n">
        <v>45968</v>
      </c>
      <c r="AI1046" s="379" t="n">
        <v>7</v>
      </c>
      <c r="AJ1046" s="380" t="str">
        <f aca="false">IF(AG1046="","N","Y")</f>
        <v>Y</v>
      </c>
      <c r="AK1046" s="396" t="s">
        <v>1236</v>
      </c>
      <c r="AL1046" s="397"/>
    </row>
    <row r="1047" s="382" customFormat="true" ht="20.25" hidden="false" customHeight="true" outlineLevel="0" collapsed="false">
      <c r="A1047" s="364" t="n">
        <v>520</v>
      </c>
      <c r="B1047" s="363" t="n">
        <v>45968</v>
      </c>
      <c r="C1047" s="364" t="s">
        <v>187</v>
      </c>
      <c r="D1047" s="402" t="s">
        <v>1062</v>
      </c>
      <c r="E1047" s="402" t="s">
        <v>1165</v>
      </c>
      <c r="F1047" s="402" t="s">
        <v>877</v>
      </c>
      <c r="G1047" s="365" t="n">
        <v>45968</v>
      </c>
      <c r="H1047" s="365" t="n">
        <v>45975</v>
      </c>
      <c r="I1047" s="364" t="n">
        <f aca="false">H1047-G1047</f>
        <v>7</v>
      </c>
      <c r="J1047" s="366" t="n">
        <f aca="false">TRUNC(I1047/30,0)</f>
        <v>0</v>
      </c>
      <c r="K1047" s="395" t="s">
        <v>95</v>
      </c>
      <c r="L1047" s="368" t="n">
        <v>3</v>
      </c>
      <c r="M1047" s="408"/>
      <c r="N1047" s="409"/>
      <c r="O1047" s="405" t="s">
        <v>305</v>
      </c>
      <c r="P1047" s="410" t="n">
        <v>0.0392282</v>
      </c>
      <c r="Q1047" s="371"/>
      <c r="R1047" s="372" t="s">
        <v>914</v>
      </c>
      <c r="S1047" s="373"/>
      <c r="T1047" s="372"/>
      <c r="U1047" s="373"/>
      <c r="V1047" s="412" t="n">
        <v>0.041384</v>
      </c>
      <c r="W1047" s="412" t="n">
        <v>0.002897</v>
      </c>
      <c r="X1047" s="412" t="n">
        <v>0.002211</v>
      </c>
      <c r="Y1047" s="412" t="n">
        <v>0.030182</v>
      </c>
      <c r="Z1047" s="412" t="n">
        <v>0.00172</v>
      </c>
      <c r="AA1047" s="412" t="n">
        <v>0.002</v>
      </c>
      <c r="AB1047" s="374" t="n">
        <f aca="false">S1047-Z1047</f>
        <v>-0.00172</v>
      </c>
      <c r="AC1047" s="374" t="n">
        <f aca="false">U1047-Z1047-AA1047</f>
        <v>-0.00372</v>
      </c>
      <c r="AD1047" s="375" t="n">
        <v>0.0345</v>
      </c>
      <c r="AE1047" s="412" t="n">
        <v>0.030182</v>
      </c>
      <c r="AF1047" s="412" t="n">
        <f aca="false">AD1047-AE1047</f>
        <v>0.004318</v>
      </c>
      <c r="AG1047" s="377" t="n">
        <v>0.0345</v>
      </c>
      <c r="AH1047" s="378" t="n">
        <v>45968</v>
      </c>
      <c r="AI1047" s="379" t="n">
        <v>8</v>
      </c>
      <c r="AJ1047" s="380" t="str">
        <f aca="false">IF(AG1047="","N","Y")</f>
        <v>Y</v>
      </c>
      <c r="AK1047" s="396" t="s">
        <v>1236</v>
      </c>
      <c r="AL1047" s="397"/>
    </row>
    <row r="1048" s="382" customFormat="true" ht="19.5" hidden="false" customHeight="true" outlineLevel="0" collapsed="false">
      <c r="A1048" s="364" t="n">
        <v>521</v>
      </c>
      <c r="B1048" s="363" t="n">
        <v>45968</v>
      </c>
      <c r="C1048" s="364" t="s">
        <v>124</v>
      </c>
      <c r="D1048" s="364" t="s">
        <v>1034</v>
      </c>
      <c r="E1048" s="364" t="s">
        <v>883</v>
      </c>
      <c r="F1048" s="364" t="s">
        <v>885</v>
      </c>
      <c r="G1048" s="365" t="n">
        <v>45968</v>
      </c>
      <c r="H1048" s="365" t="n">
        <v>46335</v>
      </c>
      <c r="I1048" s="364" t="n">
        <f aca="false">H1048-G1048</f>
        <v>367</v>
      </c>
      <c r="J1048" s="366" t="n">
        <f aca="false">TRUNC(I1048/30,0)</f>
        <v>12</v>
      </c>
      <c r="K1048" s="395" t="s">
        <v>95</v>
      </c>
      <c r="L1048" s="368" t="n">
        <v>1</v>
      </c>
      <c r="M1048" s="369"/>
      <c r="N1048" s="370"/>
      <c r="O1048" s="366" t="s">
        <v>340</v>
      </c>
      <c r="P1048" s="371" t="n">
        <v>0.03611</v>
      </c>
      <c r="Q1048" s="371"/>
      <c r="R1048" s="372" t="s">
        <v>340</v>
      </c>
      <c r="S1048" s="373"/>
      <c r="T1048" s="372"/>
      <c r="U1048" s="373"/>
      <c r="V1048" s="373" t="n">
        <v>0.042397</v>
      </c>
      <c r="W1048" s="373" t="n">
        <v>0.000848</v>
      </c>
      <c r="X1048" s="373" t="n">
        <v>0.003273</v>
      </c>
      <c r="Y1048" s="373" t="n">
        <v>0.031987</v>
      </c>
      <c r="Z1048" s="373" t="n">
        <v>0.002</v>
      </c>
      <c r="AA1048" s="373" t="n">
        <v>0.002</v>
      </c>
      <c r="AB1048" s="374" t="n">
        <f aca="false">S1048-Z1048</f>
        <v>-0.002</v>
      </c>
      <c r="AC1048" s="374" t="n">
        <f aca="false">U1048-Z1048-AA1048</f>
        <v>-0.004</v>
      </c>
      <c r="AD1048" s="375" t="n">
        <v>0.0365</v>
      </c>
      <c r="AE1048" s="376" t="n">
        <v>0.031987</v>
      </c>
      <c r="AF1048" s="376" t="n">
        <f aca="false">AD1048-AE1048</f>
        <v>0.004513</v>
      </c>
      <c r="AG1048" s="377" t="n">
        <v>0.0365</v>
      </c>
      <c r="AH1048" s="378" t="n">
        <v>45968</v>
      </c>
      <c r="AI1048" s="379" t="n">
        <v>9</v>
      </c>
      <c r="AJ1048" s="380" t="str">
        <f aca="false">IF(AG1048="","N","Y")</f>
        <v>Y</v>
      </c>
      <c r="AK1048" s="475" t="s">
        <v>1240</v>
      </c>
      <c r="AL1048" s="475"/>
      <c r="AM1048" s="475"/>
      <c r="AN1048" s="475"/>
      <c r="AO1048" s="475"/>
      <c r="AP1048" s="475"/>
      <c r="AQ1048" s="475"/>
      <c r="AR1048" s="475"/>
    </row>
    <row r="1049" s="382" customFormat="true" ht="19.5" hidden="false" customHeight="true" outlineLevel="0" collapsed="false">
      <c r="A1049" s="364" t="n">
        <v>522</v>
      </c>
      <c r="B1049" s="363" t="n">
        <v>45968</v>
      </c>
      <c r="C1049" s="364" t="s">
        <v>124</v>
      </c>
      <c r="D1049" s="364" t="s">
        <v>1034</v>
      </c>
      <c r="E1049" s="364" t="s">
        <v>883</v>
      </c>
      <c r="F1049" s="364" t="s">
        <v>885</v>
      </c>
      <c r="G1049" s="365" t="n">
        <v>45968</v>
      </c>
      <c r="H1049" s="365" t="n">
        <v>46335</v>
      </c>
      <c r="I1049" s="364" t="n">
        <f aca="false">H1049-G1049</f>
        <v>367</v>
      </c>
      <c r="J1049" s="366" t="n">
        <f aca="false">TRUNC(I1049/30,0)</f>
        <v>12</v>
      </c>
      <c r="K1049" s="395" t="s">
        <v>95</v>
      </c>
      <c r="L1049" s="368" t="n">
        <v>1</v>
      </c>
      <c r="M1049" s="369"/>
      <c r="N1049" s="370"/>
      <c r="O1049" s="366" t="s">
        <v>340</v>
      </c>
      <c r="P1049" s="371" t="n">
        <v>0.03611</v>
      </c>
      <c r="Q1049" s="371"/>
      <c r="R1049" s="372" t="s">
        <v>340</v>
      </c>
      <c r="S1049" s="373"/>
      <c r="T1049" s="372"/>
      <c r="U1049" s="373"/>
      <c r="V1049" s="373" t="n">
        <v>0.042397</v>
      </c>
      <c r="W1049" s="373" t="n">
        <v>0.000848</v>
      </c>
      <c r="X1049" s="373" t="n">
        <v>0.003273</v>
      </c>
      <c r="Y1049" s="373" t="n">
        <v>0.031987</v>
      </c>
      <c r="Z1049" s="373" t="n">
        <v>0.002</v>
      </c>
      <c r="AA1049" s="373" t="n">
        <v>0.002</v>
      </c>
      <c r="AB1049" s="374" t="n">
        <f aca="false">S1049-Z1049</f>
        <v>-0.002</v>
      </c>
      <c r="AC1049" s="374" t="n">
        <f aca="false">U1049-Z1049-AA1049</f>
        <v>-0.004</v>
      </c>
      <c r="AD1049" s="375" t="n">
        <v>0.0365</v>
      </c>
      <c r="AE1049" s="376" t="n">
        <v>0.031987</v>
      </c>
      <c r="AF1049" s="376" t="n">
        <f aca="false">AD1049-AE1049</f>
        <v>0.004513</v>
      </c>
      <c r="AG1049" s="377" t="n">
        <v>0.0365</v>
      </c>
      <c r="AH1049" s="378" t="n">
        <v>45968</v>
      </c>
      <c r="AI1049" s="379" t="n">
        <v>10</v>
      </c>
      <c r="AJ1049" s="380" t="str">
        <f aca="false">IF(AG1049="","N","Y")</f>
        <v>Y</v>
      </c>
      <c r="AK1049" s="475" t="s">
        <v>1240</v>
      </c>
      <c r="AL1049" s="475"/>
      <c r="AM1049" s="475"/>
      <c r="AN1049" s="475"/>
      <c r="AO1049" s="475"/>
      <c r="AP1049" s="475"/>
      <c r="AQ1049" s="475"/>
      <c r="AR1049" s="475"/>
    </row>
    <row r="1050" s="382" customFormat="true" ht="20.25" hidden="false" customHeight="true" outlineLevel="0" collapsed="false">
      <c r="A1050" s="364" t="n">
        <v>523</v>
      </c>
      <c r="B1050" s="363" t="n">
        <v>45971</v>
      </c>
      <c r="C1050" s="364" t="s">
        <v>1066</v>
      </c>
      <c r="D1050" s="444" t="s">
        <v>932</v>
      </c>
      <c r="E1050" s="364" t="s">
        <v>1067</v>
      </c>
      <c r="F1050" s="364" t="s">
        <v>1192</v>
      </c>
      <c r="G1050" s="365" t="n">
        <v>45971</v>
      </c>
      <c r="H1050" s="365" t="n">
        <v>46001</v>
      </c>
      <c r="I1050" s="364" t="n">
        <f aca="false">H1050-G1050</f>
        <v>30</v>
      </c>
      <c r="J1050" s="366" t="n">
        <f aca="false">TRUNC(I1050/30,0)</f>
        <v>1</v>
      </c>
      <c r="K1050" s="367" t="s">
        <v>99</v>
      </c>
      <c r="L1050" s="368" t="n">
        <v>2</v>
      </c>
      <c r="M1050" s="371"/>
      <c r="N1050" s="371"/>
      <c r="O1050" s="366" t="s">
        <v>303</v>
      </c>
      <c r="P1050" s="373" t="n">
        <v>0.0395724</v>
      </c>
      <c r="Q1050" s="372"/>
      <c r="R1050" s="372" t="s">
        <v>914</v>
      </c>
      <c r="S1050" s="373"/>
      <c r="T1050" s="373"/>
      <c r="U1050" s="373"/>
      <c r="V1050" s="373" t="n">
        <v>0.042935</v>
      </c>
      <c r="W1050" s="373" t="n">
        <v>0.003005</v>
      </c>
      <c r="X1050" s="373" t="n">
        <v>0.003654</v>
      </c>
      <c r="Y1050" s="373" t="n">
        <v>0.028227</v>
      </c>
      <c r="Z1050" s="373" t="n">
        <v>0.00172</v>
      </c>
      <c r="AA1050" s="373" t="n">
        <v>0.002</v>
      </c>
      <c r="AB1050" s="374" t="n">
        <f aca="false">S1050-Z1050</f>
        <v>-0.00172</v>
      </c>
      <c r="AC1050" s="374" t="n">
        <f aca="false">U1050-Z1050-AA1050</f>
        <v>-0.00372</v>
      </c>
      <c r="AD1050" s="375" t="n">
        <v>0.0345</v>
      </c>
      <c r="AE1050" s="373" t="n">
        <f aca="false">Y1050</f>
        <v>0.028227</v>
      </c>
      <c r="AF1050" s="376" t="n">
        <f aca="false">AD1050-AE1050</f>
        <v>0.006273</v>
      </c>
      <c r="AG1050" s="377" t="n">
        <v>0.0345</v>
      </c>
      <c r="AH1050" s="378" t="n">
        <v>45971</v>
      </c>
      <c r="AI1050" s="379" t="n">
        <v>1</v>
      </c>
      <c r="AJ1050" s="380" t="str">
        <f aca="false">IF(AG1050="","N","Y")</f>
        <v>Y</v>
      </c>
      <c r="AK1050" s="396" t="s">
        <v>1224</v>
      </c>
      <c r="AL1050" s="397"/>
    </row>
    <row r="1051" s="382" customFormat="true" ht="20.25" hidden="false" customHeight="true" outlineLevel="0" collapsed="false">
      <c r="A1051" s="364" t="n">
        <v>524</v>
      </c>
      <c r="B1051" s="363" t="n">
        <v>45971</v>
      </c>
      <c r="C1051" s="364" t="s">
        <v>1066</v>
      </c>
      <c r="D1051" s="444" t="s">
        <v>932</v>
      </c>
      <c r="E1051" s="364" t="s">
        <v>970</v>
      </c>
      <c r="F1051" s="364" t="s">
        <v>864</v>
      </c>
      <c r="G1051" s="365" t="n">
        <v>45971</v>
      </c>
      <c r="H1051" s="365" t="n">
        <v>46001</v>
      </c>
      <c r="I1051" s="364" t="n">
        <f aca="false">H1051-G1051</f>
        <v>30</v>
      </c>
      <c r="J1051" s="366" t="n">
        <f aca="false">TRUNC(I1051/30,0)</f>
        <v>1</v>
      </c>
      <c r="K1051" s="367" t="s">
        <v>99</v>
      </c>
      <c r="L1051" s="368" t="n">
        <v>5.07</v>
      </c>
      <c r="M1051" s="369"/>
      <c r="N1051" s="370"/>
      <c r="O1051" s="366" t="s">
        <v>303</v>
      </c>
      <c r="P1051" s="373" t="n">
        <v>0.0395724</v>
      </c>
      <c r="Q1051" s="371"/>
      <c r="R1051" s="372" t="s">
        <v>914</v>
      </c>
      <c r="S1051" s="373"/>
      <c r="T1051" s="372"/>
      <c r="U1051" s="373"/>
      <c r="V1051" s="373" t="n">
        <v>0.042935</v>
      </c>
      <c r="W1051" s="373" t="n">
        <v>0.003005</v>
      </c>
      <c r="X1051" s="373" t="n">
        <v>0.004154</v>
      </c>
      <c r="Y1051" s="373" t="n">
        <v>0.028227</v>
      </c>
      <c r="Z1051" s="373" t="n">
        <v>0.00172</v>
      </c>
      <c r="AA1051" s="373" t="n">
        <v>0.002</v>
      </c>
      <c r="AB1051" s="374" t="n">
        <f aca="false">S1051-Z1051</f>
        <v>-0.00172</v>
      </c>
      <c r="AC1051" s="374" t="n">
        <f aca="false">U1051-Z1051-AA1051</f>
        <v>-0.00372</v>
      </c>
      <c r="AD1051" s="375" t="n">
        <v>0.034</v>
      </c>
      <c r="AE1051" s="373" t="n">
        <v>0.028227</v>
      </c>
      <c r="AF1051" s="376" t="n">
        <f aca="false">AD1051-AE1051</f>
        <v>0.005773</v>
      </c>
      <c r="AG1051" s="377" t="n">
        <v>0.034</v>
      </c>
      <c r="AH1051" s="378" t="n">
        <v>45971</v>
      </c>
      <c r="AI1051" s="379" t="n">
        <v>2</v>
      </c>
      <c r="AJ1051" s="380" t="str">
        <f aca="false">IF(AG1051="","N","Y")</f>
        <v>Y</v>
      </c>
      <c r="AK1051" s="396" t="s">
        <v>1224</v>
      </c>
      <c r="AL1051" s="397"/>
    </row>
    <row r="1052" s="382" customFormat="true" ht="20.25" hidden="false" customHeight="true" outlineLevel="0" collapsed="false">
      <c r="A1052" s="364" t="n">
        <v>525</v>
      </c>
      <c r="B1052" s="363" t="n">
        <v>45971</v>
      </c>
      <c r="C1052" s="364" t="s">
        <v>1133</v>
      </c>
      <c r="D1052" s="364" t="s">
        <v>1134</v>
      </c>
      <c r="E1052" s="364" t="s">
        <v>1191</v>
      </c>
      <c r="F1052" s="364" t="s">
        <v>1136</v>
      </c>
      <c r="G1052" s="365" t="n">
        <v>45971</v>
      </c>
      <c r="H1052" s="365" t="n">
        <v>46063</v>
      </c>
      <c r="I1052" s="364" t="n">
        <f aca="false">H1052-G1052</f>
        <v>92</v>
      </c>
      <c r="J1052" s="366" t="n">
        <f aca="false">TRUNC(I1052/30,0)</f>
        <v>3</v>
      </c>
      <c r="K1052" s="395" t="s">
        <v>95</v>
      </c>
      <c r="L1052" s="368" t="n">
        <v>2.01</v>
      </c>
      <c r="M1052" s="369"/>
      <c r="N1052" s="370"/>
      <c r="O1052" s="366" t="s">
        <v>300</v>
      </c>
      <c r="P1052" s="371" t="n">
        <v>0.0384347</v>
      </c>
      <c r="Q1052" s="371"/>
      <c r="R1052" s="372" t="s">
        <v>914</v>
      </c>
      <c r="S1052" s="373"/>
      <c r="T1052" s="372"/>
      <c r="U1052" s="373"/>
      <c r="V1052" s="373" t="n">
        <v>0.042903</v>
      </c>
      <c r="W1052" s="373" t="n">
        <v>0.000863</v>
      </c>
      <c r="X1052" s="373" t="n">
        <v>0.003007</v>
      </c>
      <c r="Y1052" s="373" t="n">
        <v>0.033666</v>
      </c>
      <c r="Z1052" s="373" t="n">
        <v>0.00172</v>
      </c>
      <c r="AA1052" s="373" t="n">
        <v>0.002</v>
      </c>
      <c r="AB1052" s="374" t="n">
        <f aca="false">S1052-Z1052</f>
        <v>-0.00172</v>
      </c>
      <c r="AC1052" s="374" t="n">
        <f aca="false">U1052-Z1052-AA1052</f>
        <v>-0.00372</v>
      </c>
      <c r="AD1052" s="375" t="n">
        <v>0.0375</v>
      </c>
      <c r="AE1052" s="373" t="n">
        <f aca="false">Y1052</f>
        <v>0.033666</v>
      </c>
      <c r="AF1052" s="376" t="n">
        <f aca="false">AD1052-AE1052</f>
        <v>0.003834</v>
      </c>
      <c r="AG1052" s="377" t="n">
        <f aca="false">AD1052</f>
        <v>0.0375</v>
      </c>
      <c r="AH1052" s="378" t="n">
        <v>45971</v>
      </c>
      <c r="AI1052" s="379" t="n">
        <v>3</v>
      </c>
      <c r="AJ1052" s="380" t="str">
        <f aca="false">IF(AG1052="","N","Y")</f>
        <v>Y</v>
      </c>
      <c r="AK1052" s="396" t="s">
        <v>1241</v>
      </c>
      <c r="AL1052" s="397"/>
    </row>
    <row r="1053" s="382" customFormat="true" ht="19.5" hidden="false" customHeight="true" outlineLevel="0" collapsed="false">
      <c r="A1053" s="364" t="n">
        <v>526</v>
      </c>
      <c r="B1053" s="363" t="n">
        <v>45974</v>
      </c>
      <c r="C1053" s="364" t="s">
        <v>209</v>
      </c>
      <c r="D1053" s="364" t="s">
        <v>1054</v>
      </c>
      <c r="E1053" s="364" t="s">
        <v>1055</v>
      </c>
      <c r="F1053" s="364" t="s">
        <v>697</v>
      </c>
      <c r="G1053" s="365" t="n">
        <v>45974</v>
      </c>
      <c r="H1053" s="365" t="n">
        <v>46006</v>
      </c>
      <c r="I1053" s="364" t="n">
        <f aca="false">H1053-G1053</f>
        <v>32</v>
      </c>
      <c r="J1053" s="366" t="n">
        <f aca="false">TRUNC(I1053/30,0)</f>
        <v>1</v>
      </c>
      <c r="K1053" s="395" t="s">
        <v>95</v>
      </c>
      <c r="L1053" s="368" t="n">
        <v>11.53</v>
      </c>
      <c r="M1053" s="369"/>
      <c r="N1053" s="370"/>
      <c r="O1053" s="366" t="s">
        <v>303</v>
      </c>
      <c r="P1053" s="371" t="n">
        <v>0.0395902</v>
      </c>
      <c r="Q1053" s="371"/>
      <c r="R1053" s="372" t="s">
        <v>914</v>
      </c>
      <c r="S1053" s="373"/>
      <c r="T1053" s="372"/>
      <c r="U1053" s="373"/>
      <c r="V1053" s="373" t="n">
        <v>0.042479</v>
      </c>
      <c r="W1053" s="373" t="n">
        <v>0.00085</v>
      </c>
      <c r="X1053" s="373" t="n">
        <v>0.003353</v>
      </c>
      <c r="Y1053" s="373" t="n">
        <v>0.034098</v>
      </c>
      <c r="Z1053" s="373" t="n">
        <v>0.00172</v>
      </c>
      <c r="AA1053" s="373" t="n">
        <v>0.002</v>
      </c>
      <c r="AB1053" s="374" t="n">
        <f aca="false">S1053-Z1053</f>
        <v>-0.00172</v>
      </c>
      <c r="AC1053" s="374" t="n">
        <f aca="false">U1053-Z1053-AA1053</f>
        <v>-0.00372</v>
      </c>
      <c r="AD1053" s="375" t="n">
        <v>0.0365</v>
      </c>
      <c r="AE1053" s="376" t="n">
        <v>0.034098</v>
      </c>
      <c r="AF1053" s="376" t="n">
        <f aca="false">AD1053-AE1053</f>
        <v>0.00240199999999999</v>
      </c>
      <c r="AG1053" s="377" t="n">
        <v>0.0365</v>
      </c>
      <c r="AH1053" s="378" t="n">
        <v>45974</v>
      </c>
      <c r="AI1053" s="379" t="n">
        <v>1</v>
      </c>
      <c r="AJ1053" s="380" t="str">
        <f aca="false">IF(AG1053="","N","Y")</f>
        <v>Y</v>
      </c>
      <c r="AK1053" s="396" t="s">
        <v>1224</v>
      </c>
      <c r="AL1053" s="397"/>
    </row>
    <row r="1054" s="382" customFormat="true" ht="20.25" hidden="false" customHeight="true" outlineLevel="0" collapsed="false">
      <c r="A1054" s="364" t="n">
        <v>527</v>
      </c>
      <c r="B1054" s="363" t="n">
        <v>45974</v>
      </c>
      <c r="C1054" s="364" t="s">
        <v>644</v>
      </c>
      <c r="D1054" s="364" t="s">
        <v>1112</v>
      </c>
      <c r="E1054" s="364" t="s">
        <v>492</v>
      </c>
      <c r="F1054" s="364" t="s">
        <v>880</v>
      </c>
      <c r="G1054" s="365" t="n">
        <v>45974</v>
      </c>
      <c r="H1054" s="365" t="n">
        <v>46006</v>
      </c>
      <c r="I1054" s="364" t="n">
        <f aca="false">H1054-G1054</f>
        <v>32</v>
      </c>
      <c r="J1054" s="366" t="n">
        <f aca="false">TRUNC(I1054/30,0)</f>
        <v>1</v>
      </c>
      <c r="K1054" s="367" t="s">
        <v>99</v>
      </c>
      <c r="L1054" s="368" t="n">
        <v>7.12</v>
      </c>
      <c r="M1054" s="369"/>
      <c r="N1054" s="370"/>
      <c r="O1054" s="366" t="s">
        <v>303</v>
      </c>
      <c r="P1054" s="371" t="n">
        <v>0.0395902</v>
      </c>
      <c r="Q1054" s="371"/>
      <c r="R1054" s="372" t="s">
        <v>914</v>
      </c>
      <c r="S1054" s="373"/>
      <c r="T1054" s="372"/>
      <c r="U1054" s="373"/>
      <c r="V1054" s="373" t="n">
        <v>0.042694</v>
      </c>
      <c r="W1054" s="373" t="n">
        <v>0.002989</v>
      </c>
      <c r="X1054" s="373" t="n">
        <v>0.004429</v>
      </c>
      <c r="Y1054" s="373" t="n">
        <v>0.028452</v>
      </c>
      <c r="Z1054" s="373" t="n">
        <v>0.00172</v>
      </c>
      <c r="AA1054" s="373" t="n">
        <v>0.002</v>
      </c>
      <c r="AB1054" s="374" t="n">
        <f aca="false">S1054-Z1054</f>
        <v>-0.00172</v>
      </c>
      <c r="AC1054" s="374" t="n">
        <f aca="false">U1054-Z1054-AA1054</f>
        <v>-0.00372</v>
      </c>
      <c r="AD1054" s="375" t="n">
        <v>0.0335</v>
      </c>
      <c r="AE1054" s="373" t="n">
        <v>0.028452</v>
      </c>
      <c r="AF1054" s="412" t="n">
        <f aca="false">AD1054-AE1054</f>
        <v>0.005048</v>
      </c>
      <c r="AG1054" s="377" t="n">
        <v>0.0335</v>
      </c>
      <c r="AH1054" s="378" t="n">
        <v>45974</v>
      </c>
      <c r="AI1054" s="379" t="n">
        <v>3</v>
      </c>
      <c r="AJ1054" s="380" t="str">
        <f aca="false">IF(AG1054="","N","Y")</f>
        <v>Y</v>
      </c>
      <c r="AK1054" s="396" t="s">
        <v>1224</v>
      </c>
      <c r="AL1054" s="397"/>
    </row>
    <row r="1055" s="418" customFormat="true" ht="20.25" hidden="false" customHeight="true" outlineLevel="0" collapsed="false">
      <c r="A1055" s="402" t="n">
        <v>528</v>
      </c>
      <c r="B1055" s="403" t="n">
        <v>45974</v>
      </c>
      <c r="C1055" s="402" t="s">
        <v>209</v>
      </c>
      <c r="D1055" s="402" t="s">
        <v>913</v>
      </c>
      <c r="E1055" s="402" t="s">
        <v>1195</v>
      </c>
      <c r="F1055" s="364" t="s">
        <v>1188</v>
      </c>
      <c r="G1055" s="404" t="n">
        <v>45974</v>
      </c>
      <c r="H1055" s="404" t="n">
        <v>46066</v>
      </c>
      <c r="I1055" s="402" t="n">
        <f aca="false">H1055-G1055</f>
        <v>92</v>
      </c>
      <c r="J1055" s="405" t="n">
        <f aca="false">TRUNC(I1055/30,0)</f>
        <v>3</v>
      </c>
      <c r="K1055" s="406" t="s">
        <v>95</v>
      </c>
      <c r="L1055" s="407" t="n">
        <v>1.44</v>
      </c>
      <c r="M1055" s="408"/>
      <c r="N1055" s="409"/>
      <c r="O1055" s="405" t="s">
        <v>300</v>
      </c>
      <c r="P1055" s="410" t="n">
        <v>0.0385309</v>
      </c>
      <c r="Q1055" s="410"/>
      <c r="R1055" s="411" t="s">
        <v>914</v>
      </c>
      <c r="S1055" s="412"/>
      <c r="T1055" s="411"/>
      <c r="U1055" s="412"/>
      <c r="V1055" s="412" t="n">
        <v>0.042903</v>
      </c>
      <c r="W1055" s="412" t="n">
        <v>0.000858</v>
      </c>
      <c r="X1055" s="412" t="n">
        <v>0.002569</v>
      </c>
      <c r="Y1055" s="412" t="n">
        <v>0.03376</v>
      </c>
      <c r="Z1055" s="412" t="n">
        <v>0.00172</v>
      </c>
      <c r="AA1055" s="412" t="n">
        <v>0.002</v>
      </c>
      <c r="AB1055" s="412" t="n">
        <f aca="false">S1055-Z1055</f>
        <v>-0.00172</v>
      </c>
      <c r="AC1055" s="412" t="n">
        <f aca="false">U1055-Z1055-AA1055</f>
        <v>-0.00372</v>
      </c>
      <c r="AD1055" s="413" t="n">
        <v>0.0377</v>
      </c>
      <c r="AE1055" s="412" t="n">
        <v>0.03376</v>
      </c>
      <c r="AF1055" s="412" t="n">
        <v>0.004518</v>
      </c>
      <c r="AG1055" s="412" t="n">
        <v>0.0377</v>
      </c>
      <c r="AH1055" s="378" t="n">
        <v>45974</v>
      </c>
      <c r="AI1055" s="414" t="n">
        <v>4</v>
      </c>
      <c r="AJ1055" s="415" t="str">
        <f aca="false">IF(AG1055="","N","Y")</f>
        <v>Y</v>
      </c>
      <c r="AK1055" s="416" t="s">
        <v>1242</v>
      </c>
      <c r="AL1055" s="417"/>
    </row>
    <row r="1056" s="418" customFormat="true" ht="20.25" hidden="false" customHeight="true" outlineLevel="0" collapsed="false">
      <c r="A1056" s="402" t="n">
        <v>529</v>
      </c>
      <c r="B1056" s="403" t="n">
        <v>45974</v>
      </c>
      <c r="C1056" s="402" t="s">
        <v>209</v>
      </c>
      <c r="D1056" s="402" t="s">
        <v>913</v>
      </c>
      <c r="E1056" s="402" t="s">
        <v>1195</v>
      </c>
      <c r="F1056" s="364" t="s">
        <v>524</v>
      </c>
      <c r="G1056" s="404" t="n">
        <v>45974</v>
      </c>
      <c r="H1056" s="404" t="n">
        <v>46066</v>
      </c>
      <c r="I1056" s="402" t="n">
        <f aca="false">H1056-G1056</f>
        <v>92</v>
      </c>
      <c r="J1056" s="405" t="n">
        <f aca="false">TRUNC(I1056/30,0)</f>
        <v>3</v>
      </c>
      <c r="K1056" s="406" t="s">
        <v>95</v>
      </c>
      <c r="L1056" s="407" t="n">
        <v>1.44</v>
      </c>
      <c r="M1056" s="408"/>
      <c r="N1056" s="409"/>
      <c r="O1056" s="405" t="s">
        <v>300</v>
      </c>
      <c r="P1056" s="410" t="n">
        <v>0.0385309</v>
      </c>
      <c r="Q1056" s="410"/>
      <c r="R1056" s="411" t="s">
        <v>914</v>
      </c>
      <c r="S1056" s="412"/>
      <c r="T1056" s="411"/>
      <c r="U1056" s="412"/>
      <c r="V1056" s="412" t="n">
        <v>0.042903</v>
      </c>
      <c r="W1056" s="412" t="n">
        <v>0.000858</v>
      </c>
      <c r="X1056" s="412" t="n">
        <v>0.002569</v>
      </c>
      <c r="Y1056" s="412" t="n">
        <v>0.03376</v>
      </c>
      <c r="Z1056" s="412" t="n">
        <v>0.00172</v>
      </c>
      <c r="AA1056" s="412" t="n">
        <v>0.002</v>
      </c>
      <c r="AB1056" s="412" t="n">
        <f aca="false">S1056-Z1056</f>
        <v>-0.00172</v>
      </c>
      <c r="AC1056" s="412" t="n">
        <f aca="false">U1056-Z1056-AA1056</f>
        <v>-0.00372</v>
      </c>
      <c r="AD1056" s="413" t="n">
        <v>0.0377</v>
      </c>
      <c r="AE1056" s="412" t="n">
        <v>0.03376</v>
      </c>
      <c r="AF1056" s="412" t="n">
        <v>0.004518</v>
      </c>
      <c r="AG1056" s="412" t="n">
        <v>0.0377</v>
      </c>
      <c r="AH1056" s="378" t="n">
        <v>45974</v>
      </c>
      <c r="AI1056" s="414" t="n">
        <v>4</v>
      </c>
      <c r="AJ1056" s="415" t="str">
        <f aca="false">IF(AG1056="","N","Y")</f>
        <v>Y</v>
      </c>
      <c r="AK1056" s="416" t="s">
        <v>1242</v>
      </c>
      <c r="AL1056" s="417"/>
    </row>
    <row r="1057" s="382" customFormat="true" ht="20.25" hidden="false" customHeight="true" outlineLevel="0" collapsed="false">
      <c r="A1057" s="364" t="n">
        <v>530</v>
      </c>
      <c r="B1057" s="363" t="n">
        <v>45975</v>
      </c>
      <c r="C1057" s="364" t="s">
        <v>187</v>
      </c>
      <c r="D1057" s="402" t="s">
        <v>1062</v>
      </c>
      <c r="E1057" s="402" t="s">
        <v>1165</v>
      </c>
      <c r="F1057" s="402" t="s">
        <v>877</v>
      </c>
      <c r="G1057" s="365" t="n">
        <v>45975</v>
      </c>
      <c r="H1057" s="365" t="n">
        <v>45982</v>
      </c>
      <c r="I1057" s="364" t="n">
        <f aca="false">H1057-G1057</f>
        <v>7</v>
      </c>
      <c r="J1057" s="366" t="n">
        <f aca="false">TRUNC(I1057/30,0)</f>
        <v>0</v>
      </c>
      <c r="K1057" s="395" t="s">
        <v>95</v>
      </c>
      <c r="L1057" s="368" t="n">
        <v>2</v>
      </c>
      <c r="M1057" s="408"/>
      <c r="N1057" s="409"/>
      <c r="O1057" s="405" t="s">
        <v>305</v>
      </c>
      <c r="P1057" s="410" t="n">
        <v>0.0397565</v>
      </c>
      <c r="Q1057" s="371"/>
      <c r="R1057" s="372" t="s">
        <v>914</v>
      </c>
      <c r="S1057" s="373"/>
      <c r="T1057" s="372"/>
      <c r="U1057" s="373"/>
      <c r="V1057" s="412" t="n">
        <v>0.040919</v>
      </c>
      <c r="W1057" s="412" t="n">
        <v>0.002864</v>
      </c>
      <c r="X1057" s="412" t="n">
        <v>0.002079</v>
      </c>
      <c r="Y1057" s="412" t="n">
        <v>0.030673</v>
      </c>
      <c r="Z1057" s="412" t="n">
        <v>0.00172</v>
      </c>
      <c r="AA1057" s="412" t="n">
        <v>0.002</v>
      </c>
      <c r="AB1057" s="374" t="n">
        <f aca="false">S1057-Z1057</f>
        <v>-0.00172</v>
      </c>
      <c r="AC1057" s="374" t="n">
        <f aca="false">U1057-Z1057-AA1057</f>
        <v>-0.00372</v>
      </c>
      <c r="AD1057" s="375" t="n">
        <v>0.0342</v>
      </c>
      <c r="AE1057" s="412" t="n">
        <v>0.030673</v>
      </c>
      <c r="AF1057" s="412" t="n">
        <f aca="false">AD1057-AE1057</f>
        <v>0.003527</v>
      </c>
      <c r="AG1057" s="377" t="n">
        <v>0.0342</v>
      </c>
      <c r="AH1057" s="378" t="n">
        <v>45975</v>
      </c>
      <c r="AI1057" s="379" t="n">
        <v>1</v>
      </c>
      <c r="AJ1057" s="380" t="str">
        <f aca="false">IF(AG1057="","N","Y")</f>
        <v>Y</v>
      </c>
      <c r="AK1057" s="396" t="s">
        <v>1236</v>
      </c>
      <c r="AL1057" s="397"/>
    </row>
    <row r="1058" s="382" customFormat="true" ht="20.25" hidden="false" customHeight="true" outlineLevel="0" collapsed="false">
      <c r="A1058" s="364" t="n">
        <v>531</v>
      </c>
      <c r="B1058" s="363" t="n">
        <v>45975</v>
      </c>
      <c r="C1058" s="364" t="s">
        <v>187</v>
      </c>
      <c r="D1058" s="402" t="s">
        <v>1062</v>
      </c>
      <c r="E1058" s="402" t="s">
        <v>1165</v>
      </c>
      <c r="F1058" s="402" t="s">
        <v>877</v>
      </c>
      <c r="G1058" s="365" t="n">
        <v>45975</v>
      </c>
      <c r="H1058" s="365" t="n">
        <v>45989</v>
      </c>
      <c r="I1058" s="364" t="n">
        <f aca="false">H1058-G1058</f>
        <v>14</v>
      </c>
      <c r="J1058" s="366" t="n">
        <f aca="false">TRUNC(I1058/30,0)</f>
        <v>0</v>
      </c>
      <c r="K1058" s="395" t="s">
        <v>95</v>
      </c>
      <c r="L1058" s="368" t="n">
        <v>4.5</v>
      </c>
      <c r="M1058" s="408"/>
      <c r="N1058" s="409"/>
      <c r="O1058" s="405" t="s">
        <v>305</v>
      </c>
      <c r="P1058" s="410" t="n">
        <v>0.0397565</v>
      </c>
      <c r="Q1058" s="371"/>
      <c r="R1058" s="372" t="s">
        <v>914</v>
      </c>
      <c r="S1058" s="373"/>
      <c r="T1058" s="372"/>
      <c r="U1058" s="373"/>
      <c r="V1058" s="412" t="n">
        <v>0.041428</v>
      </c>
      <c r="W1058" s="412" t="n">
        <v>0.0029</v>
      </c>
      <c r="X1058" s="412" t="n">
        <v>0.002252</v>
      </c>
      <c r="Y1058" s="412" t="n">
        <v>0.030673</v>
      </c>
      <c r="Z1058" s="412" t="n">
        <v>0.00172</v>
      </c>
      <c r="AA1058" s="412" t="n">
        <v>0.002</v>
      </c>
      <c r="AB1058" s="374" t="n">
        <f aca="false">S1058-Z1058</f>
        <v>-0.00172</v>
      </c>
      <c r="AC1058" s="374" t="n">
        <f aca="false">U1058-Z1058-AA1058</f>
        <v>-0.00372</v>
      </c>
      <c r="AD1058" s="375" t="n">
        <v>0.0345</v>
      </c>
      <c r="AE1058" s="412" t="n">
        <v>0.030673</v>
      </c>
      <c r="AF1058" s="412" t="n">
        <f aca="false">AD1058-AE1058</f>
        <v>0.003827</v>
      </c>
      <c r="AG1058" s="377" t="n">
        <v>0.0345</v>
      </c>
      <c r="AH1058" s="378" t="n">
        <v>45975</v>
      </c>
      <c r="AI1058" s="379" t="n">
        <v>2</v>
      </c>
      <c r="AJ1058" s="380" t="str">
        <f aca="false">IF(AG1058="","N","Y")</f>
        <v>Y</v>
      </c>
      <c r="AK1058" s="396" t="s">
        <v>1236</v>
      </c>
      <c r="AL1058" s="397"/>
    </row>
    <row r="1059" s="382" customFormat="true" ht="20.25" hidden="false" customHeight="true" outlineLevel="0" collapsed="false">
      <c r="A1059" s="364" t="n">
        <v>532</v>
      </c>
      <c r="B1059" s="363" t="n">
        <v>45975</v>
      </c>
      <c r="C1059" s="364" t="s">
        <v>187</v>
      </c>
      <c r="D1059" s="402" t="s">
        <v>1062</v>
      </c>
      <c r="E1059" s="402" t="s">
        <v>1165</v>
      </c>
      <c r="F1059" s="402" t="s">
        <v>877</v>
      </c>
      <c r="G1059" s="365" t="n">
        <v>45975</v>
      </c>
      <c r="H1059" s="365" t="n">
        <v>45989</v>
      </c>
      <c r="I1059" s="364" t="n">
        <f aca="false">H1059-G1059</f>
        <v>14</v>
      </c>
      <c r="J1059" s="366" t="n">
        <f aca="false">TRUNC(I1059/30,0)</f>
        <v>0</v>
      </c>
      <c r="K1059" s="395" t="s">
        <v>95</v>
      </c>
      <c r="L1059" s="368" t="n">
        <v>3</v>
      </c>
      <c r="M1059" s="408"/>
      <c r="N1059" s="409"/>
      <c r="O1059" s="405" t="s">
        <v>305</v>
      </c>
      <c r="P1059" s="410" t="n">
        <v>0.0397565</v>
      </c>
      <c r="Q1059" s="371"/>
      <c r="R1059" s="372" t="s">
        <v>914</v>
      </c>
      <c r="S1059" s="373"/>
      <c r="T1059" s="372"/>
      <c r="U1059" s="373"/>
      <c r="V1059" s="412" t="n">
        <v>0.041428</v>
      </c>
      <c r="W1059" s="412" t="n">
        <v>0.0029</v>
      </c>
      <c r="X1059" s="412" t="n">
        <v>0.002252</v>
      </c>
      <c r="Y1059" s="412" t="n">
        <v>0.030673</v>
      </c>
      <c r="Z1059" s="412" t="n">
        <v>0.00172</v>
      </c>
      <c r="AA1059" s="412" t="n">
        <v>0.002</v>
      </c>
      <c r="AB1059" s="374" t="n">
        <f aca="false">S1059-Z1059</f>
        <v>-0.00172</v>
      </c>
      <c r="AC1059" s="374" t="n">
        <f aca="false">U1059-Z1059-AA1059</f>
        <v>-0.00372</v>
      </c>
      <c r="AD1059" s="375" t="n">
        <v>0.0345</v>
      </c>
      <c r="AE1059" s="412" t="n">
        <v>0.030673</v>
      </c>
      <c r="AF1059" s="412" t="n">
        <f aca="false">AD1059-AE1059</f>
        <v>0.003827</v>
      </c>
      <c r="AG1059" s="377" t="n">
        <v>0.0345</v>
      </c>
      <c r="AH1059" s="378" t="n">
        <v>45975</v>
      </c>
      <c r="AI1059" s="379" t="n">
        <v>3</v>
      </c>
      <c r="AJ1059" s="380" t="str">
        <f aca="false">IF(AG1059="","N","Y")</f>
        <v>Y</v>
      </c>
      <c r="AK1059" s="396" t="s">
        <v>1236</v>
      </c>
      <c r="AL1059" s="397"/>
    </row>
    <row r="1060" s="418" customFormat="true" ht="20.25" hidden="false" customHeight="true" outlineLevel="0" collapsed="false">
      <c r="A1060" s="402" t="n">
        <v>533</v>
      </c>
      <c r="B1060" s="403" t="n">
        <v>45975</v>
      </c>
      <c r="C1060" s="402" t="s">
        <v>209</v>
      </c>
      <c r="D1060" s="402" t="s">
        <v>913</v>
      </c>
      <c r="E1060" s="402" t="s">
        <v>1195</v>
      </c>
      <c r="F1060" s="364" t="s">
        <v>524</v>
      </c>
      <c r="G1060" s="404" t="n">
        <v>45975</v>
      </c>
      <c r="H1060" s="404" t="n">
        <v>46066</v>
      </c>
      <c r="I1060" s="402" t="n">
        <f aca="false">H1060-G1060</f>
        <v>91</v>
      </c>
      <c r="J1060" s="405" t="n">
        <f aca="false">TRUNC(I1060/30,0)</f>
        <v>3</v>
      </c>
      <c r="K1060" s="406" t="s">
        <v>95</v>
      </c>
      <c r="L1060" s="407" t="n">
        <v>3.61</v>
      </c>
      <c r="M1060" s="408"/>
      <c r="N1060" s="409"/>
      <c r="O1060" s="405" t="s">
        <v>300</v>
      </c>
      <c r="P1060" s="410" t="n">
        <v>0.0385181</v>
      </c>
      <c r="Q1060" s="410"/>
      <c r="R1060" s="411" t="s">
        <v>914</v>
      </c>
      <c r="S1060" s="412"/>
      <c r="T1060" s="411"/>
      <c r="U1060" s="412"/>
      <c r="V1060" s="412" t="n">
        <v>0.043031</v>
      </c>
      <c r="W1060" s="412" t="n">
        <v>0.000861</v>
      </c>
      <c r="X1060" s="412" t="n">
        <v>0.002694</v>
      </c>
      <c r="Y1060" s="412" t="n">
        <v>0.030673</v>
      </c>
      <c r="Z1060" s="412" t="n">
        <v>0.00172</v>
      </c>
      <c r="AA1060" s="412" t="n">
        <v>0.002</v>
      </c>
      <c r="AB1060" s="412" t="n">
        <f aca="false">S1060-Z1060</f>
        <v>-0.00172</v>
      </c>
      <c r="AC1060" s="412" t="n">
        <f aca="false">U1060-Z1060-AA1060</f>
        <v>-0.00372</v>
      </c>
      <c r="AD1060" s="413" t="n">
        <v>0.0377</v>
      </c>
      <c r="AE1060" s="412" t="n">
        <v>0.033747</v>
      </c>
      <c r="AF1060" s="412" t="n">
        <v>0.004518</v>
      </c>
      <c r="AG1060" s="412" t="n">
        <v>0.0377</v>
      </c>
      <c r="AH1060" s="378" t="n">
        <v>45975</v>
      </c>
      <c r="AI1060" s="379" t="n">
        <v>4</v>
      </c>
      <c r="AJ1060" s="415" t="str">
        <f aca="false">IF(AG1060="","N","Y")</f>
        <v>Y</v>
      </c>
      <c r="AK1060" s="416" t="s">
        <v>1243</v>
      </c>
      <c r="AL1060" s="417"/>
    </row>
    <row r="1061" s="382" customFormat="true" ht="20.25" hidden="false" customHeight="true" outlineLevel="0" collapsed="false">
      <c r="A1061" s="364" t="n">
        <v>534</v>
      </c>
      <c r="B1061" s="363" t="n">
        <v>45978</v>
      </c>
      <c r="C1061" s="364" t="s">
        <v>644</v>
      </c>
      <c r="D1061" s="364" t="s">
        <v>1070</v>
      </c>
      <c r="E1061" s="364" t="s">
        <v>1226</v>
      </c>
      <c r="F1061" s="364" t="s">
        <v>1072</v>
      </c>
      <c r="G1061" s="365" t="n">
        <v>45978</v>
      </c>
      <c r="H1061" s="365" t="n">
        <v>46008</v>
      </c>
      <c r="I1061" s="364" t="n">
        <f aca="false">H1061-G1061</f>
        <v>30</v>
      </c>
      <c r="J1061" s="366" t="n">
        <f aca="false">TRUNC(I1061/30,0)</f>
        <v>1</v>
      </c>
      <c r="K1061" s="395" t="s">
        <v>95</v>
      </c>
      <c r="L1061" s="368" t="n">
        <v>1.5</v>
      </c>
      <c r="M1061" s="408" t="n">
        <v>3.44</v>
      </c>
      <c r="N1061" s="409" t="s">
        <v>1244</v>
      </c>
      <c r="O1061" s="405" t="s">
        <v>303</v>
      </c>
      <c r="P1061" s="410" t="n">
        <v>0.0396256</v>
      </c>
      <c r="Q1061" s="371"/>
      <c r="R1061" s="372" t="s">
        <v>914</v>
      </c>
      <c r="S1061" s="373"/>
      <c r="T1061" s="372"/>
      <c r="U1061" s="373"/>
      <c r="V1061" s="412" t="n">
        <v>0.04259</v>
      </c>
      <c r="W1061" s="412" t="n">
        <v>0.000852</v>
      </c>
      <c r="X1061" s="412" t="n">
        <f aca="false">V1061-AG1061-W1061-$X$5</f>
        <v>0.002962</v>
      </c>
      <c r="Y1061" s="412" t="n">
        <v>0.034133</v>
      </c>
      <c r="Z1061" s="412" t="n">
        <v>0.00172</v>
      </c>
      <c r="AA1061" s="412" t="n">
        <v>0.002</v>
      </c>
      <c r="AB1061" s="374" t="n">
        <f aca="false">S1061-Z1061</f>
        <v>-0.00172</v>
      </c>
      <c r="AC1061" s="374" t="n">
        <f aca="false">U1061-Z1061-AA1061</f>
        <v>-0.00372</v>
      </c>
      <c r="AD1061" s="375" t="n">
        <v>0.037</v>
      </c>
      <c r="AE1061" s="412" t="n">
        <f aca="false">Y1061</f>
        <v>0.034133</v>
      </c>
      <c r="AF1061" s="412" t="n">
        <f aca="false">AD1061-AE1061</f>
        <v>0.002867</v>
      </c>
      <c r="AG1061" s="377" t="n">
        <v>0.037</v>
      </c>
      <c r="AH1061" s="378" t="n">
        <v>45978</v>
      </c>
      <c r="AI1061" s="379" t="n">
        <v>1</v>
      </c>
      <c r="AJ1061" s="380" t="str">
        <f aca="false">IF(AG1061="","N","Y")</f>
        <v>Y</v>
      </c>
      <c r="AK1061" s="416" t="s">
        <v>1245</v>
      </c>
      <c r="AL1061" s="397"/>
    </row>
    <row r="1062" s="382" customFormat="true" ht="20.25" hidden="false" customHeight="true" outlineLevel="0" collapsed="false">
      <c r="A1062" s="364" t="n">
        <v>535</v>
      </c>
      <c r="B1062" s="363" t="n">
        <v>45979</v>
      </c>
      <c r="C1062" s="364" t="s">
        <v>1081</v>
      </c>
      <c r="D1062" s="364" t="s">
        <v>1082</v>
      </c>
      <c r="E1062" s="364" t="s">
        <v>900</v>
      </c>
      <c r="F1062" s="364" t="s">
        <v>1083</v>
      </c>
      <c r="G1062" s="365" t="n">
        <v>45979</v>
      </c>
      <c r="H1062" s="365" t="n">
        <v>46072</v>
      </c>
      <c r="I1062" s="364" t="n">
        <f aca="false">H1062-G1062</f>
        <v>93</v>
      </c>
      <c r="J1062" s="366" t="n">
        <f aca="false">TRUNC(I1062/30,0)</f>
        <v>3</v>
      </c>
      <c r="K1062" s="395" t="s">
        <v>95</v>
      </c>
      <c r="L1062" s="368" t="n">
        <v>1</v>
      </c>
      <c r="M1062" s="369"/>
      <c r="N1062" s="370"/>
      <c r="O1062" s="366" t="s">
        <v>300</v>
      </c>
      <c r="P1062" s="371" t="n">
        <v>0.0387792</v>
      </c>
      <c r="Q1062" s="371"/>
      <c r="R1062" s="372" t="s">
        <v>914</v>
      </c>
      <c r="S1062" s="373"/>
      <c r="T1062" s="372"/>
      <c r="U1062" s="373"/>
      <c r="V1062" s="373" t="n">
        <v>0.043243</v>
      </c>
      <c r="W1062" s="373" t="n">
        <v>0.000865</v>
      </c>
      <c r="X1062" s="373" t="n">
        <v>0.002102</v>
      </c>
      <c r="Y1062" s="373" t="n">
        <v>0.034003</v>
      </c>
      <c r="Z1062" s="373" t="n">
        <v>0.00172</v>
      </c>
      <c r="AA1062" s="373" t="n">
        <v>0.002</v>
      </c>
      <c r="AB1062" s="374" t="n">
        <f aca="false">S1062-Z1062</f>
        <v>-0.00172</v>
      </c>
      <c r="AC1062" s="374" t="n">
        <f aca="false">U1062-Z1062-AA1062</f>
        <v>-0.00372</v>
      </c>
      <c r="AD1062" s="375" t="n">
        <v>0.0385</v>
      </c>
      <c r="AE1062" s="376" t="n">
        <v>0.034003</v>
      </c>
      <c r="AF1062" s="376" t="n">
        <v>0.004394</v>
      </c>
      <c r="AG1062" s="377" t="n">
        <v>0.0385</v>
      </c>
      <c r="AH1062" s="378" t="n">
        <v>45979</v>
      </c>
      <c r="AI1062" s="379" t="n">
        <v>1</v>
      </c>
      <c r="AJ1062" s="380" t="str">
        <f aca="false">IF(AG1062="","N","Y")</f>
        <v>Y</v>
      </c>
      <c r="AK1062" s="396" t="s">
        <v>1246</v>
      </c>
      <c r="AL1062" s="397"/>
    </row>
    <row r="1063" s="382" customFormat="true" ht="20.25" hidden="false" customHeight="true" outlineLevel="0" collapsed="false">
      <c r="A1063" s="364" t="n">
        <v>536</v>
      </c>
      <c r="B1063" s="363" t="n">
        <v>45981</v>
      </c>
      <c r="C1063" s="364" t="s">
        <v>862</v>
      </c>
      <c r="D1063" s="364" t="s">
        <v>932</v>
      </c>
      <c r="E1063" s="364" t="s">
        <v>1067</v>
      </c>
      <c r="F1063" s="364" t="s">
        <v>906</v>
      </c>
      <c r="G1063" s="365" t="n">
        <v>45981</v>
      </c>
      <c r="H1063" s="365" t="n">
        <v>46013</v>
      </c>
      <c r="I1063" s="364" t="n">
        <f aca="false">H1063-G1063</f>
        <v>32</v>
      </c>
      <c r="J1063" s="366" t="n">
        <f aca="false">TRUNC(I1063/30,0)</f>
        <v>1</v>
      </c>
      <c r="K1063" s="367" t="s">
        <v>99</v>
      </c>
      <c r="L1063" s="368" t="n">
        <v>4</v>
      </c>
      <c r="M1063" s="369"/>
      <c r="N1063" s="370"/>
      <c r="O1063" s="366" t="s">
        <v>303</v>
      </c>
      <c r="P1063" s="371" t="n">
        <v>0.0395038</v>
      </c>
      <c r="Q1063" s="371"/>
      <c r="R1063" s="372" t="s">
        <v>914</v>
      </c>
      <c r="S1063" s="373"/>
      <c r="T1063" s="372"/>
      <c r="U1063" s="373"/>
      <c r="V1063" s="373" t="n">
        <v>0.042994</v>
      </c>
      <c r="W1063" s="373" t="n">
        <v>0.00301</v>
      </c>
      <c r="X1063" s="373" t="n">
        <v>0.004208</v>
      </c>
      <c r="Y1063" s="373" t="n">
        <v>0.028361</v>
      </c>
      <c r="Z1063" s="373" t="n">
        <v>0.00172</v>
      </c>
      <c r="AA1063" s="373" t="n">
        <v>0.002</v>
      </c>
      <c r="AB1063" s="374" t="n">
        <f aca="false">S1063-Z1063</f>
        <v>-0.00172</v>
      </c>
      <c r="AC1063" s="374" t="n">
        <f aca="false">U1063-Z1063-AA1063</f>
        <v>-0.00372</v>
      </c>
      <c r="AD1063" s="375" t="n">
        <v>0.034</v>
      </c>
      <c r="AE1063" s="376" t="n">
        <v>0.028361</v>
      </c>
      <c r="AF1063" s="376" t="n">
        <f aca="false">AD1063-AE1063</f>
        <v>0.005639</v>
      </c>
      <c r="AG1063" s="377" t="n">
        <v>0.034</v>
      </c>
      <c r="AH1063" s="378" t="n">
        <v>45981</v>
      </c>
      <c r="AI1063" s="379" t="n">
        <v>1</v>
      </c>
      <c r="AJ1063" s="380" t="str">
        <f aca="false">IF(AG1063="","N","Y")</f>
        <v>Y</v>
      </c>
      <c r="AK1063" s="396" t="s">
        <v>1236</v>
      </c>
      <c r="AL1063" s="397"/>
    </row>
    <row r="1064" s="382" customFormat="true" ht="20.25" hidden="false" customHeight="true" outlineLevel="0" collapsed="false">
      <c r="A1064" s="364" t="n">
        <v>537</v>
      </c>
      <c r="B1064" s="363" t="n">
        <v>45981</v>
      </c>
      <c r="C1064" s="364" t="s">
        <v>187</v>
      </c>
      <c r="D1064" s="364" t="s">
        <v>1118</v>
      </c>
      <c r="E1064" s="364" t="s">
        <v>1119</v>
      </c>
      <c r="F1064" s="364" t="s">
        <v>906</v>
      </c>
      <c r="G1064" s="365" t="n">
        <v>45981</v>
      </c>
      <c r="H1064" s="365" t="n">
        <v>46013</v>
      </c>
      <c r="I1064" s="364" t="n">
        <f aca="false">H1064-G1064</f>
        <v>32</v>
      </c>
      <c r="J1064" s="366" t="n">
        <f aca="false">TRUNC(I1064/30,0)</f>
        <v>1</v>
      </c>
      <c r="K1064" s="367" t="s">
        <v>99</v>
      </c>
      <c r="L1064" s="368" t="n">
        <v>4.4</v>
      </c>
      <c r="M1064" s="369"/>
      <c r="N1064" s="370"/>
      <c r="O1064" s="366" t="s">
        <v>303</v>
      </c>
      <c r="P1064" s="371" t="n">
        <v>0.0395038</v>
      </c>
      <c r="Q1064" s="371"/>
      <c r="R1064" s="372" t="s">
        <v>914</v>
      </c>
      <c r="S1064" s="373"/>
      <c r="T1064" s="372"/>
      <c r="U1064" s="373"/>
      <c r="V1064" s="373" t="n">
        <v>0.042994</v>
      </c>
      <c r="W1064" s="373" t="n">
        <v>0.00301</v>
      </c>
      <c r="X1064" s="373" t="n">
        <v>0.004208</v>
      </c>
      <c r="Y1064" s="373" t="n">
        <v>0.028361</v>
      </c>
      <c r="Z1064" s="373" t="n">
        <v>0.00172</v>
      </c>
      <c r="AA1064" s="373" t="n">
        <v>0.002</v>
      </c>
      <c r="AB1064" s="374" t="n">
        <f aca="false">S1064-Z1064</f>
        <v>-0.00172</v>
      </c>
      <c r="AC1064" s="374" t="n">
        <f aca="false">U1064-Z1064-AA1064</f>
        <v>-0.00372</v>
      </c>
      <c r="AD1064" s="375" t="n">
        <v>0.034</v>
      </c>
      <c r="AE1064" s="376" t="n">
        <v>0.028361</v>
      </c>
      <c r="AF1064" s="376" t="n">
        <v>0.003842</v>
      </c>
      <c r="AG1064" s="377" t="n">
        <v>0.034</v>
      </c>
      <c r="AH1064" s="378" t="n">
        <v>45981</v>
      </c>
      <c r="AI1064" s="379" t="n">
        <v>2</v>
      </c>
      <c r="AJ1064" s="380" t="str">
        <f aca="false">IF(AG1064="","N","Y")</f>
        <v>Y</v>
      </c>
      <c r="AK1064" s="396" t="s">
        <v>1236</v>
      </c>
      <c r="AL1064" s="397"/>
    </row>
    <row r="1065" s="382" customFormat="true" ht="20.25" hidden="false" customHeight="true" outlineLevel="0" collapsed="false">
      <c r="A1065" s="364" t="n">
        <v>538</v>
      </c>
      <c r="B1065" s="363" t="n">
        <v>45981</v>
      </c>
      <c r="C1065" s="364" t="s">
        <v>1129</v>
      </c>
      <c r="D1065" s="364" t="s">
        <v>1130</v>
      </c>
      <c r="E1065" s="364" t="s">
        <v>1214</v>
      </c>
      <c r="F1065" s="364" t="s">
        <v>1132</v>
      </c>
      <c r="G1065" s="365" t="n">
        <v>45981</v>
      </c>
      <c r="H1065" s="365" t="n">
        <v>46013</v>
      </c>
      <c r="I1065" s="364" t="n">
        <f aca="false">H1065-G1065</f>
        <v>32</v>
      </c>
      <c r="J1065" s="366" t="n">
        <f aca="false">TRUNC(I1065/30,0)</f>
        <v>1</v>
      </c>
      <c r="K1065" s="395" t="s">
        <v>95</v>
      </c>
      <c r="L1065" s="368" t="n">
        <v>1.01</v>
      </c>
      <c r="M1065" s="369"/>
      <c r="N1065" s="370" t="s">
        <v>1247</v>
      </c>
      <c r="O1065" s="366" t="s">
        <v>303</v>
      </c>
      <c r="P1065" s="371" t="n">
        <v>0.0395038</v>
      </c>
      <c r="Q1065" s="371"/>
      <c r="R1065" s="372" t="s">
        <v>914</v>
      </c>
      <c r="S1065" s="373"/>
      <c r="T1065" s="372"/>
      <c r="U1065" s="373"/>
      <c r="V1065" s="373" t="n">
        <v>0.042598</v>
      </c>
      <c r="W1065" s="373" t="n">
        <v>0.000852</v>
      </c>
      <c r="X1065" s="373" t="n">
        <v>0.003169</v>
      </c>
      <c r="Y1065" s="373" t="n">
        <v>0.034013</v>
      </c>
      <c r="Z1065" s="373" t="n">
        <v>0.00172</v>
      </c>
      <c r="AA1065" s="373" t="n">
        <v>0.002</v>
      </c>
      <c r="AB1065" s="374" t="n">
        <f aca="false">S1065-Z1065</f>
        <v>-0.00172</v>
      </c>
      <c r="AC1065" s="374" t="n">
        <f aca="false">U1065-Z1065-AA1065</f>
        <v>-0.00372</v>
      </c>
      <c r="AD1065" s="375" t="n">
        <v>0.0373</v>
      </c>
      <c r="AE1065" s="376" t="n">
        <v>0.034013</v>
      </c>
      <c r="AF1065" s="376" t="n">
        <f aca="false">AD1065-AE1065</f>
        <v>0.003287</v>
      </c>
      <c r="AG1065" s="377" t="n">
        <f aca="false">IF(AF1065="","",AE1065+AF1065)</f>
        <v>0.0373</v>
      </c>
      <c r="AH1065" s="378" t="n">
        <v>45981</v>
      </c>
      <c r="AI1065" s="379" t="n">
        <v>3</v>
      </c>
      <c r="AJ1065" s="380" t="str">
        <f aca="false">IF(AG1065="","N","Y")</f>
        <v>Y</v>
      </c>
      <c r="AK1065" s="416" t="s">
        <v>1245</v>
      </c>
      <c r="AL1065" s="397"/>
    </row>
    <row r="1066" s="382" customFormat="true" ht="20.25" hidden="false" customHeight="true" outlineLevel="0" collapsed="false">
      <c r="A1066" s="364" t="n">
        <v>539</v>
      </c>
      <c r="B1066" s="363" t="n">
        <v>45982</v>
      </c>
      <c r="C1066" s="364" t="s">
        <v>1172</v>
      </c>
      <c r="D1066" s="364" t="s">
        <v>1173</v>
      </c>
      <c r="E1066" s="364" t="s">
        <v>1218</v>
      </c>
      <c r="F1066" s="364" t="s">
        <v>1175</v>
      </c>
      <c r="G1066" s="365" t="n">
        <v>45982</v>
      </c>
      <c r="H1066" s="365" t="n">
        <v>46010</v>
      </c>
      <c r="I1066" s="364" t="n">
        <f aca="false">H1066-G1066</f>
        <v>28</v>
      </c>
      <c r="J1066" s="366" t="n">
        <f aca="false">TRUNC(I1066/30,0)</f>
        <v>0</v>
      </c>
      <c r="K1066" s="367" t="s">
        <v>99</v>
      </c>
      <c r="L1066" s="368" t="n">
        <v>1.9</v>
      </c>
      <c r="M1066" s="369"/>
      <c r="N1066" s="370"/>
      <c r="O1066" s="366" t="s">
        <v>303</v>
      </c>
      <c r="P1066" s="371" t="n">
        <v>0.0395117</v>
      </c>
      <c r="Q1066" s="371"/>
      <c r="R1066" s="372" t="s">
        <v>914</v>
      </c>
      <c r="S1066" s="373"/>
      <c r="T1066" s="372"/>
      <c r="U1066" s="373"/>
      <c r="V1066" s="373" t="n">
        <v>0.042844</v>
      </c>
      <c r="W1066" s="373" t="n">
        <v>0.002999</v>
      </c>
      <c r="X1066" s="373" t="n">
        <f aca="false">V1066-AD1066-$X$5-W1066</f>
        <v>0.004069</v>
      </c>
      <c r="Y1066" s="373" t="n">
        <v>0.028142</v>
      </c>
      <c r="Z1066" s="373" t="n">
        <v>0.00172</v>
      </c>
      <c r="AA1066" s="373" t="n">
        <v>0.002</v>
      </c>
      <c r="AB1066" s="374" t="n">
        <f aca="false">S1066-Z1066</f>
        <v>-0.00172</v>
      </c>
      <c r="AC1066" s="374" t="n">
        <f aca="false">U1066-Z1066-AA1066</f>
        <v>-0.00372</v>
      </c>
      <c r="AD1066" s="375" t="n">
        <v>0.034</v>
      </c>
      <c r="AE1066" s="376" t="n">
        <v>0.028142</v>
      </c>
      <c r="AF1066" s="376" t="n">
        <f aca="false">AD1066-AE1066</f>
        <v>0.005858</v>
      </c>
      <c r="AG1066" s="377" t="n">
        <f aca="false">AE1066+AF1066</f>
        <v>0.034</v>
      </c>
      <c r="AH1066" s="378" t="n">
        <v>45982</v>
      </c>
      <c r="AI1066" s="379" t="n">
        <v>1</v>
      </c>
      <c r="AJ1066" s="380" t="str">
        <f aca="false">IF(AG1066="","N","Y")</f>
        <v>Y</v>
      </c>
      <c r="AK1066" s="396" t="s">
        <v>1236</v>
      </c>
      <c r="AL1066" s="397"/>
    </row>
    <row r="1067" s="382" customFormat="true" ht="20.25" hidden="false" customHeight="true" outlineLevel="0" collapsed="false">
      <c r="A1067" s="364" t="n">
        <v>540</v>
      </c>
      <c r="B1067" s="363" t="n">
        <v>45982</v>
      </c>
      <c r="C1067" s="364" t="s">
        <v>1219</v>
      </c>
      <c r="D1067" s="364" t="s">
        <v>1005</v>
      </c>
      <c r="E1067" s="364" t="s">
        <v>1006</v>
      </c>
      <c r="F1067" s="364" t="s">
        <v>1056</v>
      </c>
      <c r="G1067" s="365" t="n">
        <v>45982</v>
      </c>
      <c r="H1067" s="365" t="n">
        <v>46010</v>
      </c>
      <c r="I1067" s="364" t="n">
        <f aca="false">H1067-G1067</f>
        <v>28</v>
      </c>
      <c r="J1067" s="366" t="n">
        <f aca="false">TRUNC(I1067/30,0)</f>
        <v>0</v>
      </c>
      <c r="K1067" s="367" t="s">
        <v>99</v>
      </c>
      <c r="L1067" s="368" t="n">
        <v>10.86</v>
      </c>
      <c r="M1067" s="369"/>
      <c r="N1067" s="370"/>
      <c r="O1067" s="366" t="s">
        <v>303</v>
      </c>
      <c r="P1067" s="371" t="n">
        <v>0.0395117</v>
      </c>
      <c r="Q1067" s="371"/>
      <c r="R1067" s="372" t="s">
        <v>914</v>
      </c>
      <c r="S1067" s="373"/>
      <c r="T1067" s="372"/>
      <c r="U1067" s="373"/>
      <c r="V1067" s="373" t="n">
        <v>0.042844</v>
      </c>
      <c r="W1067" s="373" t="n">
        <v>0.002999</v>
      </c>
      <c r="X1067" s="373" t="n">
        <f aca="false">V1067-AD1067-$X$5-W1067</f>
        <v>0.004069</v>
      </c>
      <c r="Y1067" s="373" t="n">
        <v>0.028142</v>
      </c>
      <c r="Z1067" s="373" t="n">
        <v>0.00172</v>
      </c>
      <c r="AA1067" s="373" t="n">
        <v>0.002</v>
      </c>
      <c r="AB1067" s="374" t="n">
        <f aca="false">S1067-Z1067</f>
        <v>-0.00172</v>
      </c>
      <c r="AC1067" s="374" t="n">
        <f aca="false">U1067-Z1067-AA1067</f>
        <v>-0.00372</v>
      </c>
      <c r="AD1067" s="375" t="n">
        <v>0.034</v>
      </c>
      <c r="AE1067" s="376" t="n">
        <v>0.028142</v>
      </c>
      <c r="AF1067" s="376" t="n">
        <f aca="false">AG1067-AE1067</f>
        <v>0.005858</v>
      </c>
      <c r="AG1067" s="377" t="n">
        <v>0.034</v>
      </c>
      <c r="AH1067" s="378" t="n">
        <v>45982</v>
      </c>
      <c r="AI1067" s="379" t="n">
        <v>2</v>
      </c>
      <c r="AJ1067" s="380" t="str">
        <f aca="false">IF(AG1067="","N","Y")</f>
        <v>Y</v>
      </c>
      <c r="AK1067" s="396" t="s">
        <v>1236</v>
      </c>
      <c r="AL1067" s="397"/>
    </row>
    <row r="1068" s="382" customFormat="true" ht="20.25" hidden="false" customHeight="true" outlineLevel="0" collapsed="false">
      <c r="A1068" s="364" t="n">
        <v>541</v>
      </c>
      <c r="B1068" s="363" t="n">
        <v>45982</v>
      </c>
      <c r="C1068" s="364" t="s">
        <v>187</v>
      </c>
      <c r="D1068" s="402" t="s">
        <v>1062</v>
      </c>
      <c r="E1068" s="402" t="s">
        <v>1165</v>
      </c>
      <c r="F1068" s="402" t="s">
        <v>877</v>
      </c>
      <c r="G1068" s="365" t="n">
        <v>45982</v>
      </c>
      <c r="H1068" s="365" t="n">
        <v>45996</v>
      </c>
      <c r="I1068" s="364" t="n">
        <f aca="false">H1068-G1068</f>
        <v>14</v>
      </c>
      <c r="J1068" s="366" t="n">
        <f aca="false">TRUNC(I1068/30,0)</f>
        <v>0</v>
      </c>
      <c r="K1068" s="395" t="s">
        <v>95</v>
      </c>
      <c r="L1068" s="368" t="n">
        <v>9</v>
      </c>
      <c r="M1068" s="408"/>
      <c r="N1068" s="409"/>
      <c r="O1068" s="405" t="s">
        <v>305</v>
      </c>
      <c r="P1068" s="410" t="n">
        <v>0.0391852</v>
      </c>
      <c r="Q1068" s="371"/>
      <c r="R1068" s="372" t="s">
        <v>914</v>
      </c>
      <c r="S1068" s="373"/>
      <c r="T1068" s="372"/>
      <c r="U1068" s="373"/>
      <c r="V1068" s="412" t="n">
        <v>0.041334</v>
      </c>
      <c r="W1068" s="412" t="n">
        <v>0.002893</v>
      </c>
      <c r="X1068" s="412" t="n">
        <v>0.002165</v>
      </c>
      <c r="Y1068" s="412" t="n">
        <v>0.030142</v>
      </c>
      <c r="Z1068" s="412" t="n">
        <v>0.00172</v>
      </c>
      <c r="AA1068" s="412" t="n">
        <v>0.002</v>
      </c>
      <c r="AB1068" s="374" t="n">
        <f aca="false">S1068-Z1068</f>
        <v>-0.00172</v>
      </c>
      <c r="AC1068" s="374" t="n">
        <f aca="false">U1068-Z1068-AA1068</f>
        <v>-0.00372</v>
      </c>
      <c r="AD1068" s="375" t="n">
        <v>0.0345</v>
      </c>
      <c r="AE1068" s="412" t="n">
        <v>0.030142</v>
      </c>
      <c r="AF1068" s="412" t="n">
        <f aca="false">AD1068-AE1068</f>
        <v>0.004358</v>
      </c>
      <c r="AG1068" s="377" t="n">
        <v>0.0345</v>
      </c>
      <c r="AH1068" s="378" t="n">
        <v>45982</v>
      </c>
      <c r="AI1068" s="379" t="n">
        <v>3</v>
      </c>
      <c r="AJ1068" s="380" t="str">
        <f aca="false">IF(AG1068="","N","Y")</f>
        <v>Y</v>
      </c>
      <c r="AK1068" s="396" t="s">
        <v>1236</v>
      </c>
      <c r="AL1068" s="397"/>
    </row>
    <row r="1069" s="382" customFormat="true" ht="20.25" hidden="false" customHeight="true" outlineLevel="0" collapsed="false">
      <c r="A1069" s="364" t="n">
        <v>542</v>
      </c>
      <c r="B1069" s="363" t="n">
        <v>45988</v>
      </c>
      <c r="C1069" s="364" t="s">
        <v>1041</v>
      </c>
      <c r="D1069" s="402" t="s">
        <v>1248</v>
      </c>
      <c r="E1069" s="402" t="s">
        <v>1043</v>
      </c>
      <c r="F1069" s="402" t="s">
        <v>1249</v>
      </c>
      <c r="G1069" s="365" t="n">
        <v>45988</v>
      </c>
      <c r="H1069" s="365" t="n">
        <v>46353</v>
      </c>
      <c r="I1069" s="364" t="n">
        <f aca="false">H1069-G1069</f>
        <v>365</v>
      </c>
      <c r="J1069" s="366" t="n">
        <f aca="false">TRUNC(I1069/30,0)</f>
        <v>12</v>
      </c>
      <c r="K1069" s="395" t="s">
        <v>95</v>
      </c>
      <c r="L1069" s="368" t="n">
        <v>1.86</v>
      </c>
      <c r="M1069" s="408"/>
      <c r="N1069" s="409"/>
      <c r="O1069" s="405" t="s">
        <v>396</v>
      </c>
      <c r="P1069" s="410" t="n">
        <v>0.0350452</v>
      </c>
      <c r="Q1069" s="371"/>
      <c r="R1069" s="372" t="s">
        <v>914</v>
      </c>
      <c r="S1069" s="373"/>
      <c r="T1069" s="372"/>
      <c r="U1069" s="373"/>
      <c r="V1069" s="412" t="n">
        <v>0.041755</v>
      </c>
      <c r="W1069" s="412" t="n">
        <v>0.000835</v>
      </c>
      <c r="X1069" s="412" t="n">
        <f aca="false">V1069-AD1069-$X$5-W1069</f>
        <v>0.002644</v>
      </c>
      <c r="Y1069" s="412" t="n">
        <v>0.031912</v>
      </c>
      <c r="Z1069" s="412" t="n">
        <v>0.00172</v>
      </c>
      <c r="AA1069" s="412" t="n">
        <v>0.002</v>
      </c>
      <c r="AB1069" s="374" t="n">
        <f aca="false">S1069-Z1069</f>
        <v>-0.00172</v>
      </c>
      <c r="AC1069" s="374" t="n">
        <f aca="false">U1069-Z1069-AA1069</f>
        <v>-0.00372</v>
      </c>
      <c r="AD1069" s="375" t="n">
        <v>0.0365</v>
      </c>
      <c r="AE1069" s="412" t="n">
        <v>0.031912</v>
      </c>
      <c r="AF1069" s="412" t="n">
        <f aca="false">AD1069-AE1069</f>
        <v>0.004588</v>
      </c>
      <c r="AG1069" s="377" t="n">
        <v>0.0365</v>
      </c>
      <c r="AH1069" s="378" t="n">
        <v>45988</v>
      </c>
      <c r="AI1069" s="379" t="n">
        <v>1</v>
      </c>
      <c r="AJ1069" s="380" t="str">
        <f aca="false">IF(AG1069="","N","Y")</f>
        <v>Y</v>
      </c>
      <c r="AK1069" s="396"/>
      <c r="AL1069" s="397"/>
    </row>
    <row r="1070" s="382" customFormat="true" ht="20.25" hidden="false" customHeight="true" outlineLevel="0" collapsed="false">
      <c r="A1070" s="364" t="n">
        <v>543</v>
      </c>
      <c r="B1070" s="363" t="n">
        <v>45988</v>
      </c>
      <c r="C1070" s="364" t="s">
        <v>1041</v>
      </c>
      <c r="D1070" s="402" t="s">
        <v>1248</v>
      </c>
      <c r="E1070" s="402" t="s">
        <v>1043</v>
      </c>
      <c r="F1070" s="402" t="s">
        <v>1044</v>
      </c>
      <c r="G1070" s="365" t="n">
        <v>45988</v>
      </c>
      <c r="H1070" s="365" t="n">
        <v>46353</v>
      </c>
      <c r="I1070" s="364" t="n">
        <f aca="false">H1070-G1070</f>
        <v>365</v>
      </c>
      <c r="J1070" s="366" t="n">
        <f aca="false">TRUNC(I1070/30,0)</f>
        <v>12</v>
      </c>
      <c r="K1070" s="395" t="s">
        <v>95</v>
      </c>
      <c r="L1070" s="368" t="n">
        <v>2.15</v>
      </c>
      <c r="M1070" s="408"/>
      <c r="N1070" s="409"/>
      <c r="O1070" s="405" t="s">
        <v>396</v>
      </c>
      <c r="P1070" s="410" t="n">
        <v>0.0350452</v>
      </c>
      <c r="Q1070" s="371"/>
      <c r="R1070" s="372" t="s">
        <v>914</v>
      </c>
      <c r="S1070" s="373"/>
      <c r="T1070" s="372"/>
      <c r="U1070" s="373"/>
      <c r="V1070" s="412" t="n">
        <v>0.041755</v>
      </c>
      <c r="W1070" s="412" t="n">
        <v>0.000835</v>
      </c>
      <c r="X1070" s="412" t="n">
        <f aca="false">V1070-AD1070-$X$5-W1070</f>
        <v>0.002644</v>
      </c>
      <c r="Y1070" s="412" t="n">
        <v>0.031912</v>
      </c>
      <c r="Z1070" s="412" t="n">
        <v>0.00172</v>
      </c>
      <c r="AA1070" s="412" t="n">
        <v>0.002</v>
      </c>
      <c r="AB1070" s="374" t="n">
        <f aca="false">S1070-Z1070</f>
        <v>-0.00172</v>
      </c>
      <c r="AC1070" s="374" t="n">
        <f aca="false">U1070-Z1070-AA1070</f>
        <v>-0.00372</v>
      </c>
      <c r="AD1070" s="375" t="n">
        <v>0.0365</v>
      </c>
      <c r="AE1070" s="412" t="n">
        <v>0.031912</v>
      </c>
      <c r="AF1070" s="412" t="n">
        <f aca="false">AD1070-AE1070</f>
        <v>0.004588</v>
      </c>
      <c r="AG1070" s="377" t="n">
        <v>0.0365</v>
      </c>
      <c r="AH1070" s="378" t="n">
        <v>45988</v>
      </c>
      <c r="AI1070" s="379" t="n">
        <v>2</v>
      </c>
      <c r="AJ1070" s="380" t="str">
        <f aca="false">IF(AG1070="","N","Y")</f>
        <v>Y</v>
      </c>
      <c r="AK1070" s="396"/>
      <c r="AL1070" s="397"/>
    </row>
    <row r="1071" s="382" customFormat="true" ht="20.25" hidden="false" customHeight="true" outlineLevel="0" collapsed="false">
      <c r="A1071" s="364" t="n">
        <v>544</v>
      </c>
      <c r="B1071" s="363" t="n">
        <v>45988</v>
      </c>
      <c r="C1071" s="364" t="s">
        <v>925</v>
      </c>
      <c r="D1071" s="402" t="s">
        <v>1181</v>
      </c>
      <c r="E1071" s="402" t="s">
        <v>1250</v>
      </c>
      <c r="F1071" s="402" t="s">
        <v>779</v>
      </c>
      <c r="G1071" s="365" t="n">
        <v>45988</v>
      </c>
      <c r="H1071" s="365" t="n">
        <v>46020</v>
      </c>
      <c r="I1071" s="364" t="n">
        <f aca="false">H1071-G1071</f>
        <v>32</v>
      </c>
      <c r="J1071" s="366" t="n">
        <f aca="false">TRUNC(I1071/30,0)</f>
        <v>1</v>
      </c>
      <c r="K1071" s="367" t="s">
        <v>99</v>
      </c>
      <c r="L1071" s="368" t="n">
        <v>1</v>
      </c>
      <c r="M1071" s="408"/>
      <c r="N1071" s="409"/>
      <c r="O1071" s="405" t="s">
        <v>305</v>
      </c>
      <c r="P1071" s="410" t="n">
        <v>0.039816</v>
      </c>
      <c r="Q1071" s="371"/>
      <c r="R1071" s="372" t="s">
        <v>914</v>
      </c>
      <c r="S1071" s="373"/>
      <c r="T1071" s="372"/>
      <c r="U1071" s="373"/>
      <c r="V1071" s="412" t="n">
        <v>0.042441</v>
      </c>
      <c r="W1071" s="412" t="n">
        <v>0.002971</v>
      </c>
      <c r="X1071" s="412" t="n">
        <f aca="false">V1071-AD1071-$X$5-W1071</f>
        <v>0.004194</v>
      </c>
      <c r="Y1071" s="412" t="n">
        <v>0.028728</v>
      </c>
      <c r="Z1071" s="412" t="n">
        <v>0.00172</v>
      </c>
      <c r="AA1071" s="412" t="n">
        <v>0.002</v>
      </c>
      <c r="AB1071" s="374" t="n">
        <f aca="false">S1071-Z1071</f>
        <v>-0.00172</v>
      </c>
      <c r="AC1071" s="374" t="n">
        <f aca="false">U1071-Z1071-AA1071</f>
        <v>-0.00372</v>
      </c>
      <c r="AD1071" s="375" t="n">
        <v>0.0335</v>
      </c>
      <c r="AE1071" s="412" t="n">
        <v>0.028728</v>
      </c>
      <c r="AF1071" s="412" t="n">
        <f aca="false">AD1071-AE1071</f>
        <v>0.004772</v>
      </c>
      <c r="AG1071" s="377" t="n">
        <v>0.0335</v>
      </c>
      <c r="AH1071" s="378" t="n">
        <v>45988</v>
      </c>
      <c r="AI1071" s="379" t="n">
        <v>3</v>
      </c>
      <c r="AJ1071" s="380" t="str">
        <f aca="false">IF(AG1071="","N","Y")</f>
        <v>Y</v>
      </c>
      <c r="AK1071" s="396" t="s">
        <v>1236</v>
      </c>
      <c r="AL1071" s="397"/>
    </row>
    <row r="1072" customFormat="false" ht="16.5" hidden="false" customHeight="true" outlineLevel="0" collapsed="false">
      <c r="A1072" s="364" t="n">
        <v>545</v>
      </c>
      <c r="B1072" s="363" t="n">
        <v>45989</v>
      </c>
      <c r="C1072" s="364" t="s">
        <v>187</v>
      </c>
      <c r="D1072" s="402" t="s">
        <v>1062</v>
      </c>
      <c r="E1072" s="402" t="s">
        <v>1165</v>
      </c>
      <c r="F1072" s="402" t="s">
        <v>877</v>
      </c>
      <c r="G1072" s="365" t="n">
        <v>45989</v>
      </c>
      <c r="H1072" s="365" t="n">
        <v>46003</v>
      </c>
      <c r="I1072" s="364" t="n">
        <f aca="false">H1072-G1072</f>
        <v>14</v>
      </c>
      <c r="J1072" s="366" t="n">
        <f aca="false">TRUNC(I1072/30,0)</f>
        <v>0</v>
      </c>
      <c r="K1072" s="395" t="s">
        <v>95</v>
      </c>
      <c r="L1072" s="368" t="n">
        <v>10</v>
      </c>
      <c r="M1072" s="408"/>
      <c r="N1072" s="409"/>
      <c r="O1072" s="405" t="s">
        <v>305</v>
      </c>
      <c r="P1072" s="410" t="n">
        <v>0.039816</v>
      </c>
      <c r="Q1072" s="371"/>
      <c r="R1072" s="372" t="s">
        <v>914</v>
      </c>
      <c r="S1072" s="373"/>
      <c r="T1072" s="372"/>
      <c r="U1072" s="373"/>
      <c r="V1072" s="412" t="n">
        <v>0.041372</v>
      </c>
      <c r="W1072" s="412" t="n">
        <v>0.002896</v>
      </c>
      <c r="X1072" s="412" t="n">
        <f aca="false">V1072-AD1072-$X$5-W1072</f>
        <v>0.0022</v>
      </c>
      <c r="Y1072" s="412" t="n">
        <v>0.030728</v>
      </c>
      <c r="Z1072" s="412" t="n">
        <v>0.00172</v>
      </c>
      <c r="AA1072" s="412" t="n">
        <v>0.002</v>
      </c>
      <c r="AB1072" s="374" t="n">
        <f aca="false">S1072-Z1072</f>
        <v>-0.00172</v>
      </c>
      <c r="AC1072" s="374" t="n">
        <f aca="false">U1072-Z1072-AA1072</f>
        <v>-0.00372</v>
      </c>
      <c r="AD1072" s="375" t="n">
        <v>0.0345</v>
      </c>
      <c r="AE1072" s="412" t="n">
        <v>0.030728</v>
      </c>
      <c r="AF1072" s="412" t="n">
        <f aca="false">AD1072-AE1072</f>
        <v>0.003772</v>
      </c>
      <c r="AG1072" s="377" t="n">
        <v>0.0345</v>
      </c>
      <c r="AH1072" s="378" t="n">
        <v>45989</v>
      </c>
      <c r="AI1072" s="379" t="n">
        <v>1</v>
      </c>
      <c r="AJ1072" s="380" t="str">
        <f aca="false">IF(AG1072="","N","Y")</f>
        <v>Y</v>
      </c>
      <c r="AK1072" s="396"/>
    </row>
    <row r="1073" customFormat="false" ht="16.5" hidden="false" customHeight="true" outlineLevel="0" collapsed="false">
      <c r="A1073" s="364" t="n">
        <v>546</v>
      </c>
      <c r="B1073" s="363" t="n">
        <v>45989</v>
      </c>
      <c r="C1073" s="364" t="s">
        <v>187</v>
      </c>
      <c r="D1073" s="402" t="s">
        <v>1062</v>
      </c>
      <c r="E1073" s="402" t="s">
        <v>1165</v>
      </c>
      <c r="F1073" s="402" t="s">
        <v>877</v>
      </c>
      <c r="G1073" s="365" t="n">
        <v>45989</v>
      </c>
      <c r="H1073" s="365" t="n">
        <v>46003</v>
      </c>
      <c r="I1073" s="364" t="n">
        <f aca="false">H1073-G1073</f>
        <v>14</v>
      </c>
      <c r="J1073" s="366" t="n">
        <f aca="false">TRUNC(I1073/30,0)</f>
        <v>0</v>
      </c>
      <c r="K1073" s="395" t="s">
        <v>95</v>
      </c>
      <c r="L1073" s="368" t="n">
        <v>10</v>
      </c>
      <c r="M1073" s="408"/>
      <c r="N1073" s="409"/>
      <c r="O1073" s="405" t="s">
        <v>305</v>
      </c>
      <c r="P1073" s="410" t="n">
        <v>0.039816</v>
      </c>
      <c r="Q1073" s="371"/>
      <c r="R1073" s="372" t="s">
        <v>914</v>
      </c>
      <c r="S1073" s="373"/>
      <c r="T1073" s="372"/>
      <c r="U1073" s="373"/>
      <c r="V1073" s="412" t="n">
        <v>0.041372</v>
      </c>
      <c r="W1073" s="412" t="n">
        <v>0.002896</v>
      </c>
      <c r="X1073" s="412" t="n">
        <f aca="false">V1073-AD1073-$X$5-W1073</f>
        <v>0.0022</v>
      </c>
      <c r="Y1073" s="412" t="n">
        <v>0.030728</v>
      </c>
      <c r="Z1073" s="412" t="n">
        <v>0.00172</v>
      </c>
      <c r="AA1073" s="412" t="n">
        <v>0.002</v>
      </c>
      <c r="AB1073" s="374" t="n">
        <f aca="false">S1073-Z1073</f>
        <v>-0.00172</v>
      </c>
      <c r="AC1073" s="374" t="n">
        <f aca="false">U1073-Z1073-AA1073</f>
        <v>-0.00372</v>
      </c>
      <c r="AD1073" s="375" t="n">
        <v>0.0345</v>
      </c>
      <c r="AE1073" s="412" t="n">
        <v>0.030728</v>
      </c>
      <c r="AF1073" s="412" t="n">
        <f aca="false">AD1073-AE1073</f>
        <v>0.003772</v>
      </c>
      <c r="AG1073" s="377" t="n">
        <v>0.0345</v>
      </c>
      <c r="AH1073" s="378" t="n">
        <v>45989</v>
      </c>
      <c r="AI1073" s="379" t="n">
        <v>2</v>
      </c>
      <c r="AJ1073" s="380" t="str">
        <f aca="false">IF(AG1073="","N","Y")</f>
        <v>Y</v>
      </c>
      <c r="AK1073" s="396"/>
    </row>
    <row r="1074" s="382" customFormat="true" ht="20.25" hidden="false" customHeight="true" outlineLevel="0" collapsed="false">
      <c r="A1074" s="364" t="n">
        <v>547</v>
      </c>
      <c r="B1074" s="363" t="n">
        <v>45992</v>
      </c>
      <c r="C1074" s="364" t="s">
        <v>1184</v>
      </c>
      <c r="D1074" s="364" t="s">
        <v>1185</v>
      </c>
      <c r="E1074" s="364" t="s">
        <v>1186</v>
      </c>
      <c r="F1074" s="364" t="s">
        <v>1187</v>
      </c>
      <c r="G1074" s="365" t="n">
        <v>45992</v>
      </c>
      <c r="H1074" s="365" t="n">
        <v>46024</v>
      </c>
      <c r="I1074" s="364" t="n">
        <f aca="false">H1074-G1074</f>
        <v>32</v>
      </c>
      <c r="J1074" s="366" t="n">
        <f aca="false">TRUNC(I1074/30,0)</f>
        <v>1</v>
      </c>
      <c r="K1074" s="367" t="s">
        <v>99</v>
      </c>
      <c r="L1074" s="368" t="n">
        <v>3.03</v>
      </c>
      <c r="M1074" s="369"/>
      <c r="N1074" s="370"/>
      <c r="O1074" s="366" t="s">
        <v>303</v>
      </c>
      <c r="P1074" s="371" t="n">
        <v>0.0386417</v>
      </c>
      <c r="Q1074" s="371"/>
      <c r="R1074" s="372" t="s">
        <v>914</v>
      </c>
      <c r="S1074" s="373"/>
      <c r="T1074" s="372"/>
      <c r="U1074" s="373"/>
      <c r="V1074" s="373" t="n">
        <v>0.042075</v>
      </c>
      <c r="W1074" s="373" t="n">
        <v>0.002945</v>
      </c>
      <c r="X1074" s="373" t="n">
        <v>0.003854</v>
      </c>
      <c r="Y1074" s="373" t="n">
        <v>0.029194</v>
      </c>
      <c r="Z1074" s="373" t="n">
        <v>0.00172</v>
      </c>
      <c r="AA1074" s="373" t="n">
        <v>0.002</v>
      </c>
      <c r="AB1074" s="374" t="n">
        <f aca="false">S1074-Z1074</f>
        <v>-0.00172</v>
      </c>
      <c r="AC1074" s="374" t="n">
        <f aca="false">U1074-Z1074-AA1074</f>
        <v>-0.00372</v>
      </c>
      <c r="AD1074" s="375" t="n">
        <v>0.0335</v>
      </c>
      <c r="AE1074" s="373" t="n">
        <v>0.029007</v>
      </c>
      <c r="AF1074" s="376" t="n">
        <f aca="false">AD1074-AE1074</f>
        <v>0.004493</v>
      </c>
      <c r="AG1074" s="375" t="n">
        <v>0.0335</v>
      </c>
      <c r="AH1074" s="378" t="n">
        <v>45992</v>
      </c>
      <c r="AI1074" s="379" t="n">
        <v>2</v>
      </c>
      <c r="AJ1074" s="380" t="str">
        <f aca="false">IF(AG1074="","N","Y")</f>
        <v>Y</v>
      </c>
      <c r="AK1074" s="396" t="s">
        <v>1236</v>
      </c>
      <c r="AL1074" s="397"/>
    </row>
    <row r="1075" s="382" customFormat="true" ht="20.25" hidden="false" customHeight="true" outlineLevel="0" collapsed="false">
      <c r="A1075" s="364" t="n">
        <v>548</v>
      </c>
      <c r="B1075" s="363" t="n">
        <v>45992</v>
      </c>
      <c r="C1075" s="364" t="s">
        <v>103</v>
      </c>
      <c r="D1075" s="364" t="s">
        <v>1146</v>
      </c>
      <c r="E1075" s="364" t="s">
        <v>104</v>
      </c>
      <c r="F1075" s="364" t="s">
        <v>1158</v>
      </c>
      <c r="G1075" s="365" t="n">
        <v>45992</v>
      </c>
      <c r="H1075" s="365" t="n">
        <v>46024</v>
      </c>
      <c r="I1075" s="364" t="n">
        <f aca="false">H1075-G1075</f>
        <v>32</v>
      </c>
      <c r="J1075" s="366" t="n">
        <f aca="false">TRUNC(I1075/30,0)</f>
        <v>1</v>
      </c>
      <c r="K1075" s="395" t="s">
        <v>95</v>
      </c>
      <c r="L1075" s="368" t="n">
        <v>2</v>
      </c>
      <c r="M1075" s="369"/>
      <c r="N1075" s="370"/>
      <c r="O1075" s="366" t="s">
        <v>303</v>
      </c>
      <c r="P1075" s="371" t="n">
        <v>0.0386417</v>
      </c>
      <c r="Q1075" s="371"/>
      <c r="R1075" s="372" t="s">
        <v>914</v>
      </c>
      <c r="S1075" s="373"/>
      <c r="T1075" s="372"/>
      <c r="U1075" s="373"/>
      <c r="V1075" s="373" t="n">
        <v>0.041739</v>
      </c>
      <c r="W1075" s="373" t="n">
        <v>0.000835</v>
      </c>
      <c r="X1075" s="373" t="n">
        <v>0.002628</v>
      </c>
      <c r="Y1075" s="373" t="n">
        <v>0.03419</v>
      </c>
      <c r="Z1075" s="373" t="n">
        <v>0.00172</v>
      </c>
      <c r="AA1075" s="373" t="n">
        <v>0.002</v>
      </c>
      <c r="AB1075" s="374" t="n">
        <f aca="false">S1075-Z1075</f>
        <v>-0.00172</v>
      </c>
      <c r="AC1075" s="374" t="n">
        <f aca="false">U1075-Z1075-AA1075</f>
        <v>-0.00372</v>
      </c>
      <c r="AD1075" s="375" t="n">
        <v>0.0365</v>
      </c>
      <c r="AE1075" s="373" t="n">
        <v>0.033168</v>
      </c>
      <c r="AF1075" s="376" t="n">
        <f aca="false">AD1075-AE1075</f>
        <v>0.00333199999999999</v>
      </c>
      <c r="AG1075" s="375" t="n">
        <v>0.0365</v>
      </c>
      <c r="AH1075" s="378" t="n">
        <v>45992</v>
      </c>
      <c r="AI1075" s="379" t="n">
        <v>2</v>
      </c>
      <c r="AJ1075" s="380" t="str">
        <f aca="false">IF(AG1075="","N","Y")</f>
        <v>Y</v>
      </c>
      <c r="AK1075" s="396" t="s">
        <v>1251</v>
      </c>
      <c r="AL1075" s="397"/>
    </row>
    <row r="1076" s="268" customFormat="true" ht="20.25" hidden="false" customHeight="true" outlineLevel="0" collapsed="false">
      <c r="A1076" s="249" t="n">
        <v>549</v>
      </c>
      <c r="B1076" s="248" t="n">
        <v>45992</v>
      </c>
      <c r="C1076" s="249" t="s">
        <v>103</v>
      </c>
      <c r="D1076" s="249" t="s">
        <v>1146</v>
      </c>
      <c r="E1076" s="249" t="s">
        <v>1147</v>
      </c>
      <c r="F1076" s="249" t="s">
        <v>1200</v>
      </c>
      <c r="G1076" s="250" t="n">
        <v>45992</v>
      </c>
      <c r="H1076" s="250" t="n">
        <v>46024</v>
      </c>
      <c r="I1076" s="249" t="n">
        <f aca="false">H1076-G1076</f>
        <v>32</v>
      </c>
      <c r="J1076" s="251" t="n">
        <f aca="false">TRUNC(I1076/30,0)</f>
        <v>1</v>
      </c>
      <c r="K1076" s="252" t="s">
        <v>95</v>
      </c>
      <c r="L1076" s="253" t="n">
        <v>10</v>
      </c>
      <c r="M1076" s="254"/>
      <c r="N1076" s="255"/>
      <c r="O1076" s="251" t="s">
        <v>303</v>
      </c>
      <c r="P1076" s="256" t="n">
        <v>0.0386417</v>
      </c>
      <c r="Q1076" s="256"/>
      <c r="R1076" s="257" t="s">
        <v>914</v>
      </c>
      <c r="S1076" s="258"/>
      <c r="T1076" s="257"/>
      <c r="U1076" s="258"/>
      <c r="V1076" s="258" t="n">
        <v>0.041739</v>
      </c>
      <c r="W1076" s="258" t="n">
        <v>0.000835</v>
      </c>
      <c r="X1076" s="258" t="n">
        <v>0.001628</v>
      </c>
      <c r="Y1076" s="258" t="n">
        <v>0.03419</v>
      </c>
      <c r="Z1076" s="258" t="n">
        <v>0.00172</v>
      </c>
      <c r="AA1076" s="258" t="n">
        <v>0.002</v>
      </c>
      <c r="AB1076" s="259" t="n">
        <f aca="false">S1076-Z1076</f>
        <v>-0.00172</v>
      </c>
      <c r="AC1076" s="259" t="n">
        <f aca="false">U1076-Z1076-AA1076</f>
        <v>-0.00372</v>
      </c>
      <c r="AD1076" s="260" t="n">
        <v>0.0375</v>
      </c>
      <c r="AE1076" s="258" t="n">
        <v>0.033168</v>
      </c>
      <c r="AF1076" s="261" t="n">
        <f aca="false">AD1076-AE1076</f>
        <v>0.004332</v>
      </c>
      <c r="AG1076" s="260" t="n">
        <v>0.0375</v>
      </c>
      <c r="AH1076" s="263" t="n">
        <v>45992</v>
      </c>
      <c r="AI1076" s="264" t="n">
        <v>3</v>
      </c>
      <c r="AJ1076" s="265" t="str">
        <f aca="false">IF(AG1076="","N","Y")</f>
        <v>Y</v>
      </c>
      <c r="AK1076" s="400" t="s">
        <v>1251</v>
      </c>
      <c r="AL1076" s="267"/>
    </row>
    <row r="1077" s="382" customFormat="true" ht="20.25" hidden="false" customHeight="true" outlineLevel="0" collapsed="false">
      <c r="A1077" s="364" t="n">
        <v>550</v>
      </c>
      <c r="B1077" s="363" t="n">
        <v>45992</v>
      </c>
      <c r="C1077" s="364" t="s">
        <v>925</v>
      </c>
      <c r="D1077" s="364" t="s">
        <v>1181</v>
      </c>
      <c r="E1077" s="364" t="s">
        <v>987</v>
      </c>
      <c r="F1077" s="364" t="s">
        <v>1234</v>
      </c>
      <c r="G1077" s="365" t="n">
        <v>45992</v>
      </c>
      <c r="H1077" s="365" t="n">
        <v>46024</v>
      </c>
      <c r="I1077" s="364" t="n">
        <f aca="false">H1077-G1077</f>
        <v>32</v>
      </c>
      <c r="J1077" s="366" t="n">
        <f aca="false">TRUNC(I1077/30,0)</f>
        <v>1</v>
      </c>
      <c r="K1077" s="395" t="s">
        <v>95</v>
      </c>
      <c r="L1077" s="368" t="n">
        <v>2</v>
      </c>
      <c r="M1077" s="369"/>
      <c r="N1077" s="370"/>
      <c r="O1077" s="366" t="s">
        <v>303</v>
      </c>
      <c r="P1077" s="371" t="n">
        <v>0.0386417</v>
      </c>
      <c r="Q1077" s="371"/>
      <c r="R1077" s="372" t="s">
        <v>914</v>
      </c>
      <c r="S1077" s="373"/>
      <c r="T1077" s="372"/>
      <c r="U1077" s="373"/>
      <c r="V1077" s="373" t="n">
        <v>0.041739</v>
      </c>
      <c r="W1077" s="373" t="n">
        <v>0.000835</v>
      </c>
      <c r="X1077" s="373" t="n">
        <v>0.002128</v>
      </c>
      <c r="Y1077" s="373" t="n">
        <v>0.03419</v>
      </c>
      <c r="Z1077" s="373" t="n">
        <v>0.00172</v>
      </c>
      <c r="AA1077" s="373" t="n">
        <v>0.002</v>
      </c>
      <c r="AB1077" s="374" t="n">
        <f aca="false">S1077-Z1077</f>
        <v>-0.00172</v>
      </c>
      <c r="AC1077" s="374" t="n">
        <f aca="false">U1077-Z1077-AA1077</f>
        <v>-0.00372</v>
      </c>
      <c r="AD1077" s="375" t="n">
        <v>0.037</v>
      </c>
      <c r="AE1077" s="373" t="n">
        <v>0.033168</v>
      </c>
      <c r="AF1077" s="376" t="n">
        <f aca="false">AD1077-AE1077</f>
        <v>0.003832</v>
      </c>
      <c r="AG1077" s="375" t="n">
        <v>0.037</v>
      </c>
      <c r="AH1077" s="378" t="n">
        <v>45992</v>
      </c>
      <c r="AI1077" s="379" t="n">
        <v>4</v>
      </c>
      <c r="AJ1077" s="380" t="str">
        <f aca="false">IF(AG1077="","N","Y")</f>
        <v>Y</v>
      </c>
      <c r="AK1077" s="396" t="s">
        <v>1251</v>
      </c>
      <c r="AL1077" s="397"/>
    </row>
    <row r="1078" s="382" customFormat="true" ht="20.25" hidden="false" customHeight="true" outlineLevel="0" collapsed="false">
      <c r="A1078" s="364" t="n">
        <v>551</v>
      </c>
      <c r="B1078" s="363" t="n">
        <v>45994</v>
      </c>
      <c r="C1078" s="364" t="s">
        <v>1149</v>
      </c>
      <c r="D1078" s="364" t="s">
        <v>1150</v>
      </c>
      <c r="E1078" s="364" t="s">
        <v>1183</v>
      </c>
      <c r="F1078" s="364" t="s">
        <v>1152</v>
      </c>
      <c r="G1078" s="365" t="n">
        <v>45994</v>
      </c>
      <c r="H1078" s="365" t="n">
        <v>46027</v>
      </c>
      <c r="I1078" s="364" t="n">
        <f aca="false">H1078-G1078</f>
        <v>33</v>
      </c>
      <c r="J1078" s="366" t="n">
        <f aca="false">TRUNC(I1078/30,0)</f>
        <v>1</v>
      </c>
      <c r="K1078" s="367" t="s">
        <v>99</v>
      </c>
      <c r="L1078" s="368" t="n">
        <v>1.5</v>
      </c>
      <c r="M1078" s="369"/>
      <c r="N1078" s="370"/>
      <c r="O1078" s="366" t="s">
        <v>303</v>
      </c>
      <c r="P1078" s="371" t="n">
        <v>0.0383471</v>
      </c>
      <c r="Q1078" s="371"/>
      <c r="R1078" s="372" t="s">
        <v>914</v>
      </c>
      <c r="S1078" s="373"/>
      <c r="T1078" s="372"/>
      <c r="U1078" s="373"/>
      <c r="V1078" s="373" t="n">
        <v>0.041829</v>
      </c>
      <c r="W1078" s="373" t="n">
        <v>0.002928</v>
      </c>
      <c r="X1078" s="373" t="n">
        <v>0.004125</v>
      </c>
      <c r="Y1078" s="373" t="n">
        <v>0.029467</v>
      </c>
      <c r="Z1078" s="373" t="n">
        <v>0.00172</v>
      </c>
      <c r="AA1078" s="373" t="n">
        <v>0.002</v>
      </c>
      <c r="AB1078" s="374" t="n">
        <f aca="false">S1078-Z1078</f>
        <v>-0.00172</v>
      </c>
      <c r="AC1078" s="374" t="n">
        <f aca="false">U1078-Z1078-AA1078</f>
        <v>-0.00372</v>
      </c>
      <c r="AD1078" s="375" t="n">
        <v>0.033</v>
      </c>
      <c r="AE1078" s="373" t="n">
        <v>0.029194</v>
      </c>
      <c r="AF1078" s="376" t="n">
        <f aca="false">AD1078-AE1078</f>
        <v>0.003806</v>
      </c>
      <c r="AG1078" s="377" t="n">
        <v>0.033</v>
      </c>
      <c r="AH1078" s="378" t="n">
        <v>45994</v>
      </c>
      <c r="AI1078" s="379" t="n">
        <v>1</v>
      </c>
      <c r="AJ1078" s="380" t="str">
        <f aca="false">IF(AG1078="","N","Y")</f>
        <v>Y</v>
      </c>
      <c r="AK1078" s="396" t="s">
        <v>1236</v>
      </c>
      <c r="AL1078" s="397"/>
    </row>
    <row r="1079" s="382" customFormat="true" ht="20.25" hidden="false" customHeight="true" outlineLevel="0" collapsed="false">
      <c r="A1079" s="364" t="n">
        <v>552</v>
      </c>
      <c r="B1079" s="363" t="n">
        <v>45995</v>
      </c>
      <c r="C1079" s="364" t="s">
        <v>770</v>
      </c>
      <c r="D1079" s="364" t="s">
        <v>1111</v>
      </c>
      <c r="E1079" s="364" t="s">
        <v>1004</v>
      </c>
      <c r="F1079" s="364" t="s">
        <v>773</v>
      </c>
      <c r="G1079" s="365" t="n">
        <v>45995</v>
      </c>
      <c r="H1079" s="365" t="n">
        <v>46085</v>
      </c>
      <c r="I1079" s="364" t="n">
        <f aca="false">H1079-G1079</f>
        <v>90</v>
      </c>
      <c r="J1079" s="366" t="n">
        <f aca="false">TRUNC(I1079/30,0)</f>
        <v>3</v>
      </c>
      <c r="K1079" s="395" t="s">
        <v>95</v>
      </c>
      <c r="L1079" s="368" t="n">
        <v>2</v>
      </c>
      <c r="M1079" s="369"/>
      <c r="N1079" s="370" t="s">
        <v>1252</v>
      </c>
      <c r="O1079" s="366" t="s">
        <v>300</v>
      </c>
      <c r="P1079" s="371" t="n">
        <v>0.0376004</v>
      </c>
      <c r="Q1079" s="371"/>
      <c r="R1079" s="372" t="s">
        <v>914</v>
      </c>
      <c r="S1079" s="373"/>
      <c r="T1079" s="372"/>
      <c r="U1079" s="373"/>
      <c r="V1079" s="373" t="n">
        <v>0.042203</v>
      </c>
      <c r="W1079" s="373" t="n">
        <v>0.000844</v>
      </c>
      <c r="X1079" s="373" t="n">
        <v>0.002083</v>
      </c>
      <c r="Y1079" s="373" t="n">
        <v>0.032848</v>
      </c>
      <c r="Z1079" s="373" t="n">
        <v>0.00172</v>
      </c>
      <c r="AA1079" s="373" t="n">
        <v>0.002</v>
      </c>
      <c r="AB1079" s="374" t="n">
        <f aca="false">S1079-Z1079</f>
        <v>-0.00172</v>
      </c>
      <c r="AC1079" s="374" t="n">
        <f aca="false">U1079-Z1079-AA1079</f>
        <v>-0.00372</v>
      </c>
      <c r="AD1079" s="375" t="n">
        <v>0.0375</v>
      </c>
      <c r="AE1079" s="373" t="n">
        <v>0.032848</v>
      </c>
      <c r="AF1079" s="376" t="n">
        <v>0.004693</v>
      </c>
      <c r="AG1079" s="377" t="n">
        <v>0.0375</v>
      </c>
      <c r="AH1079" s="378" t="n">
        <v>45995</v>
      </c>
      <c r="AI1079" s="379" t="n">
        <v>1</v>
      </c>
      <c r="AJ1079" s="380" t="str">
        <f aca="false">IF(AG1079="","N","Y")</f>
        <v>Y</v>
      </c>
      <c r="AK1079" s="396" t="s">
        <v>1253</v>
      </c>
      <c r="AL1079" s="397"/>
    </row>
    <row r="1080" s="382" customFormat="true" ht="21.75" hidden="false" customHeight="true" outlineLevel="0" collapsed="false">
      <c r="A1080" s="364" t="n">
        <v>553</v>
      </c>
      <c r="B1080" s="363" t="n">
        <v>45995</v>
      </c>
      <c r="C1080" s="364" t="s">
        <v>1129</v>
      </c>
      <c r="D1080" s="364" t="s">
        <v>1130</v>
      </c>
      <c r="E1080" s="364" t="s">
        <v>1214</v>
      </c>
      <c r="F1080" s="364" t="s">
        <v>1132</v>
      </c>
      <c r="G1080" s="365" t="n">
        <v>45995</v>
      </c>
      <c r="H1080" s="365" t="n">
        <v>46027</v>
      </c>
      <c r="I1080" s="364" t="n">
        <f aca="false">H1080-G1080</f>
        <v>32</v>
      </c>
      <c r="J1080" s="366" t="n">
        <f aca="false">TRUNC(I1080/30,0)</f>
        <v>1</v>
      </c>
      <c r="K1080" s="395" t="s">
        <v>95</v>
      </c>
      <c r="L1080" s="368" t="n">
        <v>5</v>
      </c>
      <c r="M1080" s="369"/>
      <c r="N1080" s="370" t="s">
        <v>659</v>
      </c>
      <c r="O1080" s="366" t="s">
        <v>303</v>
      </c>
      <c r="P1080" s="371" t="n">
        <v>0.0397023</v>
      </c>
      <c r="Q1080" s="371"/>
      <c r="R1080" s="372" t="s">
        <v>914</v>
      </c>
      <c r="S1080" s="373"/>
      <c r="T1080" s="372"/>
      <c r="U1080" s="373"/>
      <c r="V1080" s="373" t="n">
        <v>0.041362</v>
      </c>
      <c r="W1080" s="373" t="n">
        <v>0.000827</v>
      </c>
      <c r="X1080" s="373" t="n">
        <v>0.002159</v>
      </c>
      <c r="Y1080" s="373" t="n">
        <v>0.032714</v>
      </c>
      <c r="Z1080" s="373" t="n">
        <v>0.00172</v>
      </c>
      <c r="AA1080" s="373" t="n">
        <v>0.002</v>
      </c>
      <c r="AB1080" s="374" t="n">
        <f aca="false">S1080-Z1080</f>
        <v>-0.00172</v>
      </c>
      <c r="AC1080" s="374" t="n">
        <f aca="false">U1080-Z1080-AA1080</f>
        <v>-0.00372</v>
      </c>
      <c r="AD1080" s="375" t="n">
        <v>0.0366</v>
      </c>
      <c r="AE1080" s="376" t="n">
        <v>0.032714</v>
      </c>
      <c r="AF1080" s="376" t="n">
        <f aca="false">AD1080-AE1080</f>
        <v>0.003886</v>
      </c>
      <c r="AG1080" s="377" t="n">
        <f aca="false">IF(AF1080="","",AE1080+AF1080)</f>
        <v>0.0366</v>
      </c>
      <c r="AH1080" s="378" t="n">
        <v>45995</v>
      </c>
      <c r="AI1080" s="379" t="n">
        <v>2</v>
      </c>
      <c r="AJ1080" s="380" t="str">
        <f aca="false">IF(AG1080="","N","Y")</f>
        <v>Y</v>
      </c>
      <c r="AK1080" s="416" t="s">
        <v>1254</v>
      </c>
      <c r="AL1080" s="397"/>
    </row>
    <row r="1081" s="382" customFormat="true" ht="20.25" hidden="false" customHeight="true" outlineLevel="0" collapsed="false">
      <c r="A1081" s="364" t="n">
        <v>554</v>
      </c>
      <c r="B1081" s="363" t="n">
        <v>45996</v>
      </c>
      <c r="C1081" s="364" t="s">
        <v>187</v>
      </c>
      <c r="D1081" s="402" t="s">
        <v>1062</v>
      </c>
      <c r="E1081" s="402" t="s">
        <v>1165</v>
      </c>
      <c r="F1081" s="402" t="s">
        <v>877</v>
      </c>
      <c r="G1081" s="365" t="n">
        <v>45996</v>
      </c>
      <c r="H1081" s="365" t="n">
        <v>46017</v>
      </c>
      <c r="I1081" s="364" t="n">
        <f aca="false">H1081-G1081</f>
        <v>21</v>
      </c>
      <c r="J1081" s="366" t="n">
        <f aca="false">TRUNC(I1081/30,0)</f>
        <v>0</v>
      </c>
      <c r="K1081" s="395" t="s">
        <v>95</v>
      </c>
      <c r="L1081" s="368" t="n">
        <v>12.6</v>
      </c>
      <c r="M1081" s="408"/>
      <c r="N1081" s="409"/>
      <c r="O1081" s="405" t="s">
        <v>305</v>
      </c>
      <c r="P1081" s="410" t="n">
        <v>0.0391559</v>
      </c>
      <c r="Q1081" s="371"/>
      <c r="R1081" s="372" t="s">
        <v>914</v>
      </c>
      <c r="S1081" s="373"/>
      <c r="T1081" s="372"/>
      <c r="U1081" s="373"/>
      <c r="V1081" s="412" t="n">
        <v>0.041148</v>
      </c>
      <c r="W1081" s="412" t="n">
        <v>0.000288</v>
      </c>
      <c r="X1081" s="412" t="n">
        <v>0.002292</v>
      </c>
      <c r="Y1081" s="412" t="n">
        <v>0.030114</v>
      </c>
      <c r="Z1081" s="412" t="n">
        <v>0.00172</v>
      </c>
      <c r="AA1081" s="412" t="n">
        <v>0.002</v>
      </c>
      <c r="AB1081" s="374" t="n">
        <f aca="false">S1081-Z1081</f>
        <v>-0.00172</v>
      </c>
      <c r="AC1081" s="374" t="n">
        <f aca="false">U1081-Z1081-AA1081</f>
        <v>-0.00372</v>
      </c>
      <c r="AD1081" s="375" t="n">
        <v>0.0342</v>
      </c>
      <c r="AE1081" s="412" t="n">
        <v>0.030114</v>
      </c>
      <c r="AF1081" s="412" t="n">
        <f aca="false">AD1081-AE1081</f>
        <v>0.004086</v>
      </c>
      <c r="AG1081" s="377" t="n">
        <v>0.0342</v>
      </c>
      <c r="AH1081" s="378" t="n">
        <v>45996</v>
      </c>
      <c r="AI1081" s="379" t="n">
        <v>1</v>
      </c>
      <c r="AJ1081" s="380" t="str">
        <f aca="false">IF(AG1081="","N","Y")</f>
        <v>Y</v>
      </c>
      <c r="AK1081" s="396" t="s">
        <v>1236</v>
      </c>
      <c r="AL1081" s="397"/>
    </row>
    <row r="1082" s="499" customFormat="true" ht="20.25" hidden="false" customHeight="true" outlineLevel="0" collapsed="false">
      <c r="A1082" s="476" t="n">
        <v>555</v>
      </c>
      <c r="B1082" s="477" t="n">
        <v>46000</v>
      </c>
      <c r="C1082" s="478" t="s">
        <v>96</v>
      </c>
      <c r="D1082" s="479" t="s">
        <v>1063</v>
      </c>
      <c r="E1082" s="479" t="s">
        <v>1255</v>
      </c>
      <c r="F1082" s="479" t="s">
        <v>1203</v>
      </c>
      <c r="G1082" s="480" t="n">
        <v>46000</v>
      </c>
      <c r="H1082" s="480" t="n">
        <v>46090</v>
      </c>
      <c r="I1082" s="476" t="n">
        <f aca="false">H1082-G1082</f>
        <v>90</v>
      </c>
      <c r="J1082" s="481" t="n">
        <f aca="false">TRUNC(I1082/30,0)</f>
        <v>3</v>
      </c>
      <c r="K1082" s="482" t="s">
        <v>95</v>
      </c>
      <c r="L1082" s="483" t="n">
        <v>15</v>
      </c>
      <c r="M1082" s="484"/>
      <c r="N1082" s="485" t="s">
        <v>1256</v>
      </c>
      <c r="O1082" s="486" t="s">
        <v>300</v>
      </c>
      <c r="P1082" s="487" t="n">
        <v>0.0373784</v>
      </c>
      <c r="Q1082" s="488"/>
      <c r="R1082" s="489" t="s">
        <v>914</v>
      </c>
      <c r="S1082" s="490"/>
      <c r="T1082" s="489"/>
      <c r="U1082" s="490"/>
      <c r="V1082" s="491" t="n">
        <v>0.041866</v>
      </c>
      <c r="W1082" s="491" t="n">
        <v>0.000837</v>
      </c>
      <c r="X1082" s="491" t="n">
        <v>0.002253</v>
      </c>
      <c r="Y1082" s="491" t="n">
        <v>0.03263</v>
      </c>
      <c r="Z1082" s="491" t="n">
        <v>0.00172</v>
      </c>
      <c r="AA1082" s="491" t="n">
        <v>0.002</v>
      </c>
      <c r="AB1082" s="492" t="n">
        <f aca="false">S1082-Z1082</f>
        <v>-0.00172</v>
      </c>
      <c r="AC1082" s="492" t="n">
        <f aca="false">U1082-Z1082-AA1082</f>
        <v>-0.00372</v>
      </c>
      <c r="AD1082" s="493" t="n">
        <v>0.037</v>
      </c>
      <c r="AE1082" s="491" t="n">
        <v>0.03263</v>
      </c>
      <c r="AF1082" s="491" t="n">
        <f aca="false">AD1082-AE1082</f>
        <v>0.00437</v>
      </c>
      <c r="AG1082" s="494" t="n">
        <v>0.037</v>
      </c>
      <c r="AH1082" s="495" t="n">
        <v>46000</v>
      </c>
      <c r="AI1082" s="496" t="n">
        <v>1</v>
      </c>
      <c r="AJ1082" s="476" t="str">
        <f aca="false">IF(AG1082="","N","Y")</f>
        <v>Y</v>
      </c>
      <c r="AK1082" s="497" t="s">
        <v>1237</v>
      </c>
      <c r="AL1082" s="498"/>
    </row>
    <row r="1083" s="38" customFormat="true" ht="20.25" hidden="false" customHeight="true" outlineLevel="0" collapsed="false">
      <c r="A1083" s="19" t="n">
        <v>556</v>
      </c>
      <c r="B1083" s="141" t="n">
        <v>46001</v>
      </c>
      <c r="C1083" s="63" t="s">
        <v>1066</v>
      </c>
      <c r="D1083" s="394" t="s">
        <v>932</v>
      </c>
      <c r="E1083" s="394" t="s">
        <v>970</v>
      </c>
      <c r="F1083" s="394" t="s">
        <v>864</v>
      </c>
      <c r="G1083" s="142" t="n">
        <v>46001</v>
      </c>
      <c r="H1083" s="142" t="n">
        <v>46034</v>
      </c>
      <c r="I1083" s="19" t="n">
        <f aca="false">H1083-G1083</f>
        <v>33</v>
      </c>
      <c r="J1083" s="149" t="n">
        <f aca="false">TRUNC(I1083/30,0)</f>
        <v>1</v>
      </c>
      <c r="K1083" s="189" t="s">
        <v>99</v>
      </c>
      <c r="L1083" s="146" t="n">
        <v>10.71</v>
      </c>
      <c r="M1083" s="500"/>
      <c r="N1083" s="501"/>
      <c r="O1083" s="502" t="s">
        <v>303</v>
      </c>
      <c r="P1083" s="503" t="n">
        <v>0.0376067</v>
      </c>
      <c r="Q1083" s="150"/>
      <c r="R1083" s="151" t="s">
        <v>914</v>
      </c>
      <c r="S1083" s="152"/>
      <c r="T1083" s="151"/>
      <c r="U1083" s="152"/>
      <c r="V1083" s="357" t="n">
        <v>0.0413</v>
      </c>
      <c r="W1083" s="357" t="n">
        <v>0.002891</v>
      </c>
      <c r="X1083" s="357" t="n">
        <f aca="false">V1083-AD1083-$X$5-W1083</f>
        <v>0.003133</v>
      </c>
      <c r="Y1083" s="357" t="n">
        <v>0.02807</v>
      </c>
      <c r="Z1083" s="357" t="n">
        <v>0.00172</v>
      </c>
      <c r="AA1083" s="357" t="n">
        <v>0.002</v>
      </c>
      <c r="AB1083" s="154" t="n">
        <f aca="false">S1083-Z1083</f>
        <v>-0.00172</v>
      </c>
      <c r="AC1083" s="154" t="n">
        <f aca="false">U1083-Z1083-AA1083</f>
        <v>-0.00372</v>
      </c>
      <c r="AD1083" s="155" t="n">
        <v>0.0335</v>
      </c>
      <c r="AE1083" s="357" t="n">
        <f aca="false">Y1083</f>
        <v>0.02807</v>
      </c>
      <c r="AF1083" s="357" t="n">
        <f aca="false">AD1083-AE1083</f>
        <v>0.00543</v>
      </c>
      <c r="AG1083" s="184" t="n">
        <f aca="false">IF(AF1083="","",AE1083+AF1083)</f>
        <v>0.0335</v>
      </c>
      <c r="AH1083" s="185" t="n">
        <v>46001</v>
      </c>
      <c r="AI1083" s="35" t="n">
        <v>1</v>
      </c>
      <c r="AJ1083" s="19" t="str">
        <f aca="false">IF(AG1083="","N","Y")</f>
        <v>Y</v>
      </c>
      <c r="AK1083" s="159" t="s">
        <v>1236</v>
      </c>
      <c r="AL1083" s="36"/>
    </row>
    <row r="1084" s="38" customFormat="true" ht="20.25" hidden="false" customHeight="true" outlineLevel="0" collapsed="false">
      <c r="A1084" s="19" t="n">
        <v>557</v>
      </c>
      <c r="B1084" s="141" t="n">
        <v>46001</v>
      </c>
      <c r="C1084" s="63" t="s">
        <v>1066</v>
      </c>
      <c r="D1084" s="394" t="s">
        <v>932</v>
      </c>
      <c r="E1084" s="394" t="s">
        <v>1067</v>
      </c>
      <c r="F1084" s="394" t="s">
        <v>1192</v>
      </c>
      <c r="G1084" s="142" t="n">
        <v>46001</v>
      </c>
      <c r="H1084" s="142" t="n">
        <v>46034</v>
      </c>
      <c r="I1084" s="19" t="n">
        <f aca="false">H1084-G1084</f>
        <v>33</v>
      </c>
      <c r="J1084" s="149" t="n">
        <f aca="false">TRUNC(I1084/30,0)</f>
        <v>1</v>
      </c>
      <c r="K1084" s="189" t="s">
        <v>99</v>
      </c>
      <c r="L1084" s="146" t="n">
        <v>2</v>
      </c>
      <c r="M1084" s="500"/>
      <c r="N1084" s="501"/>
      <c r="O1084" s="502" t="s">
        <v>303</v>
      </c>
      <c r="P1084" s="503" t="n">
        <v>0.0376067</v>
      </c>
      <c r="Q1084" s="150"/>
      <c r="R1084" s="151" t="s">
        <v>914</v>
      </c>
      <c r="S1084" s="152"/>
      <c r="T1084" s="151"/>
      <c r="U1084" s="152"/>
      <c r="V1084" s="357" t="n">
        <v>0.0413</v>
      </c>
      <c r="W1084" s="357" t="n">
        <v>0.002891</v>
      </c>
      <c r="X1084" s="357" t="n">
        <f aca="false">V1084-AD1084-$X$5-W1084</f>
        <v>0.003133</v>
      </c>
      <c r="Y1084" s="357" t="n">
        <v>0.02807</v>
      </c>
      <c r="Z1084" s="357" t="n">
        <v>0.00172</v>
      </c>
      <c r="AA1084" s="357" t="n">
        <v>0.002</v>
      </c>
      <c r="AB1084" s="154" t="n">
        <f aca="false">S1084-Z1084</f>
        <v>-0.00172</v>
      </c>
      <c r="AC1084" s="154" t="n">
        <f aca="false">U1084-Z1084-AA1084</f>
        <v>-0.00372</v>
      </c>
      <c r="AD1084" s="155" t="n">
        <v>0.0335</v>
      </c>
      <c r="AE1084" s="357" t="n">
        <f aca="false">Y1084</f>
        <v>0.02807</v>
      </c>
      <c r="AF1084" s="357" t="n">
        <f aca="false">AD1084-AE1084</f>
        <v>0.00543</v>
      </c>
      <c r="AG1084" s="184" t="n">
        <f aca="false">IF(AF1084="","",AE1084+AF1084)</f>
        <v>0.0335</v>
      </c>
      <c r="AH1084" s="185" t="n">
        <v>46001</v>
      </c>
      <c r="AI1084" s="35" t="n">
        <v>2</v>
      </c>
      <c r="AJ1084" s="19" t="str">
        <f aca="false">IF(AG1084="","N","Y")</f>
        <v>Y</v>
      </c>
      <c r="AK1084" s="159" t="s">
        <v>1236</v>
      </c>
      <c r="AL1084" s="36"/>
    </row>
    <row r="1085" s="382" customFormat="true" ht="16.5" hidden="false" customHeight="true" outlineLevel="0" collapsed="false">
      <c r="A1085" s="364" t="n">
        <v>558</v>
      </c>
      <c r="B1085" s="363" t="n">
        <v>46003</v>
      </c>
      <c r="C1085" s="364" t="s">
        <v>187</v>
      </c>
      <c r="D1085" s="402" t="s">
        <v>1062</v>
      </c>
      <c r="E1085" s="402" t="s">
        <v>1165</v>
      </c>
      <c r="F1085" s="402" t="s">
        <v>877</v>
      </c>
      <c r="G1085" s="365" t="n">
        <v>46003</v>
      </c>
      <c r="H1085" s="365" t="n">
        <v>46017</v>
      </c>
      <c r="I1085" s="364" t="n">
        <f aca="false">H1085-G1085</f>
        <v>14</v>
      </c>
      <c r="J1085" s="366" t="n">
        <f aca="false">TRUNC(I1085/30,0)</f>
        <v>0</v>
      </c>
      <c r="K1085" s="395" t="s">
        <v>95</v>
      </c>
      <c r="L1085" s="368" t="n">
        <v>10</v>
      </c>
      <c r="M1085" s="408"/>
      <c r="N1085" s="409"/>
      <c r="O1085" s="405" t="s">
        <v>305</v>
      </c>
      <c r="P1085" s="410" t="n">
        <v>0.0386899</v>
      </c>
      <c r="Q1085" s="371"/>
      <c r="R1085" s="372" t="s">
        <v>914</v>
      </c>
      <c r="S1085" s="373"/>
      <c r="T1085" s="372"/>
      <c r="U1085" s="373"/>
      <c r="V1085" s="412" t="n">
        <v>0.040417</v>
      </c>
      <c r="W1085" s="412" t="n">
        <v>0.002829</v>
      </c>
      <c r="X1085" s="412" t="n">
        <f aca="false">V1085-AD1085-$X$5-W1085</f>
        <v>0.00201200000000001</v>
      </c>
      <c r="Y1085" s="412" t="n">
        <v>0.029681</v>
      </c>
      <c r="Z1085" s="412" t="n">
        <v>0.00172</v>
      </c>
      <c r="AA1085" s="412" t="n">
        <v>0.002</v>
      </c>
      <c r="AB1085" s="374" t="n">
        <f aca="false">S1085-Z1085</f>
        <v>-0.00172</v>
      </c>
      <c r="AC1085" s="374" t="n">
        <f aca="false">U1085-Z1085-AA1085</f>
        <v>-0.00372</v>
      </c>
      <c r="AD1085" s="375" t="n">
        <v>0.0338</v>
      </c>
      <c r="AE1085" s="412" t="n">
        <v>0.029681</v>
      </c>
      <c r="AF1085" s="412" t="n">
        <f aca="false">AD1085-AE1085</f>
        <v>0.004119</v>
      </c>
      <c r="AG1085" s="377" t="n">
        <v>0.0338</v>
      </c>
      <c r="AH1085" s="378" t="n">
        <v>46003</v>
      </c>
      <c r="AI1085" s="379" t="n">
        <v>1</v>
      </c>
      <c r="AJ1085" s="380" t="str">
        <f aca="false">IF(AG1085="","N","Y")</f>
        <v>Y</v>
      </c>
      <c r="AK1085" s="396" t="s">
        <v>1257</v>
      </c>
      <c r="AL1085" s="397"/>
    </row>
    <row r="1086" s="382" customFormat="true" ht="16.5" hidden="false" customHeight="true" outlineLevel="0" collapsed="false">
      <c r="A1086" s="364" t="n">
        <v>559</v>
      </c>
      <c r="B1086" s="363" t="n">
        <v>46003</v>
      </c>
      <c r="C1086" s="364" t="s">
        <v>187</v>
      </c>
      <c r="D1086" s="402" t="s">
        <v>1062</v>
      </c>
      <c r="E1086" s="402" t="s">
        <v>1165</v>
      </c>
      <c r="F1086" s="402" t="s">
        <v>877</v>
      </c>
      <c r="G1086" s="365" t="n">
        <v>46003</v>
      </c>
      <c r="H1086" s="365" t="n">
        <v>46017</v>
      </c>
      <c r="I1086" s="364" t="n">
        <f aca="false">H1086-G1086</f>
        <v>14</v>
      </c>
      <c r="J1086" s="366" t="n">
        <f aca="false">TRUNC(I1086/30,0)</f>
        <v>0</v>
      </c>
      <c r="K1086" s="395" t="s">
        <v>95</v>
      </c>
      <c r="L1086" s="368" t="n">
        <v>10</v>
      </c>
      <c r="M1086" s="408"/>
      <c r="N1086" s="409"/>
      <c r="O1086" s="405" t="s">
        <v>305</v>
      </c>
      <c r="P1086" s="410" t="n">
        <v>0.0386899</v>
      </c>
      <c r="Q1086" s="371"/>
      <c r="R1086" s="372" t="s">
        <v>914</v>
      </c>
      <c r="S1086" s="373"/>
      <c r="T1086" s="372"/>
      <c r="U1086" s="373"/>
      <c r="V1086" s="412" t="n">
        <v>0.040417</v>
      </c>
      <c r="W1086" s="412" t="n">
        <v>0.002829</v>
      </c>
      <c r="X1086" s="412" t="n">
        <f aca="false">V1086-AD1086-$X$5-W1086</f>
        <v>0.00201200000000001</v>
      </c>
      <c r="Y1086" s="412" t="n">
        <v>0.029681</v>
      </c>
      <c r="Z1086" s="412" t="n">
        <v>0.00172</v>
      </c>
      <c r="AA1086" s="412" t="n">
        <v>0.002</v>
      </c>
      <c r="AB1086" s="374" t="n">
        <f aca="false">S1086-Z1086</f>
        <v>-0.00172</v>
      </c>
      <c r="AC1086" s="374" t="n">
        <f aca="false">U1086-Z1086-AA1086</f>
        <v>-0.00372</v>
      </c>
      <c r="AD1086" s="375" t="n">
        <v>0.0338</v>
      </c>
      <c r="AE1086" s="412" t="n">
        <v>0.029681</v>
      </c>
      <c r="AF1086" s="412" t="n">
        <f aca="false">AD1086-AE1086</f>
        <v>0.004119</v>
      </c>
      <c r="AG1086" s="377" t="n">
        <v>0.0338</v>
      </c>
      <c r="AH1086" s="378" t="n">
        <v>46003</v>
      </c>
      <c r="AI1086" s="379" t="n">
        <v>2</v>
      </c>
      <c r="AJ1086" s="380" t="str">
        <f aca="false">IF(AG1086="","N","Y")</f>
        <v>Y</v>
      </c>
      <c r="AK1086" s="396" t="s">
        <v>1257</v>
      </c>
      <c r="AL1086" s="397"/>
    </row>
    <row r="1087" s="382" customFormat="true" ht="16.5" hidden="false" customHeight="true" outlineLevel="0" collapsed="false">
      <c r="A1087" s="364" t="n">
        <v>560</v>
      </c>
      <c r="B1087" s="363" t="n">
        <v>46003</v>
      </c>
      <c r="C1087" s="364" t="s">
        <v>187</v>
      </c>
      <c r="D1087" s="402" t="s">
        <v>1062</v>
      </c>
      <c r="E1087" s="402" t="s">
        <v>1165</v>
      </c>
      <c r="F1087" s="402" t="s">
        <v>877</v>
      </c>
      <c r="G1087" s="365" t="n">
        <v>46003</v>
      </c>
      <c r="H1087" s="365" t="n">
        <v>46017</v>
      </c>
      <c r="I1087" s="364" t="n">
        <f aca="false">H1087-G1087</f>
        <v>14</v>
      </c>
      <c r="J1087" s="366" t="n">
        <f aca="false">TRUNC(I1087/30,0)</f>
        <v>0</v>
      </c>
      <c r="K1087" s="395" t="s">
        <v>95</v>
      </c>
      <c r="L1087" s="368" t="n">
        <v>3.5</v>
      </c>
      <c r="M1087" s="408"/>
      <c r="N1087" s="409"/>
      <c r="O1087" s="405" t="s">
        <v>305</v>
      </c>
      <c r="P1087" s="410" t="n">
        <v>0.0386899</v>
      </c>
      <c r="Q1087" s="371"/>
      <c r="R1087" s="372" t="s">
        <v>914</v>
      </c>
      <c r="S1087" s="373"/>
      <c r="T1087" s="372"/>
      <c r="U1087" s="373"/>
      <c r="V1087" s="412" t="n">
        <v>0.040417</v>
      </c>
      <c r="W1087" s="412" t="n">
        <v>0.002829</v>
      </c>
      <c r="X1087" s="412" t="n">
        <f aca="false">V1087-AD1087-$X$5-W1087</f>
        <v>0.00201200000000001</v>
      </c>
      <c r="Y1087" s="412" t="n">
        <v>0.029681</v>
      </c>
      <c r="Z1087" s="412" t="n">
        <v>0.00172</v>
      </c>
      <c r="AA1087" s="412" t="n">
        <v>0.002</v>
      </c>
      <c r="AB1087" s="374" t="n">
        <f aca="false">S1087-Z1087</f>
        <v>-0.00172</v>
      </c>
      <c r="AC1087" s="374" t="n">
        <f aca="false">U1087-Z1087-AA1087</f>
        <v>-0.00372</v>
      </c>
      <c r="AD1087" s="375" t="n">
        <v>0.0338</v>
      </c>
      <c r="AE1087" s="412" t="n">
        <v>0.029681</v>
      </c>
      <c r="AF1087" s="412" t="n">
        <f aca="false">AD1087-AE1087</f>
        <v>0.004119</v>
      </c>
      <c r="AG1087" s="377" t="n">
        <v>0.0338</v>
      </c>
      <c r="AH1087" s="378" t="n">
        <v>46003</v>
      </c>
      <c r="AI1087" s="379" t="n">
        <v>2</v>
      </c>
      <c r="AJ1087" s="380" t="str">
        <f aca="false">IF(AG1087="","N","Y")</f>
        <v>Y</v>
      </c>
      <c r="AK1087" s="396" t="s">
        <v>1257</v>
      </c>
      <c r="AL1087" s="397"/>
    </row>
    <row r="1088" s="382" customFormat="true" ht="19.5" hidden="false" customHeight="true" outlineLevel="0" collapsed="false">
      <c r="A1088" s="364" t="n">
        <v>561</v>
      </c>
      <c r="B1088" s="363" t="n">
        <v>46006</v>
      </c>
      <c r="C1088" s="364" t="s">
        <v>209</v>
      </c>
      <c r="D1088" s="364" t="s">
        <v>1054</v>
      </c>
      <c r="E1088" s="364" t="s">
        <v>1055</v>
      </c>
      <c r="F1088" s="364" t="s">
        <v>697</v>
      </c>
      <c r="G1088" s="365" t="n">
        <v>46006</v>
      </c>
      <c r="H1088" s="365" t="n">
        <v>46037</v>
      </c>
      <c r="I1088" s="364" t="n">
        <f aca="false">H1088-G1088</f>
        <v>31</v>
      </c>
      <c r="J1088" s="366" t="n">
        <f aca="false">TRUNC(I1088/30,0)</f>
        <v>1</v>
      </c>
      <c r="K1088" s="395" t="s">
        <v>95</v>
      </c>
      <c r="L1088" s="368" t="n">
        <v>7.2</v>
      </c>
      <c r="M1088" s="369"/>
      <c r="N1088" s="370"/>
      <c r="O1088" s="366" t="s">
        <v>303</v>
      </c>
      <c r="P1088" s="371" t="n">
        <v>0.0373426</v>
      </c>
      <c r="Q1088" s="371"/>
      <c r="R1088" s="372" t="s">
        <v>914</v>
      </c>
      <c r="S1088" s="373"/>
      <c r="T1088" s="372"/>
      <c r="U1088" s="373"/>
      <c r="V1088" s="373" t="n">
        <v>0.040522</v>
      </c>
      <c r="W1088" s="373" t="n">
        <v>0.00081</v>
      </c>
      <c r="X1088" s="373" t="n">
        <v>0.003353</v>
      </c>
      <c r="Y1088" s="373" t="n">
        <v>0.031895</v>
      </c>
      <c r="Z1088" s="373" t="n">
        <v>0.00172</v>
      </c>
      <c r="AA1088" s="373" t="n">
        <v>0.002</v>
      </c>
      <c r="AB1088" s="374" t="n">
        <f aca="false">S1088-Z1088</f>
        <v>-0.00172</v>
      </c>
      <c r="AC1088" s="374" t="n">
        <f aca="false">U1088-Z1088-AA1088</f>
        <v>-0.00372</v>
      </c>
      <c r="AD1088" s="375" t="n">
        <v>0.035</v>
      </c>
      <c r="AE1088" s="376" t="n">
        <v>0.031895</v>
      </c>
      <c r="AF1088" s="376" t="n">
        <f aca="false">AD1088-AE1088</f>
        <v>0.003105</v>
      </c>
      <c r="AG1088" s="377" t="n">
        <v>0.035</v>
      </c>
      <c r="AH1088" s="378" t="n">
        <v>46006</v>
      </c>
      <c r="AI1088" s="379" t="n">
        <v>1</v>
      </c>
      <c r="AJ1088" s="380" t="str">
        <f aca="false">IF(AG1088="","N","Y")</f>
        <v>Y</v>
      </c>
      <c r="AK1088" s="396" t="s">
        <v>1239</v>
      </c>
      <c r="AL1088" s="397"/>
    </row>
    <row r="1089" s="382" customFormat="true" ht="19.5" hidden="false" customHeight="true" outlineLevel="0" collapsed="false">
      <c r="A1089" s="364" t="n">
        <v>562</v>
      </c>
      <c r="B1089" s="363" t="n">
        <v>46006</v>
      </c>
      <c r="C1089" s="364" t="s">
        <v>209</v>
      </c>
      <c r="D1089" s="364" t="s">
        <v>1054</v>
      </c>
      <c r="E1089" s="364" t="s">
        <v>1055</v>
      </c>
      <c r="F1089" s="364" t="s">
        <v>697</v>
      </c>
      <c r="G1089" s="365" t="n">
        <v>46006</v>
      </c>
      <c r="H1089" s="365" t="n">
        <v>46037</v>
      </c>
      <c r="I1089" s="364" t="n">
        <f aca="false">H1089-G1089</f>
        <v>31</v>
      </c>
      <c r="J1089" s="366" t="n">
        <f aca="false">TRUNC(I1089/30,0)</f>
        <v>1</v>
      </c>
      <c r="K1089" s="367" t="s">
        <v>99</v>
      </c>
      <c r="L1089" s="368" t="n">
        <v>4.54</v>
      </c>
      <c r="M1089" s="369"/>
      <c r="N1089" s="370"/>
      <c r="O1089" s="366" t="s">
        <v>303</v>
      </c>
      <c r="P1089" s="371" t="n">
        <v>0.0373426</v>
      </c>
      <c r="Q1089" s="371"/>
      <c r="R1089" s="372" t="s">
        <v>914</v>
      </c>
      <c r="S1089" s="373"/>
      <c r="T1089" s="372"/>
      <c r="U1089" s="373"/>
      <c r="V1089" s="373" t="n">
        <v>0.041117</v>
      </c>
      <c r="W1089" s="373" t="n">
        <v>0.002878</v>
      </c>
      <c r="X1089" s="373" t="n">
        <v>0.005463</v>
      </c>
      <c r="Y1089" s="373" t="n">
        <v>0.02588</v>
      </c>
      <c r="Z1089" s="373" t="n">
        <v>0.00172</v>
      </c>
      <c r="AA1089" s="373" t="n">
        <v>0.002</v>
      </c>
      <c r="AB1089" s="374" t="n">
        <f aca="false">S1089-Z1089</f>
        <v>-0.00172</v>
      </c>
      <c r="AC1089" s="374" t="n">
        <f aca="false">U1089-Z1089-AA1089</f>
        <v>-0.00372</v>
      </c>
      <c r="AD1089" s="375" t="n">
        <v>0.031</v>
      </c>
      <c r="AE1089" s="376" t="n">
        <v>0.028452</v>
      </c>
      <c r="AF1089" s="376" t="n">
        <f aca="false">AD1089-AE1089</f>
        <v>0.002548</v>
      </c>
      <c r="AG1089" s="377" t="n">
        <v>0.031</v>
      </c>
      <c r="AH1089" s="378" t="n">
        <v>46006</v>
      </c>
      <c r="AI1089" s="379" t="n">
        <v>2</v>
      </c>
      <c r="AJ1089" s="380" t="str">
        <f aca="false">IF(AG1089="","N","Y")</f>
        <v>Y</v>
      </c>
      <c r="AK1089" s="396" t="s">
        <v>1258</v>
      </c>
      <c r="AL1089" s="397"/>
    </row>
    <row r="1090" s="382" customFormat="true" ht="20.25" hidden="false" customHeight="true" outlineLevel="0" collapsed="false">
      <c r="A1090" s="364" t="n">
        <v>563</v>
      </c>
      <c r="B1090" s="363" t="n">
        <v>46006</v>
      </c>
      <c r="C1090" s="364" t="s">
        <v>644</v>
      </c>
      <c r="D1090" s="364" t="s">
        <v>1112</v>
      </c>
      <c r="E1090" s="364" t="s">
        <v>492</v>
      </c>
      <c r="F1090" s="364" t="s">
        <v>880</v>
      </c>
      <c r="G1090" s="365" t="n">
        <v>46006</v>
      </c>
      <c r="H1090" s="365" t="n">
        <v>46037</v>
      </c>
      <c r="I1090" s="364" t="n">
        <f aca="false">H1090-G1090</f>
        <v>31</v>
      </c>
      <c r="J1090" s="366" t="n">
        <f aca="false">TRUNC(I1090/30,0)</f>
        <v>1</v>
      </c>
      <c r="K1090" s="367" t="s">
        <v>99</v>
      </c>
      <c r="L1090" s="368" t="n">
        <v>7.31</v>
      </c>
      <c r="M1090" s="369"/>
      <c r="N1090" s="370"/>
      <c r="O1090" s="366" t="s">
        <v>303</v>
      </c>
      <c r="P1090" s="371" t="n">
        <v>0.0373426</v>
      </c>
      <c r="Q1090" s="371"/>
      <c r="R1090" s="372" t="s">
        <v>914</v>
      </c>
      <c r="S1090" s="373"/>
      <c r="T1090" s="372"/>
      <c r="U1090" s="373"/>
      <c r="V1090" s="373" t="n">
        <v>0.041117</v>
      </c>
      <c r="W1090" s="373" t="n">
        <v>0.002878</v>
      </c>
      <c r="X1090" s="373" t="n">
        <v>0.004963</v>
      </c>
      <c r="Y1090" s="373" t="n">
        <v>0.02588</v>
      </c>
      <c r="Z1090" s="373" t="n">
        <v>0.00172</v>
      </c>
      <c r="AA1090" s="373" t="n">
        <v>0.002</v>
      </c>
      <c r="AB1090" s="374" t="n">
        <f aca="false">S1090-Z1090</f>
        <v>-0.00172</v>
      </c>
      <c r="AC1090" s="374" t="n">
        <f aca="false">U1090-Z1090-AA1090</f>
        <v>-0.00372</v>
      </c>
      <c r="AD1090" s="375" t="n">
        <v>0.0315</v>
      </c>
      <c r="AE1090" s="373" t="n">
        <v>0.028452</v>
      </c>
      <c r="AF1090" s="412" t="n">
        <f aca="false">AD1090-AE1090</f>
        <v>0.003048</v>
      </c>
      <c r="AG1090" s="377" t="n">
        <v>0.0315</v>
      </c>
      <c r="AH1090" s="378" t="n">
        <v>46006</v>
      </c>
      <c r="AI1090" s="379" t="n">
        <v>3</v>
      </c>
      <c r="AJ1090" s="380" t="str">
        <f aca="false">IF(AG1090="","N","Y")</f>
        <v>Y</v>
      </c>
      <c r="AK1090" s="396" t="s">
        <v>1258</v>
      </c>
      <c r="AL1090" s="397"/>
    </row>
    <row r="1091" s="382" customFormat="true" ht="20.25" hidden="false" customHeight="true" outlineLevel="0" collapsed="false">
      <c r="A1091" s="364" t="n">
        <v>564</v>
      </c>
      <c r="B1091" s="363" t="n">
        <v>46007</v>
      </c>
      <c r="C1091" s="364" t="s">
        <v>209</v>
      </c>
      <c r="D1091" s="364" t="s">
        <v>1178</v>
      </c>
      <c r="E1091" s="364" t="s">
        <v>1179</v>
      </c>
      <c r="F1091" s="364" t="s">
        <v>1180</v>
      </c>
      <c r="G1091" s="365" t="n">
        <v>46007</v>
      </c>
      <c r="H1091" s="365" t="n">
        <v>46097</v>
      </c>
      <c r="I1091" s="364" t="n">
        <f aca="false">H1091-G1091</f>
        <v>90</v>
      </c>
      <c r="J1091" s="366" t="n">
        <f aca="false">TRUNC(I1091/30,0)</f>
        <v>3</v>
      </c>
      <c r="K1091" s="395" t="s">
        <v>95</v>
      </c>
      <c r="L1091" s="368" t="n">
        <v>2.17</v>
      </c>
      <c r="M1091" s="369"/>
      <c r="N1091" s="409" t="s">
        <v>1259</v>
      </c>
      <c r="O1091" s="366" t="n">
        <v>3</v>
      </c>
      <c r="P1091" s="371" t="n">
        <v>0.0370469</v>
      </c>
      <c r="Q1091" s="371"/>
      <c r="R1091" s="372" t="s">
        <v>914</v>
      </c>
      <c r="S1091" s="373"/>
      <c r="T1091" s="372"/>
      <c r="U1091" s="373"/>
      <c r="V1091" s="373" t="n">
        <v>0.041542</v>
      </c>
      <c r="W1091" s="373" t="n">
        <v>0.000831</v>
      </c>
      <c r="X1091" s="373" t="n">
        <v>0.002436</v>
      </c>
      <c r="Y1091" s="373" t="n">
        <v>0.032305</v>
      </c>
      <c r="Z1091" s="373" t="n">
        <v>0.00172</v>
      </c>
      <c r="AA1091" s="373" t="n">
        <v>0.002</v>
      </c>
      <c r="AB1091" s="374" t="n">
        <f aca="false">S1091-Z1091</f>
        <v>-0.00172</v>
      </c>
      <c r="AC1091" s="374" t="n">
        <f aca="false">U1091-Z1091-AA1091</f>
        <v>-0.00372</v>
      </c>
      <c r="AD1091" s="375" t="n">
        <v>0.0365</v>
      </c>
      <c r="AE1091" s="376" t="n">
        <v>0.032305</v>
      </c>
      <c r="AF1091" s="376" t="n">
        <f aca="false">AD1091-AE1091</f>
        <v>0.004195</v>
      </c>
      <c r="AG1091" s="377" t="n">
        <v>0.0365</v>
      </c>
      <c r="AH1091" s="378" t="n">
        <v>46007</v>
      </c>
      <c r="AI1091" s="379" t="n">
        <v>1</v>
      </c>
      <c r="AJ1091" s="380" t="str">
        <f aca="false">IF(AG1091="","N","Y")</f>
        <v>Y</v>
      </c>
      <c r="AK1091" s="396" t="s">
        <v>1260</v>
      </c>
      <c r="AL1091" s="397"/>
    </row>
    <row r="1092" s="382" customFormat="true" ht="20.25" hidden="false" customHeight="true" outlineLevel="0" collapsed="false">
      <c r="A1092" s="364" t="n">
        <v>565</v>
      </c>
      <c r="B1092" s="363" t="n">
        <v>46007</v>
      </c>
      <c r="C1092" s="364" t="s">
        <v>209</v>
      </c>
      <c r="D1092" s="364" t="s">
        <v>1178</v>
      </c>
      <c r="E1092" s="364" t="s">
        <v>1179</v>
      </c>
      <c r="F1092" s="364" t="s">
        <v>1188</v>
      </c>
      <c r="G1092" s="365" t="n">
        <v>46007</v>
      </c>
      <c r="H1092" s="365" t="n">
        <v>46097</v>
      </c>
      <c r="I1092" s="364" t="n">
        <f aca="false">H1092-G1092</f>
        <v>90</v>
      </c>
      <c r="J1092" s="366" t="n">
        <f aca="false">TRUNC(I1092/30,0)</f>
        <v>3</v>
      </c>
      <c r="K1092" s="395" t="s">
        <v>95</v>
      </c>
      <c r="L1092" s="368" t="n">
        <v>3.622</v>
      </c>
      <c r="M1092" s="369"/>
      <c r="N1092" s="409" t="s">
        <v>1259</v>
      </c>
      <c r="O1092" s="366" t="n">
        <v>3</v>
      </c>
      <c r="P1092" s="371" t="n">
        <v>0.0370469</v>
      </c>
      <c r="Q1092" s="371"/>
      <c r="R1092" s="372" t="s">
        <v>914</v>
      </c>
      <c r="S1092" s="373"/>
      <c r="T1092" s="372"/>
      <c r="U1092" s="373"/>
      <c r="V1092" s="373" t="n">
        <v>0.041542</v>
      </c>
      <c r="W1092" s="373" t="n">
        <v>0.000831</v>
      </c>
      <c r="X1092" s="373" t="n">
        <v>0.002436</v>
      </c>
      <c r="Y1092" s="373" t="n">
        <v>0.032305</v>
      </c>
      <c r="Z1092" s="373" t="n">
        <v>0.00172</v>
      </c>
      <c r="AA1092" s="373" t="n">
        <v>0.002</v>
      </c>
      <c r="AB1092" s="374" t="n">
        <f aca="false">S1092-Z1092</f>
        <v>-0.00172</v>
      </c>
      <c r="AC1092" s="374" t="n">
        <f aca="false">U1092-Z1092-AA1092</f>
        <v>-0.00372</v>
      </c>
      <c r="AD1092" s="375" t="n">
        <v>0.0365</v>
      </c>
      <c r="AE1092" s="376" t="n">
        <v>0.032305</v>
      </c>
      <c r="AF1092" s="376" t="n">
        <f aca="false">AD1092-AE1092</f>
        <v>0.004195</v>
      </c>
      <c r="AG1092" s="377" t="n">
        <v>0.0365</v>
      </c>
      <c r="AH1092" s="378" t="n">
        <v>46007</v>
      </c>
      <c r="AI1092" s="379" t="n">
        <v>2</v>
      </c>
      <c r="AJ1092" s="380" t="str">
        <f aca="false">IF(AG1092="","N","Y")</f>
        <v>Y</v>
      </c>
      <c r="AK1092" s="396" t="s">
        <v>1260</v>
      </c>
      <c r="AL1092" s="397"/>
    </row>
    <row r="1093" s="382" customFormat="true" ht="20.25" hidden="false" customHeight="true" outlineLevel="0" collapsed="false">
      <c r="A1093" s="364" t="n">
        <v>566</v>
      </c>
      <c r="B1093" s="363" t="n">
        <v>46008</v>
      </c>
      <c r="C1093" s="364" t="s">
        <v>644</v>
      </c>
      <c r="D1093" s="364" t="s">
        <v>1070</v>
      </c>
      <c r="E1093" s="364" t="s">
        <v>1226</v>
      </c>
      <c r="F1093" s="364" t="s">
        <v>1072</v>
      </c>
      <c r="G1093" s="365" t="n">
        <v>46008</v>
      </c>
      <c r="H1093" s="365" t="n">
        <v>46041</v>
      </c>
      <c r="I1093" s="364" t="n">
        <f aca="false">H1093-G1093</f>
        <v>33</v>
      </c>
      <c r="J1093" s="366" t="n">
        <f aca="false">TRUNC(I1093/30,0)</f>
        <v>1</v>
      </c>
      <c r="K1093" s="395" t="s">
        <v>95</v>
      </c>
      <c r="L1093" s="368" t="n">
        <v>1.5</v>
      </c>
      <c r="M1093" s="408" t="n">
        <v>3.44</v>
      </c>
      <c r="N1093" s="409" t="s">
        <v>1244</v>
      </c>
      <c r="O1093" s="405" t="s">
        <v>303</v>
      </c>
      <c r="P1093" s="410" t="n">
        <v>0.0373447</v>
      </c>
      <c r="Q1093" s="371"/>
      <c r="R1093" s="372" t="s">
        <v>914</v>
      </c>
      <c r="S1093" s="373"/>
      <c r="T1093" s="372"/>
      <c r="U1093" s="373"/>
      <c r="V1093" s="412" t="n">
        <v>0.040376</v>
      </c>
      <c r="W1093" s="412" t="n">
        <v>0.000808</v>
      </c>
      <c r="X1093" s="412" t="n">
        <v>0.002792</v>
      </c>
      <c r="Y1093" s="412" t="n">
        <v>0.031897</v>
      </c>
      <c r="Z1093" s="412" t="n">
        <v>0.00172</v>
      </c>
      <c r="AA1093" s="412" t="n">
        <v>0.002</v>
      </c>
      <c r="AB1093" s="374" t="n">
        <f aca="false">S1093-Z1093</f>
        <v>-0.00172</v>
      </c>
      <c r="AC1093" s="374" t="n">
        <f aca="false">U1093-Z1093-AA1093</f>
        <v>-0.00372</v>
      </c>
      <c r="AD1093" s="375" t="n">
        <v>0.035</v>
      </c>
      <c r="AE1093" s="412" t="n">
        <f aca="false">Y1093</f>
        <v>0.031897</v>
      </c>
      <c r="AF1093" s="412" t="n">
        <f aca="false">AD1093-AE1093</f>
        <v>0.003103</v>
      </c>
      <c r="AG1093" s="377" t="n">
        <v>0.035</v>
      </c>
      <c r="AH1093" s="378" t="n">
        <v>46008</v>
      </c>
      <c r="AI1093" s="379" t="n">
        <v>1</v>
      </c>
      <c r="AJ1093" s="380" t="str">
        <f aca="false">IF(AG1093="","N","Y")</f>
        <v>Y</v>
      </c>
      <c r="AK1093" s="416" t="s">
        <v>1261</v>
      </c>
      <c r="AL1093" s="397"/>
    </row>
    <row r="1094" s="382" customFormat="true" ht="20.25" hidden="false" customHeight="true" outlineLevel="0" collapsed="false">
      <c r="A1094" s="364" t="n">
        <v>567</v>
      </c>
      <c r="B1094" s="363" t="n">
        <v>46008</v>
      </c>
      <c r="C1094" s="364" t="s">
        <v>770</v>
      </c>
      <c r="D1094" s="364" t="s">
        <v>1111</v>
      </c>
      <c r="E1094" s="364" t="s">
        <v>1004</v>
      </c>
      <c r="F1094" s="364" t="s">
        <v>773</v>
      </c>
      <c r="G1094" s="365" t="n">
        <v>46008</v>
      </c>
      <c r="H1094" s="365" t="n">
        <v>46098</v>
      </c>
      <c r="I1094" s="364" t="n">
        <f aca="false">H1094-G1094</f>
        <v>90</v>
      </c>
      <c r="J1094" s="366" t="n">
        <f aca="false">TRUNC(I1094/30,0)</f>
        <v>3</v>
      </c>
      <c r="K1094" s="395" t="s">
        <v>95</v>
      </c>
      <c r="L1094" s="368" t="n">
        <v>1</v>
      </c>
      <c r="M1094" s="369"/>
      <c r="N1094" s="370"/>
      <c r="O1094" s="366" t="s">
        <v>300</v>
      </c>
      <c r="P1094" s="371" t="n">
        <v>0.0370065</v>
      </c>
      <c r="Q1094" s="371"/>
      <c r="R1094" s="372" t="s">
        <v>914</v>
      </c>
      <c r="S1094" s="373"/>
      <c r="T1094" s="372"/>
      <c r="U1094" s="373"/>
      <c r="V1094" s="373" t="n">
        <v>0.041528</v>
      </c>
      <c r="W1094" s="373" t="n">
        <v>0.000831</v>
      </c>
      <c r="X1094" s="373" t="n">
        <v>0.001921</v>
      </c>
      <c r="Y1094" s="373" t="n">
        <v>0.032266</v>
      </c>
      <c r="Z1094" s="373" t="n">
        <v>0.00172</v>
      </c>
      <c r="AA1094" s="373" t="n">
        <v>0.002</v>
      </c>
      <c r="AB1094" s="374" t="n">
        <f aca="false">S1094-Z1094</f>
        <v>-0.00172</v>
      </c>
      <c r="AC1094" s="374" t="n">
        <f aca="false">U1094-Z1094-AA1094</f>
        <v>-0.00372</v>
      </c>
      <c r="AD1094" s="375" t="n">
        <v>0.037</v>
      </c>
      <c r="AE1094" s="373" t="n">
        <v>0.032266</v>
      </c>
      <c r="AF1094" s="412" t="n">
        <f aca="false">AD1094-AE1094</f>
        <v>0.004734</v>
      </c>
      <c r="AG1094" s="377" t="n">
        <v>0.037</v>
      </c>
      <c r="AH1094" s="378" t="n">
        <v>46008</v>
      </c>
      <c r="AI1094" s="379" t="n">
        <v>2</v>
      </c>
      <c r="AJ1094" s="380" t="str">
        <f aca="false">IF(AG1094="","N","Y")</f>
        <v>Y</v>
      </c>
      <c r="AK1094" s="396" t="s">
        <v>1237</v>
      </c>
      <c r="AL1094" s="397"/>
    </row>
    <row r="1095" s="382" customFormat="true" ht="20.25" hidden="false" customHeight="true" outlineLevel="0" collapsed="false">
      <c r="A1095" s="364" t="n">
        <v>568</v>
      </c>
      <c r="B1095" s="363" t="n">
        <v>46008</v>
      </c>
      <c r="C1095" s="364" t="s">
        <v>770</v>
      </c>
      <c r="D1095" s="364" t="s">
        <v>1111</v>
      </c>
      <c r="E1095" s="364" t="s">
        <v>1004</v>
      </c>
      <c r="F1095" s="364" t="s">
        <v>773</v>
      </c>
      <c r="G1095" s="365" t="n">
        <v>46008</v>
      </c>
      <c r="H1095" s="365" t="n">
        <v>46098</v>
      </c>
      <c r="I1095" s="364" t="n">
        <f aca="false">H1095-G1095</f>
        <v>90</v>
      </c>
      <c r="J1095" s="366" t="n">
        <f aca="false">TRUNC(I1095/30,0)</f>
        <v>3</v>
      </c>
      <c r="K1095" s="395" t="s">
        <v>95</v>
      </c>
      <c r="L1095" s="368" t="n">
        <v>1</v>
      </c>
      <c r="M1095" s="369"/>
      <c r="N1095" s="370"/>
      <c r="O1095" s="366" t="s">
        <v>300</v>
      </c>
      <c r="P1095" s="371" t="n">
        <v>0.0370065</v>
      </c>
      <c r="Q1095" s="371"/>
      <c r="R1095" s="372" t="s">
        <v>914</v>
      </c>
      <c r="S1095" s="373"/>
      <c r="T1095" s="372"/>
      <c r="U1095" s="373"/>
      <c r="V1095" s="373" t="n">
        <v>0.041528</v>
      </c>
      <c r="W1095" s="373" t="n">
        <v>0.000831</v>
      </c>
      <c r="X1095" s="373" t="n">
        <v>0.001921</v>
      </c>
      <c r="Y1095" s="373" t="n">
        <v>0.032266</v>
      </c>
      <c r="Z1095" s="373" t="n">
        <v>0.00172</v>
      </c>
      <c r="AA1095" s="373" t="n">
        <v>0.002</v>
      </c>
      <c r="AB1095" s="374" t="n">
        <f aca="false">S1095-Z1095</f>
        <v>-0.00172</v>
      </c>
      <c r="AC1095" s="374" t="n">
        <f aca="false">U1095-Z1095-AA1095</f>
        <v>-0.00372</v>
      </c>
      <c r="AD1095" s="375" t="n">
        <v>0.037</v>
      </c>
      <c r="AE1095" s="373" t="n">
        <v>0.032266</v>
      </c>
      <c r="AF1095" s="412" t="n">
        <f aca="false">AD1095-AE1095</f>
        <v>0.004734</v>
      </c>
      <c r="AG1095" s="377" t="n">
        <v>0.037</v>
      </c>
      <c r="AH1095" s="378" t="n">
        <v>46008</v>
      </c>
      <c r="AI1095" s="379" t="n">
        <v>3</v>
      </c>
      <c r="AJ1095" s="380" t="str">
        <f aca="false">IF(AG1095="","N","Y")</f>
        <v>Y</v>
      </c>
      <c r="AK1095" s="396" t="s">
        <v>1237</v>
      </c>
      <c r="AL1095" s="397"/>
    </row>
    <row r="1096" s="382" customFormat="true" ht="20.25" hidden="false" customHeight="true" outlineLevel="0" collapsed="false">
      <c r="A1096" s="364" t="n">
        <v>569</v>
      </c>
      <c r="B1096" s="363" t="n">
        <v>46010</v>
      </c>
      <c r="C1096" s="364" t="s">
        <v>1172</v>
      </c>
      <c r="D1096" s="364" t="s">
        <v>1173</v>
      </c>
      <c r="E1096" s="364" t="s">
        <v>1218</v>
      </c>
      <c r="F1096" s="364" t="s">
        <v>1175</v>
      </c>
      <c r="G1096" s="365" t="n">
        <v>46010</v>
      </c>
      <c r="H1096" s="365" t="n">
        <v>46041</v>
      </c>
      <c r="I1096" s="364" t="n">
        <f aca="false">H1096-G1096</f>
        <v>31</v>
      </c>
      <c r="J1096" s="366" t="n">
        <f aca="false">TRUNC(I1096/30,0)</f>
        <v>1</v>
      </c>
      <c r="K1096" s="367" t="s">
        <v>99</v>
      </c>
      <c r="L1096" s="368" t="n">
        <v>1.43</v>
      </c>
      <c r="M1096" s="369"/>
      <c r="N1096" s="370"/>
      <c r="O1096" s="366" t="s">
        <v>303</v>
      </c>
      <c r="P1096" s="371" t="n">
        <v>0.037339</v>
      </c>
      <c r="Q1096" s="371"/>
      <c r="R1096" s="372" t="s">
        <v>914</v>
      </c>
      <c r="S1096" s="373"/>
      <c r="T1096" s="372"/>
      <c r="U1096" s="373"/>
      <c r="V1096" s="373" t="n">
        <v>0.04091</v>
      </c>
      <c r="W1096" s="373" t="n">
        <v>0.002864</v>
      </c>
      <c r="X1096" s="373" t="n">
        <f aca="false">V1096-AD1096-$X$5-W1096</f>
        <v>0.00427</v>
      </c>
      <c r="Y1096" s="373" t="n">
        <v>0.028142</v>
      </c>
      <c r="Z1096" s="373" t="n">
        <v>0.00172</v>
      </c>
      <c r="AA1096" s="373" t="n">
        <v>0.002</v>
      </c>
      <c r="AB1096" s="374" t="n">
        <f aca="false">S1096-Z1096</f>
        <v>-0.00172</v>
      </c>
      <c r="AC1096" s="374" t="n">
        <f aca="false">U1096-Z1096-AA1096</f>
        <v>-0.00372</v>
      </c>
      <c r="AD1096" s="375" t="n">
        <v>0.032</v>
      </c>
      <c r="AE1096" s="376" t="n">
        <v>0.026101</v>
      </c>
      <c r="AF1096" s="376" t="n">
        <f aca="false">AD1096-AE1096</f>
        <v>0.005899</v>
      </c>
      <c r="AG1096" s="377" t="n">
        <f aca="false">AE1096+AF1096</f>
        <v>0.032</v>
      </c>
      <c r="AH1096" s="378" t="n">
        <v>46010</v>
      </c>
      <c r="AI1096" s="379" t="n">
        <v>1</v>
      </c>
      <c r="AJ1096" s="380" t="str">
        <f aca="false">IF(AG1096="","N","Y")</f>
        <v>Y</v>
      </c>
      <c r="AK1096" s="396" t="s">
        <v>1262</v>
      </c>
      <c r="AL1096" s="397"/>
    </row>
    <row r="1097" s="382" customFormat="true" ht="20.25" hidden="false" customHeight="true" outlineLevel="0" collapsed="false">
      <c r="A1097" s="364" t="n">
        <v>570</v>
      </c>
      <c r="B1097" s="363" t="n">
        <v>46010</v>
      </c>
      <c r="C1097" s="364" t="s">
        <v>1219</v>
      </c>
      <c r="D1097" s="364" t="s">
        <v>1005</v>
      </c>
      <c r="E1097" s="364" t="s">
        <v>1006</v>
      </c>
      <c r="F1097" s="364" t="s">
        <v>1056</v>
      </c>
      <c r="G1097" s="365" t="n">
        <v>46010</v>
      </c>
      <c r="H1097" s="365" t="n">
        <v>46041</v>
      </c>
      <c r="I1097" s="364" t="n">
        <f aca="false">H1097-G1097</f>
        <v>31</v>
      </c>
      <c r="J1097" s="366" t="n">
        <f aca="false">TRUNC(I1097/30,0)</f>
        <v>1</v>
      </c>
      <c r="K1097" s="367" t="s">
        <v>99</v>
      </c>
      <c r="L1097" s="368" t="n">
        <v>10.53</v>
      </c>
      <c r="M1097" s="369"/>
      <c r="N1097" s="370"/>
      <c r="O1097" s="366" t="s">
        <v>303</v>
      </c>
      <c r="P1097" s="371" t="n">
        <v>0.037339</v>
      </c>
      <c r="Q1097" s="371"/>
      <c r="R1097" s="372" t="s">
        <v>914</v>
      </c>
      <c r="S1097" s="373"/>
      <c r="T1097" s="372"/>
      <c r="U1097" s="373"/>
      <c r="V1097" s="373" t="n">
        <v>0.04091</v>
      </c>
      <c r="W1097" s="373" t="n">
        <v>0.002864</v>
      </c>
      <c r="X1097" s="373" t="n">
        <f aca="false">V1097-AD1097-$X$5-W1097</f>
        <v>0.00427</v>
      </c>
      <c r="Y1097" s="373" t="n">
        <v>0.028142</v>
      </c>
      <c r="Z1097" s="373" t="n">
        <v>0.00172</v>
      </c>
      <c r="AA1097" s="373" t="n">
        <v>0.002</v>
      </c>
      <c r="AB1097" s="374" t="n">
        <f aca="false">S1097-Z1097</f>
        <v>-0.00172</v>
      </c>
      <c r="AC1097" s="374" t="n">
        <f aca="false">U1097-Z1097-AA1097</f>
        <v>-0.00372</v>
      </c>
      <c r="AD1097" s="375" t="n">
        <v>0.032</v>
      </c>
      <c r="AE1097" s="376" t="n">
        <v>0.026101</v>
      </c>
      <c r="AF1097" s="376" t="n">
        <f aca="false">AG1097-AE1097</f>
        <v>0.005899</v>
      </c>
      <c r="AG1097" s="377" t="n">
        <v>0.032</v>
      </c>
      <c r="AH1097" s="378" t="n">
        <v>46010</v>
      </c>
      <c r="AI1097" s="379" t="n">
        <v>2</v>
      </c>
      <c r="AJ1097" s="380" t="str">
        <f aca="false">IF(AG1097="","N","Y")</f>
        <v>Y</v>
      </c>
      <c r="AK1097" s="396" t="s">
        <v>1262</v>
      </c>
      <c r="AL1097" s="397"/>
    </row>
    <row r="1098" s="382" customFormat="true" ht="20.25" hidden="false" customHeight="true" outlineLevel="0" collapsed="false">
      <c r="A1098" s="364" t="n">
        <v>571</v>
      </c>
      <c r="B1098" s="363" t="n">
        <v>46013</v>
      </c>
      <c r="C1098" s="364" t="s">
        <v>862</v>
      </c>
      <c r="D1098" s="364" t="s">
        <v>932</v>
      </c>
      <c r="E1098" s="364" t="s">
        <v>970</v>
      </c>
      <c r="F1098" s="364" t="s">
        <v>906</v>
      </c>
      <c r="G1098" s="365" t="n">
        <v>46013</v>
      </c>
      <c r="H1098" s="365" t="n">
        <v>46044</v>
      </c>
      <c r="I1098" s="364" t="n">
        <f aca="false">H1098-G1098</f>
        <v>31</v>
      </c>
      <c r="J1098" s="366" t="n">
        <f aca="false">TRUNC(I1098/30,0)</f>
        <v>1</v>
      </c>
      <c r="K1098" s="367" t="s">
        <v>99</v>
      </c>
      <c r="L1098" s="368" t="n">
        <v>4</v>
      </c>
      <c r="M1098" s="369"/>
      <c r="N1098" s="370"/>
      <c r="O1098" s="366" t="s">
        <v>303</v>
      </c>
      <c r="P1098" s="371" t="n">
        <v>0.0372923</v>
      </c>
      <c r="Q1098" s="371"/>
      <c r="R1098" s="372" t="s">
        <v>914</v>
      </c>
      <c r="S1098" s="373"/>
      <c r="T1098" s="372"/>
      <c r="U1098" s="373"/>
      <c r="V1098" s="373" t="n">
        <v>0.040892</v>
      </c>
      <c r="W1098" s="373" t="n">
        <v>0.002862</v>
      </c>
      <c r="X1098" s="373" t="n">
        <v>0.004208</v>
      </c>
      <c r="Y1098" s="373" t="n">
        <v>0.028361</v>
      </c>
      <c r="Z1098" s="373" t="n">
        <v>0.00172</v>
      </c>
      <c r="AA1098" s="373" t="n">
        <v>0.002</v>
      </c>
      <c r="AB1098" s="374" t="n">
        <f aca="false">S1098-Z1098</f>
        <v>-0.00172</v>
      </c>
      <c r="AC1098" s="374" t="n">
        <f aca="false">U1098-Z1098-AA1098</f>
        <v>-0.00372</v>
      </c>
      <c r="AD1098" s="375" t="n">
        <v>0.032</v>
      </c>
      <c r="AE1098" s="376" t="n">
        <v>0.025871</v>
      </c>
      <c r="AF1098" s="376" t="n">
        <f aca="false">AD1098-AE1098</f>
        <v>0.006129</v>
      </c>
      <c r="AG1098" s="377" t="n">
        <v>0.032</v>
      </c>
      <c r="AH1098" s="378" t="n">
        <v>46013</v>
      </c>
      <c r="AI1098" s="379" t="n">
        <v>1</v>
      </c>
      <c r="AJ1098" s="380" t="str">
        <f aca="false">IF(AG1098="","N","Y")</f>
        <v>Y</v>
      </c>
      <c r="AK1098" s="396" t="s">
        <v>1262</v>
      </c>
      <c r="AL1098" s="397"/>
    </row>
    <row r="1099" s="382" customFormat="true" ht="20.25" hidden="false" customHeight="true" outlineLevel="0" collapsed="false">
      <c r="A1099" s="364" t="n">
        <v>572</v>
      </c>
      <c r="B1099" s="363" t="n">
        <v>46013</v>
      </c>
      <c r="C1099" s="364" t="s">
        <v>770</v>
      </c>
      <c r="D1099" s="364" t="s">
        <v>1051</v>
      </c>
      <c r="E1099" s="364" t="s">
        <v>1155</v>
      </c>
      <c r="F1099" s="364" t="s">
        <v>1156</v>
      </c>
      <c r="G1099" s="365" t="n">
        <v>46013</v>
      </c>
      <c r="H1099" s="365" t="n">
        <v>46104</v>
      </c>
      <c r="I1099" s="364" t="n">
        <f aca="false">H1099-G1099</f>
        <v>91</v>
      </c>
      <c r="J1099" s="366" t="n">
        <f aca="false">TRUNC(I1099/30,0)</f>
        <v>3</v>
      </c>
      <c r="K1099" s="395" t="s">
        <v>95</v>
      </c>
      <c r="L1099" s="368" t="n">
        <v>2</v>
      </c>
      <c r="M1099" s="369"/>
      <c r="N1099" s="370"/>
      <c r="O1099" s="366" t="s">
        <v>300</v>
      </c>
      <c r="P1099" s="371" t="n">
        <v>0.0368503</v>
      </c>
      <c r="Q1099" s="371"/>
      <c r="R1099" s="372" t="s">
        <v>914</v>
      </c>
      <c r="S1099" s="373"/>
      <c r="T1099" s="372"/>
      <c r="U1099" s="373"/>
      <c r="V1099" s="373" t="n">
        <v>0.041428</v>
      </c>
      <c r="W1099" s="373" t="n">
        <v>0.000829</v>
      </c>
      <c r="X1099" s="373" t="n">
        <f aca="false">V1099-AD1099-$X$5-W1099</f>
        <v>0.001823</v>
      </c>
      <c r="Y1099" s="373" t="n">
        <v>0.031048</v>
      </c>
      <c r="Z1099" s="373" t="n">
        <v>0.00172</v>
      </c>
      <c r="AA1099" s="373" t="n">
        <v>0.002</v>
      </c>
      <c r="AB1099" s="374" t="n">
        <f aca="false">S1099-Z1099</f>
        <v>-0.00172</v>
      </c>
      <c r="AC1099" s="374" t="n">
        <f aca="false">U1099-Z1099-AA1099</f>
        <v>-0.00372</v>
      </c>
      <c r="AD1099" s="375" t="n">
        <v>0.037</v>
      </c>
      <c r="AE1099" s="373" t="n">
        <v>0.031048</v>
      </c>
      <c r="AF1099" s="376" t="n">
        <f aca="false">AD1099-AE1099</f>
        <v>0.005952</v>
      </c>
      <c r="AG1099" s="377" t="n">
        <f aca="false">IF(AF1099="","",AE1099+AF1099)</f>
        <v>0.037</v>
      </c>
      <c r="AH1099" s="378" t="n">
        <v>46013</v>
      </c>
      <c r="AI1099" s="379" t="n">
        <v>2</v>
      </c>
      <c r="AJ1099" s="380" t="str">
        <f aca="false">IF(AG1099="","N","Y")</f>
        <v>Y</v>
      </c>
      <c r="AK1099" s="396" t="s">
        <v>1253</v>
      </c>
      <c r="AL1099" s="397"/>
    </row>
    <row r="1100" s="382" customFormat="true" ht="20.25" hidden="false" customHeight="true" outlineLevel="0" collapsed="false">
      <c r="A1100" s="364" t="n">
        <v>573</v>
      </c>
      <c r="B1100" s="363" t="n">
        <v>46015</v>
      </c>
      <c r="C1100" s="364" t="s">
        <v>1149</v>
      </c>
      <c r="D1100" s="364" t="s">
        <v>1150</v>
      </c>
      <c r="E1100" s="364" t="s">
        <v>1183</v>
      </c>
      <c r="F1100" s="364" t="s">
        <v>1263</v>
      </c>
      <c r="G1100" s="365" t="n">
        <v>46015</v>
      </c>
      <c r="H1100" s="365" t="n">
        <v>46049</v>
      </c>
      <c r="I1100" s="364" t="n">
        <f aca="false">H1100-G1100</f>
        <v>34</v>
      </c>
      <c r="J1100" s="366" t="n">
        <f aca="false">TRUNC(I1100/30,0)</f>
        <v>1</v>
      </c>
      <c r="K1100" s="367" t="s">
        <v>99</v>
      </c>
      <c r="L1100" s="368" t="n">
        <v>1</v>
      </c>
      <c r="M1100" s="369"/>
      <c r="N1100" s="370"/>
      <c r="O1100" s="366" t="s">
        <v>255</v>
      </c>
      <c r="P1100" s="371" t="n">
        <v>0.0373173</v>
      </c>
      <c r="Q1100" s="371"/>
      <c r="R1100" s="372" t="s">
        <v>914</v>
      </c>
      <c r="S1100" s="373"/>
      <c r="T1100" s="372"/>
      <c r="U1100" s="373"/>
      <c r="V1100" s="373" t="n">
        <v>0.040844</v>
      </c>
      <c r="W1100" s="373" t="n">
        <v>0.002859</v>
      </c>
      <c r="X1100" s="373" t="n">
        <f aca="false">V1100-AD1100-$X$5-W1100</f>
        <v>0.004209</v>
      </c>
      <c r="Y1100" s="373" t="n">
        <v>0.031048</v>
      </c>
      <c r="Z1100" s="373" t="n">
        <v>0.00172</v>
      </c>
      <c r="AA1100" s="373" t="n">
        <v>0.002</v>
      </c>
      <c r="AB1100" s="374" t="n">
        <f aca="false">S1100-Z1100</f>
        <v>-0.00172</v>
      </c>
      <c r="AC1100" s="374" t="n">
        <f aca="false">U1100-Z1100-AA1100</f>
        <v>-0.00372</v>
      </c>
      <c r="AD1100" s="375" t="n">
        <v>0.032</v>
      </c>
      <c r="AE1100" s="373" t="n">
        <v>0.026023</v>
      </c>
      <c r="AF1100" s="376" t="n">
        <f aca="false">AD1100-AE1100</f>
        <v>0.005977</v>
      </c>
      <c r="AG1100" s="377" t="n">
        <f aca="false">IF(AF1100="","",AE1100+AF1100)</f>
        <v>0.032</v>
      </c>
      <c r="AH1100" s="378" t="n">
        <v>46015</v>
      </c>
      <c r="AI1100" s="379" t="n">
        <v>1</v>
      </c>
      <c r="AJ1100" s="380" t="str">
        <f aca="false">IF(AG1100="","N","Y")</f>
        <v>Y</v>
      </c>
      <c r="AK1100" s="396" t="s">
        <v>1262</v>
      </c>
      <c r="AL1100" s="397"/>
    </row>
    <row r="1101" s="382" customFormat="true" ht="16.5" hidden="false" customHeight="true" outlineLevel="0" collapsed="false">
      <c r="A1101" s="364" t="n">
        <v>574</v>
      </c>
      <c r="B1101" s="363" t="n">
        <v>46017</v>
      </c>
      <c r="C1101" s="364" t="s">
        <v>187</v>
      </c>
      <c r="D1101" s="402" t="s">
        <v>1062</v>
      </c>
      <c r="E1101" s="402" t="s">
        <v>1165</v>
      </c>
      <c r="F1101" s="402" t="s">
        <v>877</v>
      </c>
      <c r="G1101" s="365" t="n">
        <v>46017</v>
      </c>
      <c r="H1101" s="365" t="n">
        <v>46027</v>
      </c>
      <c r="I1101" s="364" t="n">
        <f aca="false">H1101-G1101</f>
        <v>10</v>
      </c>
      <c r="J1101" s="366" t="n">
        <f aca="false">TRUNC(I1101/30,0)</f>
        <v>0</v>
      </c>
      <c r="K1101" s="395" t="s">
        <v>95</v>
      </c>
      <c r="L1101" s="368" t="n">
        <v>10</v>
      </c>
      <c r="M1101" s="408"/>
      <c r="N1101" s="409"/>
      <c r="O1101" s="405" t="s">
        <v>305</v>
      </c>
      <c r="P1101" s="410" t="n">
        <v>0.027867</v>
      </c>
      <c r="Q1101" s="371"/>
      <c r="R1101" s="372" t="s">
        <v>914</v>
      </c>
      <c r="S1101" s="373"/>
      <c r="T1101" s="372"/>
      <c r="U1101" s="373"/>
      <c r="V1101" s="412" t="n">
        <v>0.038569</v>
      </c>
      <c r="W1101" s="412" t="n">
        <v>0.0027</v>
      </c>
      <c r="X1101" s="412" t="n">
        <f aca="false">V1101-AD1101-$X$5-W1101</f>
        <v>0.002093</v>
      </c>
      <c r="Y1101" s="412" t="n">
        <v>0.027867</v>
      </c>
      <c r="Z1101" s="412" t="n">
        <v>0.00172</v>
      </c>
      <c r="AA1101" s="412" t="n">
        <v>0.002</v>
      </c>
      <c r="AB1101" s="374" t="n">
        <f aca="false">S1101-Z1101</f>
        <v>-0.00172</v>
      </c>
      <c r="AC1101" s="374" t="n">
        <f aca="false">U1101-Z1101-AA1101</f>
        <v>-0.00372</v>
      </c>
      <c r="AD1101" s="375" t="n">
        <v>0.032</v>
      </c>
      <c r="AE1101" s="412" t="n">
        <v>0.027867</v>
      </c>
      <c r="AF1101" s="412" t="n">
        <f aca="false">AD1101-AE1101</f>
        <v>0.004133</v>
      </c>
      <c r="AG1101" s="377" t="n">
        <v>0.032</v>
      </c>
      <c r="AH1101" s="378" t="n">
        <v>46017</v>
      </c>
      <c r="AI1101" s="379" t="n">
        <v>1</v>
      </c>
      <c r="AJ1101" s="380" t="str">
        <f aca="false">IF(AG1101="","N","Y")</f>
        <v>Y</v>
      </c>
      <c r="AK1101" s="396" t="s">
        <v>1262</v>
      </c>
      <c r="AL1101" s="397"/>
    </row>
    <row r="1102" s="382" customFormat="true" ht="16.5" hidden="false" customHeight="true" outlineLevel="0" collapsed="false">
      <c r="A1102" s="364" t="n">
        <v>575</v>
      </c>
      <c r="B1102" s="363" t="n">
        <v>46017</v>
      </c>
      <c r="C1102" s="364" t="s">
        <v>187</v>
      </c>
      <c r="D1102" s="402" t="s">
        <v>1062</v>
      </c>
      <c r="E1102" s="402" t="s">
        <v>1165</v>
      </c>
      <c r="F1102" s="402" t="s">
        <v>877</v>
      </c>
      <c r="G1102" s="365" t="n">
        <v>46017</v>
      </c>
      <c r="H1102" s="365" t="n">
        <v>46027</v>
      </c>
      <c r="I1102" s="364" t="n">
        <f aca="false">H1102-G1102</f>
        <v>10</v>
      </c>
      <c r="J1102" s="366" t="n">
        <f aca="false">TRUNC(I1102/30,0)</f>
        <v>0</v>
      </c>
      <c r="K1102" s="395" t="s">
        <v>95</v>
      </c>
      <c r="L1102" s="368" t="n">
        <v>10</v>
      </c>
      <c r="M1102" s="408"/>
      <c r="N1102" s="409"/>
      <c r="O1102" s="405" t="s">
        <v>305</v>
      </c>
      <c r="P1102" s="410" t="n">
        <v>0.027867</v>
      </c>
      <c r="Q1102" s="371"/>
      <c r="R1102" s="372" t="s">
        <v>914</v>
      </c>
      <c r="S1102" s="373"/>
      <c r="T1102" s="372"/>
      <c r="U1102" s="373"/>
      <c r="V1102" s="412" t="n">
        <v>0.038569</v>
      </c>
      <c r="W1102" s="412" t="n">
        <v>0.0027</v>
      </c>
      <c r="X1102" s="412" t="n">
        <f aca="false">V1102-AD1102-$X$5-W1102</f>
        <v>0.002093</v>
      </c>
      <c r="Y1102" s="412" t="n">
        <v>0.027867</v>
      </c>
      <c r="Z1102" s="412" t="n">
        <v>0.00172</v>
      </c>
      <c r="AA1102" s="412" t="n">
        <v>0.002</v>
      </c>
      <c r="AB1102" s="374" t="n">
        <f aca="false">S1102-Z1102</f>
        <v>-0.00172</v>
      </c>
      <c r="AC1102" s="374" t="n">
        <f aca="false">U1102-Z1102-AA1102</f>
        <v>-0.00372</v>
      </c>
      <c r="AD1102" s="375" t="n">
        <v>0.032</v>
      </c>
      <c r="AE1102" s="412" t="n">
        <v>0.027867</v>
      </c>
      <c r="AF1102" s="412" t="n">
        <f aca="false">AD1102-AE1102</f>
        <v>0.004133</v>
      </c>
      <c r="AG1102" s="377" t="n">
        <v>0.032</v>
      </c>
      <c r="AH1102" s="378" t="n">
        <v>46017</v>
      </c>
      <c r="AI1102" s="379" t="n">
        <v>2</v>
      </c>
      <c r="AJ1102" s="380" t="str">
        <f aca="false">IF(AG1102="","N","Y")</f>
        <v>Y</v>
      </c>
      <c r="AK1102" s="396" t="s">
        <v>1262</v>
      </c>
      <c r="AL1102" s="397"/>
    </row>
    <row r="1103" s="382" customFormat="true" ht="16.5" hidden="false" customHeight="true" outlineLevel="0" collapsed="false">
      <c r="A1103" s="364" t="n">
        <v>576</v>
      </c>
      <c r="B1103" s="363" t="n">
        <v>46017</v>
      </c>
      <c r="C1103" s="364" t="s">
        <v>187</v>
      </c>
      <c r="D1103" s="402" t="s">
        <v>1062</v>
      </c>
      <c r="E1103" s="402" t="s">
        <v>1165</v>
      </c>
      <c r="F1103" s="402" t="s">
        <v>877</v>
      </c>
      <c r="G1103" s="365" t="n">
        <v>46017</v>
      </c>
      <c r="H1103" s="365" t="n">
        <v>46027</v>
      </c>
      <c r="I1103" s="364" t="n">
        <f aca="false">H1103-G1103</f>
        <v>10</v>
      </c>
      <c r="J1103" s="366" t="n">
        <f aca="false">TRUNC(I1103/30,0)</f>
        <v>0</v>
      </c>
      <c r="K1103" s="395" t="s">
        <v>95</v>
      </c>
      <c r="L1103" s="368" t="n">
        <v>12.6</v>
      </c>
      <c r="M1103" s="408"/>
      <c r="N1103" s="409"/>
      <c r="O1103" s="405" t="s">
        <v>305</v>
      </c>
      <c r="P1103" s="410" t="n">
        <v>0.027867</v>
      </c>
      <c r="Q1103" s="371"/>
      <c r="R1103" s="372" t="s">
        <v>914</v>
      </c>
      <c r="S1103" s="373"/>
      <c r="T1103" s="372"/>
      <c r="U1103" s="373"/>
      <c r="V1103" s="412" t="n">
        <v>0.038569</v>
      </c>
      <c r="W1103" s="412" t="n">
        <v>0.0027</v>
      </c>
      <c r="X1103" s="412" t="n">
        <f aca="false">V1103-AD1103-$X$5-W1103</f>
        <v>0.002093</v>
      </c>
      <c r="Y1103" s="412" t="n">
        <v>0.027867</v>
      </c>
      <c r="Z1103" s="412" t="n">
        <v>0.00172</v>
      </c>
      <c r="AA1103" s="412" t="n">
        <v>0.002</v>
      </c>
      <c r="AB1103" s="374" t="n">
        <f aca="false">S1103-Z1103</f>
        <v>-0.00172</v>
      </c>
      <c r="AC1103" s="374" t="n">
        <f aca="false">U1103-Z1103-AA1103</f>
        <v>-0.00372</v>
      </c>
      <c r="AD1103" s="375" t="n">
        <v>0.032</v>
      </c>
      <c r="AE1103" s="412" t="n">
        <v>0.027867</v>
      </c>
      <c r="AF1103" s="412" t="n">
        <f aca="false">AD1103-AE1103</f>
        <v>0.004133</v>
      </c>
      <c r="AG1103" s="377" t="n">
        <v>0.032</v>
      </c>
      <c r="AH1103" s="378" t="n">
        <v>46017</v>
      </c>
      <c r="AI1103" s="379" t="n">
        <v>3</v>
      </c>
      <c r="AJ1103" s="380" t="str">
        <f aca="false">IF(AG1103="","N","Y")</f>
        <v>Y</v>
      </c>
      <c r="AK1103" s="396" t="s">
        <v>1262</v>
      </c>
      <c r="AL1103" s="397"/>
    </row>
    <row r="1104" s="382" customFormat="true" ht="20.25" hidden="false" customHeight="true" outlineLevel="0" collapsed="false">
      <c r="A1104" s="364" t="n">
        <v>577</v>
      </c>
      <c r="B1104" s="363" t="n">
        <v>46017</v>
      </c>
      <c r="C1104" s="364" t="s">
        <v>187</v>
      </c>
      <c r="D1104" s="402" t="s">
        <v>1062</v>
      </c>
      <c r="E1104" s="402" t="s">
        <v>1165</v>
      </c>
      <c r="F1104" s="402" t="s">
        <v>877</v>
      </c>
      <c r="G1104" s="365" t="n">
        <v>46017</v>
      </c>
      <c r="H1104" s="365" t="n">
        <v>46027</v>
      </c>
      <c r="I1104" s="364" t="n">
        <f aca="false">H1104-G1104</f>
        <v>10</v>
      </c>
      <c r="J1104" s="366" t="n">
        <f aca="false">TRUNC(I1104/30,0)</f>
        <v>0</v>
      </c>
      <c r="K1104" s="395" t="s">
        <v>95</v>
      </c>
      <c r="L1104" s="368" t="n">
        <v>6.5</v>
      </c>
      <c r="M1104" s="408"/>
      <c r="N1104" s="409"/>
      <c r="O1104" s="405" t="s">
        <v>305</v>
      </c>
      <c r="P1104" s="410" t="n">
        <v>0.027867</v>
      </c>
      <c r="Q1104" s="371"/>
      <c r="R1104" s="372" t="s">
        <v>914</v>
      </c>
      <c r="S1104" s="373"/>
      <c r="T1104" s="372"/>
      <c r="U1104" s="373"/>
      <c r="V1104" s="412" t="n">
        <v>0.038569</v>
      </c>
      <c r="W1104" s="412" t="n">
        <v>0.0027</v>
      </c>
      <c r="X1104" s="412" t="n">
        <v>0.002292</v>
      </c>
      <c r="Y1104" s="412" t="n">
        <v>0.027867</v>
      </c>
      <c r="Z1104" s="412" t="n">
        <v>0.00172</v>
      </c>
      <c r="AA1104" s="412" t="n">
        <v>0.002</v>
      </c>
      <c r="AB1104" s="374" t="n">
        <f aca="false">S1104-Z1104</f>
        <v>-0.00172</v>
      </c>
      <c r="AC1104" s="374" t="n">
        <f aca="false">U1104-Z1104-AA1104</f>
        <v>-0.00372</v>
      </c>
      <c r="AD1104" s="375" t="n">
        <v>0.032</v>
      </c>
      <c r="AE1104" s="412" t="n">
        <v>0.027867</v>
      </c>
      <c r="AF1104" s="412" t="n">
        <f aca="false">AD1104-AE1104</f>
        <v>0.004133</v>
      </c>
      <c r="AG1104" s="377" t="n">
        <v>0.032</v>
      </c>
      <c r="AH1104" s="378" t="n">
        <v>46017</v>
      </c>
      <c r="AI1104" s="379" t="n">
        <v>4</v>
      </c>
      <c r="AJ1104" s="380" t="str">
        <f aca="false">IF(AG1104="","N","Y")</f>
        <v>Y</v>
      </c>
      <c r="AK1104" s="396" t="s">
        <v>1262</v>
      </c>
      <c r="AL1104" s="397"/>
    </row>
    <row r="1105" s="382" customFormat="true" ht="20.25" hidden="false" customHeight="true" outlineLevel="0" collapsed="false">
      <c r="A1105" s="364" t="n">
        <v>578</v>
      </c>
      <c r="B1105" s="363" t="n">
        <v>46021</v>
      </c>
      <c r="C1105" s="364" t="s">
        <v>103</v>
      </c>
      <c r="D1105" s="402" t="s">
        <v>1264</v>
      </c>
      <c r="E1105" s="402" t="s">
        <v>1265</v>
      </c>
      <c r="F1105" s="402" t="s">
        <v>1266</v>
      </c>
      <c r="G1105" s="365" t="n">
        <v>46021</v>
      </c>
      <c r="H1105" s="365" t="n">
        <v>46203</v>
      </c>
      <c r="I1105" s="364" t="n">
        <f aca="false">H1105-G1105</f>
        <v>182</v>
      </c>
      <c r="J1105" s="366" t="n">
        <f aca="false">TRUNC(I1105/30,0)</f>
        <v>6</v>
      </c>
      <c r="K1105" s="395" t="s">
        <v>95</v>
      </c>
      <c r="L1105" s="368" t="n">
        <v>9.35</v>
      </c>
      <c r="M1105" s="504" t="s">
        <v>1267</v>
      </c>
      <c r="N1105" s="505" t="s">
        <v>1268</v>
      </c>
      <c r="O1105" s="405" t="s">
        <v>337</v>
      </c>
      <c r="P1105" s="410" t="n">
        <v>0.0108091</v>
      </c>
      <c r="Q1105" s="371"/>
      <c r="R1105" s="372" t="s">
        <v>914</v>
      </c>
      <c r="S1105" s="373"/>
      <c r="T1105" s="372"/>
      <c r="U1105" s="373"/>
      <c r="V1105" s="412" t="n">
        <v>0.015809</v>
      </c>
      <c r="W1105" s="412" t="n">
        <v>0.000316</v>
      </c>
      <c r="X1105" s="412" t="n">
        <v>0.010817</v>
      </c>
      <c r="Y1105" s="412" t="n">
        <v>0.001092</v>
      </c>
      <c r="Z1105" s="412" t="n">
        <v>0.00172</v>
      </c>
      <c r="AA1105" s="412" t="n">
        <v>0.002</v>
      </c>
      <c r="AB1105" s="374" t="n">
        <f aca="false">S1105-Z1105</f>
        <v>-0.00172</v>
      </c>
      <c r="AC1105" s="374" t="n">
        <f aca="false">U1105-Z1105-AA1105</f>
        <v>-0.00372</v>
      </c>
      <c r="AD1105" s="375" t="n">
        <v>0.0029</v>
      </c>
      <c r="AE1105" s="412" t="n">
        <v>0.001092</v>
      </c>
      <c r="AF1105" s="412" t="n">
        <f aca="false">AD1105-AE1105</f>
        <v>0.001808</v>
      </c>
      <c r="AG1105" s="377" t="n">
        <v>0.0029</v>
      </c>
      <c r="AH1105" s="378" t="n">
        <v>46021</v>
      </c>
      <c r="AI1105" s="379" t="n">
        <v>1</v>
      </c>
      <c r="AJ1105" s="380" t="str">
        <f aca="false">IF(AG1105="","N","Y")</f>
        <v>Y</v>
      </c>
      <c r="AK1105" s="396" t="s">
        <v>1269</v>
      </c>
      <c r="AL1105" s="397"/>
    </row>
    <row r="1106" s="382" customFormat="true" ht="20.25" hidden="false" customHeight="true" outlineLevel="0" collapsed="false">
      <c r="A1106" s="364" t="n">
        <v>579</v>
      </c>
      <c r="B1106" s="363" t="n">
        <v>46021</v>
      </c>
      <c r="C1106" s="364" t="s">
        <v>644</v>
      </c>
      <c r="D1106" s="402" t="s">
        <v>1112</v>
      </c>
      <c r="E1106" s="402" t="s">
        <v>492</v>
      </c>
      <c r="F1106" s="402" t="s">
        <v>1270</v>
      </c>
      <c r="G1106" s="365" t="n">
        <v>46021</v>
      </c>
      <c r="H1106" s="365" t="n">
        <v>46052</v>
      </c>
      <c r="I1106" s="364" t="n">
        <f aca="false">H1106-G1106</f>
        <v>31</v>
      </c>
      <c r="J1106" s="366" t="n">
        <f aca="false">TRUNC(I1106/30,0)</f>
        <v>1</v>
      </c>
      <c r="K1106" s="395" t="s">
        <v>95</v>
      </c>
      <c r="L1106" s="368" t="n">
        <v>2</v>
      </c>
      <c r="M1106" s="408"/>
      <c r="N1106" s="409"/>
      <c r="O1106" s="405" t="s">
        <v>255</v>
      </c>
      <c r="P1106" s="410" t="n">
        <v>0.031717</v>
      </c>
      <c r="Q1106" s="371"/>
      <c r="R1106" s="372" t="s">
        <v>914</v>
      </c>
      <c r="S1106" s="373"/>
      <c r="T1106" s="372"/>
      <c r="U1106" s="373"/>
      <c r="V1106" s="412" t="n">
        <v>0.040233</v>
      </c>
      <c r="W1106" s="412" t="n">
        <v>0.000805</v>
      </c>
      <c r="X1106" s="412" t="n">
        <v>0.002352</v>
      </c>
      <c r="Y1106" s="412" t="n">
        <v>0.031717</v>
      </c>
      <c r="Z1106" s="412" t="n">
        <v>0.00172</v>
      </c>
      <c r="AA1106" s="412" t="n">
        <v>0.002</v>
      </c>
      <c r="AB1106" s="374" t="n">
        <f aca="false">S1106-Z1106</f>
        <v>-0.00172</v>
      </c>
      <c r="AC1106" s="374" t="n">
        <f aca="false">U1106-Z1106-AA1106</f>
        <v>-0.00372</v>
      </c>
      <c r="AD1106" s="375" t="n">
        <v>0.0353</v>
      </c>
      <c r="AE1106" s="412" t="n">
        <v>0.031717</v>
      </c>
      <c r="AF1106" s="412" t="n">
        <f aca="false">AD1106-AE1106</f>
        <v>0.003583</v>
      </c>
      <c r="AG1106" s="377" t="n">
        <v>0.0353</v>
      </c>
      <c r="AH1106" s="378" t="n">
        <v>46021</v>
      </c>
      <c r="AI1106" s="379" t="n">
        <v>2</v>
      </c>
      <c r="AJ1106" s="380" t="str">
        <f aca="false">IF(AG1106="","N","Y")</f>
        <v>Y</v>
      </c>
      <c r="AK1106" s="396" t="s">
        <v>1271</v>
      </c>
      <c r="AL1106" s="397"/>
    </row>
    <row r="1107" s="382" customFormat="true" ht="20.25" hidden="false" customHeight="true" outlineLevel="0" collapsed="false">
      <c r="A1107" s="364" t="n">
        <v>580</v>
      </c>
      <c r="B1107" s="363" t="n">
        <v>46021</v>
      </c>
      <c r="C1107" s="364" t="s">
        <v>644</v>
      </c>
      <c r="D1107" s="402" t="s">
        <v>1112</v>
      </c>
      <c r="E1107" s="402" t="s">
        <v>492</v>
      </c>
      <c r="F1107" s="402" t="s">
        <v>1270</v>
      </c>
      <c r="G1107" s="365" t="n">
        <v>46021</v>
      </c>
      <c r="H1107" s="365" t="n">
        <v>46052</v>
      </c>
      <c r="I1107" s="364" t="n">
        <f aca="false">H1107-G1107</f>
        <v>31</v>
      </c>
      <c r="J1107" s="366" t="n">
        <f aca="false">TRUNC(I1107/30,0)</f>
        <v>1</v>
      </c>
      <c r="K1107" s="395" t="s">
        <v>95</v>
      </c>
      <c r="L1107" s="368" t="n">
        <v>3</v>
      </c>
      <c r="M1107" s="408"/>
      <c r="N1107" s="409"/>
      <c r="O1107" s="405" t="s">
        <v>255</v>
      </c>
      <c r="P1107" s="410" t="n">
        <v>0.031717</v>
      </c>
      <c r="Q1107" s="371"/>
      <c r="R1107" s="372" t="s">
        <v>914</v>
      </c>
      <c r="S1107" s="373"/>
      <c r="T1107" s="372"/>
      <c r="U1107" s="373"/>
      <c r="V1107" s="412" t="n">
        <v>0.040233</v>
      </c>
      <c r="W1107" s="412" t="n">
        <v>0.000805</v>
      </c>
      <c r="X1107" s="412" t="n">
        <v>0.002352</v>
      </c>
      <c r="Y1107" s="412" t="n">
        <v>0.031717</v>
      </c>
      <c r="Z1107" s="412" t="n">
        <v>0.00172</v>
      </c>
      <c r="AA1107" s="412" t="n">
        <v>0.002</v>
      </c>
      <c r="AB1107" s="374" t="n">
        <f aca="false">S1107-Z1107</f>
        <v>-0.00172</v>
      </c>
      <c r="AC1107" s="374" t="n">
        <f aca="false">U1107-Z1107-AA1107</f>
        <v>-0.00372</v>
      </c>
      <c r="AD1107" s="375" t="n">
        <v>0.0353</v>
      </c>
      <c r="AE1107" s="412" t="n">
        <v>0.031717</v>
      </c>
      <c r="AF1107" s="412" t="n">
        <f aca="false">AD1107-AE1107</f>
        <v>0.003583</v>
      </c>
      <c r="AG1107" s="377" t="n">
        <v>0.0353</v>
      </c>
      <c r="AH1107" s="378" t="n">
        <v>46021</v>
      </c>
      <c r="AI1107" s="379" t="n">
        <v>3</v>
      </c>
      <c r="AJ1107" s="380" t="str">
        <f aca="false">IF(AG1107="","N","Y")</f>
        <v>Y</v>
      </c>
      <c r="AK1107" s="396" t="s">
        <v>1271</v>
      </c>
      <c r="AL1107" s="397"/>
    </row>
    <row r="1108" s="382" customFormat="true" ht="20.25" hidden="false" customHeight="true" outlineLevel="0" collapsed="false">
      <c r="A1108" s="364" t="n">
        <v>581</v>
      </c>
      <c r="B1108" s="363" t="n">
        <v>46024</v>
      </c>
      <c r="C1108" s="364" t="s">
        <v>1184</v>
      </c>
      <c r="D1108" s="364" t="s">
        <v>1185</v>
      </c>
      <c r="E1108" s="364" t="s">
        <v>1186</v>
      </c>
      <c r="F1108" s="364" t="s">
        <v>1187</v>
      </c>
      <c r="G1108" s="365" t="n">
        <v>46024</v>
      </c>
      <c r="H1108" s="365" t="n">
        <v>46055</v>
      </c>
      <c r="I1108" s="364" t="n">
        <f aca="false">H1108-G1108</f>
        <v>31</v>
      </c>
      <c r="J1108" s="366" t="n">
        <f aca="false">TRUNC(I1108/30,0)</f>
        <v>1</v>
      </c>
      <c r="K1108" s="367" t="s">
        <v>99</v>
      </c>
      <c r="L1108" s="368" t="n">
        <v>7.4</v>
      </c>
      <c r="M1108" s="369"/>
      <c r="N1108" s="370"/>
      <c r="O1108" s="366" t="s">
        <v>303</v>
      </c>
      <c r="P1108" s="371" t="n">
        <v>0.0368751</v>
      </c>
      <c r="Q1108" s="371"/>
      <c r="R1108" s="372" t="s">
        <v>914</v>
      </c>
      <c r="S1108" s="373"/>
      <c r="T1108" s="372"/>
      <c r="U1108" s="373"/>
      <c r="V1108" s="373" t="n">
        <v>0.040552</v>
      </c>
      <c r="W1108" s="373" t="n">
        <v>0.002839</v>
      </c>
      <c r="X1108" s="373" t="n">
        <v>0.004437</v>
      </c>
      <c r="Y1108" s="373" t="n">
        <v>0.026159</v>
      </c>
      <c r="Z1108" s="373" t="n">
        <v>0.00172</v>
      </c>
      <c r="AA1108" s="373" t="n">
        <v>0.002</v>
      </c>
      <c r="AB1108" s="374" t="n">
        <f aca="false">S1108-Z1108</f>
        <v>-0.00172</v>
      </c>
      <c r="AC1108" s="374" t="n">
        <f aca="false">U1108-Z1108-AA1108</f>
        <v>-0.00372</v>
      </c>
      <c r="AD1108" s="375" t="n">
        <v>0.0315</v>
      </c>
      <c r="AE1108" s="373" t="n">
        <v>0.026159</v>
      </c>
      <c r="AF1108" s="376" t="n">
        <f aca="false">AD1108-AE1108</f>
        <v>0.005341</v>
      </c>
      <c r="AG1108" s="375" t="n">
        <v>0.0315</v>
      </c>
      <c r="AH1108" s="378" t="n">
        <v>46024</v>
      </c>
      <c r="AI1108" s="379" t="n">
        <v>1</v>
      </c>
      <c r="AJ1108" s="380" t="str">
        <f aca="false">IF(AG1108="","N","Y")</f>
        <v>Y</v>
      </c>
      <c r="AK1108" s="396" t="s">
        <v>1262</v>
      </c>
      <c r="AL1108" s="397"/>
    </row>
    <row r="1109" s="382" customFormat="true" ht="20.25" hidden="false" customHeight="true" outlineLevel="0" collapsed="false">
      <c r="A1109" s="364" t="n">
        <v>582</v>
      </c>
      <c r="B1109" s="363" t="n">
        <v>46024</v>
      </c>
      <c r="C1109" s="364" t="s">
        <v>103</v>
      </c>
      <c r="D1109" s="364" t="s">
        <v>1146</v>
      </c>
      <c r="E1109" s="364" t="s">
        <v>1264</v>
      </c>
      <c r="F1109" s="364" t="s">
        <v>1158</v>
      </c>
      <c r="G1109" s="365" t="n">
        <v>46024</v>
      </c>
      <c r="H1109" s="365" t="n">
        <v>46055</v>
      </c>
      <c r="I1109" s="364" t="n">
        <f aca="false">H1109-G1109</f>
        <v>31</v>
      </c>
      <c r="J1109" s="366" t="n">
        <f aca="false">TRUNC(I1109/30,0)</f>
        <v>1</v>
      </c>
      <c r="K1109" s="395" t="s">
        <v>95</v>
      </c>
      <c r="L1109" s="368" t="n">
        <v>2</v>
      </c>
      <c r="M1109" s="369"/>
      <c r="N1109" s="370"/>
      <c r="O1109" s="366" t="s">
        <v>303</v>
      </c>
      <c r="P1109" s="371" t="n">
        <v>0.0368751</v>
      </c>
      <c r="Q1109" s="371"/>
      <c r="R1109" s="372" t="s">
        <v>914</v>
      </c>
      <c r="S1109" s="373"/>
      <c r="T1109" s="372"/>
      <c r="U1109" s="373"/>
      <c r="V1109" s="373" t="n">
        <v>0.040014</v>
      </c>
      <c r="W1109" s="373" t="n">
        <v>0.0008</v>
      </c>
      <c r="X1109" s="373" t="n">
        <v>0.002338</v>
      </c>
      <c r="Y1109" s="373" t="n">
        <v>0.031437</v>
      </c>
      <c r="Z1109" s="373" t="n">
        <v>0.00172</v>
      </c>
      <c r="AA1109" s="373" t="n">
        <v>0.002</v>
      </c>
      <c r="AB1109" s="374" t="n">
        <f aca="false">S1109-Z1109</f>
        <v>-0.00172</v>
      </c>
      <c r="AC1109" s="374" t="n">
        <f aca="false">U1109-Z1109-AA1109</f>
        <v>-0.00372</v>
      </c>
      <c r="AD1109" s="375" t="n">
        <v>0.0351</v>
      </c>
      <c r="AE1109" s="373" t="n">
        <v>0.031437</v>
      </c>
      <c r="AF1109" s="376" t="n">
        <f aca="false">AD1109-AE1109</f>
        <v>0.003663</v>
      </c>
      <c r="AG1109" s="375" t="n">
        <v>0.0351</v>
      </c>
      <c r="AH1109" s="378" t="n">
        <v>46024</v>
      </c>
      <c r="AI1109" s="379" t="n">
        <v>2</v>
      </c>
      <c r="AJ1109" s="380" t="str">
        <f aca="false">IF(AG1109="","N","Y")</f>
        <v>Y</v>
      </c>
      <c r="AK1109" s="396" t="s">
        <v>1271</v>
      </c>
      <c r="AL1109" s="397"/>
    </row>
    <row r="1110" s="382" customFormat="true" ht="20.25" hidden="false" customHeight="true" outlineLevel="0" collapsed="false">
      <c r="A1110" s="364" t="n">
        <v>583</v>
      </c>
      <c r="B1110" s="363" t="n">
        <v>46024</v>
      </c>
      <c r="C1110" s="364" t="s">
        <v>925</v>
      </c>
      <c r="D1110" s="364" t="s">
        <v>1272</v>
      </c>
      <c r="E1110" s="364" t="s">
        <v>987</v>
      </c>
      <c r="F1110" s="364" t="s">
        <v>1234</v>
      </c>
      <c r="G1110" s="365" t="n">
        <v>46024</v>
      </c>
      <c r="H1110" s="365" t="n">
        <v>46055</v>
      </c>
      <c r="I1110" s="364" t="n">
        <f aca="false">H1110-G1110</f>
        <v>31</v>
      </c>
      <c r="J1110" s="366" t="n">
        <f aca="false">TRUNC(I1110/30,0)</f>
        <v>1</v>
      </c>
      <c r="K1110" s="395" t="s">
        <v>95</v>
      </c>
      <c r="L1110" s="368" t="n">
        <v>2</v>
      </c>
      <c r="M1110" s="369"/>
      <c r="N1110" s="370"/>
      <c r="O1110" s="366" t="s">
        <v>303</v>
      </c>
      <c r="P1110" s="371" t="n">
        <v>0.0368751</v>
      </c>
      <c r="Q1110" s="371"/>
      <c r="R1110" s="372" t="s">
        <v>914</v>
      </c>
      <c r="S1110" s="373"/>
      <c r="T1110" s="372"/>
      <c r="U1110" s="373"/>
      <c r="V1110" s="373" t="n">
        <v>0.040014</v>
      </c>
      <c r="W1110" s="373" t="n">
        <v>0.0008</v>
      </c>
      <c r="X1110" s="373" t="n">
        <v>0.00248</v>
      </c>
      <c r="Y1110" s="373" t="n">
        <v>0.031437</v>
      </c>
      <c r="Z1110" s="373" t="n">
        <v>0.00172</v>
      </c>
      <c r="AA1110" s="373" t="n">
        <v>0.002</v>
      </c>
      <c r="AB1110" s="374" t="n">
        <f aca="false">S1110-Z1110</f>
        <v>-0.00172</v>
      </c>
      <c r="AC1110" s="374" t="n">
        <f aca="false">U1110-Z1110-AA1110</f>
        <v>-0.00372</v>
      </c>
      <c r="AD1110" s="375" t="n">
        <v>0.035</v>
      </c>
      <c r="AE1110" s="373" t="n">
        <v>0.031437</v>
      </c>
      <c r="AF1110" s="376" t="n">
        <f aca="false">AD1110-AE1110</f>
        <v>0.003563</v>
      </c>
      <c r="AG1110" s="375" t="n">
        <v>0.035</v>
      </c>
      <c r="AH1110" s="378" t="n">
        <v>46024</v>
      </c>
      <c r="AI1110" s="379" t="n">
        <v>3</v>
      </c>
      <c r="AJ1110" s="380" t="str">
        <f aca="false">IF(AG1110="","N","Y")</f>
        <v>Y</v>
      </c>
      <c r="AK1110" s="396" t="s">
        <v>1271</v>
      </c>
      <c r="AL1110" s="397"/>
    </row>
    <row r="1111" s="382" customFormat="true" ht="20.25" hidden="false" customHeight="true" outlineLevel="0" collapsed="false">
      <c r="A1111" s="364" t="n">
        <v>584</v>
      </c>
      <c r="B1111" s="363" t="n">
        <v>46024</v>
      </c>
      <c r="C1111" s="364" t="s">
        <v>770</v>
      </c>
      <c r="D1111" s="364" t="s">
        <v>1118</v>
      </c>
      <c r="E1111" s="364" t="s">
        <v>1273</v>
      </c>
      <c r="F1111" s="364" t="s">
        <v>773</v>
      </c>
      <c r="G1111" s="365" t="n">
        <v>46024</v>
      </c>
      <c r="H1111" s="365" t="n">
        <v>46055</v>
      </c>
      <c r="I1111" s="364" t="n">
        <f aca="false">H1111-G1111</f>
        <v>31</v>
      </c>
      <c r="J1111" s="366" t="n">
        <f aca="false">TRUNC(I1111/30,0)</f>
        <v>1</v>
      </c>
      <c r="K1111" s="367" t="s">
        <v>99</v>
      </c>
      <c r="L1111" s="368" t="n">
        <v>1.46</v>
      </c>
      <c r="M1111" s="369"/>
      <c r="N1111" s="370"/>
      <c r="O1111" s="366" t="s">
        <v>303</v>
      </c>
      <c r="P1111" s="371" t="n">
        <v>0.0368751</v>
      </c>
      <c r="Q1111" s="371"/>
      <c r="R1111" s="372" t="s">
        <v>914</v>
      </c>
      <c r="S1111" s="373"/>
      <c r="T1111" s="372"/>
      <c r="U1111" s="373"/>
      <c r="V1111" s="373" t="n">
        <v>0.040552</v>
      </c>
      <c r="W1111" s="373" t="n">
        <v>0.002839</v>
      </c>
      <c r="X1111" s="373" t="n">
        <v>0.005937</v>
      </c>
      <c r="Y1111" s="373" t="n">
        <v>0.026159</v>
      </c>
      <c r="Z1111" s="373" t="n">
        <v>0.00172</v>
      </c>
      <c r="AA1111" s="373" t="n">
        <v>0.002</v>
      </c>
      <c r="AB1111" s="374" t="n">
        <f aca="false">S1111-Z1111</f>
        <v>-0.00172</v>
      </c>
      <c r="AC1111" s="374" t="n">
        <f aca="false">U1111-Z1111-AA1111</f>
        <v>-0.00372</v>
      </c>
      <c r="AD1111" s="375" t="n">
        <v>0.03</v>
      </c>
      <c r="AE1111" s="373" t="n">
        <v>0.026159</v>
      </c>
      <c r="AF1111" s="376" t="n">
        <f aca="false">AD1111-AE1111</f>
        <v>0.003841</v>
      </c>
      <c r="AG1111" s="375" t="n">
        <v>0.03</v>
      </c>
      <c r="AH1111" s="378" t="n">
        <v>46024</v>
      </c>
      <c r="AI1111" s="379" t="n">
        <v>4</v>
      </c>
      <c r="AJ1111" s="380" t="str">
        <f aca="false">IF(AG1111="","N","Y")</f>
        <v>Y</v>
      </c>
      <c r="AK1111" s="396" t="s">
        <v>1262</v>
      </c>
      <c r="AL1111" s="397"/>
    </row>
    <row r="1112" s="382" customFormat="true" ht="20.25" hidden="false" customHeight="true" outlineLevel="0" collapsed="false">
      <c r="A1112" s="364" t="n">
        <v>585</v>
      </c>
      <c r="B1112" s="363" t="n">
        <v>46024</v>
      </c>
      <c r="C1112" s="364" t="s">
        <v>187</v>
      </c>
      <c r="D1112" s="364" t="s">
        <v>1274</v>
      </c>
      <c r="E1112" s="364" t="s">
        <v>1275</v>
      </c>
      <c r="F1112" s="364" t="s">
        <v>457</v>
      </c>
      <c r="G1112" s="365" t="n">
        <v>46024</v>
      </c>
      <c r="H1112" s="365" t="n">
        <v>46391</v>
      </c>
      <c r="I1112" s="364" t="n">
        <f aca="false">H1112-G1112</f>
        <v>367</v>
      </c>
      <c r="J1112" s="366" t="n">
        <f aca="false">TRUNC(I1112/30,0)</f>
        <v>12</v>
      </c>
      <c r="K1112" s="395" t="s">
        <v>95</v>
      </c>
      <c r="L1112" s="368" t="n">
        <v>2</v>
      </c>
      <c r="M1112" s="369"/>
      <c r="N1112" s="370"/>
      <c r="O1112" s="366" t="s">
        <v>340</v>
      </c>
      <c r="P1112" s="371" t="n">
        <v>0.034169</v>
      </c>
      <c r="Q1112" s="371"/>
      <c r="R1112" s="372" t="s">
        <v>914</v>
      </c>
      <c r="S1112" s="373"/>
      <c r="T1112" s="372"/>
      <c r="U1112" s="373"/>
      <c r="V1112" s="373" t="n">
        <v>0.04743</v>
      </c>
      <c r="W1112" s="373" t="n">
        <v>0.000815</v>
      </c>
      <c r="X1112" s="373" t="n">
        <v>0.003652</v>
      </c>
      <c r="Y1112" s="373" t="n">
        <v>0.03</v>
      </c>
      <c r="Z1112" s="373" t="n">
        <v>0.00172</v>
      </c>
      <c r="AA1112" s="373" t="n">
        <v>0.002</v>
      </c>
      <c r="AB1112" s="374" t="n">
        <f aca="false">S1112-Z1112</f>
        <v>-0.00172</v>
      </c>
      <c r="AC1112" s="374" t="n">
        <f aca="false">U1112-Z1112-AA1112</f>
        <v>-0.00372</v>
      </c>
      <c r="AD1112" s="375" t="n">
        <v>0.0345</v>
      </c>
      <c r="AE1112" s="373" t="n">
        <v>0.03</v>
      </c>
      <c r="AF1112" s="376" t="n">
        <f aca="false">AD1112-AE1112</f>
        <v>0.0045</v>
      </c>
      <c r="AG1112" s="375" t="n">
        <v>0.0345</v>
      </c>
      <c r="AH1112" s="378" t="n">
        <v>46024</v>
      </c>
      <c r="AI1112" s="379" t="n">
        <v>5</v>
      </c>
      <c r="AJ1112" s="380" t="str">
        <f aca="false">IF(AG1112="","N","Y")</f>
        <v>Y</v>
      </c>
      <c r="AK1112" s="396" t="s">
        <v>1276</v>
      </c>
      <c r="AL1112" s="397"/>
    </row>
    <row r="1113" s="382" customFormat="true" ht="20.25" hidden="false" customHeight="true" outlineLevel="0" collapsed="false">
      <c r="A1113" s="364" t="n">
        <v>586</v>
      </c>
      <c r="B1113" s="363" t="n">
        <v>46024</v>
      </c>
      <c r="C1113" s="364" t="s">
        <v>187</v>
      </c>
      <c r="D1113" s="364" t="s">
        <v>1277</v>
      </c>
      <c r="E1113" s="364" t="s">
        <v>1278</v>
      </c>
      <c r="F1113" s="364" t="s">
        <v>1120</v>
      </c>
      <c r="G1113" s="365" t="n">
        <v>46024</v>
      </c>
      <c r="H1113" s="365" t="n">
        <v>46055</v>
      </c>
      <c r="I1113" s="364" t="n">
        <f aca="false">H1113-G1113</f>
        <v>31</v>
      </c>
      <c r="J1113" s="366" t="n">
        <f aca="false">TRUNC(I1113/30,0)</f>
        <v>1</v>
      </c>
      <c r="K1113" s="367" t="s">
        <v>99</v>
      </c>
      <c r="L1113" s="368" t="n">
        <v>4</v>
      </c>
      <c r="M1113" s="369"/>
      <c r="N1113" s="370"/>
      <c r="O1113" s="366" t="s">
        <v>303</v>
      </c>
      <c r="P1113" s="371" t="n">
        <v>0.0368751</v>
      </c>
      <c r="Q1113" s="371"/>
      <c r="R1113" s="372" t="s">
        <v>914</v>
      </c>
      <c r="S1113" s="373"/>
      <c r="T1113" s="372"/>
      <c r="U1113" s="373"/>
      <c r="V1113" s="373" t="n">
        <v>0.040552</v>
      </c>
      <c r="W1113" s="373" t="n">
        <v>0.002839</v>
      </c>
      <c r="X1113" s="373" t="n">
        <v>0.004437</v>
      </c>
      <c r="Y1113" s="373" t="n">
        <v>0.026159</v>
      </c>
      <c r="Z1113" s="373" t="n">
        <v>0.00172</v>
      </c>
      <c r="AA1113" s="373" t="n">
        <v>0.002</v>
      </c>
      <c r="AB1113" s="374" t="n">
        <f aca="false">S1113-Z1113</f>
        <v>-0.00172</v>
      </c>
      <c r="AC1113" s="374" t="n">
        <f aca="false">U1113-Z1113-AA1113</f>
        <v>-0.00372</v>
      </c>
      <c r="AD1113" s="375" t="n">
        <v>0.032</v>
      </c>
      <c r="AE1113" s="373" t="n">
        <v>0.026159</v>
      </c>
      <c r="AF1113" s="376" t="n">
        <v>0.003842</v>
      </c>
      <c r="AG1113" s="506" t="n">
        <v>0.032</v>
      </c>
      <c r="AH1113" s="378" t="n">
        <v>46024</v>
      </c>
      <c r="AI1113" s="379" t="n">
        <v>6</v>
      </c>
      <c r="AJ1113" s="380" t="str">
        <f aca="false">IF(AG1113="","N","Y")</f>
        <v>Y</v>
      </c>
      <c r="AK1113" s="396" t="s">
        <v>1262</v>
      </c>
      <c r="AL1113" s="397"/>
    </row>
    <row r="1114" s="382" customFormat="true" ht="20.25" hidden="false" customHeight="true" outlineLevel="0" collapsed="false">
      <c r="A1114" s="364" t="n">
        <v>587</v>
      </c>
      <c r="B1114" s="363" t="n">
        <v>46027</v>
      </c>
      <c r="C1114" s="364" t="s">
        <v>187</v>
      </c>
      <c r="D1114" s="364" t="s">
        <v>1062</v>
      </c>
      <c r="E1114" s="364" t="s">
        <v>1165</v>
      </c>
      <c r="F1114" s="364" t="s">
        <v>877</v>
      </c>
      <c r="G1114" s="365" t="n">
        <v>46027</v>
      </c>
      <c r="H1114" s="365" t="n">
        <v>46038</v>
      </c>
      <c r="I1114" s="364" t="n">
        <f aca="false">H1114-G1114</f>
        <v>11</v>
      </c>
      <c r="J1114" s="366" t="n">
        <f aca="false">TRUNC(I1114/30,0)</f>
        <v>0</v>
      </c>
      <c r="K1114" s="395" t="s">
        <v>95</v>
      </c>
      <c r="L1114" s="368" t="n">
        <v>10.02</v>
      </c>
      <c r="M1114" s="408"/>
      <c r="N1114" s="409"/>
      <c r="O1114" s="405" t="s">
        <v>305</v>
      </c>
      <c r="P1114" s="410" t="n">
        <v>0.0383119</v>
      </c>
      <c r="Q1114" s="371"/>
      <c r="R1114" s="372" t="s">
        <v>914</v>
      </c>
      <c r="S1114" s="373"/>
      <c r="T1114" s="372"/>
      <c r="U1114" s="373"/>
      <c r="V1114" s="412" t="n">
        <v>0.038701</v>
      </c>
      <c r="W1114" s="412" t="n">
        <v>0.002709</v>
      </c>
      <c r="X1114" s="373" t="n">
        <f aca="false">V1114-AD1114-$X$5-W1114</f>
        <v>0.002216</v>
      </c>
      <c r="Y1114" s="412" t="n">
        <v>0.02933</v>
      </c>
      <c r="Z1114" s="412" t="n">
        <v>0.00172</v>
      </c>
      <c r="AA1114" s="412" t="n">
        <v>0.002</v>
      </c>
      <c r="AB1114" s="374" t="n">
        <f aca="false">S1114-Z1114</f>
        <v>-0.00172</v>
      </c>
      <c r="AC1114" s="374" t="n">
        <f aca="false">U1114-Z1114-AA1114</f>
        <v>-0.00372</v>
      </c>
      <c r="AD1114" s="375" t="n">
        <v>0.032</v>
      </c>
      <c r="AE1114" s="412" t="n">
        <v>0.029681</v>
      </c>
      <c r="AF1114" s="412" t="n">
        <f aca="false">AD1114-AE1114</f>
        <v>0.002319</v>
      </c>
      <c r="AG1114" s="375" t="n">
        <v>0.032</v>
      </c>
      <c r="AH1114" s="378" t="n">
        <v>46027</v>
      </c>
      <c r="AI1114" s="379" t="n">
        <v>1</v>
      </c>
      <c r="AJ1114" s="380" t="str">
        <f aca="false">IF(AG1114="","N","Y")</f>
        <v>Y</v>
      </c>
      <c r="AK1114" s="396" t="s">
        <v>1279</v>
      </c>
      <c r="AL1114" s="397"/>
    </row>
    <row r="1115" s="382" customFormat="true" ht="20.25" hidden="false" customHeight="true" outlineLevel="0" collapsed="false">
      <c r="A1115" s="364" t="n">
        <v>588</v>
      </c>
      <c r="B1115" s="363" t="n">
        <v>46027</v>
      </c>
      <c r="C1115" s="364" t="s">
        <v>187</v>
      </c>
      <c r="D1115" s="364" t="s">
        <v>1062</v>
      </c>
      <c r="E1115" s="364" t="s">
        <v>1165</v>
      </c>
      <c r="F1115" s="364" t="s">
        <v>877</v>
      </c>
      <c r="G1115" s="365" t="n">
        <v>46027</v>
      </c>
      <c r="H1115" s="365" t="n">
        <v>46038</v>
      </c>
      <c r="I1115" s="364" t="n">
        <f aca="false">H1115-G1115</f>
        <v>11</v>
      </c>
      <c r="J1115" s="366" t="n">
        <f aca="false">TRUNC(I1115/30,0)</f>
        <v>0</v>
      </c>
      <c r="K1115" s="395" t="s">
        <v>95</v>
      </c>
      <c r="L1115" s="368" t="n">
        <v>10.02</v>
      </c>
      <c r="M1115" s="408"/>
      <c r="N1115" s="409"/>
      <c r="O1115" s="405" t="s">
        <v>305</v>
      </c>
      <c r="P1115" s="410" t="n">
        <v>0.0383119</v>
      </c>
      <c r="Q1115" s="371"/>
      <c r="R1115" s="372" t="s">
        <v>914</v>
      </c>
      <c r="S1115" s="373"/>
      <c r="T1115" s="372"/>
      <c r="U1115" s="373"/>
      <c r="V1115" s="412" t="n">
        <v>0.038701</v>
      </c>
      <c r="W1115" s="412" t="n">
        <v>0.002709</v>
      </c>
      <c r="X1115" s="373" t="n">
        <f aca="false">V1115-AD1115-$X$5-W1115</f>
        <v>0.002216</v>
      </c>
      <c r="Y1115" s="412" t="n">
        <v>0.02933</v>
      </c>
      <c r="Z1115" s="412" t="n">
        <v>0.00172</v>
      </c>
      <c r="AA1115" s="412" t="n">
        <v>0.002</v>
      </c>
      <c r="AB1115" s="374" t="n">
        <f aca="false">S1115-Z1115</f>
        <v>-0.00172</v>
      </c>
      <c r="AC1115" s="374" t="n">
        <f aca="false">U1115-Z1115-AA1115</f>
        <v>-0.00372</v>
      </c>
      <c r="AD1115" s="375" t="n">
        <v>0.032</v>
      </c>
      <c r="AE1115" s="412" t="n">
        <v>0.029681</v>
      </c>
      <c r="AF1115" s="412" t="n">
        <f aca="false">AD1115-AE1115</f>
        <v>0.002319</v>
      </c>
      <c r="AG1115" s="375" t="n">
        <v>0.032</v>
      </c>
      <c r="AH1115" s="378" t="n">
        <v>46027</v>
      </c>
      <c r="AI1115" s="379" t="n">
        <v>2</v>
      </c>
      <c r="AJ1115" s="380" t="str">
        <f aca="false">IF(AG1115="","N","Y")</f>
        <v>Y</v>
      </c>
      <c r="AK1115" s="396" t="s">
        <v>1279</v>
      </c>
      <c r="AL1115" s="397"/>
    </row>
    <row r="1116" s="382" customFormat="true" ht="20.25" hidden="false" customHeight="true" outlineLevel="0" collapsed="false">
      <c r="A1116" s="364" t="n">
        <v>589</v>
      </c>
      <c r="B1116" s="363" t="n">
        <v>46027</v>
      </c>
      <c r="C1116" s="364" t="s">
        <v>187</v>
      </c>
      <c r="D1116" s="364" t="s">
        <v>1062</v>
      </c>
      <c r="E1116" s="364" t="s">
        <v>1165</v>
      </c>
      <c r="F1116" s="364" t="s">
        <v>877</v>
      </c>
      <c r="G1116" s="365" t="n">
        <v>46027</v>
      </c>
      <c r="H1116" s="365" t="n">
        <v>46038</v>
      </c>
      <c r="I1116" s="364" t="n">
        <f aca="false">H1116-G1116</f>
        <v>11</v>
      </c>
      <c r="J1116" s="366" t="n">
        <f aca="false">TRUNC(I1116/30,0)</f>
        <v>0</v>
      </c>
      <c r="K1116" s="395" t="s">
        <v>95</v>
      </c>
      <c r="L1116" s="368" t="n">
        <v>12.62</v>
      </c>
      <c r="M1116" s="408"/>
      <c r="N1116" s="409"/>
      <c r="O1116" s="405" t="s">
        <v>305</v>
      </c>
      <c r="P1116" s="410" t="n">
        <v>0.0383119</v>
      </c>
      <c r="Q1116" s="371"/>
      <c r="R1116" s="372" t="s">
        <v>914</v>
      </c>
      <c r="S1116" s="373"/>
      <c r="T1116" s="372"/>
      <c r="U1116" s="373"/>
      <c r="V1116" s="412" t="n">
        <v>0.038701</v>
      </c>
      <c r="W1116" s="412" t="n">
        <v>0.002709</v>
      </c>
      <c r="X1116" s="373" t="n">
        <f aca="false">V1116-AD1116-$X$5-W1116</f>
        <v>0.002216</v>
      </c>
      <c r="Y1116" s="412" t="n">
        <v>0.02933</v>
      </c>
      <c r="Z1116" s="412" t="n">
        <v>0.00172</v>
      </c>
      <c r="AA1116" s="412" t="n">
        <v>0.002</v>
      </c>
      <c r="AB1116" s="374" t="n">
        <f aca="false">S1116-Z1116</f>
        <v>-0.00172</v>
      </c>
      <c r="AC1116" s="374" t="n">
        <f aca="false">U1116-Z1116-AA1116</f>
        <v>-0.00372</v>
      </c>
      <c r="AD1116" s="375" t="n">
        <v>0.032</v>
      </c>
      <c r="AE1116" s="412" t="n">
        <v>0.029681</v>
      </c>
      <c r="AF1116" s="412" t="n">
        <f aca="false">AD1116-AE1116</f>
        <v>0.002319</v>
      </c>
      <c r="AG1116" s="375" t="n">
        <v>0.032</v>
      </c>
      <c r="AH1116" s="378" t="n">
        <v>46027</v>
      </c>
      <c r="AI1116" s="379" t="n">
        <v>3</v>
      </c>
      <c r="AJ1116" s="380" t="str">
        <f aca="false">IF(AG1116="","N","Y")</f>
        <v>Y</v>
      </c>
      <c r="AK1116" s="396" t="s">
        <v>1279</v>
      </c>
      <c r="AL1116" s="397"/>
    </row>
    <row r="1117" s="382" customFormat="true" ht="20.25" hidden="false" customHeight="true" outlineLevel="0" collapsed="false">
      <c r="A1117" s="364" t="n">
        <v>590</v>
      </c>
      <c r="B1117" s="363" t="n">
        <v>46027</v>
      </c>
      <c r="C1117" s="364" t="s">
        <v>187</v>
      </c>
      <c r="D1117" s="364" t="s">
        <v>1062</v>
      </c>
      <c r="E1117" s="364" t="s">
        <v>1165</v>
      </c>
      <c r="F1117" s="364" t="s">
        <v>877</v>
      </c>
      <c r="G1117" s="365" t="n">
        <v>46027</v>
      </c>
      <c r="H1117" s="365" t="n">
        <v>46038</v>
      </c>
      <c r="I1117" s="364" t="n">
        <f aca="false">H1117-G1117</f>
        <v>11</v>
      </c>
      <c r="J1117" s="366" t="n">
        <f aca="false">TRUNC(I1117/30,0)</f>
        <v>0</v>
      </c>
      <c r="K1117" s="395" t="s">
        <v>95</v>
      </c>
      <c r="L1117" s="368" t="n">
        <v>6.5</v>
      </c>
      <c r="M1117" s="408"/>
      <c r="N1117" s="409"/>
      <c r="O1117" s="405" t="s">
        <v>305</v>
      </c>
      <c r="P1117" s="410" t="n">
        <v>0.0383119</v>
      </c>
      <c r="Q1117" s="371"/>
      <c r="R1117" s="372" t="s">
        <v>914</v>
      </c>
      <c r="S1117" s="373"/>
      <c r="T1117" s="372"/>
      <c r="U1117" s="373"/>
      <c r="V1117" s="412" t="n">
        <v>0.038701</v>
      </c>
      <c r="W1117" s="412" t="n">
        <v>0.002709</v>
      </c>
      <c r="X1117" s="373" t="n">
        <f aca="false">V1117-AD1117-$X$5-W1117</f>
        <v>0.002216</v>
      </c>
      <c r="Y1117" s="412" t="n">
        <v>0.02933</v>
      </c>
      <c r="Z1117" s="412" t="n">
        <v>0.00172</v>
      </c>
      <c r="AA1117" s="412" t="n">
        <v>0.002</v>
      </c>
      <c r="AB1117" s="374" t="n">
        <f aca="false">S1117-Z1117</f>
        <v>-0.00172</v>
      </c>
      <c r="AC1117" s="374" t="n">
        <f aca="false">U1117-Z1117-AA1117</f>
        <v>-0.00372</v>
      </c>
      <c r="AD1117" s="375" t="n">
        <v>0.032</v>
      </c>
      <c r="AE1117" s="412" t="n">
        <v>0.029681</v>
      </c>
      <c r="AF1117" s="412" t="n">
        <f aca="false">AD1117-AE1117</f>
        <v>0.002319</v>
      </c>
      <c r="AG1117" s="375" t="n">
        <v>0.032</v>
      </c>
      <c r="AH1117" s="378" t="n">
        <v>46027</v>
      </c>
      <c r="AI1117" s="379" t="n">
        <v>4</v>
      </c>
      <c r="AJ1117" s="380" t="str">
        <f aca="false">IF(AG1117="","N","Y")</f>
        <v>Y</v>
      </c>
      <c r="AK1117" s="396" t="s">
        <v>1279</v>
      </c>
      <c r="AL1117" s="397"/>
    </row>
    <row r="1118" s="382" customFormat="true" ht="20.25" hidden="false" customHeight="true" outlineLevel="0" collapsed="false">
      <c r="A1118" s="364" t="n">
        <v>591</v>
      </c>
      <c r="B1118" s="363" t="n">
        <v>46027</v>
      </c>
      <c r="C1118" s="364" t="s">
        <v>1129</v>
      </c>
      <c r="D1118" s="364" t="s">
        <v>1130</v>
      </c>
      <c r="E1118" s="364" t="s">
        <v>1214</v>
      </c>
      <c r="F1118" s="364" t="s">
        <v>1132</v>
      </c>
      <c r="G1118" s="365" t="n">
        <v>46027</v>
      </c>
      <c r="H1118" s="365" t="n">
        <v>46058</v>
      </c>
      <c r="I1118" s="364" t="n">
        <f aca="false">H1118-G1118</f>
        <v>31</v>
      </c>
      <c r="J1118" s="366" t="n">
        <f aca="false">TRUNC(I1118/30,0)</f>
        <v>1</v>
      </c>
      <c r="K1118" s="395" t="s">
        <v>95</v>
      </c>
      <c r="L1118" s="368" t="n">
        <v>3</v>
      </c>
      <c r="M1118" s="369"/>
      <c r="N1118" s="370"/>
      <c r="O1118" s="366" t="s">
        <v>303</v>
      </c>
      <c r="P1118" s="371" t="n">
        <v>0.0368243</v>
      </c>
      <c r="Q1118" s="371"/>
      <c r="R1118" s="372" t="s">
        <v>914</v>
      </c>
      <c r="S1118" s="373"/>
      <c r="T1118" s="372"/>
      <c r="U1118" s="373"/>
      <c r="V1118" s="373" t="n">
        <v>0.039894</v>
      </c>
      <c r="W1118" s="373" t="n">
        <v>0.000798</v>
      </c>
      <c r="X1118" s="373" t="n">
        <f aca="false">V1118-AD1118-$X$5-W1118</f>
        <v>0.00212</v>
      </c>
      <c r="Y1118" s="373" t="n">
        <v>0.031387</v>
      </c>
      <c r="Z1118" s="373" t="n">
        <v>0.00172</v>
      </c>
      <c r="AA1118" s="373" t="n">
        <v>0.002</v>
      </c>
      <c r="AB1118" s="374" t="n">
        <f aca="false">S1118-Z1118</f>
        <v>-0.00172</v>
      </c>
      <c r="AC1118" s="374" t="n">
        <f aca="false">U1118-Z1118-AA1118</f>
        <v>-0.00372</v>
      </c>
      <c r="AD1118" s="375" t="n">
        <v>0.0352</v>
      </c>
      <c r="AE1118" s="373" t="n">
        <v>0.031387</v>
      </c>
      <c r="AF1118" s="412" t="n">
        <f aca="false">AD1118-AE1118</f>
        <v>0.003813</v>
      </c>
      <c r="AG1118" s="506" t="n">
        <v>0.0352</v>
      </c>
      <c r="AH1118" s="378" t="n">
        <v>46027</v>
      </c>
      <c r="AI1118" s="379" t="n">
        <v>5</v>
      </c>
      <c r="AJ1118" s="380" t="str">
        <f aca="false">IF(AG1118="","N","Y")</f>
        <v>Y</v>
      </c>
      <c r="AK1118" s="396" t="s">
        <v>1271</v>
      </c>
      <c r="AL1118" s="397"/>
    </row>
    <row r="1119" s="382" customFormat="true" ht="20.25" hidden="false" customHeight="true" outlineLevel="0" collapsed="false">
      <c r="A1119" s="364" t="n">
        <v>592</v>
      </c>
      <c r="B1119" s="363" t="n">
        <v>46027</v>
      </c>
      <c r="C1119" s="364" t="s">
        <v>1129</v>
      </c>
      <c r="D1119" s="364" t="s">
        <v>1130</v>
      </c>
      <c r="E1119" s="364" t="s">
        <v>1214</v>
      </c>
      <c r="F1119" s="364" t="s">
        <v>1132</v>
      </c>
      <c r="G1119" s="365" t="n">
        <v>46027</v>
      </c>
      <c r="H1119" s="365" t="n">
        <v>46058</v>
      </c>
      <c r="I1119" s="364" t="n">
        <f aca="false">H1119-G1119</f>
        <v>31</v>
      </c>
      <c r="J1119" s="366" t="n">
        <f aca="false">TRUNC(I1119/30,0)</f>
        <v>1</v>
      </c>
      <c r="K1119" s="395" t="s">
        <v>95</v>
      </c>
      <c r="L1119" s="368" t="n">
        <v>2</v>
      </c>
      <c r="M1119" s="369"/>
      <c r="N1119" s="370"/>
      <c r="O1119" s="366" t="s">
        <v>303</v>
      </c>
      <c r="P1119" s="371" t="n">
        <v>0.0368243</v>
      </c>
      <c r="Q1119" s="371"/>
      <c r="R1119" s="372" t="s">
        <v>914</v>
      </c>
      <c r="S1119" s="373"/>
      <c r="T1119" s="372"/>
      <c r="U1119" s="373"/>
      <c r="V1119" s="373" t="n">
        <v>0.039894</v>
      </c>
      <c r="W1119" s="373" t="n">
        <v>0.000798</v>
      </c>
      <c r="X1119" s="373" t="n">
        <f aca="false">V1119-AD1119-$X$5-W1119</f>
        <v>0.00212</v>
      </c>
      <c r="Y1119" s="373" t="n">
        <v>0.031387</v>
      </c>
      <c r="Z1119" s="373" t="n">
        <v>0.00172</v>
      </c>
      <c r="AA1119" s="373" t="n">
        <v>0.002</v>
      </c>
      <c r="AB1119" s="374" t="n">
        <f aca="false">S1119-Z1119</f>
        <v>-0.00172</v>
      </c>
      <c r="AC1119" s="374" t="n">
        <f aca="false">U1119-Z1119-AA1119</f>
        <v>-0.00372</v>
      </c>
      <c r="AD1119" s="375" t="n">
        <v>0.0352</v>
      </c>
      <c r="AE1119" s="373" t="n">
        <v>0.031387</v>
      </c>
      <c r="AF1119" s="412" t="n">
        <f aca="false">AD1119-AE1119</f>
        <v>0.003813</v>
      </c>
      <c r="AG1119" s="506" t="n">
        <v>0.0352</v>
      </c>
      <c r="AH1119" s="378" t="n">
        <v>46027</v>
      </c>
      <c r="AI1119" s="379" t="n">
        <v>6</v>
      </c>
      <c r="AJ1119" s="380" t="str">
        <f aca="false">IF(AG1119="","N","Y")</f>
        <v>Y</v>
      </c>
      <c r="AK1119" s="396" t="s">
        <v>1271</v>
      </c>
      <c r="AL1119" s="397"/>
    </row>
    <row r="1120" s="382" customFormat="true" ht="20.25" hidden="false" customHeight="true" outlineLevel="0" collapsed="false">
      <c r="A1120" s="364" t="n">
        <v>593</v>
      </c>
      <c r="B1120" s="363" t="n">
        <v>46034</v>
      </c>
      <c r="C1120" s="364" t="s">
        <v>1066</v>
      </c>
      <c r="D1120" s="402" t="s">
        <v>1280</v>
      </c>
      <c r="E1120" s="402" t="s">
        <v>970</v>
      </c>
      <c r="F1120" s="402" t="s">
        <v>864</v>
      </c>
      <c r="G1120" s="365" t="n">
        <v>46034</v>
      </c>
      <c r="H1120" s="365" t="n">
        <v>46065</v>
      </c>
      <c r="I1120" s="364" t="n">
        <f aca="false">H1120-G1120</f>
        <v>31</v>
      </c>
      <c r="J1120" s="366" t="n">
        <f aca="false">TRUNC(I1120/30,0)</f>
        <v>1</v>
      </c>
      <c r="K1120" s="367" t="s">
        <v>99</v>
      </c>
      <c r="L1120" s="368" t="n">
        <v>13.3</v>
      </c>
      <c r="M1120" s="408"/>
      <c r="N1120" s="409"/>
      <c r="O1120" s="405" t="s">
        <v>303</v>
      </c>
      <c r="P1120" s="410" t="n">
        <v>0.0367127</v>
      </c>
      <c r="Q1120" s="371"/>
      <c r="R1120" s="372" t="s">
        <v>914</v>
      </c>
      <c r="S1120" s="373"/>
      <c r="T1120" s="372"/>
      <c r="U1120" s="373"/>
      <c r="V1120" s="412" t="n">
        <v>0.040368</v>
      </c>
      <c r="W1120" s="412" t="n">
        <v>0.002826</v>
      </c>
      <c r="X1120" s="412" t="n">
        <f aca="false">V1120-AD1120-$X$5-W1120</f>
        <v>0.003766</v>
      </c>
      <c r="Y1120" s="412" t="n">
        <v>0.025612</v>
      </c>
      <c r="Z1120" s="412" t="n">
        <v>0.00172</v>
      </c>
      <c r="AA1120" s="412" t="n">
        <v>0.002</v>
      </c>
      <c r="AB1120" s="374" t="n">
        <f aca="false">S1120-Z1120</f>
        <v>-0.00172</v>
      </c>
      <c r="AC1120" s="374" t="n">
        <f aca="false">U1120-Z1120-AA1120</f>
        <v>-0.00372</v>
      </c>
      <c r="AD1120" s="375" t="n">
        <v>0.032</v>
      </c>
      <c r="AE1120" s="412" t="n">
        <f aca="false">Y1120</f>
        <v>0.025612</v>
      </c>
      <c r="AF1120" s="412" t="n">
        <f aca="false">AD1120-AE1120</f>
        <v>0.006388</v>
      </c>
      <c r="AG1120" s="377" t="n">
        <f aca="false">IF(AF1120="","",AE1120+AF1120)</f>
        <v>0.032</v>
      </c>
      <c r="AH1120" s="378" t="n">
        <v>46034</v>
      </c>
      <c r="AI1120" s="379" t="n">
        <v>1</v>
      </c>
      <c r="AJ1120" s="380" t="str">
        <f aca="false">IF(AG1120="","N","Y")</f>
        <v>Y</v>
      </c>
      <c r="AK1120" s="396" t="s">
        <v>1262</v>
      </c>
      <c r="AL1120" s="397"/>
    </row>
    <row r="1121" s="382" customFormat="true" ht="20.25" hidden="false" customHeight="true" outlineLevel="0" collapsed="false">
      <c r="A1121" s="364" t="n">
        <v>594</v>
      </c>
      <c r="B1121" s="363" t="n">
        <v>46034</v>
      </c>
      <c r="C1121" s="364" t="s">
        <v>1066</v>
      </c>
      <c r="D1121" s="402" t="s">
        <v>1280</v>
      </c>
      <c r="E1121" s="402" t="s">
        <v>970</v>
      </c>
      <c r="F1121" s="402" t="s">
        <v>1192</v>
      </c>
      <c r="G1121" s="365" t="n">
        <v>46034</v>
      </c>
      <c r="H1121" s="365" t="n">
        <v>46065</v>
      </c>
      <c r="I1121" s="364" t="n">
        <f aca="false">H1121-G1121</f>
        <v>31</v>
      </c>
      <c r="J1121" s="366" t="n">
        <f aca="false">TRUNC(I1121/30,0)</f>
        <v>1</v>
      </c>
      <c r="K1121" s="367" t="s">
        <v>99</v>
      </c>
      <c r="L1121" s="368" t="n">
        <v>2</v>
      </c>
      <c r="M1121" s="408"/>
      <c r="N1121" s="409"/>
      <c r="O1121" s="405" t="s">
        <v>303</v>
      </c>
      <c r="P1121" s="410" t="n">
        <v>0.0367127</v>
      </c>
      <c r="Q1121" s="371"/>
      <c r="R1121" s="372" t="s">
        <v>914</v>
      </c>
      <c r="S1121" s="373"/>
      <c r="T1121" s="372"/>
      <c r="U1121" s="373"/>
      <c r="V1121" s="412" t="n">
        <v>0.040368</v>
      </c>
      <c r="W1121" s="412" t="n">
        <v>0.002826</v>
      </c>
      <c r="X1121" s="412" t="n">
        <f aca="false">V1121-AD1121-$X$5-W1121</f>
        <v>0.003766</v>
      </c>
      <c r="Y1121" s="412" t="n">
        <v>0.025612</v>
      </c>
      <c r="Z1121" s="412" t="n">
        <v>0.00172</v>
      </c>
      <c r="AA1121" s="412" t="n">
        <v>0.002</v>
      </c>
      <c r="AB1121" s="374" t="n">
        <f aca="false">S1121-Z1121</f>
        <v>-0.00172</v>
      </c>
      <c r="AC1121" s="374" t="n">
        <f aca="false">U1121-Z1121-AA1121</f>
        <v>-0.00372</v>
      </c>
      <c r="AD1121" s="375" t="n">
        <v>0.032</v>
      </c>
      <c r="AE1121" s="412" t="n">
        <f aca="false">Y1121</f>
        <v>0.025612</v>
      </c>
      <c r="AF1121" s="412" t="n">
        <f aca="false">AD1121-AE1121</f>
        <v>0.006388</v>
      </c>
      <c r="AG1121" s="377" t="n">
        <f aca="false">IF(AF1121="","",AE1121+AF1121)</f>
        <v>0.032</v>
      </c>
      <c r="AH1121" s="378" t="n">
        <v>46034</v>
      </c>
      <c r="AI1121" s="379" t="n">
        <v>2</v>
      </c>
      <c r="AJ1121" s="380" t="str">
        <f aca="false">IF(AG1121="","N","Y")</f>
        <v>Y</v>
      </c>
      <c r="AK1121" s="396" t="s">
        <v>1262</v>
      </c>
      <c r="AL1121" s="397"/>
    </row>
    <row r="1122" s="382" customFormat="true" ht="20.25" hidden="false" customHeight="true" outlineLevel="0" collapsed="false">
      <c r="A1122" s="364" t="n">
        <v>595</v>
      </c>
      <c r="B1122" s="363" t="n">
        <v>46036</v>
      </c>
      <c r="C1122" s="364" t="s">
        <v>925</v>
      </c>
      <c r="D1122" s="402" t="s">
        <v>1281</v>
      </c>
      <c r="E1122" s="402" t="s">
        <v>987</v>
      </c>
      <c r="F1122" s="402" t="s">
        <v>1282</v>
      </c>
      <c r="G1122" s="365" t="n">
        <v>46036</v>
      </c>
      <c r="H1122" s="365" t="n">
        <v>46066</v>
      </c>
      <c r="I1122" s="364" t="n">
        <f aca="false">H1122-G1122</f>
        <v>30</v>
      </c>
      <c r="J1122" s="366" t="n">
        <f aca="false">TRUNC(I1122/30,0)</f>
        <v>1</v>
      </c>
      <c r="K1122" s="367" t="s">
        <v>99</v>
      </c>
      <c r="L1122" s="368" t="n">
        <v>2</v>
      </c>
      <c r="M1122" s="408"/>
      <c r="N1122" s="409"/>
      <c r="O1122" s="405" t="s">
        <v>303</v>
      </c>
      <c r="P1122" s="410" t="n">
        <v>0.0368019</v>
      </c>
      <c r="Q1122" s="371"/>
      <c r="R1122" s="372" t="s">
        <v>914</v>
      </c>
      <c r="S1122" s="373"/>
      <c r="T1122" s="372"/>
      <c r="U1122" s="373"/>
      <c r="V1122" s="412" t="n">
        <v>0.040474</v>
      </c>
      <c r="W1122" s="412" t="n">
        <v>0.002826</v>
      </c>
      <c r="X1122" s="412" t="n">
        <f aca="false">V1122-AD1122-$X$5-W1122</f>
        <v>0.004372</v>
      </c>
      <c r="Y1122" s="412" t="n">
        <v>0.025629</v>
      </c>
      <c r="Z1122" s="412" t="n">
        <v>0.00172</v>
      </c>
      <c r="AA1122" s="412" t="n">
        <v>0.002</v>
      </c>
      <c r="AB1122" s="374" t="n">
        <f aca="false">S1122-Z1122</f>
        <v>-0.00172</v>
      </c>
      <c r="AC1122" s="374" t="n">
        <f aca="false">U1122-Z1122-AA1122</f>
        <v>-0.00372</v>
      </c>
      <c r="AD1122" s="375" t="n">
        <v>0.0315</v>
      </c>
      <c r="AE1122" s="412" t="n">
        <f aca="false">Y1122</f>
        <v>0.025629</v>
      </c>
      <c r="AF1122" s="412" t="n">
        <f aca="false">AD1122-AE1122</f>
        <v>0.005871</v>
      </c>
      <c r="AG1122" s="377" t="n">
        <f aca="false">IF(AF1122="","",AE1122+AF1122)</f>
        <v>0.0315</v>
      </c>
      <c r="AH1122" s="378" t="n">
        <v>46036</v>
      </c>
      <c r="AI1122" s="379" t="n">
        <v>1</v>
      </c>
      <c r="AJ1122" s="380" t="str">
        <f aca="false">IF(AG1122="","N","Y")</f>
        <v>Y</v>
      </c>
      <c r="AK1122" s="396" t="s">
        <v>1262</v>
      </c>
      <c r="AL1122" s="397"/>
    </row>
    <row r="1123" s="382" customFormat="true" ht="19.5" hidden="false" customHeight="true" outlineLevel="0" collapsed="false">
      <c r="A1123" s="364" t="n">
        <v>596</v>
      </c>
      <c r="B1123" s="363" t="n">
        <v>46037</v>
      </c>
      <c r="C1123" s="364" t="s">
        <v>209</v>
      </c>
      <c r="D1123" s="364" t="s">
        <v>1054</v>
      </c>
      <c r="E1123" s="364" t="s">
        <v>1055</v>
      </c>
      <c r="F1123" s="364" t="s">
        <v>697</v>
      </c>
      <c r="G1123" s="365" t="n">
        <v>46037</v>
      </c>
      <c r="H1123" s="365" t="n">
        <v>46072</v>
      </c>
      <c r="I1123" s="364" t="n">
        <f aca="false">H1123-G1123</f>
        <v>35</v>
      </c>
      <c r="J1123" s="366" t="n">
        <f aca="false">TRUNC(I1123/30,0)</f>
        <v>1</v>
      </c>
      <c r="K1123" s="367" t="s">
        <v>99</v>
      </c>
      <c r="L1123" s="368" t="n">
        <v>7.25</v>
      </c>
      <c r="M1123" s="369"/>
      <c r="N1123" s="370"/>
      <c r="O1123" s="366" t="s">
        <v>303</v>
      </c>
      <c r="P1123" s="371" t="n">
        <v>0.0367738</v>
      </c>
      <c r="Q1123" s="371"/>
      <c r="R1123" s="372" t="s">
        <v>914</v>
      </c>
      <c r="S1123" s="373"/>
      <c r="T1123" s="372"/>
      <c r="U1123" s="373"/>
      <c r="V1123" s="373" t="n">
        <v>0.040511</v>
      </c>
      <c r="W1123" s="373" t="n">
        <v>0.002835</v>
      </c>
      <c r="X1123" s="373" t="n">
        <v>0.0054</v>
      </c>
      <c r="Y1123" s="373" t="n">
        <v>0.025697</v>
      </c>
      <c r="Z1123" s="373" t="n">
        <v>0.00172</v>
      </c>
      <c r="AA1123" s="373" t="n">
        <v>0.002</v>
      </c>
      <c r="AB1123" s="374" t="n">
        <f aca="false">S1123-Z1123</f>
        <v>-0.00172</v>
      </c>
      <c r="AC1123" s="374" t="n">
        <f aca="false">U1123-Z1123-AA1123</f>
        <v>-0.00372</v>
      </c>
      <c r="AD1123" s="375" t="n">
        <v>0.0305</v>
      </c>
      <c r="AE1123" s="376" t="n">
        <v>0.025697</v>
      </c>
      <c r="AF1123" s="376" t="n">
        <f aca="false">AD1123-AE1123</f>
        <v>0.004803</v>
      </c>
      <c r="AG1123" s="377" t="n">
        <f aca="false">IF(AF1123="","",AE1123+AF1123)</f>
        <v>0.0305</v>
      </c>
      <c r="AH1123" s="378" t="n">
        <v>46037</v>
      </c>
      <c r="AI1123" s="379" t="n">
        <v>1</v>
      </c>
      <c r="AJ1123" s="380" t="str">
        <f aca="false">IF(AG1123="","N","Y")</f>
        <v>Y</v>
      </c>
      <c r="AK1123" s="396" t="s">
        <v>1258</v>
      </c>
      <c r="AL1123" s="397"/>
    </row>
    <row r="1124" s="382" customFormat="true" ht="20.25" hidden="false" customHeight="true" outlineLevel="0" collapsed="false">
      <c r="A1124" s="364" t="n">
        <v>597</v>
      </c>
      <c r="B1124" s="363" t="n">
        <v>46037</v>
      </c>
      <c r="C1124" s="364" t="s">
        <v>644</v>
      </c>
      <c r="D1124" s="364" t="s">
        <v>1112</v>
      </c>
      <c r="E1124" s="364" t="s">
        <v>492</v>
      </c>
      <c r="F1124" s="364" t="s">
        <v>880</v>
      </c>
      <c r="G1124" s="365" t="n">
        <v>46037</v>
      </c>
      <c r="H1124" s="365" t="n">
        <v>46072</v>
      </c>
      <c r="I1124" s="364" t="n">
        <f aca="false">H1124-G1124</f>
        <v>35</v>
      </c>
      <c r="J1124" s="366" t="n">
        <f aca="false">TRUNC(I1124/30,0)</f>
        <v>1</v>
      </c>
      <c r="K1124" s="367" t="s">
        <v>99</v>
      </c>
      <c r="L1124" s="368" t="n">
        <v>2.65</v>
      </c>
      <c r="M1124" s="369"/>
      <c r="N1124" s="370"/>
      <c r="O1124" s="366" t="s">
        <v>303</v>
      </c>
      <c r="P1124" s="371" t="n">
        <v>0.0367738</v>
      </c>
      <c r="Q1124" s="371"/>
      <c r="R1124" s="372" t="s">
        <v>914</v>
      </c>
      <c r="S1124" s="373"/>
      <c r="T1124" s="372"/>
      <c r="U1124" s="373"/>
      <c r="V1124" s="373" t="n">
        <v>0.040511</v>
      </c>
      <c r="W1124" s="373" t="n">
        <v>0.002835</v>
      </c>
      <c r="X1124" s="373" t="n">
        <v>0.0039</v>
      </c>
      <c r="Y1124" s="373" t="n">
        <v>0.025697</v>
      </c>
      <c r="Z1124" s="373" t="n">
        <v>0.00172</v>
      </c>
      <c r="AA1124" s="373" t="n">
        <v>0.002</v>
      </c>
      <c r="AB1124" s="374" t="n">
        <f aca="false">S1124-Z1124</f>
        <v>-0.00172</v>
      </c>
      <c r="AC1124" s="374" t="n">
        <f aca="false">U1124-Z1124-AA1124</f>
        <v>-0.00372</v>
      </c>
      <c r="AD1124" s="375" t="n">
        <v>0.032</v>
      </c>
      <c r="AE1124" s="373" t="n">
        <v>0.025697</v>
      </c>
      <c r="AF1124" s="412" t="n">
        <f aca="false">AD1124-AE1124</f>
        <v>0.006303</v>
      </c>
      <c r="AG1124" s="377" t="n">
        <f aca="false">IF(AF1124="","",AE1124+AF1124)</f>
        <v>0.032</v>
      </c>
      <c r="AH1124" s="378" t="n">
        <v>46037</v>
      </c>
      <c r="AI1124" s="379" t="n">
        <v>2</v>
      </c>
      <c r="AJ1124" s="380" t="str">
        <f aca="false">IF(AG1124="","N","Y")</f>
        <v>Y</v>
      </c>
      <c r="AK1124" s="396" t="s">
        <v>1258</v>
      </c>
      <c r="AL1124" s="397"/>
    </row>
    <row r="1125" s="382" customFormat="true" ht="20.25" hidden="false" customHeight="true" outlineLevel="0" collapsed="false">
      <c r="A1125" s="364" t="n">
        <v>598</v>
      </c>
      <c r="B1125" s="363" t="n">
        <v>46038</v>
      </c>
      <c r="C1125" s="364" t="s">
        <v>187</v>
      </c>
      <c r="D1125" s="364" t="s">
        <v>1062</v>
      </c>
      <c r="E1125" s="364" t="s">
        <v>1165</v>
      </c>
      <c r="F1125" s="364" t="s">
        <v>877</v>
      </c>
      <c r="G1125" s="365" t="n">
        <v>46038</v>
      </c>
      <c r="H1125" s="365" t="n">
        <v>46045</v>
      </c>
      <c r="I1125" s="364" t="n">
        <f aca="false">H1125-G1125</f>
        <v>7</v>
      </c>
      <c r="J1125" s="366" t="n">
        <f aca="false">TRUNC(I1125/30,0)</f>
        <v>0</v>
      </c>
      <c r="K1125" s="395" t="s">
        <v>95</v>
      </c>
      <c r="L1125" s="368" t="n">
        <v>10.03</v>
      </c>
      <c r="M1125" s="408"/>
      <c r="N1125" s="409"/>
      <c r="O1125" s="405" t="s">
        <v>305</v>
      </c>
      <c r="P1125" s="410" t="n">
        <v>0.0364732</v>
      </c>
      <c r="Q1125" s="371"/>
      <c r="R1125" s="372" t="s">
        <v>914</v>
      </c>
      <c r="S1125" s="373"/>
      <c r="T1125" s="372"/>
      <c r="U1125" s="373"/>
      <c r="V1125" s="412" t="n">
        <v>0.037956</v>
      </c>
      <c r="W1125" s="412" t="n">
        <v>0.002656</v>
      </c>
      <c r="X1125" s="373" t="n">
        <f aca="false">V1125-AD1125-$X$5-W1125</f>
        <v>0.001624</v>
      </c>
      <c r="Y1125" s="412" t="n">
        <v>0.02762</v>
      </c>
      <c r="Z1125" s="412" t="n">
        <v>0.00172</v>
      </c>
      <c r="AA1125" s="412" t="n">
        <v>0.002</v>
      </c>
      <c r="AB1125" s="374" t="n">
        <f aca="false">S1125-Z1125</f>
        <v>-0.00172</v>
      </c>
      <c r="AC1125" s="374" t="n">
        <f aca="false">U1125-Z1125-AA1125</f>
        <v>-0.00372</v>
      </c>
      <c r="AD1125" s="375" t="n">
        <v>0.0319</v>
      </c>
      <c r="AE1125" s="412" t="n">
        <v>0.02762</v>
      </c>
      <c r="AF1125" s="412" t="n">
        <f aca="false">AD1125-AE1125</f>
        <v>0.00428</v>
      </c>
      <c r="AG1125" s="377" t="n">
        <f aca="false">IF(AF1125="","",AE1125+AF1125)</f>
        <v>0.0319</v>
      </c>
      <c r="AH1125" s="378" t="n">
        <v>46038</v>
      </c>
      <c r="AI1125" s="379" t="n">
        <v>1</v>
      </c>
      <c r="AJ1125" s="380" t="str">
        <f aca="false">IF(AG1125="","N","Y")</f>
        <v>Y</v>
      </c>
      <c r="AK1125" s="396" t="s">
        <v>1258</v>
      </c>
      <c r="AL1125" s="397"/>
    </row>
    <row r="1126" s="382" customFormat="true" ht="20.25" hidden="false" customHeight="true" outlineLevel="0" collapsed="false">
      <c r="A1126" s="364" t="n">
        <v>599</v>
      </c>
      <c r="B1126" s="363" t="n">
        <v>46038</v>
      </c>
      <c r="C1126" s="364" t="s">
        <v>187</v>
      </c>
      <c r="D1126" s="364" t="s">
        <v>1062</v>
      </c>
      <c r="E1126" s="364" t="s">
        <v>1165</v>
      </c>
      <c r="F1126" s="364" t="s">
        <v>877</v>
      </c>
      <c r="G1126" s="365" t="n">
        <v>46038</v>
      </c>
      <c r="H1126" s="365" t="n">
        <v>46045</v>
      </c>
      <c r="I1126" s="364" t="n">
        <f aca="false">H1126-G1126</f>
        <v>7</v>
      </c>
      <c r="J1126" s="366" t="n">
        <f aca="false">TRUNC(I1126/30,0)</f>
        <v>0</v>
      </c>
      <c r="K1126" s="395" t="s">
        <v>95</v>
      </c>
      <c r="L1126" s="368" t="n">
        <v>10.03</v>
      </c>
      <c r="M1126" s="408"/>
      <c r="N1126" s="409"/>
      <c r="O1126" s="405" t="s">
        <v>305</v>
      </c>
      <c r="P1126" s="410" t="n">
        <v>0.0364732</v>
      </c>
      <c r="Q1126" s="371"/>
      <c r="R1126" s="372" t="s">
        <v>914</v>
      </c>
      <c r="S1126" s="373"/>
      <c r="T1126" s="372"/>
      <c r="U1126" s="373"/>
      <c r="V1126" s="412" t="n">
        <v>0.037956</v>
      </c>
      <c r="W1126" s="412" t="n">
        <v>0.002656</v>
      </c>
      <c r="X1126" s="373" t="n">
        <f aca="false">V1126-AD1126-$X$5-W1126</f>
        <v>0.001624</v>
      </c>
      <c r="Y1126" s="412" t="n">
        <v>0.02762</v>
      </c>
      <c r="Z1126" s="412" t="n">
        <v>0.00172</v>
      </c>
      <c r="AA1126" s="412" t="n">
        <v>0.002</v>
      </c>
      <c r="AB1126" s="374" t="n">
        <f aca="false">S1126-Z1126</f>
        <v>-0.00172</v>
      </c>
      <c r="AC1126" s="374" t="n">
        <f aca="false">U1126-Z1126-AA1126</f>
        <v>-0.00372</v>
      </c>
      <c r="AD1126" s="375" t="n">
        <v>0.0319</v>
      </c>
      <c r="AE1126" s="412" t="n">
        <v>0.02762</v>
      </c>
      <c r="AF1126" s="412" t="n">
        <f aca="false">AD1126-AE1126</f>
        <v>0.00428</v>
      </c>
      <c r="AG1126" s="377" t="n">
        <f aca="false">IF(AF1126="","",AE1126+AF1126)</f>
        <v>0.0319</v>
      </c>
      <c r="AH1126" s="378" t="n">
        <v>46038</v>
      </c>
      <c r="AI1126" s="379" t="n">
        <v>2</v>
      </c>
      <c r="AJ1126" s="380" t="str">
        <f aca="false">IF(AG1126="","N","Y")</f>
        <v>Y</v>
      </c>
      <c r="AK1126" s="396" t="s">
        <v>1258</v>
      </c>
      <c r="AL1126" s="397"/>
    </row>
    <row r="1127" s="382" customFormat="true" ht="20.25" hidden="false" customHeight="true" outlineLevel="0" collapsed="false">
      <c r="A1127" s="364" t="n">
        <v>600</v>
      </c>
      <c r="B1127" s="363" t="n">
        <v>46038</v>
      </c>
      <c r="C1127" s="364" t="s">
        <v>187</v>
      </c>
      <c r="D1127" s="364" t="s">
        <v>1062</v>
      </c>
      <c r="E1127" s="364" t="s">
        <v>1165</v>
      </c>
      <c r="F1127" s="364" t="s">
        <v>877</v>
      </c>
      <c r="G1127" s="365" t="n">
        <v>46038</v>
      </c>
      <c r="H1127" s="365" t="n">
        <v>46052</v>
      </c>
      <c r="I1127" s="364" t="n">
        <f aca="false">H1127-G1127</f>
        <v>14</v>
      </c>
      <c r="J1127" s="366" t="n">
        <f aca="false">TRUNC(I1127/30,0)</f>
        <v>0</v>
      </c>
      <c r="K1127" s="395" t="s">
        <v>95</v>
      </c>
      <c r="L1127" s="368" t="n">
        <v>12.63</v>
      </c>
      <c r="M1127" s="408"/>
      <c r="N1127" s="409"/>
      <c r="O1127" s="405" t="s">
        <v>305</v>
      </c>
      <c r="P1127" s="410" t="n">
        <v>0.0364732</v>
      </c>
      <c r="Q1127" s="371"/>
      <c r="R1127" s="372" t="s">
        <v>914</v>
      </c>
      <c r="S1127" s="373"/>
      <c r="T1127" s="372"/>
      <c r="U1127" s="373"/>
      <c r="V1127" s="412" t="n">
        <v>0.038499</v>
      </c>
      <c r="W1127" s="412" t="n">
        <v>0.002694</v>
      </c>
      <c r="X1127" s="373" t="n">
        <f aca="false">V1127-AD1127-$X$5-W1127</f>
        <v>0.001829</v>
      </c>
      <c r="Y1127" s="412" t="n">
        <v>0.02762</v>
      </c>
      <c r="Z1127" s="412" t="n">
        <v>0.00172</v>
      </c>
      <c r="AA1127" s="412" t="n">
        <v>0.002</v>
      </c>
      <c r="AB1127" s="374" t="n">
        <f aca="false">S1127-Z1127</f>
        <v>-0.00172</v>
      </c>
      <c r="AC1127" s="374" t="n">
        <f aca="false">U1127-Z1127-AA1127</f>
        <v>-0.00372</v>
      </c>
      <c r="AD1127" s="375" t="n">
        <v>0.0322</v>
      </c>
      <c r="AE1127" s="412" t="n">
        <v>0.02762</v>
      </c>
      <c r="AF1127" s="412" t="n">
        <f aca="false">AD1127-AE1127</f>
        <v>0.00458</v>
      </c>
      <c r="AG1127" s="377" t="n">
        <f aca="false">IF(AF1127="","",AE1127+AF1127)</f>
        <v>0.0322</v>
      </c>
      <c r="AH1127" s="378" t="n">
        <v>46038</v>
      </c>
      <c r="AI1127" s="379" t="n">
        <v>3</v>
      </c>
      <c r="AJ1127" s="380" t="str">
        <f aca="false">IF(AG1127="","N","Y")</f>
        <v>Y</v>
      </c>
      <c r="AK1127" s="396" t="s">
        <v>1258</v>
      </c>
      <c r="AL1127" s="397"/>
    </row>
    <row r="1128" s="382" customFormat="true" ht="20.25" hidden="false" customHeight="true" outlineLevel="0" collapsed="false">
      <c r="A1128" s="364" t="n">
        <v>601</v>
      </c>
      <c r="B1128" s="363" t="n">
        <v>46038</v>
      </c>
      <c r="C1128" s="364" t="s">
        <v>187</v>
      </c>
      <c r="D1128" s="364" t="s">
        <v>1062</v>
      </c>
      <c r="E1128" s="364" t="s">
        <v>1165</v>
      </c>
      <c r="F1128" s="364" t="s">
        <v>877</v>
      </c>
      <c r="G1128" s="365" t="n">
        <v>46038</v>
      </c>
      <c r="H1128" s="365" t="n">
        <v>46052</v>
      </c>
      <c r="I1128" s="364" t="n">
        <f aca="false">H1128-G1128</f>
        <v>14</v>
      </c>
      <c r="J1128" s="366" t="n">
        <f aca="false">TRUNC(I1128/30,0)</f>
        <v>0</v>
      </c>
      <c r="K1128" s="395" t="s">
        <v>95</v>
      </c>
      <c r="L1128" s="368" t="n">
        <v>10</v>
      </c>
      <c r="M1128" s="408"/>
      <c r="N1128" s="409"/>
      <c r="O1128" s="405" t="s">
        <v>305</v>
      </c>
      <c r="P1128" s="410" t="n">
        <v>0.0364732</v>
      </c>
      <c r="Q1128" s="371"/>
      <c r="R1128" s="372" t="s">
        <v>914</v>
      </c>
      <c r="S1128" s="373"/>
      <c r="T1128" s="372"/>
      <c r="U1128" s="373"/>
      <c r="V1128" s="412" t="n">
        <v>0.038499</v>
      </c>
      <c r="W1128" s="412" t="n">
        <v>0.002694</v>
      </c>
      <c r="X1128" s="373" t="n">
        <f aca="false">V1128-AD1128-$X$5-W1128</f>
        <v>0.001829</v>
      </c>
      <c r="Y1128" s="412" t="n">
        <v>0.02762</v>
      </c>
      <c r="Z1128" s="412" t="n">
        <v>0.00172</v>
      </c>
      <c r="AA1128" s="412" t="n">
        <v>0.002</v>
      </c>
      <c r="AB1128" s="374" t="n">
        <f aca="false">S1128-Z1128</f>
        <v>-0.00172</v>
      </c>
      <c r="AC1128" s="374" t="n">
        <f aca="false">U1128-Z1128-AA1128</f>
        <v>-0.00372</v>
      </c>
      <c r="AD1128" s="375" t="n">
        <v>0.0322</v>
      </c>
      <c r="AE1128" s="412" t="n">
        <v>0.02762</v>
      </c>
      <c r="AF1128" s="412" t="n">
        <f aca="false">AD1128-AE1128</f>
        <v>0.00458</v>
      </c>
      <c r="AG1128" s="377" t="n">
        <f aca="false">IF(AF1128="","",AE1128+AF1128)</f>
        <v>0.0322</v>
      </c>
      <c r="AH1128" s="378" t="n">
        <v>46038</v>
      </c>
      <c r="AI1128" s="379" t="n">
        <v>4</v>
      </c>
      <c r="AJ1128" s="380" t="str">
        <f aca="false">IF(AG1128="","N","Y")</f>
        <v>Y</v>
      </c>
      <c r="AK1128" s="396" t="s">
        <v>1258</v>
      </c>
      <c r="AL1128" s="397"/>
    </row>
    <row r="1129" s="382" customFormat="true" ht="20.25" hidden="false" customHeight="true" outlineLevel="0" collapsed="false">
      <c r="A1129" s="364" t="n">
        <v>602</v>
      </c>
      <c r="B1129" s="363" t="n">
        <v>46041</v>
      </c>
      <c r="C1129" s="364" t="s">
        <v>1172</v>
      </c>
      <c r="D1129" s="364" t="s">
        <v>1173</v>
      </c>
      <c r="E1129" s="364" t="s">
        <v>1218</v>
      </c>
      <c r="F1129" s="364" t="s">
        <v>1175</v>
      </c>
      <c r="G1129" s="365" t="n">
        <v>46041</v>
      </c>
      <c r="H1129" s="365" t="n">
        <v>46072</v>
      </c>
      <c r="I1129" s="364" t="n">
        <f aca="false">H1129-G1129</f>
        <v>31</v>
      </c>
      <c r="J1129" s="366" t="n">
        <f aca="false">TRUNC(I1129/30,0)</f>
        <v>1</v>
      </c>
      <c r="K1129" s="367" t="s">
        <v>99</v>
      </c>
      <c r="L1129" s="368" t="n">
        <v>1.02</v>
      </c>
      <c r="M1129" s="369"/>
      <c r="N1129" s="370"/>
      <c r="O1129" s="366" t="s">
        <v>303</v>
      </c>
      <c r="P1129" s="371" t="n">
        <v>0.0367328</v>
      </c>
      <c r="Q1129" s="371"/>
      <c r="R1129" s="372" t="s">
        <v>914</v>
      </c>
      <c r="S1129" s="373"/>
      <c r="T1129" s="372"/>
      <c r="U1129" s="373"/>
      <c r="V1129" s="373" t="n">
        <v>0.040465</v>
      </c>
      <c r="W1129" s="373" t="n">
        <v>0.002832</v>
      </c>
      <c r="X1129" s="373" t="n">
        <v>0.003856</v>
      </c>
      <c r="Y1129" s="373" t="n">
        <v>0.025763</v>
      </c>
      <c r="Z1129" s="373" t="n">
        <v>0.00172</v>
      </c>
      <c r="AA1129" s="373" t="n">
        <v>0.002</v>
      </c>
      <c r="AB1129" s="374" t="n">
        <f aca="false">S1129-Z1129</f>
        <v>-0.00172</v>
      </c>
      <c r="AC1129" s="374" t="n">
        <f aca="false">U1129-Z1129-AA1129</f>
        <v>-0.00372</v>
      </c>
      <c r="AD1129" s="375" t="n">
        <v>0.032</v>
      </c>
      <c r="AE1129" s="376" t="n">
        <v>0.025763</v>
      </c>
      <c r="AF1129" s="376" t="n">
        <f aca="false">AD1129-AE1129</f>
        <v>0.006237</v>
      </c>
      <c r="AG1129" s="377" t="n">
        <f aca="false">IF(AF1129="","",AE1129+AF1129)</f>
        <v>0.032</v>
      </c>
      <c r="AH1129" s="378" t="n">
        <v>46041</v>
      </c>
      <c r="AI1129" s="379" t="n">
        <v>1</v>
      </c>
      <c r="AJ1129" s="380" t="str">
        <f aca="false">IF(AG1129="","N","Y")</f>
        <v>Y</v>
      </c>
      <c r="AK1129" s="396" t="s">
        <v>1262</v>
      </c>
      <c r="AL1129" s="397"/>
    </row>
    <row r="1130" s="382" customFormat="true" ht="20.25" hidden="false" customHeight="true" outlineLevel="0" collapsed="false">
      <c r="A1130" s="364" t="n">
        <v>603</v>
      </c>
      <c r="B1130" s="363" t="n">
        <v>46041</v>
      </c>
      <c r="C1130" s="364" t="s">
        <v>1219</v>
      </c>
      <c r="D1130" s="364" t="s">
        <v>1005</v>
      </c>
      <c r="E1130" s="364" t="s">
        <v>1006</v>
      </c>
      <c r="F1130" s="364" t="s">
        <v>1056</v>
      </c>
      <c r="G1130" s="365" t="n">
        <v>46041</v>
      </c>
      <c r="H1130" s="365" t="n">
        <v>46072</v>
      </c>
      <c r="I1130" s="364" t="n">
        <f aca="false">H1130-G1130</f>
        <v>31</v>
      </c>
      <c r="J1130" s="366" t="n">
        <f aca="false">TRUNC(I1130/30,0)</f>
        <v>1</v>
      </c>
      <c r="K1130" s="367" t="s">
        <v>99</v>
      </c>
      <c r="L1130" s="368" t="n">
        <v>6.75</v>
      </c>
      <c r="M1130" s="369"/>
      <c r="N1130" s="370"/>
      <c r="O1130" s="366" t="s">
        <v>303</v>
      </c>
      <c r="P1130" s="371" t="n">
        <v>0.0367328</v>
      </c>
      <c r="Q1130" s="371"/>
      <c r="R1130" s="372" t="s">
        <v>914</v>
      </c>
      <c r="S1130" s="373"/>
      <c r="T1130" s="372"/>
      <c r="U1130" s="373"/>
      <c r="V1130" s="373" t="n">
        <v>0.040465</v>
      </c>
      <c r="W1130" s="373" t="n">
        <v>0.002832</v>
      </c>
      <c r="X1130" s="373" t="n">
        <v>0.003856</v>
      </c>
      <c r="Y1130" s="373" t="n">
        <v>0.025763</v>
      </c>
      <c r="Z1130" s="373" t="n">
        <v>0.00172</v>
      </c>
      <c r="AA1130" s="373" t="n">
        <v>0.002</v>
      </c>
      <c r="AB1130" s="374" t="n">
        <f aca="false">S1130-Z1130</f>
        <v>-0.00172</v>
      </c>
      <c r="AC1130" s="374" t="n">
        <f aca="false">U1130-Z1130-AA1130</f>
        <v>-0.00372</v>
      </c>
      <c r="AD1130" s="375" t="n">
        <v>0.032</v>
      </c>
      <c r="AE1130" s="376" t="n">
        <v>0.025763</v>
      </c>
      <c r="AF1130" s="376" t="n">
        <f aca="false">AD1130-AE1130</f>
        <v>0.006237</v>
      </c>
      <c r="AG1130" s="377" t="n">
        <v>0.032</v>
      </c>
      <c r="AH1130" s="378" t="n">
        <v>46041</v>
      </c>
      <c r="AI1130" s="379" t="n">
        <v>2</v>
      </c>
      <c r="AJ1130" s="380" t="str">
        <f aca="false">IF(AG1130="","N","Y")</f>
        <v>Y</v>
      </c>
      <c r="AK1130" s="396" t="s">
        <v>1262</v>
      </c>
      <c r="AL1130" s="397"/>
    </row>
    <row r="1131" s="382" customFormat="true" ht="20.25" hidden="false" customHeight="true" outlineLevel="0" collapsed="false">
      <c r="A1131" s="364" t="n">
        <v>604</v>
      </c>
      <c r="B1131" s="363" t="n">
        <v>46041</v>
      </c>
      <c r="C1131" s="364" t="s">
        <v>103</v>
      </c>
      <c r="D1131" s="364" t="s">
        <v>1229</v>
      </c>
      <c r="E1131" s="364" t="s">
        <v>1230</v>
      </c>
      <c r="F1131" s="364" t="s">
        <v>1231</v>
      </c>
      <c r="G1131" s="365" t="n">
        <v>46041</v>
      </c>
      <c r="H1131" s="365" t="n">
        <v>46345</v>
      </c>
      <c r="I1131" s="364" t="n">
        <f aca="false">H1131-G1131</f>
        <v>304</v>
      </c>
      <c r="J1131" s="366" t="n">
        <f aca="false">TRUNC(I1131/30,0)</f>
        <v>10</v>
      </c>
      <c r="K1131" s="395" t="s">
        <v>95</v>
      </c>
      <c r="L1131" s="368" t="n">
        <v>11.6</v>
      </c>
      <c r="M1131" s="408"/>
      <c r="N1131" s="409"/>
      <c r="O1131" s="405" t="s">
        <v>396</v>
      </c>
      <c r="P1131" s="410" t="n">
        <v>0.0350544</v>
      </c>
      <c r="Q1131" s="371"/>
      <c r="R1131" s="372" t="s">
        <v>914</v>
      </c>
      <c r="S1131" s="373"/>
      <c r="T1131" s="372"/>
      <c r="U1131" s="373"/>
      <c r="V1131" s="412" t="n">
        <v>0.041274</v>
      </c>
      <c r="W1131" s="412" t="n">
        <v>0.000825</v>
      </c>
      <c r="X1131" s="412" t="n">
        <f aca="false">V1131-AD1131-$X$5-W1131</f>
        <v>0.002173</v>
      </c>
      <c r="Y1131" s="412" t="n">
        <v>0.032175</v>
      </c>
      <c r="Z1131" s="412" t="n">
        <v>0.00172</v>
      </c>
      <c r="AA1131" s="412" t="n">
        <v>0.002</v>
      </c>
      <c r="AB1131" s="374" t="n">
        <f aca="false">S1131-Z1131</f>
        <v>-0.00172</v>
      </c>
      <c r="AC1131" s="374" t="n">
        <f aca="false">U1131-Z1131-AA1131</f>
        <v>-0.00372</v>
      </c>
      <c r="AD1131" s="375" t="n">
        <v>0.0365</v>
      </c>
      <c r="AE1131" s="412" t="n">
        <v>0.032175</v>
      </c>
      <c r="AF1131" s="376" t="n">
        <f aca="false">AD1131-AE1131</f>
        <v>0.004325</v>
      </c>
      <c r="AG1131" s="377" t="n">
        <v>0.0365</v>
      </c>
      <c r="AH1131" s="378" t="n">
        <v>46041</v>
      </c>
      <c r="AI1131" s="379" t="n">
        <v>3</v>
      </c>
      <c r="AJ1131" s="380" t="str">
        <f aca="false">IF(AG1131="","N","Y")</f>
        <v>Y</v>
      </c>
      <c r="AK1131" s="416" t="s">
        <v>1283</v>
      </c>
      <c r="AL1131" s="397"/>
    </row>
    <row r="1132" s="382" customFormat="true" ht="20.25" hidden="false" customHeight="true" outlineLevel="0" collapsed="false">
      <c r="A1132" s="364" t="n">
        <v>605</v>
      </c>
      <c r="B1132" s="363" t="n">
        <v>46041</v>
      </c>
      <c r="C1132" s="364" t="s">
        <v>644</v>
      </c>
      <c r="D1132" s="364" t="s">
        <v>1070</v>
      </c>
      <c r="E1132" s="364" t="s">
        <v>1226</v>
      </c>
      <c r="F1132" s="364" t="s">
        <v>1072</v>
      </c>
      <c r="G1132" s="365" t="n">
        <v>46041</v>
      </c>
      <c r="H1132" s="365" t="n">
        <v>46072</v>
      </c>
      <c r="I1132" s="364" t="n">
        <f aca="false">H1132-G1132</f>
        <v>31</v>
      </c>
      <c r="J1132" s="366" t="n">
        <f aca="false">TRUNC(I1132/30,0)</f>
        <v>1</v>
      </c>
      <c r="K1132" s="395" t="s">
        <v>95</v>
      </c>
      <c r="L1132" s="368" t="n">
        <v>1.5</v>
      </c>
      <c r="M1132" s="408"/>
      <c r="N1132" s="409"/>
      <c r="O1132" s="405" t="s">
        <v>303</v>
      </c>
      <c r="P1132" s="410" t="n">
        <v>0.0367328</v>
      </c>
      <c r="Q1132" s="371"/>
      <c r="R1132" s="372" t="s">
        <v>914</v>
      </c>
      <c r="S1132" s="373"/>
      <c r="T1132" s="372"/>
      <c r="U1132" s="373"/>
      <c r="V1132" s="412" t="n">
        <v>0.039767</v>
      </c>
      <c r="W1132" s="412" t="n">
        <v>0.000795</v>
      </c>
      <c r="X1132" s="412" t="n">
        <f aca="false">V1132-AD1132-$X$5-W1132</f>
        <v>0.00219599999999999</v>
      </c>
      <c r="Y1132" s="412" t="n">
        <v>0.031298</v>
      </c>
      <c r="Z1132" s="412" t="n">
        <v>0.00172</v>
      </c>
      <c r="AA1132" s="412" t="n">
        <v>0.002</v>
      </c>
      <c r="AB1132" s="374" t="n">
        <f aca="false">S1132-Z1132</f>
        <v>-0.00172</v>
      </c>
      <c r="AC1132" s="374" t="n">
        <f aca="false">U1132-Z1132-AA1132</f>
        <v>-0.00372</v>
      </c>
      <c r="AD1132" s="375" t="n">
        <v>0.035</v>
      </c>
      <c r="AE1132" s="412" t="n">
        <v>0.031298</v>
      </c>
      <c r="AF1132" s="412" t="n">
        <f aca="false">AD1132-AE1132</f>
        <v>0.003702</v>
      </c>
      <c r="AG1132" s="377" t="n">
        <f aca="false">IF(AF1132="","",AE1132+AF1132)</f>
        <v>0.035</v>
      </c>
      <c r="AH1132" s="378" t="n">
        <v>46041</v>
      </c>
      <c r="AI1132" s="379" t="n">
        <v>4</v>
      </c>
      <c r="AJ1132" s="380" t="str">
        <f aca="false">IF(AG1132="","N","Y")</f>
        <v>Y</v>
      </c>
      <c r="AK1132" s="416" t="s">
        <v>1284</v>
      </c>
      <c r="AL1132" s="397"/>
    </row>
    <row r="1133" s="382" customFormat="true" ht="20.25" hidden="false" customHeight="true" outlineLevel="0" collapsed="false">
      <c r="A1133" s="364" t="n">
        <v>606</v>
      </c>
      <c r="B1133" s="363" t="n">
        <v>46041</v>
      </c>
      <c r="C1133" s="364" t="s">
        <v>187</v>
      </c>
      <c r="D1133" s="364" t="s">
        <v>1062</v>
      </c>
      <c r="E1133" s="364" t="s">
        <v>1165</v>
      </c>
      <c r="F1133" s="364" t="s">
        <v>877</v>
      </c>
      <c r="G1133" s="365" t="n">
        <v>46041</v>
      </c>
      <c r="H1133" s="365" t="n">
        <v>46072</v>
      </c>
      <c r="I1133" s="364" t="n">
        <f aca="false">H1133-G1133</f>
        <v>31</v>
      </c>
      <c r="J1133" s="366" t="n">
        <f aca="false">TRUNC(I1133/30,0)</f>
        <v>1</v>
      </c>
      <c r="K1133" s="367" t="s">
        <v>99</v>
      </c>
      <c r="L1133" s="368" t="n">
        <v>3.7</v>
      </c>
      <c r="M1133" s="408"/>
      <c r="N1133" s="409"/>
      <c r="O1133" s="366" t="s">
        <v>303</v>
      </c>
      <c r="P1133" s="410" t="n">
        <v>0.0367328</v>
      </c>
      <c r="Q1133" s="371"/>
      <c r="R1133" s="372" t="s">
        <v>914</v>
      </c>
      <c r="S1133" s="373"/>
      <c r="T1133" s="372"/>
      <c r="U1133" s="373"/>
      <c r="V1133" s="412" t="n">
        <v>0.040465</v>
      </c>
      <c r="W1133" s="412" t="n">
        <v>0.002832</v>
      </c>
      <c r="X1133" s="412" t="n">
        <f aca="false">V1133-AD1133-$X$5-W1133</f>
        <v>0.003857</v>
      </c>
      <c r="Y1133" s="412" t="n">
        <v>0.025763</v>
      </c>
      <c r="Z1133" s="412" t="n">
        <v>0.00172</v>
      </c>
      <c r="AA1133" s="412" t="n">
        <v>0.002</v>
      </c>
      <c r="AB1133" s="374" t="n">
        <f aca="false">S1133-Z1133</f>
        <v>-0.00172</v>
      </c>
      <c r="AC1133" s="374" t="n">
        <f aca="false">U1133-Z1133-AA1133</f>
        <v>-0.00372</v>
      </c>
      <c r="AD1133" s="375" t="n">
        <v>0.032</v>
      </c>
      <c r="AE1133" s="412" t="n">
        <v>0.025763</v>
      </c>
      <c r="AF1133" s="412" t="n">
        <f aca="false">AD1133-AE1133</f>
        <v>0.006237</v>
      </c>
      <c r="AG1133" s="377" t="n">
        <f aca="false">IF(AF1133="","",AE1133+AF1133)</f>
        <v>0.032</v>
      </c>
      <c r="AH1133" s="378" t="n">
        <v>46041</v>
      </c>
      <c r="AI1133" s="379" t="n">
        <v>5</v>
      </c>
      <c r="AJ1133" s="380" t="str">
        <f aca="false">IF(AG1133="","N","Y")</f>
        <v>Y</v>
      </c>
      <c r="AK1133" s="396" t="s">
        <v>1258</v>
      </c>
      <c r="AL1133" s="397"/>
    </row>
    <row r="1134" s="38" customFormat="true" ht="20.25" hidden="false" customHeight="true" outlineLevel="0" collapsed="false">
      <c r="A1134" s="19" t="n">
        <v>607</v>
      </c>
      <c r="B1134" s="141" t="n">
        <v>46049</v>
      </c>
      <c r="C1134" s="63" t="s">
        <v>1149</v>
      </c>
      <c r="D1134" s="63" t="s">
        <v>1150</v>
      </c>
      <c r="E1134" s="63" t="s">
        <v>1183</v>
      </c>
      <c r="F1134" s="63" t="s">
        <v>1263</v>
      </c>
      <c r="G1134" s="142" t="n">
        <v>46049</v>
      </c>
      <c r="H1134" s="142" t="n">
        <v>46080</v>
      </c>
      <c r="I1134" s="19" t="n">
        <f aca="false">H1134-G1134</f>
        <v>31</v>
      </c>
      <c r="J1134" s="149" t="n">
        <f aca="false">TRUNC(I1134/30,0)</f>
        <v>1</v>
      </c>
      <c r="K1134" s="189" t="s">
        <v>99</v>
      </c>
      <c r="L1134" s="146" t="n">
        <v>1</v>
      </c>
      <c r="M1134" s="147"/>
      <c r="N1134" s="148"/>
      <c r="O1134" s="149" t="s">
        <v>255</v>
      </c>
      <c r="P1134" s="150" t="n">
        <v>0.0373173</v>
      </c>
      <c r="Q1134" s="150"/>
      <c r="R1134" s="151" t="s">
        <v>914</v>
      </c>
      <c r="S1134" s="152"/>
      <c r="T1134" s="151"/>
      <c r="U1134" s="152"/>
      <c r="V1134" s="152" t="n">
        <v>0.040457</v>
      </c>
      <c r="W1134" s="152" t="n">
        <v>0.002832</v>
      </c>
      <c r="X1134" s="412" t="n">
        <f aca="false">V1134-AD1134-$X$5-W1134</f>
        <v>0.004349</v>
      </c>
      <c r="Y1134" s="152" t="n">
        <v>0.025612</v>
      </c>
      <c r="Z1134" s="152" t="n">
        <v>0.00172</v>
      </c>
      <c r="AA1134" s="152" t="n">
        <v>0.002</v>
      </c>
      <c r="AB1134" s="154" t="n">
        <f aca="false">S1134-Z1134</f>
        <v>-0.00172</v>
      </c>
      <c r="AC1134" s="154" t="n">
        <f aca="false">U1134-Z1134-AA1134</f>
        <v>-0.00372</v>
      </c>
      <c r="AD1134" s="155" t="n">
        <v>0.0315</v>
      </c>
      <c r="AE1134" s="152" t="n">
        <v>0.025612</v>
      </c>
      <c r="AF1134" s="153" t="n">
        <f aca="false">AD1134-AE1134</f>
        <v>0.005888</v>
      </c>
      <c r="AG1134" s="377" t="n">
        <f aca="false">IF(AF1134="","",AE1134+AF1134)</f>
        <v>0.0315</v>
      </c>
      <c r="AH1134" s="185" t="n">
        <v>46049</v>
      </c>
      <c r="AI1134" s="35" t="n">
        <v>1</v>
      </c>
      <c r="AJ1134" s="19" t="str">
        <f aca="false">IF(AG1134="","N","Y")</f>
        <v>Y</v>
      </c>
      <c r="AK1134" s="159" t="s">
        <v>1262</v>
      </c>
      <c r="AL1134" s="36"/>
    </row>
    <row r="1135" s="382" customFormat="true" ht="20.25" hidden="false" customHeight="true" outlineLevel="0" collapsed="false">
      <c r="A1135" s="364" t="n">
        <v>608</v>
      </c>
      <c r="B1135" s="363" t="n">
        <v>46055</v>
      </c>
      <c r="C1135" s="364" t="s">
        <v>1184</v>
      </c>
      <c r="D1135" s="364" t="s">
        <v>1185</v>
      </c>
      <c r="E1135" s="364" t="s">
        <v>1186</v>
      </c>
      <c r="F1135" s="364" t="s">
        <v>1187</v>
      </c>
      <c r="G1135" s="365" t="n">
        <v>46055</v>
      </c>
      <c r="H1135" s="365" t="n">
        <v>46084</v>
      </c>
      <c r="I1135" s="364" t="n">
        <f aca="false">H1135-G1135</f>
        <v>29</v>
      </c>
      <c r="J1135" s="366" t="n">
        <f aca="false">TRUNC(I1135/30,0)</f>
        <v>0</v>
      </c>
      <c r="K1135" s="367" t="s">
        <v>99</v>
      </c>
      <c r="L1135" s="368" t="n">
        <v>5.78</v>
      </c>
      <c r="M1135" s="369"/>
      <c r="N1135" s="370"/>
      <c r="O1135" s="366" t="s">
        <v>303</v>
      </c>
      <c r="P1135" s="371" t="n">
        <v>0.0366877</v>
      </c>
      <c r="Q1135" s="371"/>
      <c r="R1135" s="372" t="s">
        <v>914</v>
      </c>
      <c r="S1135" s="373"/>
      <c r="T1135" s="372"/>
      <c r="U1135" s="373"/>
      <c r="V1135" s="373" t="n">
        <v>0.040424</v>
      </c>
      <c r="W1135" s="373" t="n">
        <v>0.002839</v>
      </c>
      <c r="X1135" s="412" t="n">
        <f aca="false">V1135-AD1135-$X$5-W1135</f>
        <v>0.003809</v>
      </c>
      <c r="Y1135" s="373" t="n">
        <v>0.025681</v>
      </c>
      <c r="Z1135" s="373" t="n">
        <v>0.00172</v>
      </c>
      <c r="AA1135" s="373" t="n">
        <v>0.002</v>
      </c>
      <c r="AB1135" s="374" t="n">
        <f aca="false">S1135-Z1135</f>
        <v>-0.00172</v>
      </c>
      <c r="AC1135" s="374" t="n">
        <f aca="false">U1135-Z1135-AA1135</f>
        <v>-0.00372</v>
      </c>
      <c r="AD1135" s="375" t="n">
        <v>0.032</v>
      </c>
      <c r="AE1135" s="373" t="n">
        <v>0.025681</v>
      </c>
      <c r="AF1135" s="376" t="n">
        <f aca="false">AD1135-AE1135</f>
        <v>0.006319</v>
      </c>
      <c r="AG1135" s="377" t="n">
        <f aca="false">IF(AF1135="","",AE1135+AF1135)</f>
        <v>0.032</v>
      </c>
      <c r="AH1135" s="378" t="n">
        <v>46055</v>
      </c>
      <c r="AI1135" s="379" t="n">
        <v>1</v>
      </c>
      <c r="AJ1135" s="380" t="str">
        <f aca="false">IF(AG1135="","N","Y")</f>
        <v>Y</v>
      </c>
      <c r="AK1135" s="396" t="s">
        <v>1262</v>
      </c>
      <c r="AL1135" s="397"/>
    </row>
    <row r="1136" s="382" customFormat="true" ht="20.25" hidden="false" customHeight="true" outlineLevel="0" collapsed="false">
      <c r="A1136" s="364" t="n">
        <v>609</v>
      </c>
      <c r="B1136" s="363" t="n">
        <v>46055</v>
      </c>
      <c r="C1136" s="364" t="s">
        <v>925</v>
      </c>
      <c r="D1136" s="364" t="s">
        <v>1181</v>
      </c>
      <c r="E1136" s="364" t="s">
        <v>987</v>
      </c>
      <c r="F1136" s="364" t="s">
        <v>1234</v>
      </c>
      <c r="G1136" s="365" t="n">
        <v>46055</v>
      </c>
      <c r="H1136" s="365" t="n">
        <v>46114</v>
      </c>
      <c r="I1136" s="364" t="n">
        <f aca="false">H1136-G1136</f>
        <v>59</v>
      </c>
      <c r="J1136" s="366" t="n">
        <f aca="false">TRUNC(I1136/30,0)</f>
        <v>1</v>
      </c>
      <c r="K1136" s="395" t="s">
        <v>95</v>
      </c>
      <c r="L1136" s="368" t="n">
        <v>3</v>
      </c>
      <c r="M1136" s="369"/>
      <c r="N1136" s="370"/>
      <c r="O1136" s="366" t="s">
        <v>936</v>
      </c>
      <c r="P1136" s="371" t="n">
        <v>0.0366447</v>
      </c>
      <c r="Q1136" s="371"/>
      <c r="R1136" s="372" t="s">
        <v>914</v>
      </c>
      <c r="S1136" s="373"/>
      <c r="T1136" s="372"/>
      <c r="U1136" s="373"/>
      <c r="V1136" s="373" t="n">
        <v>0.040382</v>
      </c>
      <c r="W1136" s="373" t="n">
        <v>0.000807</v>
      </c>
      <c r="X1136" s="412" t="n">
        <f aca="false">V1136-AD1136-$X$5-W1136</f>
        <v>0.002799</v>
      </c>
      <c r="Y1136" s="373" t="n">
        <v>0.031253</v>
      </c>
      <c r="Z1136" s="373" t="n">
        <v>0.00172</v>
      </c>
      <c r="AA1136" s="373" t="n">
        <v>0.002</v>
      </c>
      <c r="AB1136" s="374" t="n">
        <f aca="false">S1136-Z1136</f>
        <v>-0.00172</v>
      </c>
      <c r="AC1136" s="374" t="n">
        <f aca="false">U1136-Z1136-AA1136</f>
        <v>-0.00372</v>
      </c>
      <c r="AD1136" s="375" t="n">
        <v>0.035</v>
      </c>
      <c r="AE1136" s="373" t="n">
        <v>0.031253</v>
      </c>
      <c r="AF1136" s="376" t="n">
        <f aca="false">AD1136-AE1136</f>
        <v>0.003747</v>
      </c>
      <c r="AG1136" s="377" t="n">
        <f aca="false">IF(AF1136="","",AE1136+AF1136)</f>
        <v>0.035</v>
      </c>
      <c r="AH1136" s="378" t="n">
        <v>46055</v>
      </c>
      <c r="AI1136" s="379" t="n">
        <v>2</v>
      </c>
      <c r="AJ1136" s="380" t="str">
        <f aca="false">IF(AG1136="","N","Y")</f>
        <v>Y</v>
      </c>
      <c r="AK1136" s="396" t="s">
        <v>1271</v>
      </c>
      <c r="AL1136" s="397"/>
    </row>
    <row r="1137" s="382" customFormat="true" ht="20.25" hidden="false" customHeight="true" outlineLevel="0" collapsed="false">
      <c r="A1137" s="364" t="n">
        <v>610</v>
      </c>
      <c r="B1137" s="363" t="n">
        <v>46055</v>
      </c>
      <c r="C1137" s="364" t="s">
        <v>187</v>
      </c>
      <c r="D1137" s="364" t="s">
        <v>1277</v>
      </c>
      <c r="E1137" s="364" t="s">
        <v>1278</v>
      </c>
      <c r="F1137" s="364" t="s">
        <v>1120</v>
      </c>
      <c r="G1137" s="365" t="n">
        <v>46055</v>
      </c>
      <c r="H1137" s="365" t="n">
        <v>46084</v>
      </c>
      <c r="I1137" s="364" t="n">
        <f aca="false">H1137-G1137</f>
        <v>29</v>
      </c>
      <c r="J1137" s="366" t="n">
        <f aca="false">TRUNC(I1137/30,0)</f>
        <v>0</v>
      </c>
      <c r="K1137" s="367" t="s">
        <v>99</v>
      </c>
      <c r="L1137" s="368" t="n">
        <v>4.05</v>
      </c>
      <c r="M1137" s="369"/>
      <c r="N1137" s="370"/>
      <c r="O1137" s="366" t="s">
        <v>303</v>
      </c>
      <c r="P1137" s="371" t="n">
        <v>0.0366877</v>
      </c>
      <c r="Q1137" s="371"/>
      <c r="R1137" s="372" t="s">
        <v>914</v>
      </c>
      <c r="S1137" s="373"/>
      <c r="T1137" s="372"/>
      <c r="U1137" s="373"/>
      <c r="V1137" s="373" t="n">
        <v>0.040424</v>
      </c>
      <c r="W1137" s="373" t="n">
        <v>0.002839</v>
      </c>
      <c r="X1137" s="412" t="n">
        <f aca="false">V1137-AD1137-$X$5-W1137</f>
        <v>0.004309</v>
      </c>
      <c r="Y1137" s="373" t="n">
        <v>0.025681</v>
      </c>
      <c r="Z1137" s="373" t="n">
        <v>0.00172</v>
      </c>
      <c r="AA1137" s="373" t="n">
        <v>0.002</v>
      </c>
      <c r="AB1137" s="374" t="n">
        <f aca="false">S1137-Z1137</f>
        <v>-0.00172</v>
      </c>
      <c r="AC1137" s="374" t="n">
        <f aca="false">U1137-Z1137-AA1137</f>
        <v>-0.00372</v>
      </c>
      <c r="AD1137" s="375" t="n">
        <v>0.0315</v>
      </c>
      <c r="AE1137" s="373" t="n">
        <v>0.025681</v>
      </c>
      <c r="AF1137" s="376" t="n">
        <v>0.005819</v>
      </c>
      <c r="AG1137" s="377" t="n">
        <f aca="false">IF(AF1137="","",AE1137+AF1137)</f>
        <v>0.0315</v>
      </c>
      <c r="AH1137" s="378" t="n">
        <v>46055</v>
      </c>
      <c r="AI1137" s="379" t="n">
        <v>8</v>
      </c>
      <c r="AJ1137" s="380" t="str">
        <f aca="false">IF(AG1137="","N","Y")</f>
        <v>Y</v>
      </c>
      <c r="AK1137" s="396" t="s">
        <v>1262</v>
      </c>
      <c r="AL1137" s="397"/>
    </row>
    <row r="1138" s="499" customFormat="true" ht="20.25" hidden="false" customHeight="true" outlineLevel="0" collapsed="false">
      <c r="A1138" s="476" t="n">
        <v>611</v>
      </c>
      <c r="B1138" s="477" t="n">
        <v>46057</v>
      </c>
      <c r="C1138" s="478" t="s">
        <v>209</v>
      </c>
      <c r="D1138" s="478" t="s">
        <v>1178</v>
      </c>
      <c r="E1138" s="478" t="s">
        <v>1186</v>
      </c>
      <c r="F1138" s="478" t="s">
        <v>1188</v>
      </c>
      <c r="G1138" s="480" t="n">
        <v>46057</v>
      </c>
      <c r="H1138" s="480" t="n">
        <v>46146</v>
      </c>
      <c r="I1138" s="476" t="n">
        <f aca="false">H1138-G1138</f>
        <v>89</v>
      </c>
      <c r="J1138" s="481" t="n">
        <f aca="false">TRUNC(I1138/30,0)</f>
        <v>2</v>
      </c>
      <c r="K1138" s="482" t="s">
        <v>1189</v>
      </c>
      <c r="L1138" s="483" t="n">
        <v>2.15</v>
      </c>
      <c r="M1138" s="507"/>
      <c r="N1138" s="508"/>
      <c r="O1138" s="481" t="s">
        <v>300</v>
      </c>
      <c r="P1138" s="488" t="n">
        <v>0.036632</v>
      </c>
      <c r="Q1138" s="488"/>
      <c r="R1138" s="489" t="s">
        <v>914</v>
      </c>
      <c r="S1138" s="490"/>
      <c r="T1138" s="489"/>
      <c r="U1138" s="490"/>
      <c r="V1138" s="490" t="n">
        <v>0.041055</v>
      </c>
      <c r="W1138" s="490" t="n">
        <v>0.000821</v>
      </c>
      <c r="X1138" s="490" t="n">
        <v>0.002258</v>
      </c>
      <c r="Y1138" s="490" t="n">
        <v>0.031899</v>
      </c>
      <c r="Z1138" s="490" t="n">
        <v>0.00172</v>
      </c>
      <c r="AA1138" s="490" t="n">
        <v>0.002</v>
      </c>
      <c r="AB1138" s="492" t="n">
        <f aca="false">S1138-Z1138</f>
        <v>-0.00172</v>
      </c>
      <c r="AC1138" s="492" t="n">
        <f aca="false">U1138-Z1138-AA1138</f>
        <v>-0.00372</v>
      </c>
      <c r="AD1138" s="493" t="n">
        <v>0.0362</v>
      </c>
      <c r="AE1138" s="490" t="n">
        <v>0.031899</v>
      </c>
      <c r="AF1138" s="509" t="n">
        <f aca="false">AD1138-AE1138</f>
        <v>0.00430100000000001</v>
      </c>
      <c r="AG1138" s="494" t="n">
        <v>0.0362</v>
      </c>
      <c r="AH1138" s="495" t="n">
        <v>46057</v>
      </c>
      <c r="AI1138" s="496" t="n">
        <v>1</v>
      </c>
      <c r="AJ1138" s="476" t="str">
        <f aca="false">IF(AG1138="","N","Y")</f>
        <v>Y</v>
      </c>
      <c r="AK1138" s="497" t="s">
        <v>1285</v>
      </c>
      <c r="AL1138" s="498"/>
    </row>
    <row r="1139" s="382" customFormat="true" ht="20.25" hidden="false" customHeight="true" outlineLevel="0" collapsed="false">
      <c r="A1139" s="364" t="n">
        <v>612</v>
      </c>
      <c r="B1139" s="363" t="n">
        <v>46058</v>
      </c>
      <c r="C1139" s="364" t="s">
        <v>1149</v>
      </c>
      <c r="D1139" s="364" t="s">
        <v>1150</v>
      </c>
      <c r="E1139" s="364" t="s">
        <v>1183</v>
      </c>
      <c r="F1139" s="364" t="s">
        <v>1152</v>
      </c>
      <c r="G1139" s="365" t="n">
        <v>46058</v>
      </c>
      <c r="H1139" s="365" t="n">
        <v>46086</v>
      </c>
      <c r="I1139" s="364" t="n">
        <f aca="false">H1139-G1139</f>
        <v>28</v>
      </c>
      <c r="J1139" s="366" t="n">
        <f aca="false">TRUNC(I1139/30,0)</f>
        <v>0</v>
      </c>
      <c r="K1139" s="367" t="s">
        <v>99</v>
      </c>
      <c r="L1139" s="368" t="n">
        <v>1.04</v>
      </c>
      <c r="M1139" s="369"/>
      <c r="N1139" s="370"/>
      <c r="O1139" s="366" t="s">
        <v>303</v>
      </c>
      <c r="P1139" s="371" t="n">
        <v>0.0367306</v>
      </c>
      <c r="Q1139" s="371"/>
      <c r="R1139" s="372" t="s">
        <v>914</v>
      </c>
      <c r="S1139" s="373"/>
      <c r="T1139" s="372"/>
      <c r="U1139" s="373"/>
      <c r="V1139" s="373" t="n">
        <v>0.040419</v>
      </c>
      <c r="W1139" s="373" t="n">
        <v>0.002928</v>
      </c>
      <c r="X1139" s="373" t="n">
        <v>0.004125</v>
      </c>
      <c r="Y1139" s="373" t="n">
        <v>0.025984</v>
      </c>
      <c r="Z1139" s="373" t="n">
        <v>0.00172</v>
      </c>
      <c r="AA1139" s="373" t="n">
        <v>0.002</v>
      </c>
      <c r="AB1139" s="374" t="n">
        <f aca="false">S1139-Z1139</f>
        <v>-0.00172</v>
      </c>
      <c r="AC1139" s="374" t="n">
        <f aca="false">U1139-Z1139-AA1139</f>
        <v>-0.00372</v>
      </c>
      <c r="AD1139" s="375" t="n">
        <v>0.0315</v>
      </c>
      <c r="AE1139" s="373" t="n">
        <v>0.025984</v>
      </c>
      <c r="AF1139" s="376" t="n">
        <f aca="false">AD1139-AE1139</f>
        <v>0.005516</v>
      </c>
      <c r="AG1139" s="377" t="n">
        <v>0.0315</v>
      </c>
      <c r="AH1139" s="378" t="n">
        <v>46058</v>
      </c>
      <c r="AI1139" s="379" t="n">
        <v>1</v>
      </c>
      <c r="AJ1139" s="380" t="str">
        <f aca="false">IF(AG1139="","N","Y")</f>
        <v>Y</v>
      </c>
      <c r="AK1139" s="396" t="s">
        <v>1262</v>
      </c>
      <c r="AL1139" s="397"/>
    </row>
    <row r="1140" s="382" customFormat="true" ht="20.25" hidden="false" customHeight="true" outlineLevel="0" collapsed="false">
      <c r="A1140" s="364" t="n">
        <v>613</v>
      </c>
      <c r="B1140" s="363" t="n">
        <v>46058</v>
      </c>
      <c r="C1140" s="364" t="s">
        <v>1129</v>
      </c>
      <c r="D1140" s="364" t="s">
        <v>1130</v>
      </c>
      <c r="E1140" s="364" t="s">
        <v>1214</v>
      </c>
      <c r="F1140" s="364" t="s">
        <v>1132</v>
      </c>
      <c r="G1140" s="365" t="n">
        <v>46058</v>
      </c>
      <c r="H1140" s="365" t="n">
        <v>46086</v>
      </c>
      <c r="I1140" s="364" t="n">
        <f aca="false">H1140-G1140</f>
        <v>28</v>
      </c>
      <c r="J1140" s="366" t="n">
        <f aca="false">TRUNC(I1140/30,0)</f>
        <v>0</v>
      </c>
      <c r="K1140" s="395" t="s">
        <v>95</v>
      </c>
      <c r="L1140" s="368" t="n">
        <v>2</v>
      </c>
      <c r="M1140" s="369"/>
      <c r="N1140" s="370"/>
      <c r="O1140" s="366" t="s">
        <v>303</v>
      </c>
      <c r="P1140" s="371" t="n">
        <v>0.0367306</v>
      </c>
      <c r="Q1140" s="371"/>
      <c r="R1140" s="372" t="s">
        <v>914</v>
      </c>
      <c r="S1140" s="373"/>
      <c r="T1140" s="372"/>
      <c r="U1140" s="373"/>
      <c r="V1140" s="373" t="n">
        <v>0.039558</v>
      </c>
      <c r="W1140" s="373" t="n">
        <v>0.000791</v>
      </c>
      <c r="X1140" s="373" t="n">
        <f aca="false">V1140-AD1140-$X$5-W1140</f>
        <v>0.002991</v>
      </c>
      <c r="Y1140" s="373" t="n">
        <v>0.031295</v>
      </c>
      <c r="Z1140" s="373" t="n">
        <v>0.00172</v>
      </c>
      <c r="AA1140" s="373" t="n">
        <v>0.002</v>
      </c>
      <c r="AB1140" s="374" t="n">
        <f aca="false">S1140-Z1140</f>
        <v>-0.00172</v>
      </c>
      <c r="AC1140" s="374" t="n">
        <f aca="false">U1140-Z1140-AA1140</f>
        <v>-0.00372</v>
      </c>
      <c r="AD1140" s="375" t="n">
        <v>0.034</v>
      </c>
      <c r="AE1140" s="373" t="n">
        <v>0.031387</v>
      </c>
      <c r="AF1140" s="412" t="n">
        <f aca="false">AD1140-AE1140</f>
        <v>0.002613</v>
      </c>
      <c r="AG1140" s="377" t="n">
        <v>0.034</v>
      </c>
      <c r="AH1140" s="378" t="n">
        <v>46058</v>
      </c>
      <c r="AI1140" s="379" t="n">
        <v>2</v>
      </c>
      <c r="AJ1140" s="380" t="str">
        <f aca="false">IF(AG1140="","N","Y")</f>
        <v>Y</v>
      </c>
      <c r="AK1140" s="396" t="s">
        <v>1286</v>
      </c>
      <c r="AL1140" s="397"/>
    </row>
    <row r="1141" s="382" customFormat="true" ht="20.25" hidden="false" customHeight="true" outlineLevel="0" collapsed="false">
      <c r="A1141" s="364" t="n">
        <v>614</v>
      </c>
      <c r="B1141" s="363" t="n">
        <v>46063</v>
      </c>
      <c r="C1141" s="364" t="s">
        <v>862</v>
      </c>
      <c r="D1141" s="364" t="s">
        <v>932</v>
      </c>
      <c r="E1141" s="364" t="s">
        <v>970</v>
      </c>
      <c r="F1141" s="364" t="s">
        <v>906</v>
      </c>
      <c r="G1141" s="365" t="n">
        <v>46063</v>
      </c>
      <c r="H1141" s="365" t="n">
        <v>46091</v>
      </c>
      <c r="I1141" s="364" t="n">
        <f aca="false">H1141-G1141</f>
        <v>28</v>
      </c>
      <c r="J1141" s="366" t="n">
        <f aca="false">TRUNC(I1141/30,0)</f>
        <v>0</v>
      </c>
      <c r="K1141" s="367" t="s">
        <v>99</v>
      </c>
      <c r="L1141" s="368" t="n">
        <v>1</v>
      </c>
      <c r="M1141" s="369"/>
      <c r="N1141" s="370"/>
      <c r="O1141" s="366" t="s">
        <v>303</v>
      </c>
      <c r="P1141" s="371" t="n">
        <v>0.0372923</v>
      </c>
      <c r="Q1141" s="371"/>
      <c r="R1141" s="372" t="s">
        <v>914</v>
      </c>
      <c r="S1141" s="373"/>
      <c r="T1141" s="372"/>
      <c r="U1141" s="373"/>
      <c r="V1141" s="373" t="n">
        <v>0.040275</v>
      </c>
      <c r="W1141" s="373" t="n">
        <v>0.002819</v>
      </c>
      <c r="X1141" s="373" t="n">
        <v>0.00368</v>
      </c>
      <c r="Y1141" s="373" t="n">
        <v>0.027591</v>
      </c>
      <c r="Z1141" s="373" t="n">
        <v>0.00172</v>
      </c>
      <c r="AA1141" s="373" t="n">
        <v>0.002</v>
      </c>
      <c r="AB1141" s="374" t="n">
        <f aca="false">S1141-Z1141</f>
        <v>-0.00172</v>
      </c>
      <c r="AC1141" s="374" t="n">
        <f aca="false">U1141-Z1141-AA1141</f>
        <v>-0.00372</v>
      </c>
      <c r="AD1141" s="375" t="n">
        <v>0.032</v>
      </c>
      <c r="AE1141" s="376" t="n">
        <v>0.025591</v>
      </c>
      <c r="AF1141" s="376" t="n">
        <f aca="false">AD1141-AE1141</f>
        <v>0.006409</v>
      </c>
      <c r="AG1141" s="377" t="n">
        <v>0.032</v>
      </c>
      <c r="AH1141" s="378" t="n">
        <v>46063</v>
      </c>
      <c r="AI1141" s="379" t="n">
        <v>1</v>
      </c>
      <c r="AJ1141" s="380" t="str">
        <f aca="false">IF(AG1141="","N","Y")</f>
        <v>Y</v>
      </c>
      <c r="AK1141" s="396" t="s">
        <v>1262</v>
      </c>
      <c r="AL1141" s="397"/>
    </row>
    <row r="1142" s="382" customFormat="true" ht="20.25" hidden="false" customHeight="true" outlineLevel="0" collapsed="false">
      <c r="A1142" s="364" t="n">
        <v>615</v>
      </c>
      <c r="B1142" s="363" t="n">
        <v>46065</v>
      </c>
      <c r="C1142" s="364" t="s">
        <v>1066</v>
      </c>
      <c r="D1142" s="402" t="s">
        <v>1280</v>
      </c>
      <c r="E1142" s="402" t="s">
        <v>970</v>
      </c>
      <c r="F1142" s="402" t="s">
        <v>864</v>
      </c>
      <c r="G1142" s="365" t="n">
        <v>46065</v>
      </c>
      <c r="H1142" s="365" t="n">
        <v>46093</v>
      </c>
      <c r="I1142" s="364" t="n">
        <f aca="false">H1142-G1142</f>
        <v>28</v>
      </c>
      <c r="J1142" s="366" t="n">
        <f aca="false">TRUNC(I1142/30,0)</f>
        <v>0</v>
      </c>
      <c r="K1142" s="367" t="s">
        <v>99</v>
      </c>
      <c r="L1142" s="368" t="n">
        <v>5.74</v>
      </c>
      <c r="M1142" s="408"/>
      <c r="N1142" s="409"/>
      <c r="O1142" s="405" t="s">
        <v>303</v>
      </c>
      <c r="P1142" s="410" t="n">
        <v>0.0365964</v>
      </c>
      <c r="Q1142" s="371"/>
      <c r="R1142" s="372" t="s">
        <v>914</v>
      </c>
      <c r="S1142" s="373"/>
      <c r="T1142" s="372"/>
      <c r="U1142" s="373"/>
      <c r="V1142" s="412" t="n">
        <v>0.040246</v>
      </c>
      <c r="W1142" s="412" t="n">
        <v>0.002817</v>
      </c>
      <c r="X1142" s="412" t="n">
        <f aca="false">V1142-AD1142-$X$5-W1142</f>
        <v>0.003653</v>
      </c>
      <c r="Y1142" s="412" t="n">
        <v>0.025663</v>
      </c>
      <c r="Z1142" s="412" t="n">
        <v>0.00172</v>
      </c>
      <c r="AA1142" s="412" t="n">
        <v>0.002</v>
      </c>
      <c r="AB1142" s="374" t="n">
        <f aca="false">S1142-Z1142</f>
        <v>-0.00172</v>
      </c>
      <c r="AC1142" s="374" t="n">
        <f aca="false">U1142-Z1142-AA1142</f>
        <v>-0.00372</v>
      </c>
      <c r="AD1142" s="375" t="n">
        <v>0.032</v>
      </c>
      <c r="AE1142" s="412" t="n">
        <f aca="false">Y1142</f>
        <v>0.025663</v>
      </c>
      <c r="AF1142" s="412" t="n">
        <f aca="false">AD1142-AE1142</f>
        <v>0.006337</v>
      </c>
      <c r="AG1142" s="377" t="n">
        <f aca="false">IF(AF1142="","",AE1142+AF1142)</f>
        <v>0.032</v>
      </c>
      <c r="AH1142" s="378" t="n">
        <v>46065</v>
      </c>
      <c r="AI1142" s="379" t="n">
        <v>1</v>
      </c>
      <c r="AJ1142" s="380" t="str">
        <f aca="false">IF(AG1142="","N","Y")</f>
        <v>Y</v>
      </c>
      <c r="AK1142" s="396" t="s">
        <v>1262</v>
      </c>
      <c r="AL1142" s="397"/>
    </row>
    <row r="1143" s="382" customFormat="true" ht="20.25" hidden="false" customHeight="true" outlineLevel="0" collapsed="false">
      <c r="A1143" s="364" t="n">
        <v>616</v>
      </c>
      <c r="B1143" s="363" t="n">
        <v>46065</v>
      </c>
      <c r="C1143" s="364" t="s">
        <v>1066</v>
      </c>
      <c r="D1143" s="402" t="s">
        <v>1280</v>
      </c>
      <c r="E1143" s="402" t="s">
        <v>970</v>
      </c>
      <c r="F1143" s="402" t="s">
        <v>1192</v>
      </c>
      <c r="G1143" s="365" t="n">
        <v>46065</v>
      </c>
      <c r="H1143" s="365" t="n">
        <v>46093</v>
      </c>
      <c r="I1143" s="364" t="n">
        <f aca="false">H1143-G1143</f>
        <v>28</v>
      </c>
      <c r="J1143" s="366" t="n">
        <f aca="false">TRUNC(I1143/30,0)</f>
        <v>0</v>
      </c>
      <c r="K1143" s="367" t="s">
        <v>99</v>
      </c>
      <c r="L1143" s="368" t="n">
        <v>1.82</v>
      </c>
      <c r="M1143" s="408"/>
      <c r="N1143" s="409"/>
      <c r="O1143" s="405" t="s">
        <v>303</v>
      </c>
      <c r="P1143" s="410" t="n">
        <v>0.0365964</v>
      </c>
      <c r="Q1143" s="371"/>
      <c r="R1143" s="372" t="s">
        <v>914</v>
      </c>
      <c r="S1143" s="373"/>
      <c r="T1143" s="372"/>
      <c r="U1143" s="373"/>
      <c r="V1143" s="412" t="n">
        <v>0.040246</v>
      </c>
      <c r="W1143" s="412" t="n">
        <v>0.002817</v>
      </c>
      <c r="X1143" s="412" t="n">
        <f aca="false">V1143-AD1143-$X$5-W1143</f>
        <v>0.003653</v>
      </c>
      <c r="Y1143" s="412" t="n">
        <v>0.025663</v>
      </c>
      <c r="Z1143" s="412" t="n">
        <v>0.00172</v>
      </c>
      <c r="AA1143" s="412" t="n">
        <v>0.002</v>
      </c>
      <c r="AB1143" s="374" t="n">
        <f aca="false">S1143-Z1143</f>
        <v>-0.00172</v>
      </c>
      <c r="AC1143" s="374" t="n">
        <f aca="false">U1143-Z1143-AA1143</f>
        <v>-0.00372</v>
      </c>
      <c r="AD1143" s="375" t="n">
        <v>0.032</v>
      </c>
      <c r="AE1143" s="412" t="n">
        <f aca="false">Y1143</f>
        <v>0.025663</v>
      </c>
      <c r="AF1143" s="412" t="n">
        <f aca="false">AD1143-AE1143</f>
        <v>0.006337</v>
      </c>
      <c r="AG1143" s="377" t="n">
        <f aca="false">IF(AF1143="","",AE1143+AF1143)</f>
        <v>0.032</v>
      </c>
      <c r="AH1143" s="378" t="n">
        <v>46065</v>
      </c>
      <c r="AI1143" s="379" t="n">
        <v>2</v>
      </c>
      <c r="AJ1143" s="380" t="str">
        <f aca="false">IF(AG1143="","N","Y")</f>
        <v>Y</v>
      </c>
      <c r="AK1143" s="396" t="s">
        <v>1262</v>
      </c>
      <c r="AL1143" s="397"/>
    </row>
    <row r="1144" s="382" customFormat="true" ht="20.25" hidden="false" customHeight="true" outlineLevel="0" collapsed="false">
      <c r="A1144" s="364" t="n">
        <v>617</v>
      </c>
      <c r="B1144" s="363" t="n">
        <v>46065</v>
      </c>
      <c r="C1144" s="364" t="s">
        <v>1133</v>
      </c>
      <c r="D1144" s="364" t="s">
        <v>1134</v>
      </c>
      <c r="E1144" s="364" t="s">
        <v>1191</v>
      </c>
      <c r="F1144" s="364" t="s">
        <v>1136</v>
      </c>
      <c r="G1144" s="365" t="n">
        <v>46065</v>
      </c>
      <c r="H1144" s="365" t="n">
        <v>46156</v>
      </c>
      <c r="I1144" s="364" t="n">
        <f aca="false">H1144-G1144</f>
        <v>91</v>
      </c>
      <c r="J1144" s="366" t="n">
        <f aca="false">TRUNC(I1144/30,0)</f>
        <v>3</v>
      </c>
      <c r="K1144" s="395" t="s">
        <v>95</v>
      </c>
      <c r="L1144" s="368" t="n">
        <v>2.05</v>
      </c>
      <c r="M1144" s="369"/>
      <c r="N1144" s="370"/>
      <c r="O1144" s="366" t="s">
        <v>300</v>
      </c>
      <c r="P1144" s="371" t="n">
        <v>0.0363308</v>
      </c>
      <c r="Q1144" s="371"/>
      <c r="R1144" s="372" t="s">
        <v>914</v>
      </c>
      <c r="S1144" s="373"/>
      <c r="T1144" s="372"/>
      <c r="U1144" s="373"/>
      <c r="V1144" s="373" t="n">
        <v>0.040887</v>
      </c>
      <c r="W1144" s="373" t="n">
        <v>0.000817</v>
      </c>
      <c r="X1144" s="373" t="n">
        <v>0.002793</v>
      </c>
      <c r="Y1144" s="373" t="n">
        <v>0.0316041</v>
      </c>
      <c r="Z1144" s="373" t="n">
        <v>0.00172</v>
      </c>
      <c r="AA1144" s="373" t="n">
        <v>0.002</v>
      </c>
      <c r="AB1144" s="374" t="n">
        <f aca="false">S1144-Z1144</f>
        <v>-0.00172</v>
      </c>
      <c r="AC1144" s="374" t="n">
        <f aca="false">U1144-Z1144-AA1144</f>
        <v>-0.00372</v>
      </c>
      <c r="AD1144" s="375" t="n">
        <v>0.0355</v>
      </c>
      <c r="AE1144" s="412" t="n">
        <f aca="false">Y1144</f>
        <v>0.0316041</v>
      </c>
      <c r="AF1144" s="376" t="n">
        <f aca="false">AD1144-AE1144</f>
        <v>0.00389589999999999</v>
      </c>
      <c r="AG1144" s="377" t="n">
        <f aca="false">AD1144</f>
        <v>0.0355</v>
      </c>
      <c r="AH1144" s="378" t="n">
        <v>46065</v>
      </c>
      <c r="AI1144" s="379" t="n">
        <v>3</v>
      </c>
      <c r="AJ1144" s="380" t="str">
        <f aca="false">IF(AG1144="","N","Y")</f>
        <v>Y</v>
      </c>
      <c r="AK1144" s="396" t="s">
        <v>1287</v>
      </c>
      <c r="AL1144" s="397"/>
    </row>
    <row r="1145" s="382" customFormat="true" ht="20.25" hidden="false" customHeight="true" outlineLevel="0" collapsed="false">
      <c r="A1145" s="364" t="n">
        <v>618</v>
      </c>
      <c r="B1145" s="363" t="n">
        <v>46066</v>
      </c>
      <c r="C1145" s="364" t="s">
        <v>925</v>
      </c>
      <c r="D1145" s="402" t="s">
        <v>1281</v>
      </c>
      <c r="E1145" s="402" t="s">
        <v>987</v>
      </c>
      <c r="F1145" s="402" t="s">
        <v>1282</v>
      </c>
      <c r="G1145" s="365" t="n">
        <v>46066</v>
      </c>
      <c r="H1145" s="365" t="n">
        <v>46094</v>
      </c>
      <c r="I1145" s="364" t="n">
        <f aca="false">H1145-G1145</f>
        <v>28</v>
      </c>
      <c r="J1145" s="366" t="n">
        <f aca="false">TRUNC(I1145/30,0)</f>
        <v>0</v>
      </c>
      <c r="K1145" s="367" t="s">
        <v>99</v>
      </c>
      <c r="L1145" s="368" t="n">
        <v>2</v>
      </c>
      <c r="M1145" s="408"/>
      <c r="N1145" s="409"/>
      <c r="O1145" s="405" t="s">
        <v>303</v>
      </c>
      <c r="P1145" s="410" t="n">
        <v>0.0365965</v>
      </c>
      <c r="Q1145" s="371"/>
      <c r="R1145" s="372" t="s">
        <v>914</v>
      </c>
      <c r="S1145" s="373"/>
      <c r="T1145" s="372"/>
      <c r="U1145" s="373"/>
      <c r="V1145" s="412" t="n">
        <v>0.040213</v>
      </c>
      <c r="W1145" s="412" t="n">
        <v>0.002814</v>
      </c>
      <c r="X1145" s="412" t="n">
        <f aca="false">V1145-AD1145-$X$5-W1145</f>
        <v>0.004123</v>
      </c>
      <c r="Y1145" s="412" t="n">
        <v>0.025663</v>
      </c>
      <c r="Z1145" s="412" t="n">
        <v>0.00172</v>
      </c>
      <c r="AA1145" s="412" t="n">
        <v>0.002</v>
      </c>
      <c r="AB1145" s="374" t="n">
        <f aca="false">S1145-Z1145</f>
        <v>-0.00172</v>
      </c>
      <c r="AC1145" s="374" t="n">
        <f aca="false">U1145-Z1145-AA1145</f>
        <v>-0.00372</v>
      </c>
      <c r="AD1145" s="375" t="n">
        <v>0.0315</v>
      </c>
      <c r="AE1145" s="412" t="n">
        <f aca="false">Y1145</f>
        <v>0.025663</v>
      </c>
      <c r="AF1145" s="412" t="n">
        <f aca="false">AD1145-AE1145</f>
        <v>0.005837</v>
      </c>
      <c r="AG1145" s="377" t="n">
        <f aca="false">IF(AF1145="","",AE1145+AF1145)</f>
        <v>0.0315</v>
      </c>
      <c r="AH1145" s="378" t="n">
        <v>46066</v>
      </c>
      <c r="AI1145" s="379" t="n">
        <v>1</v>
      </c>
      <c r="AJ1145" s="380" t="str">
        <f aca="false">IF(AG1145="","N","Y")</f>
        <v>Y</v>
      </c>
      <c r="AK1145" s="396" t="s">
        <v>1262</v>
      </c>
      <c r="AL1145" s="397"/>
    </row>
    <row r="1146" s="418" customFormat="true" ht="20.25" hidden="false" customHeight="true" outlineLevel="0" collapsed="false">
      <c r="A1146" s="402" t="n">
        <v>619</v>
      </c>
      <c r="B1146" s="403" t="n">
        <v>46066</v>
      </c>
      <c r="C1146" s="402" t="s">
        <v>209</v>
      </c>
      <c r="D1146" s="402" t="s">
        <v>913</v>
      </c>
      <c r="E1146" s="402" t="s">
        <v>1195</v>
      </c>
      <c r="F1146" s="364" t="s">
        <v>1188</v>
      </c>
      <c r="G1146" s="365" t="n">
        <v>46066</v>
      </c>
      <c r="H1146" s="404" t="n">
        <v>46155</v>
      </c>
      <c r="I1146" s="402" t="n">
        <f aca="false">H1146-G1146</f>
        <v>89</v>
      </c>
      <c r="J1146" s="405" t="n">
        <f aca="false">TRUNC(I1146/30,0)</f>
        <v>2</v>
      </c>
      <c r="K1146" s="406" t="s">
        <v>95</v>
      </c>
      <c r="L1146" s="407" t="n">
        <v>1.44</v>
      </c>
      <c r="M1146" s="408"/>
      <c r="N1146" s="409"/>
      <c r="O1146" s="405" t="s">
        <v>300</v>
      </c>
      <c r="P1146" s="410" t="n">
        <v>0.0365253</v>
      </c>
      <c r="Q1146" s="410"/>
      <c r="R1146" s="411" t="s">
        <v>914</v>
      </c>
      <c r="S1146" s="412"/>
      <c r="T1146" s="411"/>
      <c r="U1146" s="412"/>
      <c r="V1146" s="412" t="n">
        <v>0.040785</v>
      </c>
      <c r="W1146" s="412" t="n">
        <v>0.000815</v>
      </c>
      <c r="X1146" s="412" t="n">
        <v>0.002693</v>
      </c>
      <c r="Y1146" s="412" t="n">
        <v>0.031794</v>
      </c>
      <c r="Z1146" s="412" t="n">
        <v>0.00172</v>
      </c>
      <c r="AA1146" s="412" t="n">
        <v>0.002</v>
      </c>
      <c r="AB1146" s="412" t="n">
        <f aca="false">S1146-Z1146</f>
        <v>-0.00172</v>
      </c>
      <c r="AC1146" s="412" t="n">
        <f aca="false">U1146-Z1146-AA1146</f>
        <v>-0.00372</v>
      </c>
      <c r="AD1146" s="413" t="n">
        <v>0.0355</v>
      </c>
      <c r="AE1146" s="412" t="n">
        <f aca="false">Y1146</f>
        <v>0.031794</v>
      </c>
      <c r="AF1146" s="412" t="n">
        <v>0.004518</v>
      </c>
      <c r="AG1146" s="412" t="n">
        <v>0.0355</v>
      </c>
      <c r="AH1146" s="378" t="n">
        <v>46066</v>
      </c>
      <c r="AI1146" s="414" t="n">
        <v>2</v>
      </c>
      <c r="AJ1146" s="415" t="str">
        <f aca="false">IF(AG1146="","N","Y")</f>
        <v>Y</v>
      </c>
      <c r="AK1146" s="416" t="s">
        <v>1288</v>
      </c>
      <c r="AL1146" s="417"/>
    </row>
    <row r="1147" s="418" customFormat="true" ht="20.25" hidden="false" customHeight="true" outlineLevel="0" collapsed="false">
      <c r="A1147" s="402" t="n">
        <v>620</v>
      </c>
      <c r="B1147" s="403" t="n">
        <v>46066</v>
      </c>
      <c r="C1147" s="402" t="s">
        <v>209</v>
      </c>
      <c r="D1147" s="402" t="s">
        <v>913</v>
      </c>
      <c r="E1147" s="402" t="s">
        <v>1195</v>
      </c>
      <c r="F1147" s="364" t="s">
        <v>524</v>
      </c>
      <c r="G1147" s="365" t="n">
        <v>46066</v>
      </c>
      <c r="H1147" s="404" t="n">
        <v>46155</v>
      </c>
      <c r="I1147" s="402" t="n">
        <f aca="false">H1147-G1147</f>
        <v>89</v>
      </c>
      <c r="J1147" s="405" t="n">
        <f aca="false">TRUNC(I1147/30,0)</f>
        <v>2</v>
      </c>
      <c r="K1147" s="406" t="s">
        <v>95</v>
      </c>
      <c r="L1147" s="407" t="n">
        <v>1.44</v>
      </c>
      <c r="M1147" s="408"/>
      <c r="N1147" s="409"/>
      <c r="O1147" s="405" t="s">
        <v>300</v>
      </c>
      <c r="P1147" s="410" t="n">
        <v>0.0365253</v>
      </c>
      <c r="Q1147" s="410"/>
      <c r="R1147" s="411" t="s">
        <v>914</v>
      </c>
      <c r="S1147" s="412"/>
      <c r="T1147" s="411"/>
      <c r="U1147" s="412"/>
      <c r="V1147" s="412" t="n">
        <v>0.040785</v>
      </c>
      <c r="W1147" s="412" t="n">
        <v>0.000815</v>
      </c>
      <c r="X1147" s="412" t="n">
        <v>0.002693</v>
      </c>
      <c r="Y1147" s="412" t="n">
        <v>0.031794</v>
      </c>
      <c r="Z1147" s="412" t="n">
        <v>0.00172</v>
      </c>
      <c r="AA1147" s="412" t="n">
        <v>0.002</v>
      </c>
      <c r="AB1147" s="412" t="n">
        <f aca="false">S1147-Z1147</f>
        <v>-0.00172</v>
      </c>
      <c r="AC1147" s="412" t="n">
        <f aca="false">U1147-Z1147-AA1147</f>
        <v>-0.00372</v>
      </c>
      <c r="AD1147" s="413" t="n">
        <v>0.0355</v>
      </c>
      <c r="AE1147" s="412" t="n">
        <f aca="false">Y1147</f>
        <v>0.031794</v>
      </c>
      <c r="AF1147" s="412" t="n">
        <v>0.004518</v>
      </c>
      <c r="AG1147" s="412" t="n">
        <v>0.0355</v>
      </c>
      <c r="AH1147" s="378" t="n">
        <v>46066</v>
      </c>
      <c r="AI1147" s="379" t="n">
        <v>3</v>
      </c>
      <c r="AJ1147" s="415" t="str">
        <f aca="false">IF(AG1147="","N","Y")</f>
        <v>Y</v>
      </c>
      <c r="AK1147" s="416" t="s">
        <v>1288</v>
      </c>
      <c r="AL1147" s="417"/>
    </row>
    <row r="1148" s="418" customFormat="true" ht="20.25" hidden="false" customHeight="true" outlineLevel="0" collapsed="false">
      <c r="A1148" s="402" t="n">
        <v>621</v>
      </c>
      <c r="B1148" s="403" t="n">
        <v>46066</v>
      </c>
      <c r="C1148" s="402" t="s">
        <v>209</v>
      </c>
      <c r="D1148" s="402" t="s">
        <v>913</v>
      </c>
      <c r="E1148" s="402" t="s">
        <v>1195</v>
      </c>
      <c r="F1148" s="364" t="s">
        <v>524</v>
      </c>
      <c r="G1148" s="365" t="n">
        <v>46066</v>
      </c>
      <c r="H1148" s="404" t="n">
        <v>46155</v>
      </c>
      <c r="I1148" s="402" t="n">
        <f aca="false">H1148-G1148</f>
        <v>89</v>
      </c>
      <c r="J1148" s="405" t="n">
        <f aca="false">TRUNC(I1148/30,0)</f>
        <v>2</v>
      </c>
      <c r="K1148" s="406" t="s">
        <v>95</v>
      </c>
      <c r="L1148" s="407" t="n">
        <v>3.61</v>
      </c>
      <c r="M1148" s="408"/>
      <c r="N1148" s="409"/>
      <c r="O1148" s="405" t="s">
        <v>300</v>
      </c>
      <c r="P1148" s="410" t="n">
        <v>0.0365253</v>
      </c>
      <c r="Q1148" s="410"/>
      <c r="R1148" s="411" t="s">
        <v>914</v>
      </c>
      <c r="S1148" s="412"/>
      <c r="T1148" s="411"/>
      <c r="U1148" s="412"/>
      <c r="V1148" s="412" t="n">
        <v>0.040785</v>
      </c>
      <c r="W1148" s="412" t="n">
        <v>0.000815</v>
      </c>
      <c r="X1148" s="412" t="n">
        <v>0.002693</v>
      </c>
      <c r="Y1148" s="412" t="n">
        <v>0.031794</v>
      </c>
      <c r="Z1148" s="412" t="n">
        <v>0.00172</v>
      </c>
      <c r="AA1148" s="412" t="n">
        <v>0.002</v>
      </c>
      <c r="AB1148" s="412" t="n">
        <f aca="false">S1148-Z1148</f>
        <v>-0.00172</v>
      </c>
      <c r="AC1148" s="412" t="n">
        <f aca="false">U1148-Z1148-AA1148</f>
        <v>-0.00372</v>
      </c>
      <c r="AD1148" s="413" t="n">
        <v>0.0355</v>
      </c>
      <c r="AE1148" s="412" t="n">
        <f aca="false">Y1148</f>
        <v>0.031794</v>
      </c>
      <c r="AF1148" s="412" t="n">
        <v>0.004518</v>
      </c>
      <c r="AG1148" s="412" t="n">
        <v>0.0355</v>
      </c>
      <c r="AH1148" s="378" t="n">
        <v>46066</v>
      </c>
      <c r="AI1148" s="414" t="n">
        <v>4</v>
      </c>
      <c r="AJ1148" s="415" t="str">
        <f aca="false">IF(AG1148="","N","Y")</f>
        <v>Y</v>
      </c>
      <c r="AK1148" s="416" t="s">
        <v>1288</v>
      </c>
      <c r="AL1148" s="417"/>
    </row>
    <row r="1149" s="382" customFormat="true" ht="20.25" hidden="false" customHeight="true" outlineLevel="0" collapsed="false">
      <c r="A1149" s="364" t="n">
        <v>622</v>
      </c>
      <c r="B1149" s="363" t="n">
        <v>46072</v>
      </c>
      <c r="C1149" s="364" t="s">
        <v>1172</v>
      </c>
      <c r="D1149" s="364" t="s">
        <v>1173</v>
      </c>
      <c r="E1149" s="364" t="s">
        <v>1218</v>
      </c>
      <c r="F1149" s="364" t="s">
        <v>1175</v>
      </c>
      <c r="G1149" s="365" t="n">
        <v>46072</v>
      </c>
      <c r="H1149" s="365" t="n">
        <v>46100</v>
      </c>
      <c r="I1149" s="364" t="n">
        <f aca="false">H1149-G1149</f>
        <v>28</v>
      </c>
      <c r="J1149" s="366" t="n">
        <f aca="false">TRUNC(I1149/30,0)</f>
        <v>0</v>
      </c>
      <c r="K1149" s="367" t="s">
        <v>99</v>
      </c>
      <c r="L1149" s="368" t="n">
        <v>5.48</v>
      </c>
      <c r="M1149" s="369"/>
      <c r="N1149" s="370"/>
      <c r="O1149" s="366" t="s">
        <v>303</v>
      </c>
      <c r="P1149" s="371" t="n">
        <v>0.0366724</v>
      </c>
      <c r="Q1149" s="371"/>
      <c r="R1149" s="372" t="s">
        <v>914</v>
      </c>
      <c r="S1149" s="373"/>
      <c r="T1149" s="372"/>
      <c r="U1149" s="373"/>
      <c r="V1149" s="373" t="n">
        <v>0.04031</v>
      </c>
      <c r="W1149" s="373" t="n">
        <v>0.002821</v>
      </c>
      <c r="X1149" s="373" t="n">
        <v>0.003713</v>
      </c>
      <c r="Y1149" s="373" t="n">
        <v>0.02612</v>
      </c>
      <c r="Z1149" s="373" t="n">
        <v>0.00172</v>
      </c>
      <c r="AA1149" s="373" t="n">
        <v>0.002</v>
      </c>
      <c r="AB1149" s="374" t="n">
        <f aca="false">S1149-Z1149</f>
        <v>-0.00172</v>
      </c>
      <c r="AC1149" s="374" t="n">
        <f aca="false">U1149-Z1149-AA1149</f>
        <v>-0.00372</v>
      </c>
      <c r="AD1149" s="375" t="n">
        <v>0.032</v>
      </c>
      <c r="AE1149" s="412" t="n">
        <f aca="false">Y1149</f>
        <v>0.02612</v>
      </c>
      <c r="AF1149" s="376" t="n">
        <f aca="false">AD1149-AE1149</f>
        <v>0.00588</v>
      </c>
      <c r="AG1149" s="377" t="n">
        <f aca="false">IF(AF1149="","",AE1149+AF1149)</f>
        <v>0.032</v>
      </c>
      <c r="AH1149" s="378" t="n">
        <v>46072</v>
      </c>
      <c r="AI1149" s="379" t="n">
        <v>1</v>
      </c>
      <c r="AJ1149" s="380" t="str">
        <f aca="false">IF(AG1149="","N","Y")</f>
        <v>Y</v>
      </c>
      <c r="AK1149" s="396" t="s">
        <v>1262</v>
      </c>
      <c r="AL1149" s="397"/>
    </row>
    <row r="1150" s="382" customFormat="true" ht="20.25" hidden="false" customHeight="true" outlineLevel="0" collapsed="false">
      <c r="A1150" s="364" t="n">
        <v>623</v>
      </c>
      <c r="B1150" s="363" t="n">
        <v>46072</v>
      </c>
      <c r="C1150" s="364" t="s">
        <v>1219</v>
      </c>
      <c r="D1150" s="364" t="s">
        <v>1005</v>
      </c>
      <c r="E1150" s="364" t="s">
        <v>1006</v>
      </c>
      <c r="F1150" s="364" t="s">
        <v>1056</v>
      </c>
      <c r="G1150" s="365" t="n">
        <v>46072</v>
      </c>
      <c r="H1150" s="365" t="n">
        <v>46100</v>
      </c>
      <c r="I1150" s="364" t="n">
        <f aca="false">H1150-G1150</f>
        <v>28</v>
      </c>
      <c r="J1150" s="366" t="n">
        <f aca="false">TRUNC(I1150/30,0)</f>
        <v>0</v>
      </c>
      <c r="K1150" s="367" t="s">
        <v>99</v>
      </c>
      <c r="L1150" s="368" t="n">
        <v>6.48</v>
      </c>
      <c r="M1150" s="369"/>
      <c r="N1150" s="370"/>
      <c r="O1150" s="366" t="s">
        <v>303</v>
      </c>
      <c r="P1150" s="371" t="n">
        <v>0.0366724</v>
      </c>
      <c r="Q1150" s="371"/>
      <c r="R1150" s="372" t="s">
        <v>914</v>
      </c>
      <c r="S1150" s="373"/>
      <c r="T1150" s="372"/>
      <c r="U1150" s="373"/>
      <c r="V1150" s="373" t="n">
        <v>0.04031</v>
      </c>
      <c r="W1150" s="373" t="n">
        <v>0.002821</v>
      </c>
      <c r="X1150" s="373" t="n">
        <v>0.003713</v>
      </c>
      <c r="Y1150" s="373" t="n">
        <v>0.02612</v>
      </c>
      <c r="Z1150" s="373" t="n">
        <v>0.00172</v>
      </c>
      <c r="AA1150" s="373" t="n">
        <v>0.002</v>
      </c>
      <c r="AB1150" s="374" t="n">
        <f aca="false">S1150-Z1150</f>
        <v>-0.00172</v>
      </c>
      <c r="AC1150" s="374" t="n">
        <f aca="false">U1150-Z1150-AA1150</f>
        <v>-0.00372</v>
      </c>
      <c r="AD1150" s="375" t="n">
        <v>0.032</v>
      </c>
      <c r="AE1150" s="412" t="n">
        <f aca="false">Y1150</f>
        <v>0.02612</v>
      </c>
      <c r="AF1150" s="376" t="n">
        <f aca="false">AD1150-AE1150</f>
        <v>0.00588</v>
      </c>
      <c r="AG1150" s="377" t="n">
        <v>0.032</v>
      </c>
      <c r="AH1150" s="378" t="n">
        <v>46072</v>
      </c>
      <c r="AI1150" s="379" t="n">
        <v>2</v>
      </c>
      <c r="AJ1150" s="380" t="str">
        <f aca="false">IF(AG1150="","N","Y")</f>
        <v>Y</v>
      </c>
      <c r="AK1150" s="396" t="s">
        <v>1262</v>
      </c>
      <c r="AL1150" s="397"/>
    </row>
    <row r="1151" s="382" customFormat="true" ht="19.5" hidden="false" customHeight="true" outlineLevel="0" collapsed="false">
      <c r="A1151" s="364" t="n">
        <v>624</v>
      </c>
      <c r="B1151" s="363" t="n">
        <v>46072</v>
      </c>
      <c r="C1151" s="364" t="s">
        <v>644</v>
      </c>
      <c r="D1151" s="364" t="s">
        <v>1070</v>
      </c>
      <c r="E1151" s="364" t="s">
        <v>1226</v>
      </c>
      <c r="F1151" s="364" t="s">
        <v>1072</v>
      </c>
      <c r="G1151" s="365" t="n">
        <v>46072</v>
      </c>
      <c r="H1151" s="365" t="n">
        <v>46101</v>
      </c>
      <c r="I1151" s="364" t="n">
        <f aca="false">H1151-G1151</f>
        <v>29</v>
      </c>
      <c r="J1151" s="366" t="n">
        <f aca="false">TRUNC(I1151/30,0)</f>
        <v>0</v>
      </c>
      <c r="K1151" s="395" t="s">
        <v>95</v>
      </c>
      <c r="L1151" s="368" t="n">
        <v>1.5</v>
      </c>
      <c r="M1151" s="408"/>
      <c r="N1151" s="409"/>
      <c r="O1151" s="405" t="s">
        <v>303</v>
      </c>
      <c r="P1151" s="371" t="n">
        <v>0.0366724</v>
      </c>
      <c r="Q1151" s="371"/>
      <c r="R1151" s="372" t="s">
        <v>914</v>
      </c>
      <c r="S1151" s="373"/>
      <c r="T1151" s="372"/>
      <c r="U1151" s="373"/>
      <c r="V1151" s="412" t="n">
        <v>0.039723</v>
      </c>
      <c r="W1151" s="373" t="n">
        <v>0.000788</v>
      </c>
      <c r="X1151" s="412" t="n">
        <f aca="false">V1151-AD1151-$X$5-W1151</f>
        <v>0.002659</v>
      </c>
      <c r="Y1151" s="373" t="n">
        <v>0.031238</v>
      </c>
      <c r="Z1151" s="412" t="n">
        <v>0.00172</v>
      </c>
      <c r="AA1151" s="412" t="n">
        <v>0.002</v>
      </c>
      <c r="AB1151" s="374" t="n">
        <f aca="false">S1151-Z1151</f>
        <v>-0.00172</v>
      </c>
      <c r="AC1151" s="374" t="n">
        <f aca="false">U1151-Z1151-AA1151</f>
        <v>-0.00372</v>
      </c>
      <c r="AD1151" s="375" t="n">
        <v>0.0345</v>
      </c>
      <c r="AE1151" s="412" t="n">
        <f aca="false">Y1151</f>
        <v>0.031238</v>
      </c>
      <c r="AF1151" s="412" t="n">
        <f aca="false">AD1151-AE1151</f>
        <v>0.003262</v>
      </c>
      <c r="AG1151" s="377" t="n">
        <f aca="false">IF(AF1151="","",AE1151+AF1151)</f>
        <v>0.0345</v>
      </c>
      <c r="AH1151" s="378" t="n">
        <v>46072</v>
      </c>
      <c r="AI1151" s="379" t="n">
        <v>3</v>
      </c>
      <c r="AJ1151" s="380" t="str">
        <f aca="false">IF(AG1151="","N","Y")</f>
        <v>Y</v>
      </c>
      <c r="AK1151" s="416" t="s">
        <v>1286</v>
      </c>
      <c r="AL1151" s="397"/>
    </row>
    <row r="1152" s="382" customFormat="true" ht="20.25" hidden="false" customHeight="true" outlineLevel="0" collapsed="false">
      <c r="A1152" s="364" t="n">
        <v>625</v>
      </c>
      <c r="B1152" s="363" t="n">
        <v>46072</v>
      </c>
      <c r="C1152" s="364" t="s">
        <v>187</v>
      </c>
      <c r="D1152" s="364" t="s">
        <v>1062</v>
      </c>
      <c r="E1152" s="364" t="s">
        <v>1165</v>
      </c>
      <c r="F1152" s="364" t="s">
        <v>877</v>
      </c>
      <c r="G1152" s="365" t="n">
        <v>46072</v>
      </c>
      <c r="H1152" s="365" t="n">
        <v>46100</v>
      </c>
      <c r="I1152" s="364" t="n">
        <f aca="false">H1152-G1152</f>
        <v>28</v>
      </c>
      <c r="J1152" s="366" t="n">
        <f aca="false">TRUNC(I1152/30,0)</f>
        <v>0</v>
      </c>
      <c r="K1152" s="367" t="s">
        <v>99</v>
      </c>
      <c r="L1152" s="368" t="n">
        <v>46.54</v>
      </c>
      <c r="M1152" s="408"/>
      <c r="N1152" s="409"/>
      <c r="O1152" s="366" t="s">
        <v>303</v>
      </c>
      <c r="P1152" s="371" t="n">
        <v>0.0366724</v>
      </c>
      <c r="Q1152" s="371"/>
      <c r="R1152" s="372" t="s">
        <v>914</v>
      </c>
      <c r="S1152" s="373"/>
      <c r="T1152" s="372"/>
      <c r="U1152" s="373"/>
      <c r="V1152" s="412" t="n">
        <v>0.04031</v>
      </c>
      <c r="W1152" s="373" t="n">
        <v>0.002821</v>
      </c>
      <c r="X1152" s="412" t="n">
        <f aca="false">V1152-AD1152-$X$5-W1152</f>
        <v>0.003713</v>
      </c>
      <c r="Y1152" s="373" t="n">
        <v>0.02612</v>
      </c>
      <c r="Z1152" s="412" t="n">
        <v>0.00172</v>
      </c>
      <c r="AA1152" s="412" t="n">
        <v>0.002</v>
      </c>
      <c r="AB1152" s="374" t="n">
        <f aca="false">S1152-Z1152</f>
        <v>-0.00172</v>
      </c>
      <c r="AC1152" s="374" t="n">
        <f aca="false">U1152-Z1152-AA1152</f>
        <v>-0.00372</v>
      </c>
      <c r="AD1152" s="375" t="n">
        <v>0.032</v>
      </c>
      <c r="AE1152" s="412" t="n">
        <f aca="false">Y1152</f>
        <v>0.02612</v>
      </c>
      <c r="AF1152" s="412" t="n">
        <f aca="false">AD1152-AE1152</f>
        <v>0.00588</v>
      </c>
      <c r="AG1152" s="377" t="n">
        <f aca="false">IF(AF1152="","",AE1152+AF1152)</f>
        <v>0.032</v>
      </c>
      <c r="AH1152" s="378" t="n">
        <v>46072</v>
      </c>
      <c r="AI1152" s="379" t="n">
        <v>4</v>
      </c>
      <c r="AJ1152" s="380" t="str">
        <f aca="false">IF(AG1152="","N","Y")</f>
        <v>Y</v>
      </c>
      <c r="AK1152" s="396" t="s">
        <v>1258</v>
      </c>
      <c r="AL1152" s="397"/>
    </row>
    <row r="1153" s="382" customFormat="true" ht="19.5" hidden="false" customHeight="true" outlineLevel="0" collapsed="false">
      <c r="A1153" s="364" t="n">
        <v>626</v>
      </c>
      <c r="B1153" s="363" t="n">
        <v>46072</v>
      </c>
      <c r="C1153" s="364" t="s">
        <v>209</v>
      </c>
      <c r="D1153" s="364" t="s">
        <v>1054</v>
      </c>
      <c r="E1153" s="364" t="s">
        <v>1055</v>
      </c>
      <c r="F1153" s="364" t="s">
        <v>697</v>
      </c>
      <c r="G1153" s="365" t="n">
        <v>46072</v>
      </c>
      <c r="H1153" s="365" t="n">
        <v>46100</v>
      </c>
      <c r="I1153" s="364" t="n">
        <f aca="false">H1153-G1153</f>
        <v>28</v>
      </c>
      <c r="J1153" s="366" t="n">
        <f aca="false">TRUNC(I1153/30,0)</f>
        <v>0</v>
      </c>
      <c r="K1153" s="367" t="s">
        <v>99</v>
      </c>
      <c r="L1153" s="368" t="n">
        <v>4.66</v>
      </c>
      <c r="M1153" s="369"/>
      <c r="N1153" s="370"/>
      <c r="O1153" s="366" t="s">
        <v>303</v>
      </c>
      <c r="P1153" s="371" t="n">
        <v>0.0366724</v>
      </c>
      <c r="Q1153" s="371"/>
      <c r="R1153" s="372" t="s">
        <v>914</v>
      </c>
      <c r="S1153" s="373"/>
      <c r="T1153" s="372"/>
      <c r="U1153" s="373"/>
      <c r="V1153" s="373" t="n">
        <v>0.04031</v>
      </c>
      <c r="W1153" s="373" t="n">
        <v>0.002821</v>
      </c>
      <c r="X1153" s="412" t="n">
        <f aca="false">V1153-AD1153-$X$5-W1153</f>
        <v>0.003713</v>
      </c>
      <c r="Y1153" s="373" t="n">
        <v>0.02612</v>
      </c>
      <c r="Z1153" s="373" t="n">
        <v>0.00172</v>
      </c>
      <c r="AA1153" s="373" t="n">
        <v>0.002</v>
      </c>
      <c r="AB1153" s="374" t="n">
        <f aca="false">S1153-Z1153</f>
        <v>-0.00172</v>
      </c>
      <c r="AC1153" s="374" t="n">
        <f aca="false">U1153-Z1153-AA1153</f>
        <v>-0.00372</v>
      </c>
      <c r="AD1153" s="375" t="n">
        <v>0.032</v>
      </c>
      <c r="AE1153" s="412" t="n">
        <f aca="false">Y1153</f>
        <v>0.02612</v>
      </c>
      <c r="AF1153" s="376" t="n">
        <f aca="false">AD1153-AE1153</f>
        <v>0.00588</v>
      </c>
      <c r="AG1153" s="377" t="n">
        <f aca="false">IF(AF1153="","",AE1153+AF1153)</f>
        <v>0.032</v>
      </c>
      <c r="AH1153" s="378" t="n">
        <v>46072</v>
      </c>
      <c r="AI1153" s="379" t="n">
        <v>5</v>
      </c>
      <c r="AJ1153" s="380" t="str">
        <f aca="false">IF(AG1153="","N","Y")</f>
        <v>Y</v>
      </c>
      <c r="AK1153" s="396" t="s">
        <v>1258</v>
      </c>
      <c r="AL1153" s="397"/>
    </row>
    <row r="1154" s="382" customFormat="true" ht="20.25" hidden="false" customHeight="true" outlineLevel="0" collapsed="false">
      <c r="A1154" s="364" t="n">
        <v>627</v>
      </c>
      <c r="B1154" s="363" t="n">
        <v>46073</v>
      </c>
      <c r="C1154" s="364" t="s">
        <v>644</v>
      </c>
      <c r="D1154" s="364" t="s">
        <v>1112</v>
      </c>
      <c r="E1154" s="364" t="s">
        <v>492</v>
      </c>
      <c r="F1154" s="364" t="s">
        <v>880</v>
      </c>
      <c r="G1154" s="365" t="n">
        <v>46073</v>
      </c>
      <c r="H1154" s="365" t="n">
        <v>46101</v>
      </c>
      <c r="I1154" s="364" t="n">
        <f aca="false">H1154-G1154</f>
        <v>28</v>
      </c>
      <c r="J1154" s="366" t="n">
        <f aca="false">TRUNC(I1154/30,0)</f>
        <v>0</v>
      </c>
      <c r="K1154" s="367" t="s">
        <v>99</v>
      </c>
      <c r="L1154" s="368" t="n">
        <v>7.36</v>
      </c>
      <c r="M1154" s="369"/>
      <c r="N1154" s="370"/>
      <c r="O1154" s="366" t="s">
        <v>303</v>
      </c>
      <c r="P1154" s="371" t="n">
        <v>0.0366724</v>
      </c>
      <c r="Q1154" s="371"/>
      <c r="R1154" s="372" t="s">
        <v>914</v>
      </c>
      <c r="S1154" s="373"/>
      <c r="T1154" s="372"/>
      <c r="U1154" s="373"/>
      <c r="V1154" s="373" t="n">
        <v>0.04031</v>
      </c>
      <c r="W1154" s="373" t="n">
        <v>0.002821</v>
      </c>
      <c r="X1154" s="412" t="n">
        <f aca="false">V1154-AD1154-$X$5-W1154</f>
        <v>0.005713</v>
      </c>
      <c r="Y1154" s="373" t="n">
        <v>0.02612</v>
      </c>
      <c r="Z1154" s="373" t="n">
        <v>0.00172</v>
      </c>
      <c r="AA1154" s="373" t="n">
        <v>0.002</v>
      </c>
      <c r="AB1154" s="374" t="n">
        <f aca="false">S1154-Z1154</f>
        <v>-0.00172</v>
      </c>
      <c r="AC1154" s="374" t="n">
        <f aca="false">U1154-Z1154-AA1154</f>
        <v>-0.00372</v>
      </c>
      <c r="AD1154" s="375" t="n">
        <v>0.03</v>
      </c>
      <c r="AE1154" s="412" t="n">
        <f aca="false">Y1154</f>
        <v>0.02612</v>
      </c>
      <c r="AF1154" s="412" t="n">
        <f aca="false">AD1154-AE1154</f>
        <v>0.00388</v>
      </c>
      <c r="AG1154" s="377" t="n">
        <f aca="false">IF(AF1154="","",AE1154+AF1154)</f>
        <v>0.03</v>
      </c>
      <c r="AH1154" s="378" t="n">
        <v>46073</v>
      </c>
      <c r="AI1154" s="379" t="n">
        <v>1</v>
      </c>
      <c r="AJ1154" s="380" t="str">
        <f aca="false">IF(AG1154="","N","Y")</f>
        <v>Y</v>
      </c>
      <c r="AK1154" s="396" t="s">
        <v>1258</v>
      </c>
      <c r="AL1154" s="397"/>
    </row>
    <row r="1155" s="382" customFormat="true" ht="20.25" hidden="false" customHeight="true" outlineLevel="0" collapsed="false">
      <c r="A1155" s="364" t="n">
        <v>628</v>
      </c>
      <c r="B1155" s="363" t="n">
        <v>46076</v>
      </c>
      <c r="C1155" s="364" t="s">
        <v>96</v>
      </c>
      <c r="D1155" s="364" t="s">
        <v>1289</v>
      </c>
      <c r="E1155" s="364" t="s">
        <v>805</v>
      </c>
      <c r="F1155" s="364" t="s">
        <v>1027</v>
      </c>
      <c r="G1155" s="365" t="n">
        <v>46076</v>
      </c>
      <c r="H1155" s="365" t="n">
        <v>46104</v>
      </c>
      <c r="I1155" s="364" t="n">
        <f aca="false">H1155-G1155</f>
        <v>28</v>
      </c>
      <c r="J1155" s="366" t="n">
        <f aca="false">TRUNC(I1155/30,0)</f>
        <v>0</v>
      </c>
      <c r="K1155" s="367" t="s">
        <v>99</v>
      </c>
      <c r="L1155" s="368" t="n">
        <v>2.46</v>
      </c>
      <c r="M1155" s="369"/>
      <c r="N1155" s="370"/>
      <c r="O1155" s="366" t="s">
        <v>303</v>
      </c>
      <c r="P1155" s="371" t="n">
        <v>0.0367316</v>
      </c>
      <c r="Q1155" s="371"/>
      <c r="R1155" s="372" t="s">
        <v>914</v>
      </c>
      <c r="S1155" s="373"/>
      <c r="T1155" s="372"/>
      <c r="U1155" s="373"/>
      <c r="V1155" s="373" t="n">
        <v>0.040455</v>
      </c>
      <c r="W1155" s="373" t="n">
        <v>0.002831</v>
      </c>
      <c r="X1155" s="412" t="n">
        <f aca="false">V1155-AD1155-$X$5-W1155</f>
        <v>0.003848</v>
      </c>
      <c r="Y1155" s="373" t="n">
        <v>0.023337</v>
      </c>
      <c r="Z1155" s="373" t="n">
        <v>0.00172</v>
      </c>
      <c r="AA1155" s="373" t="n">
        <v>0.002</v>
      </c>
      <c r="AB1155" s="374" t="n">
        <f aca="false">S1155-Z1155</f>
        <v>-0.00172</v>
      </c>
      <c r="AC1155" s="374" t="n">
        <f aca="false">U1155-Z1155-AA1155</f>
        <v>-0.00372</v>
      </c>
      <c r="AD1155" s="375" t="n">
        <v>0.032</v>
      </c>
      <c r="AE1155" s="412" t="n">
        <f aca="false">Y1155</f>
        <v>0.023337</v>
      </c>
      <c r="AF1155" s="412" t="n">
        <f aca="false">AD1155-AE1155</f>
        <v>0.008663</v>
      </c>
      <c r="AG1155" s="377" t="n">
        <f aca="false">IF(AF1155="","",AE1155+AF1155)</f>
        <v>0.032</v>
      </c>
      <c r="AH1155" s="378" t="n">
        <v>46076</v>
      </c>
      <c r="AI1155" s="379" t="n">
        <v>1</v>
      </c>
      <c r="AJ1155" s="380" t="str">
        <f aca="false">IF(AG1155="","N","Y")</f>
        <v>Y</v>
      </c>
      <c r="AK1155" s="396" t="s">
        <v>1258</v>
      </c>
      <c r="AL1155" s="397"/>
    </row>
    <row r="1156" customFormat="false" ht="16.5" hidden="false" customHeight="true" outlineLevel="0" collapsed="false">
      <c r="A1156" s="19" t="n">
        <v>629</v>
      </c>
      <c r="B1156" s="363" t="n">
        <v>46080</v>
      </c>
      <c r="C1156" s="364" t="s">
        <v>1290</v>
      </c>
      <c r="D1156" s="364" t="s">
        <v>1291</v>
      </c>
      <c r="E1156" s="364" t="s">
        <v>918</v>
      </c>
      <c r="F1156" s="364" t="s">
        <v>1292</v>
      </c>
      <c r="G1156" s="365" t="n">
        <v>46080</v>
      </c>
      <c r="H1156" s="365" t="n">
        <v>46108</v>
      </c>
      <c r="I1156" s="364" t="n">
        <f aca="false">H1156-G1156</f>
        <v>28</v>
      </c>
      <c r="J1156" s="366" t="n">
        <f aca="false">TRUNC(I1156/30,0)</f>
        <v>0</v>
      </c>
      <c r="K1156" s="367" t="s">
        <v>99</v>
      </c>
      <c r="L1156" s="368" t="n">
        <v>1.5</v>
      </c>
      <c r="M1156" s="369"/>
      <c r="N1156" s="370"/>
      <c r="O1156" s="366" t="s">
        <v>303</v>
      </c>
      <c r="P1156" s="371" t="n">
        <v>0.0366766</v>
      </c>
      <c r="Q1156" s="371"/>
      <c r="R1156" s="372" t="s">
        <v>914</v>
      </c>
      <c r="S1156" s="373"/>
      <c r="T1156" s="372"/>
      <c r="U1156" s="373"/>
      <c r="V1156" s="373" t="n">
        <v>0.040478</v>
      </c>
      <c r="W1156" s="373" t="n">
        <v>0.002833</v>
      </c>
      <c r="X1156" s="412" t="n">
        <f aca="false">V1156-AD1156-$X$5-W1156</f>
        <v>0.005869</v>
      </c>
      <c r="Y1156" s="373" t="n">
        <v>0.023326</v>
      </c>
      <c r="Z1156" s="373" t="n">
        <v>0.00172</v>
      </c>
      <c r="AA1156" s="373" t="n">
        <v>0.002</v>
      </c>
      <c r="AB1156" s="374" t="n">
        <f aca="false">S1156-Z1156</f>
        <v>-0.00172</v>
      </c>
      <c r="AC1156" s="374" t="n">
        <f aca="false">U1156-Z1156-AA1156</f>
        <v>-0.00372</v>
      </c>
      <c r="AD1156" s="375" t="n">
        <v>0.03</v>
      </c>
      <c r="AE1156" s="412" t="n">
        <f aca="false">Y1156</f>
        <v>0.023326</v>
      </c>
      <c r="AF1156" s="412" t="n">
        <f aca="false">AD1156-AE1156</f>
        <v>0.006674</v>
      </c>
      <c r="AG1156" s="377" t="n">
        <f aca="false">IF(AF1156="","",AE1156+AF1156)</f>
        <v>0.03</v>
      </c>
      <c r="AH1156" s="378" t="n">
        <v>46080</v>
      </c>
      <c r="AI1156" s="379" t="n">
        <v>1</v>
      </c>
      <c r="AJ1156" s="380" t="str">
        <f aca="false">IF(AG1156="","N","Y")</f>
        <v>Y</v>
      </c>
      <c r="AK1156" s="396" t="s">
        <v>1293</v>
      </c>
    </row>
    <row r="1157" s="382" customFormat="true" ht="20.25" hidden="false" customHeight="true" outlineLevel="0" collapsed="false">
      <c r="A1157" s="364" t="n">
        <v>630</v>
      </c>
      <c r="B1157" s="363" t="n">
        <v>46084</v>
      </c>
      <c r="C1157" s="364" t="s">
        <v>1184</v>
      </c>
      <c r="D1157" s="364" t="s">
        <v>1185</v>
      </c>
      <c r="E1157" s="364" t="s">
        <v>1186</v>
      </c>
      <c r="F1157" s="364" t="s">
        <v>1187</v>
      </c>
      <c r="G1157" s="365" t="n">
        <v>46084</v>
      </c>
      <c r="H1157" s="365" t="n">
        <v>46113</v>
      </c>
      <c r="I1157" s="364" t="n">
        <f aca="false">H1157-G1157</f>
        <v>29</v>
      </c>
      <c r="J1157" s="366" t="n">
        <f aca="false">TRUNC(I1157/30,0)</f>
        <v>0</v>
      </c>
      <c r="K1157" s="367" t="s">
        <v>99</v>
      </c>
      <c r="L1157" s="368" t="n">
        <v>10.43</v>
      </c>
      <c r="M1157" s="369"/>
      <c r="N1157" s="370"/>
      <c r="O1157" s="366" t="s">
        <v>303</v>
      </c>
      <c r="P1157" s="371" t="n">
        <v>0.0366415</v>
      </c>
      <c r="Q1157" s="371"/>
      <c r="R1157" s="372" t="s">
        <v>914</v>
      </c>
      <c r="S1157" s="373"/>
      <c r="T1157" s="372"/>
      <c r="U1157" s="373"/>
      <c r="V1157" s="373" t="n">
        <v>0.040425</v>
      </c>
      <c r="W1157" s="373" t="n">
        <v>0.002829</v>
      </c>
      <c r="X1157" s="412" t="n">
        <f aca="false">V1157-AD1157-$X$5-W1157</f>
        <v>0.00482</v>
      </c>
      <c r="Y1157" s="373" t="n">
        <v>0.023393</v>
      </c>
      <c r="Z1157" s="373" t="n">
        <v>0.00172</v>
      </c>
      <c r="AA1157" s="373" t="n">
        <v>0.002</v>
      </c>
      <c r="AB1157" s="374" t="n">
        <f aca="false">S1157-Z1157</f>
        <v>-0.00172</v>
      </c>
      <c r="AC1157" s="374" t="n">
        <f aca="false">U1157-Z1157-AA1157</f>
        <v>-0.00372</v>
      </c>
      <c r="AD1157" s="375" t="n">
        <v>0.031</v>
      </c>
      <c r="AE1157" s="373" t="n">
        <v>0.023393</v>
      </c>
      <c r="AF1157" s="376" t="n">
        <f aca="false">AD1157-AE1157</f>
        <v>0.007607</v>
      </c>
      <c r="AG1157" s="377" t="n">
        <f aca="false">IF(AF1157="","",AE1157+AF1157)</f>
        <v>0.031</v>
      </c>
      <c r="AH1157" s="378" t="n">
        <v>46084</v>
      </c>
      <c r="AI1157" s="379" t="n">
        <v>1</v>
      </c>
      <c r="AJ1157" s="380" t="str">
        <f aca="false">IF(AG1157="","N","Y")</f>
        <v>Y</v>
      </c>
      <c r="AK1157" s="396" t="s">
        <v>1262</v>
      </c>
      <c r="AL1157" s="397"/>
    </row>
    <row r="1158" s="382" customFormat="true" ht="20.25" hidden="false" customHeight="true" outlineLevel="0" collapsed="false">
      <c r="A1158" s="364" t="n">
        <v>631</v>
      </c>
      <c r="B1158" s="363" t="n">
        <v>46084</v>
      </c>
      <c r="C1158" s="364" t="s">
        <v>187</v>
      </c>
      <c r="D1158" s="364" t="s">
        <v>1277</v>
      </c>
      <c r="E1158" s="364" t="s">
        <v>1278</v>
      </c>
      <c r="F1158" s="364" t="s">
        <v>1120</v>
      </c>
      <c r="G1158" s="365" t="n">
        <v>46084</v>
      </c>
      <c r="H1158" s="365" t="n">
        <v>46115</v>
      </c>
      <c r="I1158" s="364" t="n">
        <f aca="false">H1158-G1158</f>
        <v>31</v>
      </c>
      <c r="J1158" s="366" t="n">
        <f aca="false">TRUNC(I1158/30,0)</f>
        <v>1</v>
      </c>
      <c r="K1158" s="367" t="s">
        <v>99</v>
      </c>
      <c r="L1158" s="368" t="n">
        <v>4.05</v>
      </c>
      <c r="M1158" s="369"/>
      <c r="N1158" s="370"/>
      <c r="O1158" s="366" t="s">
        <v>303</v>
      </c>
      <c r="P1158" s="371" t="n">
        <v>0.0366415</v>
      </c>
      <c r="Q1158" s="371"/>
      <c r="R1158" s="372" t="s">
        <v>914</v>
      </c>
      <c r="S1158" s="373"/>
      <c r="T1158" s="372"/>
      <c r="U1158" s="373"/>
      <c r="V1158" s="373" t="n">
        <v>0.040425</v>
      </c>
      <c r="W1158" s="373" t="n">
        <v>0.002829</v>
      </c>
      <c r="X1158" s="412" t="n">
        <f aca="false">V1158-AD1158-$X$5-W1158</f>
        <v>0.00432</v>
      </c>
      <c r="Y1158" s="373" t="n">
        <v>0.023393</v>
      </c>
      <c r="Z1158" s="373" t="n">
        <v>0.00172</v>
      </c>
      <c r="AA1158" s="373" t="n">
        <v>0.002</v>
      </c>
      <c r="AB1158" s="374" t="n">
        <f aca="false">S1158-Z1158</f>
        <v>-0.00172</v>
      </c>
      <c r="AC1158" s="374" t="n">
        <f aca="false">U1158-Z1158-AA1158</f>
        <v>-0.00372</v>
      </c>
      <c r="AD1158" s="375" t="n">
        <v>0.0315</v>
      </c>
      <c r="AE1158" s="373" t="n">
        <v>0.023393</v>
      </c>
      <c r="AF1158" s="376" t="n">
        <v>0.008107</v>
      </c>
      <c r="AG1158" s="377" t="n">
        <f aca="false">IF(AF1158="","",AE1158+AF1158)</f>
        <v>0.0315</v>
      </c>
      <c r="AH1158" s="378" t="n">
        <v>46084</v>
      </c>
      <c r="AI1158" s="379" t="n">
        <v>2</v>
      </c>
      <c r="AJ1158" s="380" t="str">
        <f aca="false">IF(AG1158="","N","Y")</f>
        <v>Y</v>
      </c>
      <c r="AK1158" s="396" t="s">
        <v>1262</v>
      </c>
      <c r="AL1158" s="397"/>
    </row>
    <row r="1159" s="382" customFormat="true" ht="20.25" hidden="false" customHeight="true" outlineLevel="0" collapsed="false">
      <c r="A1159" s="364" t="n">
        <v>632</v>
      </c>
      <c r="B1159" s="363" t="n">
        <v>46085</v>
      </c>
      <c r="C1159" s="364" t="s">
        <v>1129</v>
      </c>
      <c r="D1159" s="364" t="s">
        <v>1130</v>
      </c>
      <c r="E1159" s="364" t="s">
        <v>1214</v>
      </c>
      <c r="F1159" s="364" t="s">
        <v>1132</v>
      </c>
      <c r="G1159" s="365" t="n">
        <v>46085</v>
      </c>
      <c r="H1159" s="365" t="n">
        <v>46118</v>
      </c>
      <c r="I1159" s="364" t="n">
        <f aca="false">H1159-G1159</f>
        <v>33</v>
      </c>
      <c r="J1159" s="366" t="n">
        <f aca="false">TRUNC(I1159/30,0)</f>
        <v>1</v>
      </c>
      <c r="K1159" s="395" t="s">
        <v>95</v>
      </c>
      <c r="L1159" s="368" t="n">
        <v>2</v>
      </c>
      <c r="M1159" s="369"/>
      <c r="N1159" s="370"/>
      <c r="O1159" s="366" t="s">
        <v>303</v>
      </c>
      <c r="P1159" s="371" t="n">
        <v>0.0367115</v>
      </c>
      <c r="Q1159" s="371"/>
      <c r="R1159" s="372" t="s">
        <v>914</v>
      </c>
      <c r="S1159" s="373"/>
      <c r="T1159" s="372"/>
      <c r="U1159" s="373"/>
      <c r="V1159" s="373" t="n">
        <v>0.039655</v>
      </c>
      <c r="W1159" s="373" t="n">
        <v>0.000793</v>
      </c>
      <c r="X1159" s="373" t="n">
        <v>0.002586</v>
      </c>
      <c r="Y1159" s="373" t="n">
        <v>0.030277</v>
      </c>
      <c r="Z1159" s="373" t="n">
        <v>0.00172</v>
      </c>
      <c r="AA1159" s="373" t="n">
        <v>0.002</v>
      </c>
      <c r="AB1159" s="374" t="n">
        <f aca="false">S1159-Z1159</f>
        <v>-0.00172</v>
      </c>
      <c r="AC1159" s="374" t="n">
        <f aca="false">U1159-Z1159-AA1159</f>
        <v>-0.00372</v>
      </c>
      <c r="AD1159" s="375" t="n">
        <v>0.0345</v>
      </c>
      <c r="AE1159" s="373" t="n">
        <v>0.030277</v>
      </c>
      <c r="AF1159" s="412" t="n">
        <f aca="false">AD1159-AE1159</f>
        <v>0.004223</v>
      </c>
      <c r="AG1159" s="377" t="n">
        <v>0.0345</v>
      </c>
      <c r="AH1159" s="378" t="n">
        <v>46085</v>
      </c>
      <c r="AI1159" s="379" t="n">
        <v>1</v>
      </c>
      <c r="AJ1159" s="380" t="str">
        <f aca="false">IF(AG1159="","N","Y")</f>
        <v>Y</v>
      </c>
      <c r="AK1159" s="396" t="s">
        <v>1286</v>
      </c>
      <c r="AL1159" s="397"/>
    </row>
    <row r="1160" s="382" customFormat="true" ht="20.25" hidden="false" customHeight="true" outlineLevel="0" collapsed="false">
      <c r="A1160" s="364" t="n">
        <v>633</v>
      </c>
      <c r="B1160" s="363" t="n">
        <v>46085</v>
      </c>
      <c r="C1160" s="364" t="s">
        <v>770</v>
      </c>
      <c r="D1160" s="364" t="s">
        <v>1111</v>
      </c>
      <c r="E1160" s="364" t="s">
        <v>1004</v>
      </c>
      <c r="F1160" s="364" t="s">
        <v>773</v>
      </c>
      <c r="G1160" s="365" t="n">
        <v>46085</v>
      </c>
      <c r="H1160" s="365" t="n">
        <v>46177</v>
      </c>
      <c r="I1160" s="364" t="n">
        <f aca="false">H1160-G1160</f>
        <v>92</v>
      </c>
      <c r="J1160" s="366" t="n">
        <f aca="false">TRUNC(I1160/30,0)</f>
        <v>3</v>
      </c>
      <c r="K1160" s="395" t="s">
        <v>95</v>
      </c>
      <c r="L1160" s="368" t="n">
        <v>2</v>
      </c>
      <c r="M1160" s="369"/>
      <c r="N1160" s="370"/>
      <c r="O1160" s="366" t="s">
        <v>300</v>
      </c>
      <c r="P1160" s="371" t="n">
        <v>0.0366804</v>
      </c>
      <c r="Q1160" s="371"/>
      <c r="R1160" s="372" t="s">
        <v>914</v>
      </c>
      <c r="S1160" s="373"/>
      <c r="T1160" s="372"/>
      <c r="U1160" s="373"/>
      <c r="V1160" s="373" t="n">
        <v>0.041067</v>
      </c>
      <c r="W1160" s="373" t="n">
        <v>0.000821</v>
      </c>
      <c r="X1160" s="373" t="n">
        <v>0.00247</v>
      </c>
      <c r="Y1160" s="373" t="n">
        <v>0.030946</v>
      </c>
      <c r="Z1160" s="373" t="n">
        <v>0.00172</v>
      </c>
      <c r="AA1160" s="373" t="n">
        <v>0.002</v>
      </c>
      <c r="AB1160" s="374" t="n">
        <f aca="false">S1160-Z1160</f>
        <v>-0.00172</v>
      </c>
      <c r="AC1160" s="374" t="n">
        <f aca="false">U1160-Z1160-AA1160</f>
        <v>-0.00372</v>
      </c>
      <c r="AD1160" s="375" t="n">
        <v>0.036</v>
      </c>
      <c r="AE1160" s="373" t="n">
        <v>0.030946</v>
      </c>
      <c r="AF1160" s="412" t="n">
        <f aca="false">AD1160-AE1160</f>
        <v>0.005054</v>
      </c>
      <c r="AG1160" s="377" t="n">
        <v>0.036</v>
      </c>
      <c r="AH1160" s="378" t="n">
        <v>46085</v>
      </c>
      <c r="AI1160" s="379" t="n">
        <v>2</v>
      </c>
      <c r="AJ1160" s="380" t="str">
        <f aca="false">IF(AG1160="","N","Y")</f>
        <v>Y</v>
      </c>
      <c r="AK1160" s="396" t="s">
        <v>1294</v>
      </c>
      <c r="AL1160" s="397"/>
    </row>
    <row r="1161" s="382" customFormat="true" ht="20.25" hidden="false" customHeight="true" outlineLevel="0" collapsed="false">
      <c r="A1161" s="364" t="n">
        <v>634</v>
      </c>
      <c r="B1161" s="363" t="n">
        <v>46086</v>
      </c>
      <c r="C1161" s="364" t="s">
        <v>1149</v>
      </c>
      <c r="D1161" s="364" t="s">
        <v>1150</v>
      </c>
      <c r="E1161" s="364" t="s">
        <v>1183</v>
      </c>
      <c r="F1161" s="364" t="s">
        <v>1152</v>
      </c>
      <c r="G1161" s="365" t="n">
        <v>46086</v>
      </c>
      <c r="H1161" s="365" t="n">
        <v>46118</v>
      </c>
      <c r="I1161" s="364" t="n">
        <f aca="false">H1161-G1161</f>
        <v>32</v>
      </c>
      <c r="J1161" s="366" t="n">
        <f aca="false">TRUNC(I1161/30,0)</f>
        <v>1</v>
      </c>
      <c r="K1161" s="367" t="s">
        <v>99</v>
      </c>
      <c r="L1161" s="368" t="n">
        <v>1.15</v>
      </c>
      <c r="M1161" s="369"/>
      <c r="N1161" s="370"/>
      <c r="O1161" s="366" t="s">
        <v>303</v>
      </c>
      <c r="P1161" s="371" t="n">
        <v>0.036734</v>
      </c>
      <c r="Q1161" s="371"/>
      <c r="R1161" s="372" t="s">
        <v>914</v>
      </c>
      <c r="S1161" s="373"/>
      <c r="T1161" s="372"/>
      <c r="U1161" s="373"/>
      <c r="V1161" s="373" t="n">
        <v>0.040446</v>
      </c>
      <c r="W1161" s="373" t="n">
        <v>0.002831</v>
      </c>
      <c r="X1161" s="373" t="n">
        <v>0.004125</v>
      </c>
      <c r="Y1161" s="373" t="n">
        <v>0.023558</v>
      </c>
      <c r="Z1161" s="373" t="n">
        <v>0.00172</v>
      </c>
      <c r="AA1161" s="373" t="n">
        <v>0.002</v>
      </c>
      <c r="AB1161" s="374" t="n">
        <f aca="false">S1161-Z1161</f>
        <v>-0.00172</v>
      </c>
      <c r="AC1161" s="374" t="n">
        <f aca="false">U1161-Z1161-AA1161</f>
        <v>-0.00372</v>
      </c>
      <c r="AD1161" s="375" t="n">
        <v>0.0315</v>
      </c>
      <c r="AE1161" s="373" t="n">
        <v>0.023558</v>
      </c>
      <c r="AF1161" s="376" t="n">
        <f aca="false">AD1161-AE1161</f>
        <v>0.007942</v>
      </c>
      <c r="AG1161" s="377" t="n">
        <v>0.0315</v>
      </c>
      <c r="AH1161" s="378" t="n">
        <v>46086</v>
      </c>
      <c r="AI1161" s="379" t="n">
        <v>1</v>
      </c>
      <c r="AJ1161" s="380" t="str">
        <f aca="false">IF(AG1161="","N","Y")</f>
        <v>Y</v>
      </c>
      <c r="AK1161" s="396" t="s">
        <v>1262</v>
      </c>
      <c r="AL1161" s="397"/>
    </row>
    <row r="1162" s="382" customFormat="true" ht="20.25" hidden="false" customHeight="true" outlineLevel="0" collapsed="false">
      <c r="A1162" s="364" t="n">
        <v>635</v>
      </c>
      <c r="B1162" s="363" t="n">
        <v>46086</v>
      </c>
      <c r="C1162" s="364" t="s">
        <v>103</v>
      </c>
      <c r="D1162" s="364" t="s">
        <v>1146</v>
      </c>
      <c r="E1162" s="364" t="s">
        <v>1264</v>
      </c>
      <c r="F1162" s="364" t="s">
        <v>1158</v>
      </c>
      <c r="G1162" s="365" t="n">
        <v>46086</v>
      </c>
      <c r="H1162" s="365" t="n">
        <v>46118</v>
      </c>
      <c r="I1162" s="364" t="n">
        <f aca="false">H1162-G1162</f>
        <v>32</v>
      </c>
      <c r="J1162" s="366" t="n">
        <f aca="false">TRUNC(I1162/30,0)</f>
        <v>1</v>
      </c>
      <c r="K1162" s="395" t="s">
        <v>95</v>
      </c>
      <c r="L1162" s="368" t="n">
        <v>5</v>
      </c>
      <c r="M1162" s="369"/>
      <c r="N1162" s="370"/>
      <c r="O1162" s="366" t="s">
        <v>303</v>
      </c>
      <c r="P1162" s="371" t="n">
        <v>0.036734</v>
      </c>
      <c r="Q1162" s="371"/>
      <c r="R1162" s="372" t="s">
        <v>914</v>
      </c>
      <c r="S1162" s="373"/>
      <c r="T1162" s="372"/>
      <c r="U1162" s="373"/>
      <c r="V1162" s="373" t="n">
        <v>0.039725</v>
      </c>
      <c r="W1162" s="373" t="n">
        <v>0.000794</v>
      </c>
      <c r="X1162" s="373" t="n">
        <v>0.002338</v>
      </c>
      <c r="Y1162" s="373" t="n">
        <v>0.030299</v>
      </c>
      <c r="Z1162" s="373" t="n">
        <v>0.00172</v>
      </c>
      <c r="AA1162" s="373" t="n">
        <v>0.002</v>
      </c>
      <c r="AB1162" s="374" t="n">
        <f aca="false">S1162-Z1162</f>
        <v>-0.00172</v>
      </c>
      <c r="AC1162" s="374" t="n">
        <f aca="false">U1162-Z1162-AA1162</f>
        <v>-0.00372</v>
      </c>
      <c r="AD1162" s="375" t="n">
        <v>0.034</v>
      </c>
      <c r="AE1162" s="373" t="n">
        <v>0.030299</v>
      </c>
      <c r="AF1162" s="376" t="n">
        <f aca="false">AD1162-AE1162</f>
        <v>0.003701</v>
      </c>
      <c r="AG1162" s="373" t="n">
        <v>0.034</v>
      </c>
      <c r="AH1162" s="378" t="n">
        <v>46086</v>
      </c>
      <c r="AI1162" s="379" t="n">
        <v>2</v>
      </c>
      <c r="AJ1162" s="380" t="str">
        <f aca="false">IF(AG1162="","N","Y")</f>
        <v>Y</v>
      </c>
      <c r="AK1162" s="396" t="s">
        <v>1286</v>
      </c>
      <c r="AL1162" s="397"/>
    </row>
    <row r="1163" s="382" customFormat="true" ht="20.25" hidden="false" customHeight="true" outlineLevel="0" collapsed="false">
      <c r="A1163" s="364" t="n">
        <v>636</v>
      </c>
      <c r="B1163" s="363" t="n">
        <v>46090</v>
      </c>
      <c r="C1163" s="364" t="s">
        <v>96</v>
      </c>
      <c r="D1163" s="402" t="s">
        <v>1063</v>
      </c>
      <c r="E1163" s="402" t="s">
        <v>1255</v>
      </c>
      <c r="F1163" s="402" t="s">
        <v>1203</v>
      </c>
      <c r="G1163" s="365" t="n">
        <v>46090</v>
      </c>
      <c r="H1163" s="365" t="n">
        <v>46182</v>
      </c>
      <c r="I1163" s="364" t="n">
        <f aca="false">H1163-G1163</f>
        <v>92</v>
      </c>
      <c r="J1163" s="366" t="n">
        <f aca="false">TRUNC(I1163/30,0)</f>
        <v>3</v>
      </c>
      <c r="K1163" s="395" t="s">
        <v>95</v>
      </c>
      <c r="L1163" s="368" t="n">
        <v>15</v>
      </c>
      <c r="M1163" s="408"/>
      <c r="N1163" s="409" t="s">
        <v>1256</v>
      </c>
      <c r="O1163" s="405" t="s">
        <v>300</v>
      </c>
      <c r="P1163" s="410" t="n">
        <v>0.0366899</v>
      </c>
      <c r="Q1163" s="371"/>
      <c r="R1163" s="372" t="s">
        <v>914</v>
      </c>
      <c r="S1163" s="373"/>
      <c r="T1163" s="372"/>
      <c r="U1163" s="373"/>
      <c r="V1163" s="412" t="n">
        <v>0.041195</v>
      </c>
      <c r="W1163" s="412" t="n">
        <v>0.000823</v>
      </c>
      <c r="X1163" s="412" t="n">
        <v>0.002595</v>
      </c>
      <c r="Y1163" s="412" t="n">
        <v>0.030956</v>
      </c>
      <c r="Z1163" s="412" t="n">
        <v>0.00172</v>
      </c>
      <c r="AA1163" s="412" t="n">
        <v>0.002</v>
      </c>
      <c r="AB1163" s="374" t="n">
        <f aca="false">S1163-Z1163</f>
        <v>-0.00172</v>
      </c>
      <c r="AC1163" s="374" t="n">
        <f aca="false">U1163-Z1163-AA1163</f>
        <v>-0.00372</v>
      </c>
      <c r="AD1163" s="375" t="n">
        <v>0.036</v>
      </c>
      <c r="AE1163" s="412" t="n">
        <v>0.030956</v>
      </c>
      <c r="AF1163" s="412" t="n">
        <f aca="false">AD1163-AE1163</f>
        <v>0.005044</v>
      </c>
      <c r="AG1163" s="377" t="n">
        <v>0.036</v>
      </c>
      <c r="AH1163" s="378" t="n">
        <v>46090</v>
      </c>
      <c r="AI1163" s="379" t="n">
        <v>1</v>
      </c>
      <c r="AJ1163" s="380" t="str">
        <f aca="false">IF(AG1163="","N","Y")</f>
        <v>Y</v>
      </c>
      <c r="AK1163" s="396" t="s">
        <v>1295</v>
      </c>
      <c r="AL1163" s="397"/>
    </row>
    <row r="1164" s="382" customFormat="true" ht="20.25" hidden="false" customHeight="true" outlineLevel="0" collapsed="false">
      <c r="A1164" s="364" t="n">
        <v>637</v>
      </c>
      <c r="B1164" s="363" t="n">
        <v>46091</v>
      </c>
      <c r="C1164" s="364" t="s">
        <v>862</v>
      </c>
      <c r="D1164" s="364" t="s">
        <v>932</v>
      </c>
      <c r="E1164" s="364" t="s">
        <v>970</v>
      </c>
      <c r="F1164" s="364" t="s">
        <v>906</v>
      </c>
      <c r="G1164" s="365" t="n">
        <v>46091</v>
      </c>
      <c r="H1164" s="365" t="n">
        <v>46122</v>
      </c>
      <c r="I1164" s="364" t="n">
        <f aca="false">H1164-G1164</f>
        <v>31</v>
      </c>
      <c r="J1164" s="366" t="n">
        <f aca="false">TRUNC(I1164/30,0)</f>
        <v>1</v>
      </c>
      <c r="K1164" s="367" t="s">
        <v>99</v>
      </c>
      <c r="L1164" s="368" t="n">
        <v>2</v>
      </c>
      <c r="M1164" s="369"/>
      <c r="N1164" s="370"/>
      <c r="O1164" s="366" t="s">
        <v>303</v>
      </c>
      <c r="P1164" s="371" t="n">
        <v>0.0366996</v>
      </c>
      <c r="Q1164" s="371"/>
      <c r="R1164" s="372" t="s">
        <v>914</v>
      </c>
      <c r="S1164" s="373"/>
      <c r="T1164" s="372"/>
      <c r="U1164" s="373"/>
      <c r="V1164" s="373" t="n">
        <v>0.040431</v>
      </c>
      <c r="W1164" s="373" t="n">
        <v>0.00283</v>
      </c>
      <c r="X1164" s="373" t="n">
        <v>0.003825</v>
      </c>
      <c r="Y1164" s="373" t="n">
        <v>0.023183</v>
      </c>
      <c r="Z1164" s="373" t="n">
        <v>0.00172</v>
      </c>
      <c r="AA1164" s="373" t="n">
        <v>0.002</v>
      </c>
      <c r="AB1164" s="374" t="n">
        <f aca="false">S1164-Z1164</f>
        <v>-0.00172</v>
      </c>
      <c r="AC1164" s="374" t="n">
        <f aca="false">U1164-Z1164-AA1164</f>
        <v>-0.00372</v>
      </c>
      <c r="AD1164" s="375" t="n">
        <v>0.032</v>
      </c>
      <c r="AE1164" s="376" t="n">
        <v>0.023183</v>
      </c>
      <c r="AF1164" s="376" t="n">
        <f aca="false">AD1164-AE1164</f>
        <v>0.008817</v>
      </c>
      <c r="AG1164" s="377" t="n">
        <v>0.032</v>
      </c>
      <c r="AH1164" s="378" t="n">
        <v>46091</v>
      </c>
      <c r="AI1164" s="379" t="n">
        <v>1</v>
      </c>
      <c r="AJ1164" s="380" t="str">
        <f aca="false">IF(AG1164="","N","Y")</f>
        <v>Y</v>
      </c>
      <c r="AK1164" s="396" t="s">
        <v>1262</v>
      </c>
      <c r="AL1164" s="397"/>
    </row>
    <row r="1165" s="382" customFormat="true" ht="20.25" hidden="false" customHeight="true" outlineLevel="0" collapsed="false">
      <c r="A1165" s="364" t="n">
        <v>638</v>
      </c>
      <c r="B1165" s="363" t="n">
        <v>46093</v>
      </c>
      <c r="C1165" s="364" t="s">
        <v>1066</v>
      </c>
      <c r="D1165" s="402" t="s">
        <v>1280</v>
      </c>
      <c r="E1165" s="402" t="s">
        <v>970</v>
      </c>
      <c r="F1165" s="402" t="s">
        <v>864</v>
      </c>
      <c r="G1165" s="365" t="n">
        <v>46093</v>
      </c>
      <c r="H1165" s="365" t="n">
        <v>46125</v>
      </c>
      <c r="I1165" s="364" t="n">
        <f aca="false">H1165-G1165</f>
        <v>32</v>
      </c>
      <c r="J1165" s="366" t="n">
        <f aca="false">TRUNC(I1165/30,0)</f>
        <v>1</v>
      </c>
      <c r="K1165" s="367" t="s">
        <v>99</v>
      </c>
      <c r="L1165" s="368" t="n">
        <v>9.95</v>
      </c>
      <c r="M1165" s="408"/>
      <c r="N1165" s="409"/>
      <c r="O1165" s="405" t="s">
        <v>303</v>
      </c>
      <c r="P1165" s="410" t="n">
        <v>0.0367157</v>
      </c>
      <c r="Q1165" s="371"/>
      <c r="R1165" s="372" t="s">
        <v>914</v>
      </c>
      <c r="S1165" s="373"/>
      <c r="T1165" s="372"/>
      <c r="U1165" s="373"/>
      <c r="V1165" s="412" t="n">
        <v>0.040506</v>
      </c>
      <c r="W1165" s="412" t="n">
        <v>0.002835</v>
      </c>
      <c r="X1165" s="412" t="n">
        <f aca="false">V1165-AD1165-$X$5-W1165</f>
        <v>0.003895</v>
      </c>
      <c r="Y1165" s="412" t="n">
        <v>0.023112</v>
      </c>
      <c r="Z1165" s="412" t="n">
        <v>0.00172</v>
      </c>
      <c r="AA1165" s="412" t="n">
        <v>0.002</v>
      </c>
      <c r="AB1165" s="374" t="n">
        <f aca="false">S1165-Z1165</f>
        <v>-0.00172</v>
      </c>
      <c r="AC1165" s="374" t="n">
        <f aca="false">U1165-Z1165-AA1165</f>
        <v>-0.00372</v>
      </c>
      <c r="AD1165" s="375" t="n">
        <v>0.032</v>
      </c>
      <c r="AE1165" s="412" t="n">
        <f aca="false">Y1165</f>
        <v>0.023112</v>
      </c>
      <c r="AF1165" s="412" t="n">
        <f aca="false">AD1165-AE1165</f>
        <v>0.008888</v>
      </c>
      <c r="AG1165" s="377" t="n">
        <f aca="false">IF(AF1165="","",AE1165+AF1165)</f>
        <v>0.032</v>
      </c>
      <c r="AH1165" s="378" t="n">
        <v>46093</v>
      </c>
      <c r="AI1165" s="379" t="n">
        <v>1</v>
      </c>
      <c r="AJ1165" s="380" t="str">
        <f aca="false">IF(AG1165="","N","Y")</f>
        <v>Y</v>
      </c>
      <c r="AK1165" s="396" t="s">
        <v>1262</v>
      </c>
      <c r="AL1165" s="397"/>
    </row>
    <row r="1166" s="382" customFormat="true" ht="20.25" hidden="false" customHeight="true" outlineLevel="0" collapsed="false">
      <c r="A1166" s="364" t="n">
        <v>639</v>
      </c>
      <c r="B1166" s="363" t="n">
        <v>46093</v>
      </c>
      <c r="C1166" s="364" t="s">
        <v>1066</v>
      </c>
      <c r="D1166" s="402" t="s">
        <v>1280</v>
      </c>
      <c r="E1166" s="402" t="s">
        <v>970</v>
      </c>
      <c r="F1166" s="402" t="s">
        <v>1192</v>
      </c>
      <c r="G1166" s="365" t="n">
        <v>46093</v>
      </c>
      <c r="H1166" s="365" t="n">
        <v>46125</v>
      </c>
      <c r="I1166" s="364" t="n">
        <f aca="false">H1166-G1166</f>
        <v>32</v>
      </c>
      <c r="J1166" s="366" t="n">
        <f aca="false">TRUNC(I1166/30,0)</f>
        <v>1</v>
      </c>
      <c r="K1166" s="367" t="s">
        <v>99</v>
      </c>
      <c r="L1166" s="368" t="n">
        <v>1.82</v>
      </c>
      <c r="M1166" s="408"/>
      <c r="N1166" s="409"/>
      <c r="O1166" s="405" t="s">
        <v>303</v>
      </c>
      <c r="P1166" s="410" t="n">
        <v>0.0367157</v>
      </c>
      <c r="Q1166" s="371"/>
      <c r="R1166" s="372" t="s">
        <v>914</v>
      </c>
      <c r="S1166" s="373"/>
      <c r="T1166" s="372"/>
      <c r="U1166" s="373"/>
      <c r="V1166" s="412" t="n">
        <v>0.040506</v>
      </c>
      <c r="W1166" s="412" t="n">
        <v>0.002835</v>
      </c>
      <c r="X1166" s="412" t="n">
        <f aca="false">V1166-AD1166-$X$5-W1166</f>
        <v>0.003895</v>
      </c>
      <c r="Y1166" s="412" t="n">
        <v>0.023112</v>
      </c>
      <c r="Z1166" s="412" t="n">
        <v>0.00172</v>
      </c>
      <c r="AA1166" s="412" t="n">
        <v>0.002</v>
      </c>
      <c r="AB1166" s="374" t="n">
        <f aca="false">S1166-Z1166</f>
        <v>-0.00172</v>
      </c>
      <c r="AC1166" s="374" t="n">
        <f aca="false">U1166-Z1166-AA1166</f>
        <v>-0.00372</v>
      </c>
      <c r="AD1166" s="375" t="n">
        <v>0.032</v>
      </c>
      <c r="AE1166" s="412" t="n">
        <f aca="false">Y1166</f>
        <v>0.023112</v>
      </c>
      <c r="AF1166" s="412" t="n">
        <f aca="false">AD1166-AE1166</f>
        <v>0.008888</v>
      </c>
      <c r="AG1166" s="377" t="n">
        <f aca="false">IF(AF1166="","",AE1166+AF1166)</f>
        <v>0.032</v>
      </c>
      <c r="AH1166" s="378" t="n">
        <v>46093</v>
      </c>
      <c r="AI1166" s="379" t="n">
        <v>2</v>
      </c>
      <c r="AJ1166" s="380" t="str">
        <f aca="false">IF(AG1166="","N","Y")</f>
        <v>Y</v>
      </c>
      <c r="AK1166" s="396" t="s">
        <v>1262</v>
      </c>
      <c r="AL1166" s="397"/>
    </row>
    <row r="1167" s="382" customFormat="true" ht="20.25" hidden="false" customHeight="true" outlineLevel="0" collapsed="false">
      <c r="A1167" s="364" t="n">
        <v>640</v>
      </c>
      <c r="B1167" s="363" t="n">
        <v>46097</v>
      </c>
      <c r="C1167" s="364" t="s">
        <v>209</v>
      </c>
      <c r="D1167" s="364" t="s">
        <v>1178</v>
      </c>
      <c r="E1167" s="364" t="s">
        <v>1179</v>
      </c>
      <c r="F1167" s="364" t="s">
        <v>1180</v>
      </c>
      <c r="G1167" s="365" t="n">
        <v>46097</v>
      </c>
      <c r="H1167" s="365" t="n">
        <v>46189</v>
      </c>
      <c r="I1167" s="364" t="n">
        <f aca="false">H1167-G1167</f>
        <v>92</v>
      </c>
      <c r="J1167" s="366" t="n">
        <f aca="false">TRUNC(I1167/30,0)</f>
        <v>3</v>
      </c>
      <c r="K1167" s="395" t="s">
        <v>95</v>
      </c>
      <c r="L1167" s="368" t="n">
        <v>2.19</v>
      </c>
      <c r="M1167" s="369"/>
      <c r="N1167" s="409"/>
      <c r="O1167" s="366" t="s">
        <v>300</v>
      </c>
      <c r="P1167" s="371" t="n">
        <v>0.0368328</v>
      </c>
      <c r="Q1167" s="371"/>
      <c r="R1167" s="372" t="s">
        <v>914</v>
      </c>
      <c r="S1167" s="373"/>
      <c r="T1167" s="372"/>
      <c r="U1167" s="373"/>
      <c r="V1167" s="373" t="n">
        <v>0.041241</v>
      </c>
      <c r="W1167" s="373" t="n">
        <v>0.000824</v>
      </c>
      <c r="X1167" s="373" t="n">
        <v>0.00264</v>
      </c>
      <c r="Y1167" s="373" t="n">
        <v>0.031096</v>
      </c>
      <c r="Z1167" s="373" t="n">
        <v>0.00172</v>
      </c>
      <c r="AA1167" s="373" t="n">
        <v>0.002</v>
      </c>
      <c r="AB1167" s="374" t="n">
        <f aca="false">S1167-Z1167</f>
        <v>-0.00172</v>
      </c>
      <c r="AC1167" s="374" t="n">
        <f aca="false">U1167-Z1167-AA1167</f>
        <v>-0.00372</v>
      </c>
      <c r="AD1167" s="375" t="n">
        <v>0.036</v>
      </c>
      <c r="AE1167" s="376" t="n">
        <v>0.031096</v>
      </c>
      <c r="AF1167" s="376" t="n">
        <f aca="false">AD1167-AE1167</f>
        <v>0.004904</v>
      </c>
      <c r="AG1167" s="377" t="n">
        <v>0.036</v>
      </c>
      <c r="AH1167" s="378" t="n">
        <v>46097</v>
      </c>
      <c r="AI1167" s="379" t="n">
        <v>1</v>
      </c>
      <c r="AJ1167" s="380" t="str">
        <f aca="false">IF(AG1167="","N","Y")</f>
        <v>Y</v>
      </c>
      <c r="AK1167" s="396" t="s">
        <v>1296</v>
      </c>
      <c r="AL1167" s="397"/>
    </row>
    <row r="1168" s="382" customFormat="true" ht="20.25" hidden="false" customHeight="true" outlineLevel="0" collapsed="false">
      <c r="A1168" s="364" t="n">
        <v>641</v>
      </c>
      <c r="B1168" s="363" t="n">
        <v>46097</v>
      </c>
      <c r="C1168" s="364" t="s">
        <v>209</v>
      </c>
      <c r="D1168" s="364" t="s">
        <v>1178</v>
      </c>
      <c r="E1168" s="364" t="s">
        <v>1179</v>
      </c>
      <c r="F1168" s="364" t="s">
        <v>1188</v>
      </c>
      <c r="G1168" s="365" t="n">
        <v>46097</v>
      </c>
      <c r="H1168" s="365" t="n">
        <v>46189</v>
      </c>
      <c r="I1168" s="364" t="n">
        <f aca="false">H1168-G1168</f>
        <v>92</v>
      </c>
      <c r="J1168" s="366" t="n">
        <f aca="false">TRUNC(I1168/30,0)</f>
        <v>3</v>
      </c>
      <c r="K1168" s="395" t="s">
        <v>95</v>
      </c>
      <c r="L1168" s="368" t="n">
        <v>3.65</v>
      </c>
      <c r="M1168" s="369"/>
      <c r="N1168" s="409"/>
      <c r="O1168" s="366" t="s">
        <v>300</v>
      </c>
      <c r="P1168" s="371" t="n">
        <v>0.0368328</v>
      </c>
      <c r="Q1168" s="371"/>
      <c r="R1168" s="372" t="s">
        <v>914</v>
      </c>
      <c r="S1168" s="373"/>
      <c r="T1168" s="372"/>
      <c r="U1168" s="373"/>
      <c r="V1168" s="373" t="n">
        <v>0.041241</v>
      </c>
      <c r="W1168" s="373" t="n">
        <v>0.000824</v>
      </c>
      <c r="X1168" s="373" t="n">
        <v>0.00264</v>
      </c>
      <c r="Y1168" s="373" t="n">
        <v>0.031096</v>
      </c>
      <c r="Z1168" s="373" t="n">
        <v>0.00172</v>
      </c>
      <c r="AA1168" s="373" t="n">
        <v>0.002</v>
      </c>
      <c r="AB1168" s="374" t="n">
        <f aca="false">S1168-Z1168</f>
        <v>-0.00172</v>
      </c>
      <c r="AC1168" s="374" t="n">
        <f aca="false">U1168-Z1168-AA1168</f>
        <v>-0.00372</v>
      </c>
      <c r="AD1168" s="375" t="n">
        <v>0.036</v>
      </c>
      <c r="AE1168" s="376" t="n">
        <v>0.031096</v>
      </c>
      <c r="AF1168" s="376" t="n">
        <f aca="false">AD1168-AE1168</f>
        <v>0.004904</v>
      </c>
      <c r="AG1168" s="377" t="n">
        <v>0.036</v>
      </c>
      <c r="AH1168" s="378" t="n">
        <v>46097</v>
      </c>
      <c r="AI1168" s="379" t="n">
        <v>2</v>
      </c>
      <c r="AJ1168" s="380" t="str">
        <f aca="false">IF(AG1168="","N","Y")</f>
        <v>Y</v>
      </c>
      <c r="AK1168" s="396" t="s">
        <v>1296</v>
      </c>
      <c r="AL1168" s="397"/>
    </row>
    <row r="1169" s="382" customFormat="true" ht="20.25" hidden="false" customHeight="true" outlineLevel="0" collapsed="false">
      <c r="A1169" s="364" t="n">
        <v>642</v>
      </c>
      <c r="B1169" s="363" t="n">
        <v>46097</v>
      </c>
      <c r="C1169" s="364" t="s">
        <v>770</v>
      </c>
      <c r="D1169" s="364" t="s">
        <v>1111</v>
      </c>
      <c r="E1169" s="364" t="s">
        <v>1004</v>
      </c>
      <c r="F1169" s="364" t="s">
        <v>773</v>
      </c>
      <c r="G1169" s="365" t="n">
        <v>46097</v>
      </c>
      <c r="H1169" s="365" t="n">
        <v>46189</v>
      </c>
      <c r="I1169" s="364" t="n">
        <f aca="false">H1169-G1169</f>
        <v>92</v>
      </c>
      <c r="J1169" s="366" t="n">
        <f aca="false">TRUNC(I1169/30,0)</f>
        <v>3</v>
      </c>
      <c r="K1169" s="395" t="s">
        <v>95</v>
      </c>
      <c r="L1169" s="368" t="n">
        <v>2</v>
      </c>
      <c r="M1169" s="369"/>
      <c r="N1169" s="370"/>
      <c r="O1169" s="366" t="s">
        <v>300</v>
      </c>
      <c r="P1169" s="371" t="n">
        <v>0.0368328</v>
      </c>
      <c r="Q1169" s="371"/>
      <c r="R1169" s="372" t="s">
        <v>914</v>
      </c>
      <c r="S1169" s="373"/>
      <c r="T1169" s="372"/>
      <c r="U1169" s="373"/>
      <c r="V1169" s="373" t="n">
        <v>0.041241</v>
      </c>
      <c r="W1169" s="373" t="n">
        <v>0.000824</v>
      </c>
      <c r="X1169" s="373" t="n">
        <v>0.00214</v>
      </c>
      <c r="Y1169" s="373" t="n">
        <v>0.031096</v>
      </c>
      <c r="Z1169" s="373" t="n">
        <v>0.00172</v>
      </c>
      <c r="AA1169" s="373" t="n">
        <v>0.002</v>
      </c>
      <c r="AB1169" s="374" t="n">
        <f aca="false">S1169-Z1169</f>
        <v>-0.00172</v>
      </c>
      <c r="AC1169" s="374" t="n">
        <f aca="false">U1169-Z1169-AA1169</f>
        <v>-0.00372</v>
      </c>
      <c r="AD1169" s="375" t="n">
        <v>0.0365</v>
      </c>
      <c r="AE1169" s="376" t="n">
        <v>0.031096</v>
      </c>
      <c r="AF1169" s="412" t="n">
        <f aca="false">AD1169-AE1169</f>
        <v>0.005404</v>
      </c>
      <c r="AG1169" s="377" t="n">
        <v>0.0365</v>
      </c>
      <c r="AH1169" s="378" t="n">
        <v>46097</v>
      </c>
      <c r="AI1169" s="379" t="n">
        <v>3</v>
      </c>
      <c r="AJ1169" s="380" t="str">
        <f aca="false">IF(AG1169="","N","Y")</f>
        <v>Y</v>
      </c>
      <c r="AK1169" s="396" t="s">
        <v>1296</v>
      </c>
      <c r="AL1169" s="397"/>
    </row>
    <row r="1170" s="382" customFormat="true" ht="20.25" hidden="false" customHeight="true" outlineLevel="0" collapsed="false">
      <c r="A1170" s="364" t="n">
        <v>643</v>
      </c>
      <c r="B1170" s="363" t="n">
        <v>46098</v>
      </c>
      <c r="C1170" s="364" t="s">
        <v>770</v>
      </c>
      <c r="D1170" s="364" t="s">
        <v>1297</v>
      </c>
      <c r="E1170" s="364" t="s">
        <v>1004</v>
      </c>
      <c r="F1170" s="364" t="s">
        <v>773</v>
      </c>
      <c r="G1170" s="365" t="n">
        <v>46098</v>
      </c>
      <c r="H1170" s="365" t="n">
        <v>46190</v>
      </c>
      <c r="I1170" s="364" t="n">
        <f aca="false">H1170-G1170</f>
        <v>92</v>
      </c>
      <c r="J1170" s="366" t="n">
        <f aca="false">TRUNC(I1170/30,0)</f>
        <v>3</v>
      </c>
      <c r="K1170" s="395" t="s">
        <v>95</v>
      </c>
      <c r="L1170" s="368" t="n">
        <v>2</v>
      </c>
      <c r="M1170" s="369"/>
      <c r="N1170" s="370"/>
      <c r="O1170" s="366" t="s">
        <v>300</v>
      </c>
      <c r="P1170" s="371" t="n">
        <v>0.0368598</v>
      </c>
      <c r="Q1170" s="371"/>
      <c r="R1170" s="372" t="s">
        <v>914</v>
      </c>
      <c r="S1170" s="373"/>
      <c r="T1170" s="372"/>
      <c r="U1170" s="373"/>
      <c r="V1170" s="373" t="n">
        <v>0.041335</v>
      </c>
      <c r="W1170" s="373" t="n">
        <v>0.000826</v>
      </c>
      <c r="X1170" s="373" t="n">
        <v>0.002232</v>
      </c>
      <c r="Y1170" s="373" t="n">
        <v>0.031122</v>
      </c>
      <c r="Z1170" s="373" t="n">
        <v>0.00172</v>
      </c>
      <c r="AA1170" s="373" t="n">
        <v>0.002</v>
      </c>
      <c r="AB1170" s="374" t="n">
        <f aca="false">S1170-Z1170</f>
        <v>-0.00172</v>
      </c>
      <c r="AC1170" s="374" t="n">
        <f aca="false">U1170-Z1170-AA1170</f>
        <v>-0.00372</v>
      </c>
      <c r="AD1170" s="375" t="n">
        <v>0.0365</v>
      </c>
      <c r="AE1170" s="376" t="n">
        <v>0.031122</v>
      </c>
      <c r="AF1170" s="412" t="n">
        <f aca="false">AD1170-AE1170</f>
        <v>0.005378</v>
      </c>
      <c r="AG1170" s="377" t="n">
        <v>0.0365</v>
      </c>
      <c r="AH1170" s="378" t="n">
        <v>46098</v>
      </c>
      <c r="AI1170" s="379" t="n">
        <v>1</v>
      </c>
      <c r="AJ1170" s="380" t="str">
        <f aca="false">IF(AG1170="","N","Y")</f>
        <v>Y</v>
      </c>
      <c r="AK1170" s="396" t="s">
        <v>1296</v>
      </c>
      <c r="AL1170" s="397"/>
    </row>
    <row r="1171" s="382" customFormat="true" ht="20.25" hidden="false" customHeight="true" outlineLevel="0" collapsed="false">
      <c r="A1171" s="364" t="n">
        <v>644</v>
      </c>
      <c r="B1171" s="363" t="n">
        <v>46100</v>
      </c>
      <c r="C1171" s="364" t="s">
        <v>1172</v>
      </c>
      <c r="D1171" s="364" t="s">
        <v>1173</v>
      </c>
      <c r="E1171" s="364" t="s">
        <v>1218</v>
      </c>
      <c r="F1171" s="364" t="s">
        <v>1175</v>
      </c>
      <c r="G1171" s="365" t="n">
        <v>46100</v>
      </c>
      <c r="H1171" s="365" t="n">
        <v>46129</v>
      </c>
      <c r="I1171" s="364" t="n">
        <f aca="false">H1171-G1171</f>
        <v>29</v>
      </c>
      <c r="J1171" s="366" t="n">
        <f aca="false">TRUNC(I1171/30,0)</f>
        <v>0</v>
      </c>
      <c r="K1171" s="367" t="s">
        <v>99</v>
      </c>
      <c r="L1171" s="368" t="n">
        <v>5.18</v>
      </c>
      <c r="M1171" s="369"/>
      <c r="N1171" s="370"/>
      <c r="O1171" s="366" t="s">
        <v>303</v>
      </c>
      <c r="P1171" s="371" t="n">
        <v>0.0367504</v>
      </c>
      <c r="Q1171" s="371"/>
      <c r="R1171" s="372" t="s">
        <v>914</v>
      </c>
      <c r="S1171" s="373"/>
      <c r="T1171" s="372"/>
      <c r="U1171" s="373"/>
      <c r="V1171" s="373" t="n">
        <v>0.040566</v>
      </c>
      <c r="W1171" s="373" t="n">
        <v>0.002821</v>
      </c>
      <c r="X1171" s="373" t="n">
        <v>0.003951</v>
      </c>
      <c r="Y1171" s="373" t="n">
        <v>0.023193</v>
      </c>
      <c r="Z1171" s="373" t="n">
        <v>0.00172</v>
      </c>
      <c r="AA1171" s="373" t="n">
        <v>0.002</v>
      </c>
      <c r="AB1171" s="374" t="n">
        <f aca="false">S1171-Z1171</f>
        <v>-0.00172</v>
      </c>
      <c r="AC1171" s="374" t="n">
        <f aca="false">U1171-Z1171-AA1171</f>
        <v>-0.00372</v>
      </c>
      <c r="AD1171" s="375" t="n">
        <v>0.032</v>
      </c>
      <c r="AE1171" s="412" t="n">
        <f aca="false">Y1171</f>
        <v>0.023193</v>
      </c>
      <c r="AF1171" s="376" t="n">
        <f aca="false">AD1171-AE1171</f>
        <v>0.008807</v>
      </c>
      <c r="AG1171" s="377" t="n">
        <f aca="false">IF(AF1171="","",AE1171+AF1171)</f>
        <v>0.032</v>
      </c>
      <c r="AH1171" s="378" t="n">
        <v>46100</v>
      </c>
      <c r="AI1171" s="379" t="n">
        <v>1</v>
      </c>
      <c r="AJ1171" s="380" t="str">
        <f aca="false">IF(AG1171="","N","Y")</f>
        <v>Y</v>
      </c>
      <c r="AK1171" s="396" t="s">
        <v>1262</v>
      </c>
      <c r="AL1171" s="397"/>
    </row>
    <row r="1172" s="382" customFormat="true" ht="20.25" hidden="false" customHeight="true" outlineLevel="0" collapsed="false">
      <c r="A1172" s="364" t="n">
        <v>645</v>
      </c>
      <c r="B1172" s="363" t="n">
        <v>46100</v>
      </c>
      <c r="C1172" s="364" t="s">
        <v>96</v>
      </c>
      <c r="D1172" s="364" t="s">
        <v>1073</v>
      </c>
      <c r="E1172" s="364" t="s">
        <v>1298</v>
      </c>
      <c r="F1172" s="364" t="s">
        <v>1299</v>
      </c>
      <c r="G1172" s="365" t="n">
        <v>46100</v>
      </c>
      <c r="H1172" s="365" t="n">
        <v>46132</v>
      </c>
      <c r="I1172" s="364" t="n">
        <f aca="false">H1172-G1172</f>
        <v>32</v>
      </c>
      <c r="J1172" s="366" t="n">
        <f aca="false">TRUNC(I1172/30,0)</f>
        <v>1</v>
      </c>
      <c r="K1172" s="395" t="s">
        <v>95</v>
      </c>
      <c r="L1172" s="368" t="n">
        <v>1</v>
      </c>
      <c r="M1172" s="408"/>
      <c r="N1172" s="409"/>
      <c r="O1172" s="405" t="s">
        <v>303</v>
      </c>
      <c r="P1172" s="371" t="n">
        <v>0.0367504</v>
      </c>
      <c r="Q1172" s="371"/>
      <c r="R1172" s="372" t="s">
        <v>914</v>
      </c>
      <c r="S1172" s="373"/>
      <c r="T1172" s="372"/>
      <c r="U1172" s="373"/>
      <c r="V1172" s="412" t="n">
        <v>0.039782</v>
      </c>
      <c r="W1172" s="373" t="n">
        <v>0.000795</v>
      </c>
      <c r="X1172" s="412" t="n">
        <f aca="false">V1172-AD1172-$X$5-W1172</f>
        <v>0.002711</v>
      </c>
      <c r="Y1172" s="373" t="n">
        <v>0.030315</v>
      </c>
      <c r="Z1172" s="412" t="n">
        <v>0.00172</v>
      </c>
      <c r="AA1172" s="412" t="n">
        <v>0.002</v>
      </c>
      <c r="AB1172" s="374" t="n">
        <f aca="false">S1172-Z1172</f>
        <v>-0.00172</v>
      </c>
      <c r="AC1172" s="374" t="n">
        <f aca="false">U1172-Z1172-AA1172</f>
        <v>-0.00372</v>
      </c>
      <c r="AD1172" s="375" t="n">
        <v>0.0345</v>
      </c>
      <c r="AE1172" s="412" t="n">
        <f aca="false">Y1172</f>
        <v>0.030315</v>
      </c>
      <c r="AF1172" s="412" t="n">
        <f aca="false">AD1172-AE1172</f>
        <v>0.004185</v>
      </c>
      <c r="AG1172" s="377" t="n">
        <f aca="false">IF(AF1172="","",AE1172+AF1172)</f>
        <v>0.0345</v>
      </c>
      <c r="AH1172" s="378" t="n">
        <v>46100</v>
      </c>
      <c r="AI1172" s="379" t="n">
        <v>2</v>
      </c>
      <c r="AJ1172" s="380" t="str">
        <f aca="false">IF(AG1172="","N","Y")</f>
        <v>Y</v>
      </c>
      <c r="AK1172" s="416" t="s">
        <v>1300</v>
      </c>
      <c r="AL1172" s="397"/>
    </row>
    <row r="1173" s="382" customFormat="true" ht="20.25" hidden="false" customHeight="true" outlineLevel="0" collapsed="false">
      <c r="A1173" s="364" t="n">
        <v>646</v>
      </c>
      <c r="B1173" s="363" t="n">
        <v>46100</v>
      </c>
      <c r="C1173" s="364" t="s">
        <v>187</v>
      </c>
      <c r="D1173" s="364" t="s">
        <v>1062</v>
      </c>
      <c r="E1173" s="364" t="s">
        <v>1165</v>
      </c>
      <c r="F1173" s="364" t="s">
        <v>877</v>
      </c>
      <c r="G1173" s="365" t="n">
        <v>46100</v>
      </c>
      <c r="H1173" s="365" t="n">
        <v>46132</v>
      </c>
      <c r="I1173" s="364" t="n">
        <f aca="false">H1173-G1173</f>
        <v>32</v>
      </c>
      <c r="J1173" s="366" t="n">
        <f aca="false">TRUNC(I1173/30,0)</f>
        <v>1</v>
      </c>
      <c r="K1173" s="367" t="s">
        <v>99</v>
      </c>
      <c r="L1173" s="368" t="n">
        <v>21.97</v>
      </c>
      <c r="M1173" s="408"/>
      <c r="N1173" s="409"/>
      <c r="O1173" s="366" t="s">
        <v>303</v>
      </c>
      <c r="P1173" s="371" t="n">
        <v>0.0367504</v>
      </c>
      <c r="Q1173" s="371"/>
      <c r="R1173" s="372" t="s">
        <v>914</v>
      </c>
      <c r="S1173" s="373"/>
      <c r="T1173" s="372"/>
      <c r="U1173" s="373"/>
      <c r="V1173" s="412" t="n">
        <v>0.040566</v>
      </c>
      <c r="W1173" s="373" t="n">
        <v>0.002821</v>
      </c>
      <c r="X1173" s="412" t="n">
        <f aca="false">V1173-AD1173-$X$5-W1173</f>
        <v>0.003969</v>
      </c>
      <c r="Y1173" s="373" t="n">
        <v>0.023193</v>
      </c>
      <c r="Z1173" s="412" t="n">
        <v>0.00172</v>
      </c>
      <c r="AA1173" s="412" t="n">
        <v>0.002</v>
      </c>
      <c r="AB1173" s="374" t="n">
        <f aca="false">S1173-Z1173</f>
        <v>-0.00172</v>
      </c>
      <c r="AC1173" s="374" t="n">
        <f aca="false">U1173-Z1173-AA1173</f>
        <v>-0.00372</v>
      </c>
      <c r="AD1173" s="375" t="n">
        <v>0.032</v>
      </c>
      <c r="AE1173" s="412" t="n">
        <f aca="false">Y1173</f>
        <v>0.023193</v>
      </c>
      <c r="AF1173" s="412" t="n">
        <f aca="false">AD1173-AE1173</f>
        <v>0.008807</v>
      </c>
      <c r="AG1173" s="377" t="n">
        <f aca="false">IF(AF1173="","",AE1173+AF1173)</f>
        <v>0.032</v>
      </c>
      <c r="AH1173" s="378" t="n">
        <v>46100</v>
      </c>
      <c r="AI1173" s="379" t="n">
        <v>3</v>
      </c>
      <c r="AJ1173" s="380" t="str">
        <f aca="false">IF(AG1173="","N","Y")</f>
        <v>Y</v>
      </c>
      <c r="AK1173" s="396" t="s">
        <v>1258</v>
      </c>
      <c r="AL1173" s="397"/>
    </row>
    <row r="1174" s="382" customFormat="true" ht="19.5" hidden="false" customHeight="true" outlineLevel="0" collapsed="false">
      <c r="A1174" s="364" t="n">
        <v>647</v>
      </c>
      <c r="B1174" s="363" t="n">
        <v>46100</v>
      </c>
      <c r="C1174" s="364" t="s">
        <v>209</v>
      </c>
      <c r="D1174" s="364" t="s">
        <v>1054</v>
      </c>
      <c r="E1174" s="364" t="s">
        <v>1301</v>
      </c>
      <c r="F1174" s="364" t="s">
        <v>697</v>
      </c>
      <c r="G1174" s="365" t="n">
        <v>46100</v>
      </c>
      <c r="H1174" s="365" t="n">
        <v>46132</v>
      </c>
      <c r="I1174" s="364" t="n">
        <f aca="false">H1174-G1174</f>
        <v>32</v>
      </c>
      <c r="J1174" s="366" t="n">
        <f aca="false">TRUNC(I1174/30,0)</f>
        <v>1</v>
      </c>
      <c r="K1174" s="367" t="s">
        <v>99</v>
      </c>
      <c r="L1174" s="368" t="n">
        <v>8.151</v>
      </c>
      <c r="M1174" s="369"/>
      <c r="N1174" s="370"/>
      <c r="O1174" s="366" t="s">
        <v>303</v>
      </c>
      <c r="P1174" s="371" t="n">
        <v>0.0367504</v>
      </c>
      <c r="Q1174" s="371"/>
      <c r="R1174" s="372" t="s">
        <v>914</v>
      </c>
      <c r="S1174" s="373"/>
      <c r="T1174" s="372"/>
      <c r="U1174" s="373"/>
      <c r="V1174" s="373" t="n">
        <v>0.040566</v>
      </c>
      <c r="W1174" s="373" t="n">
        <v>0.002821</v>
      </c>
      <c r="X1174" s="412" t="n">
        <f aca="false">V1174-AD1174-$X$5-W1174</f>
        <v>0.003969</v>
      </c>
      <c r="Y1174" s="373" t="n">
        <v>0.023193</v>
      </c>
      <c r="Z1174" s="373" t="n">
        <v>0.00172</v>
      </c>
      <c r="AA1174" s="373" t="n">
        <v>0.002</v>
      </c>
      <c r="AB1174" s="374" t="n">
        <f aca="false">S1174-Z1174</f>
        <v>-0.00172</v>
      </c>
      <c r="AC1174" s="374" t="n">
        <f aca="false">U1174-Z1174-AA1174</f>
        <v>-0.00372</v>
      </c>
      <c r="AD1174" s="375" t="n">
        <v>0.032</v>
      </c>
      <c r="AE1174" s="412" t="n">
        <v>0.023193</v>
      </c>
      <c r="AF1174" s="376" t="n">
        <f aca="false">AD1174-AE1174</f>
        <v>0.008807</v>
      </c>
      <c r="AG1174" s="377" t="n">
        <f aca="false">IF(AF1174="","",AE1174+AF1174)</f>
        <v>0.032</v>
      </c>
      <c r="AH1174" s="378" t="n">
        <v>46100</v>
      </c>
      <c r="AI1174" s="379" t="n">
        <v>4</v>
      </c>
      <c r="AJ1174" s="380" t="str">
        <f aca="false">IF(AG1174="","N","Y")</f>
        <v>Y</v>
      </c>
      <c r="AK1174" s="396" t="s">
        <v>1258</v>
      </c>
      <c r="AL1174" s="397"/>
    </row>
    <row r="1175" s="382" customFormat="true" ht="20.25" hidden="false" customHeight="true" outlineLevel="0" collapsed="false">
      <c r="A1175" s="364" t="n">
        <v>648</v>
      </c>
      <c r="B1175" s="363" t="n">
        <v>46101</v>
      </c>
      <c r="C1175" s="364" t="s">
        <v>1219</v>
      </c>
      <c r="D1175" s="364" t="s">
        <v>1005</v>
      </c>
      <c r="E1175" s="364" t="s">
        <v>1006</v>
      </c>
      <c r="F1175" s="364" t="s">
        <v>1056</v>
      </c>
      <c r="G1175" s="365" t="n">
        <v>46101</v>
      </c>
      <c r="H1175" s="365" t="n">
        <v>46132</v>
      </c>
      <c r="I1175" s="364" t="n">
        <f aca="false">H1175-G1175</f>
        <v>31</v>
      </c>
      <c r="J1175" s="366" t="n">
        <f aca="false">TRUNC(I1175/30,0)</f>
        <v>1</v>
      </c>
      <c r="K1175" s="367" t="s">
        <v>99</v>
      </c>
      <c r="L1175" s="368" t="n">
        <v>14.4</v>
      </c>
      <c r="M1175" s="369"/>
      <c r="N1175" s="370"/>
      <c r="O1175" s="366" t="s">
        <v>303</v>
      </c>
      <c r="P1175" s="371" t="n">
        <v>0.0367495</v>
      </c>
      <c r="Q1175" s="371"/>
      <c r="R1175" s="372" t="s">
        <v>914</v>
      </c>
      <c r="S1175" s="373"/>
      <c r="T1175" s="372"/>
      <c r="U1175" s="373"/>
      <c r="V1175" s="373" t="n">
        <v>0.040551</v>
      </c>
      <c r="W1175" s="373" t="n">
        <v>0.002838</v>
      </c>
      <c r="X1175" s="373" t="n">
        <v>0.003736</v>
      </c>
      <c r="Y1175" s="373" t="n">
        <v>0.022971</v>
      </c>
      <c r="Z1175" s="373" t="n">
        <v>0.00172</v>
      </c>
      <c r="AA1175" s="373" t="n">
        <v>0.002</v>
      </c>
      <c r="AB1175" s="374" t="n">
        <f aca="false">S1175-Z1175</f>
        <v>-0.00172</v>
      </c>
      <c r="AC1175" s="374" t="n">
        <f aca="false">U1175-Z1175-AA1175</f>
        <v>-0.00372</v>
      </c>
      <c r="AD1175" s="375" t="n">
        <v>0.0322</v>
      </c>
      <c r="AE1175" s="412" t="n">
        <f aca="false">Y1175</f>
        <v>0.022971</v>
      </c>
      <c r="AF1175" s="376" t="n">
        <f aca="false">AD1175-AE1175</f>
        <v>0.009229</v>
      </c>
      <c r="AG1175" s="377" t="n">
        <v>0.0322</v>
      </c>
      <c r="AH1175" s="378" t="n">
        <v>46101</v>
      </c>
      <c r="AI1175" s="379" t="n">
        <v>1</v>
      </c>
      <c r="AJ1175" s="380" t="str">
        <f aca="false">IF(AG1175="","N","Y")</f>
        <v>Y</v>
      </c>
      <c r="AK1175" s="396" t="s">
        <v>1262</v>
      </c>
      <c r="AL1175" s="397"/>
    </row>
    <row r="1176" s="382" customFormat="true" ht="19.5" hidden="false" customHeight="true" outlineLevel="0" collapsed="false">
      <c r="A1176" s="364" t="n">
        <v>649</v>
      </c>
      <c r="B1176" s="363" t="n">
        <v>46101</v>
      </c>
      <c r="C1176" s="364" t="s">
        <v>644</v>
      </c>
      <c r="D1176" s="364" t="s">
        <v>1070</v>
      </c>
      <c r="E1176" s="364" t="s">
        <v>1226</v>
      </c>
      <c r="F1176" s="364" t="s">
        <v>1072</v>
      </c>
      <c r="G1176" s="365" t="n">
        <v>46101</v>
      </c>
      <c r="H1176" s="365" t="n">
        <v>46132</v>
      </c>
      <c r="I1176" s="364" t="n">
        <f aca="false">H1176-G1176</f>
        <v>31</v>
      </c>
      <c r="J1176" s="366" t="n">
        <f aca="false">TRUNC(I1176/30,0)</f>
        <v>1</v>
      </c>
      <c r="K1176" s="395" t="s">
        <v>95</v>
      </c>
      <c r="L1176" s="368" t="n">
        <v>1.5</v>
      </c>
      <c r="M1176" s="408"/>
      <c r="N1176" s="409"/>
      <c r="O1176" s="405" t="s">
        <v>303</v>
      </c>
      <c r="P1176" s="371" t="n">
        <v>0.0367495</v>
      </c>
      <c r="Q1176" s="371"/>
      <c r="R1176" s="372" t="s">
        <v>914</v>
      </c>
      <c r="S1176" s="373"/>
      <c r="T1176" s="372"/>
      <c r="U1176" s="373"/>
      <c r="V1176" s="412" t="n">
        <v>0.039765</v>
      </c>
      <c r="W1176" s="373" t="n">
        <v>0.000795</v>
      </c>
      <c r="X1176" s="412" t="n">
        <f aca="false">V1176-AD1176-$X$5-W1176</f>
        <v>0.002694</v>
      </c>
      <c r="Y1176" s="373" t="n">
        <v>0.030314</v>
      </c>
      <c r="Z1176" s="412" t="n">
        <v>0.00172</v>
      </c>
      <c r="AA1176" s="412" t="n">
        <v>0.002</v>
      </c>
      <c r="AB1176" s="374" t="n">
        <f aca="false">S1176-Z1176</f>
        <v>-0.00172</v>
      </c>
      <c r="AC1176" s="374" t="n">
        <f aca="false">U1176-Z1176-AA1176</f>
        <v>-0.00372</v>
      </c>
      <c r="AD1176" s="375" t="n">
        <v>0.0345</v>
      </c>
      <c r="AE1176" s="412" t="n">
        <v>0.030314</v>
      </c>
      <c r="AF1176" s="412" t="n">
        <f aca="false">AD1176-AE1176</f>
        <v>0.004186</v>
      </c>
      <c r="AG1176" s="377" t="n">
        <f aca="false">IF(AF1176="","",AE1176+AF1176)</f>
        <v>0.0345</v>
      </c>
      <c r="AH1176" s="378" t="n">
        <v>46101</v>
      </c>
      <c r="AI1176" s="379" t="n">
        <v>2</v>
      </c>
      <c r="AJ1176" s="380" t="str">
        <f aca="false">IF(AG1176="","N","Y")</f>
        <v>Y</v>
      </c>
      <c r="AK1176" s="396" t="s">
        <v>1262</v>
      </c>
      <c r="AL1176" s="397"/>
    </row>
    <row r="1177" customFormat="false" ht="16.5" hidden="false" customHeight="true" outlineLevel="0" collapsed="false">
      <c r="A1177" s="364" t="n">
        <v>650</v>
      </c>
      <c r="B1177" s="363" t="n">
        <v>46104</v>
      </c>
      <c r="C1177" s="364" t="s">
        <v>770</v>
      </c>
      <c r="D1177" s="364" t="s">
        <v>1297</v>
      </c>
      <c r="E1177" s="364" t="s">
        <v>1004</v>
      </c>
      <c r="F1177" s="364" t="s">
        <v>1156</v>
      </c>
      <c r="G1177" s="365" t="n">
        <v>46104</v>
      </c>
      <c r="H1177" s="365" t="n">
        <v>46196</v>
      </c>
      <c r="I1177" s="364" t="n">
        <f aca="false">H1177-G1177</f>
        <v>92</v>
      </c>
      <c r="J1177" s="366" t="n">
        <f aca="false">TRUNC(I1177/30,0)</f>
        <v>3</v>
      </c>
      <c r="K1177" s="395" t="s">
        <v>95</v>
      </c>
      <c r="L1177" s="368" t="n">
        <v>1</v>
      </c>
      <c r="M1177" s="369"/>
      <c r="N1177" s="370"/>
      <c r="O1177" s="366" t="s">
        <v>300</v>
      </c>
      <c r="P1177" s="371" t="n">
        <v>0.0370623</v>
      </c>
      <c r="Q1177" s="371"/>
      <c r="R1177" s="372" t="s">
        <v>914</v>
      </c>
      <c r="S1177" s="373"/>
      <c r="T1177" s="372"/>
      <c r="U1177" s="373"/>
      <c r="V1177" s="373" t="n">
        <v>0.041377</v>
      </c>
      <c r="W1177" s="373" t="n">
        <v>0.000827</v>
      </c>
      <c r="X1177" s="412" t="n">
        <f aca="false">V1177-AD1177-$X$5-W1177</f>
        <v>0.002274</v>
      </c>
      <c r="Y1177" s="373" t="n">
        <v>0.031321</v>
      </c>
      <c r="Z1177" s="373" t="n">
        <v>0.00172</v>
      </c>
      <c r="AA1177" s="373" t="n">
        <v>0.002</v>
      </c>
      <c r="AB1177" s="374" t="n">
        <f aca="false">S1177-Z1177</f>
        <v>-0.00172</v>
      </c>
      <c r="AC1177" s="374" t="n">
        <f aca="false">U1177-Z1177-AA1177</f>
        <v>-0.00372</v>
      </c>
      <c r="AD1177" s="375" t="n">
        <v>0.0365</v>
      </c>
      <c r="AE1177" s="376" t="n">
        <v>0.031321</v>
      </c>
      <c r="AF1177" s="412" t="n">
        <f aca="false">AD1177-AE1177</f>
        <v>0.005179</v>
      </c>
      <c r="AG1177" s="377" t="n">
        <v>0.0365</v>
      </c>
      <c r="AH1177" s="378" t="n">
        <v>46098</v>
      </c>
      <c r="AI1177" s="379" t="n">
        <v>1</v>
      </c>
      <c r="AJ1177" s="380" t="str">
        <f aca="false">IF(AG1177="","N","Y")</f>
        <v>Y</v>
      </c>
      <c r="AK1177" s="396" t="s">
        <v>1296</v>
      </c>
    </row>
    <row r="1178" s="382" customFormat="true" ht="20.25" hidden="false" customHeight="true" outlineLevel="0" collapsed="false">
      <c r="A1178" s="364" t="n">
        <v>651</v>
      </c>
      <c r="B1178" s="363" t="n">
        <v>46111</v>
      </c>
      <c r="C1178" s="364" t="s">
        <v>916</v>
      </c>
      <c r="D1178" s="364" t="s">
        <v>917</v>
      </c>
      <c r="E1178" s="364" t="s">
        <v>763</v>
      </c>
      <c r="F1178" s="364" t="s">
        <v>1020</v>
      </c>
      <c r="G1178" s="365" t="n">
        <v>46111</v>
      </c>
      <c r="H1178" s="365" t="n">
        <v>46295</v>
      </c>
      <c r="I1178" s="364" t="n">
        <f aca="false">H1178-G1178</f>
        <v>184</v>
      </c>
      <c r="J1178" s="366" t="n">
        <f aca="false">TRUNC(I1178/30,0)</f>
        <v>6</v>
      </c>
      <c r="K1178" s="395" t="s">
        <v>95</v>
      </c>
      <c r="L1178" s="368" t="n">
        <v>2.21</v>
      </c>
      <c r="M1178" s="369"/>
      <c r="N1178" s="370"/>
      <c r="O1178" s="366" t="n">
        <v>6</v>
      </c>
      <c r="P1178" s="371" t="n">
        <v>0.0374482</v>
      </c>
      <c r="Q1178" s="371"/>
      <c r="R1178" s="372" t="s">
        <v>914</v>
      </c>
      <c r="S1178" s="373"/>
      <c r="T1178" s="372"/>
      <c r="U1178" s="373"/>
      <c r="V1178" s="373" t="n">
        <v>0.042353</v>
      </c>
      <c r="W1178" s="373" t="n">
        <v>0.000847</v>
      </c>
      <c r="X1178" s="373" t="n">
        <v>0.00373</v>
      </c>
      <c r="Y1178" s="373" t="n">
        <v>0.030299</v>
      </c>
      <c r="Z1178" s="373" t="n">
        <v>0.00172</v>
      </c>
      <c r="AA1178" s="373" t="n">
        <v>0.002</v>
      </c>
      <c r="AB1178" s="374" t="n">
        <f aca="false">S1178-Z1178</f>
        <v>-0.00172</v>
      </c>
      <c r="AC1178" s="374" t="n">
        <f aca="false">U1178-Z1178-AA1178</f>
        <v>-0.00372</v>
      </c>
      <c r="AD1178" s="375" t="n">
        <v>0.036</v>
      </c>
      <c r="AE1178" s="376" t="n">
        <f aca="false">IF(Y1178="","",Y1178)</f>
        <v>0.030299</v>
      </c>
      <c r="AF1178" s="376" t="n">
        <f aca="false">AD1178-AE1178</f>
        <v>0.005701</v>
      </c>
      <c r="AG1178" s="377" t="n">
        <v>0.036</v>
      </c>
      <c r="AH1178" s="378" t="n">
        <v>46111</v>
      </c>
      <c r="AI1178" s="379" t="n">
        <v>1</v>
      </c>
      <c r="AJ1178" s="380" t="str">
        <f aca="false">IF(AG1178="","N","Y")</f>
        <v>Y</v>
      </c>
      <c r="AK1178" s="396" t="s">
        <v>1302</v>
      </c>
      <c r="AL1178" s="397"/>
    </row>
    <row r="1179" s="382" customFormat="true" ht="20.25" hidden="false" customHeight="true" outlineLevel="0" collapsed="false">
      <c r="A1179" s="364" t="n">
        <v>652</v>
      </c>
      <c r="B1179" s="363" t="n">
        <v>46112</v>
      </c>
      <c r="C1179" s="364" t="s">
        <v>1184</v>
      </c>
      <c r="D1179" s="364" t="s">
        <v>1185</v>
      </c>
      <c r="E1179" s="364" t="s">
        <v>1303</v>
      </c>
      <c r="F1179" s="364" t="s">
        <v>1187</v>
      </c>
      <c r="G1179" s="365" t="n">
        <v>46113</v>
      </c>
      <c r="H1179" s="365" t="n">
        <v>46146</v>
      </c>
      <c r="I1179" s="364" t="n">
        <f aca="false">H1179-G1179</f>
        <v>33</v>
      </c>
      <c r="J1179" s="366" t="n">
        <f aca="false">TRUNC(I1179/30,0)</f>
        <v>1</v>
      </c>
      <c r="K1179" s="367" t="s">
        <v>99</v>
      </c>
      <c r="L1179" s="368" t="n">
        <v>6.54</v>
      </c>
      <c r="M1179" s="369"/>
      <c r="N1179" s="370"/>
      <c r="O1179" s="366" t="s">
        <v>303</v>
      </c>
      <c r="P1179" s="371" t="n">
        <v>0.0366484</v>
      </c>
      <c r="Q1179" s="371"/>
      <c r="R1179" s="372" t="s">
        <v>914</v>
      </c>
      <c r="S1179" s="373"/>
      <c r="T1179" s="372"/>
      <c r="U1179" s="373"/>
      <c r="V1179" s="373" t="n">
        <v>0.040532</v>
      </c>
      <c r="W1179" s="373" t="n">
        <v>0.002837</v>
      </c>
      <c r="X1179" s="412" t="n">
        <f aca="false">V1179-AD1179-$X$5-W1179</f>
        <v>0.003919</v>
      </c>
      <c r="Y1179" s="373" t="n">
        <v>0.023026</v>
      </c>
      <c r="Z1179" s="373" t="n">
        <v>0.00172</v>
      </c>
      <c r="AA1179" s="373" t="n">
        <v>0.002</v>
      </c>
      <c r="AB1179" s="374" t="n">
        <f aca="false">S1179-Z1179</f>
        <v>-0.00172</v>
      </c>
      <c r="AC1179" s="374" t="n">
        <f aca="false">U1179-Z1179-AA1179</f>
        <v>-0.00372</v>
      </c>
      <c r="AD1179" s="375" t="n">
        <v>0.032</v>
      </c>
      <c r="AE1179" s="373" t="n">
        <v>0.023026</v>
      </c>
      <c r="AF1179" s="376" t="n">
        <f aca="false">AD1179-AE1179</f>
        <v>0.008974</v>
      </c>
      <c r="AG1179" s="377" t="n">
        <f aca="false">IF(AF1179="","",AE1179+AF1179)</f>
        <v>0.032</v>
      </c>
      <c r="AH1179" s="378" t="n">
        <v>46112</v>
      </c>
      <c r="AI1179" s="379" t="n">
        <v>1</v>
      </c>
      <c r="AJ1179" s="380" t="str">
        <f aca="false">IF(AG1179="","N","Y")</f>
        <v>Y</v>
      </c>
      <c r="AK1179" s="396" t="s">
        <v>1262</v>
      </c>
      <c r="AL1179" s="397"/>
    </row>
    <row r="1180" s="382" customFormat="true" ht="20.25" hidden="false" customHeight="true" outlineLevel="0" collapsed="false">
      <c r="A1180" s="364" t="n">
        <v>653</v>
      </c>
      <c r="B1180" s="363" t="n">
        <v>46113</v>
      </c>
      <c r="C1180" s="364" t="s">
        <v>1290</v>
      </c>
      <c r="D1180" s="364" t="s">
        <v>1291</v>
      </c>
      <c r="E1180" s="364" t="s">
        <v>918</v>
      </c>
      <c r="F1180" s="364" t="s">
        <v>1292</v>
      </c>
      <c r="G1180" s="365" t="n">
        <v>46113</v>
      </c>
      <c r="H1180" s="365" t="n">
        <v>46142</v>
      </c>
      <c r="I1180" s="364" t="n">
        <f aca="false">H1180-G1180</f>
        <v>29</v>
      </c>
      <c r="J1180" s="366" t="n">
        <f aca="false">TRUNC(I1180/30,0)</f>
        <v>0</v>
      </c>
      <c r="K1180" s="367" t="s">
        <v>99</v>
      </c>
      <c r="L1180" s="368" t="n">
        <v>1</v>
      </c>
      <c r="M1180" s="369"/>
      <c r="N1180" s="370"/>
      <c r="O1180" s="366" t="s">
        <v>303</v>
      </c>
      <c r="P1180" s="371" t="n">
        <v>0.0366484</v>
      </c>
      <c r="Q1180" s="371"/>
      <c r="R1180" s="372" t="s">
        <v>914</v>
      </c>
      <c r="S1180" s="373"/>
      <c r="T1180" s="372"/>
      <c r="U1180" s="373"/>
      <c r="V1180" s="373" t="n">
        <v>0.040532</v>
      </c>
      <c r="W1180" s="373" t="n">
        <v>0.002837</v>
      </c>
      <c r="X1180" s="412" t="n">
        <f aca="false">V1180-AD1180-$X$5-W1180</f>
        <v>0.005919</v>
      </c>
      <c r="Y1180" s="373" t="n">
        <v>0.023026</v>
      </c>
      <c r="Z1180" s="373" t="n">
        <v>0.00172</v>
      </c>
      <c r="AA1180" s="373" t="n">
        <v>0.002</v>
      </c>
      <c r="AB1180" s="374" t="n">
        <f aca="false">S1180-Z1180</f>
        <v>-0.00172</v>
      </c>
      <c r="AC1180" s="374" t="n">
        <f aca="false">U1180-Z1180-AA1180</f>
        <v>-0.00372</v>
      </c>
      <c r="AD1180" s="375" t="n">
        <v>0.03</v>
      </c>
      <c r="AE1180" s="373" t="n">
        <v>0.023026</v>
      </c>
      <c r="AF1180" s="376" t="n">
        <f aca="false">AD1180-AE1180</f>
        <v>0.006974</v>
      </c>
      <c r="AG1180" s="377" t="n">
        <v>0.03</v>
      </c>
      <c r="AH1180" s="378" t="n">
        <v>46112</v>
      </c>
      <c r="AI1180" s="379" t="n">
        <v>2</v>
      </c>
      <c r="AJ1180" s="380" t="str">
        <f aca="false">IF(AG1180="","N","Y")</f>
        <v>Y</v>
      </c>
      <c r="AK1180" s="396" t="s">
        <v>1262</v>
      </c>
      <c r="AL1180" s="397"/>
    </row>
    <row r="1181" s="382" customFormat="true" ht="20.25" hidden="false" customHeight="true" outlineLevel="0" collapsed="false">
      <c r="A1181" s="364" t="n">
        <v>654</v>
      </c>
      <c r="B1181" s="363" t="n">
        <v>46115</v>
      </c>
      <c r="C1181" s="364" t="s">
        <v>187</v>
      </c>
      <c r="D1181" s="364" t="s">
        <v>1277</v>
      </c>
      <c r="E1181" s="364" t="s">
        <v>1278</v>
      </c>
      <c r="F1181" s="364" t="s">
        <v>1120</v>
      </c>
      <c r="G1181" s="365" t="n">
        <v>46115</v>
      </c>
      <c r="H1181" s="365" t="n">
        <v>46142</v>
      </c>
      <c r="I1181" s="364" t="n">
        <f aca="false">H1181-G1181</f>
        <v>27</v>
      </c>
      <c r="J1181" s="366" t="n">
        <f aca="false">TRUNC(I1181/30,0)</f>
        <v>0</v>
      </c>
      <c r="K1181" s="367" t="s">
        <v>99</v>
      </c>
      <c r="L1181" s="368" t="n">
        <v>3.05</v>
      </c>
      <c r="M1181" s="369"/>
      <c r="N1181" s="370"/>
      <c r="O1181" s="366" t="s">
        <v>303</v>
      </c>
      <c r="P1181" s="371" t="n">
        <v>0.0365684</v>
      </c>
      <c r="Q1181" s="371"/>
      <c r="R1181" s="372" t="s">
        <v>914</v>
      </c>
      <c r="S1181" s="373"/>
      <c r="T1181" s="372"/>
      <c r="U1181" s="373"/>
      <c r="V1181" s="373" t="n">
        <v>0.040439</v>
      </c>
      <c r="W1181" s="373" t="n">
        <v>0.00283</v>
      </c>
      <c r="X1181" s="412" t="n">
        <v>0.004332</v>
      </c>
      <c r="Y1181" s="373" t="n">
        <v>0.023158</v>
      </c>
      <c r="Z1181" s="373" t="n">
        <v>0.00172</v>
      </c>
      <c r="AA1181" s="373" t="n">
        <v>0.002</v>
      </c>
      <c r="AB1181" s="374" t="n">
        <f aca="false">S1181-Z1181</f>
        <v>-0.00172</v>
      </c>
      <c r="AC1181" s="374" t="n">
        <f aca="false">U1181-Z1181-AA1181</f>
        <v>-0.00372</v>
      </c>
      <c r="AD1181" s="375" t="n">
        <v>0.0315</v>
      </c>
      <c r="AE1181" s="373" t="n">
        <v>0.023158</v>
      </c>
      <c r="AF1181" s="376" t="n">
        <v>0.008107</v>
      </c>
      <c r="AG1181" s="377" t="n">
        <v>0.0315</v>
      </c>
      <c r="AH1181" s="378" t="n">
        <v>46115</v>
      </c>
      <c r="AI1181" s="379" t="n">
        <v>1</v>
      </c>
      <c r="AJ1181" s="380" t="str">
        <f aca="false">IF(AG1181="","N","Y")</f>
        <v>Y</v>
      </c>
      <c r="AK1181" s="396" t="s">
        <v>1262</v>
      </c>
      <c r="AL1181" s="397"/>
    </row>
    <row r="1182" s="382" customFormat="true" ht="20.25" hidden="false" customHeight="true" outlineLevel="0" collapsed="false">
      <c r="A1182" s="364" t="n">
        <v>655</v>
      </c>
      <c r="B1182" s="363" t="n">
        <v>46115</v>
      </c>
      <c r="C1182" s="364" t="s">
        <v>925</v>
      </c>
      <c r="D1182" s="364" t="s">
        <v>1181</v>
      </c>
      <c r="E1182" s="364" t="s">
        <v>987</v>
      </c>
      <c r="F1182" s="364" t="s">
        <v>1234</v>
      </c>
      <c r="G1182" s="365" t="n">
        <v>46115</v>
      </c>
      <c r="H1182" s="365" t="n">
        <v>46146</v>
      </c>
      <c r="I1182" s="364" t="n">
        <f aca="false">H1182-G1182</f>
        <v>31</v>
      </c>
      <c r="J1182" s="366" t="n">
        <f aca="false">TRUNC(I1182/30,0)</f>
        <v>1</v>
      </c>
      <c r="K1182" s="395" t="s">
        <v>95</v>
      </c>
      <c r="L1182" s="368" t="n">
        <v>3</v>
      </c>
      <c r="M1182" s="369"/>
      <c r="N1182" s="370"/>
      <c r="O1182" s="366" t="s">
        <v>303</v>
      </c>
      <c r="P1182" s="371" t="n">
        <v>0.0365684</v>
      </c>
      <c r="Q1182" s="371"/>
      <c r="R1182" s="372" t="s">
        <v>914</v>
      </c>
      <c r="S1182" s="373"/>
      <c r="T1182" s="372"/>
      <c r="U1182" s="373"/>
      <c r="V1182" s="373" t="n">
        <v>0.03958</v>
      </c>
      <c r="W1182" s="373" t="n">
        <v>0.000791</v>
      </c>
      <c r="X1182" s="412" t="n">
        <f aca="false">V1182-AD1182-$X$5-W1182</f>
        <v>0.00251299999999999</v>
      </c>
      <c r="Y1182" s="373" t="n">
        <v>0.030137</v>
      </c>
      <c r="Z1182" s="373" t="n">
        <v>0.00172</v>
      </c>
      <c r="AA1182" s="373" t="n">
        <v>0.002</v>
      </c>
      <c r="AB1182" s="374" t="n">
        <f aca="false">S1182-Z1182</f>
        <v>-0.00172</v>
      </c>
      <c r="AC1182" s="374" t="n">
        <f aca="false">U1182-Z1182-AA1182</f>
        <v>-0.00372</v>
      </c>
      <c r="AD1182" s="375" t="n">
        <v>0.0345</v>
      </c>
      <c r="AE1182" s="373" t="n">
        <v>0.030137</v>
      </c>
      <c r="AF1182" s="376" t="n">
        <f aca="false">AD1182-AE1182</f>
        <v>0.004363</v>
      </c>
      <c r="AG1182" s="377" t="n">
        <v>0.0345</v>
      </c>
      <c r="AH1182" s="378" t="n">
        <v>46115</v>
      </c>
      <c r="AI1182" s="379" t="n">
        <v>2</v>
      </c>
      <c r="AJ1182" s="380" t="str">
        <f aca="false">IF(AG1182="","N","Y")</f>
        <v>Y</v>
      </c>
      <c r="AK1182" s="396" t="s">
        <v>1300</v>
      </c>
      <c r="AL1182" s="397"/>
    </row>
    <row r="1183" s="382" customFormat="true" ht="20.25" hidden="false" customHeight="true" outlineLevel="0" collapsed="false">
      <c r="A1183" s="364" t="n">
        <v>656</v>
      </c>
      <c r="B1183" s="363" t="n">
        <v>46118</v>
      </c>
      <c r="C1183" s="364" t="s">
        <v>1149</v>
      </c>
      <c r="D1183" s="364" t="s">
        <v>1150</v>
      </c>
      <c r="E1183" s="364" t="s">
        <v>1183</v>
      </c>
      <c r="F1183" s="364" t="s">
        <v>1152</v>
      </c>
      <c r="G1183" s="365" t="n">
        <v>46118</v>
      </c>
      <c r="H1183" s="365" t="n">
        <v>46148</v>
      </c>
      <c r="I1183" s="364" t="n">
        <f aca="false">H1183-G1183</f>
        <v>30</v>
      </c>
      <c r="J1183" s="366" t="n">
        <f aca="false">TRUNC(I1183/30,0)</f>
        <v>1</v>
      </c>
      <c r="K1183" s="367" t="s">
        <v>99</v>
      </c>
      <c r="L1183" s="368" t="n">
        <v>1.37</v>
      </c>
      <c r="M1183" s="369"/>
      <c r="N1183" s="370"/>
      <c r="O1183" s="366" t="s">
        <v>303</v>
      </c>
      <c r="P1183" s="371" t="n">
        <v>0.0365227</v>
      </c>
      <c r="Q1183" s="371"/>
      <c r="R1183" s="372" t="s">
        <v>914</v>
      </c>
      <c r="S1183" s="373"/>
      <c r="T1183" s="372"/>
      <c r="U1183" s="373"/>
      <c r="V1183" s="373" t="n">
        <v>0.040403</v>
      </c>
      <c r="W1183" s="373" t="n">
        <v>0.002828</v>
      </c>
      <c r="X1183" s="373" t="n">
        <v>0.004299</v>
      </c>
      <c r="Y1183" s="373" t="n">
        <v>0.023166</v>
      </c>
      <c r="Z1183" s="373" t="n">
        <v>0.00172</v>
      </c>
      <c r="AA1183" s="373" t="n">
        <v>0.002</v>
      </c>
      <c r="AB1183" s="374" t="n">
        <f aca="false">S1183-Z1183</f>
        <v>-0.00172</v>
      </c>
      <c r="AC1183" s="374" t="n">
        <f aca="false">U1183-Z1183-AA1183</f>
        <v>-0.00372</v>
      </c>
      <c r="AD1183" s="375" t="n">
        <v>0.0315</v>
      </c>
      <c r="AE1183" s="373" t="n">
        <v>0.023166</v>
      </c>
      <c r="AF1183" s="376" t="n">
        <f aca="false">AD1183-AE1183</f>
        <v>0.008334</v>
      </c>
      <c r="AG1183" s="377" t="n">
        <v>0.0315</v>
      </c>
      <c r="AH1183" s="378" t="n">
        <v>46115</v>
      </c>
      <c r="AI1183" s="379" t="n">
        <v>1</v>
      </c>
      <c r="AJ1183" s="380" t="str">
        <f aca="false">IF(AG1183="","N","Y")</f>
        <v>Y</v>
      </c>
      <c r="AK1183" s="396" t="s">
        <v>1262</v>
      </c>
      <c r="AL1183" s="397"/>
    </row>
    <row r="1184" s="382" customFormat="true" ht="20.25" hidden="false" customHeight="true" outlineLevel="0" collapsed="false">
      <c r="A1184" s="364" t="n">
        <v>657</v>
      </c>
      <c r="B1184" s="363" t="n">
        <v>46118</v>
      </c>
      <c r="C1184" s="364" t="s">
        <v>103</v>
      </c>
      <c r="D1184" s="364" t="s">
        <v>1146</v>
      </c>
      <c r="E1184" s="364" t="s">
        <v>1264</v>
      </c>
      <c r="F1184" s="364" t="s">
        <v>1158</v>
      </c>
      <c r="G1184" s="365" t="n">
        <v>46118</v>
      </c>
      <c r="H1184" s="365" t="n">
        <v>46148</v>
      </c>
      <c r="I1184" s="364" t="n">
        <f aca="false">H1184-G1184</f>
        <v>30</v>
      </c>
      <c r="J1184" s="366" t="n">
        <f aca="false">TRUNC(I1184/30,0)</f>
        <v>1</v>
      </c>
      <c r="K1184" s="395" t="s">
        <v>95</v>
      </c>
      <c r="L1184" s="368" t="n">
        <v>5</v>
      </c>
      <c r="M1184" s="369"/>
      <c r="N1184" s="370"/>
      <c r="O1184" s="366" t="s">
        <v>303</v>
      </c>
      <c r="P1184" s="371" t="n">
        <v>0.0365227</v>
      </c>
      <c r="Q1184" s="371"/>
      <c r="R1184" s="372" t="s">
        <v>914</v>
      </c>
      <c r="S1184" s="373"/>
      <c r="T1184" s="372"/>
      <c r="U1184" s="373"/>
      <c r="V1184" s="373" t="n">
        <v>0.039538</v>
      </c>
      <c r="W1184" s="373" t="n">
        <v>0.00079</v>
      </c>
      <c r="X1184" s="373" t="n">
        <v>0.002772</v>
      </c>
      <c r="Y1184" s="373" t="n">
        <v>0.030177</v>
      </c>
      <c r="Z1184" s="373" t="n">
        <v>0.00172</v>
      </c>
      <c r="AA1184" s="373" t="n">
        <v>0.002</v>
      </c>
      <c r="AB1184" s="374" t="n">
        <f aca="false">S1184-Z1184</f>
        <v>-0.00172</v>
      </c>
      <c r="AC1184" s="374" t="n">
        <f aca="false">U1184-Z1184-AA1184</f>
        <v>-0.00372</v>
      </c>
      <c r="AD1184" s="375" t="n">
        <v>0.0342</v>
      </c>
      <c r="AE1184" s="373" t="n">
        <v>0.030177</v>
      </c>
      <c r="AF1184" s="376" t="n">
        <f aca="false">AD1184-AE1184</f>
        <v>0.004023</v>
      </c>
      <c r="AG1184" s="377" t="n">
        <v>0.0342</v>
      </c>
      <c r="AH1184" s="378" t="n">
        <v>46115</v>
      </c>
      <c r="AI1184" s="379" t="n">
        <v>2</v>
      </c>
      <c r="AJ1184" s="380" t="str">
        <f aca="false">IF(AG1184="","N","Y")</f>
        <v>Y</v>
      </c>
      <c r="AK1184" s="396" t="s">
        <v>1286</v>
      </c>
      <c r="AL1184" s="397"/>
    </row>
    <row r="1185" s="382" customFormat="true" ht="20.25" hidden="false" customHeight="true" outlineLevel="0" collapsed="false">
      <c r="A1185" s="364" t="n">
        <v>658</v>
      </c>
      <c r="B1185" s="363" t="n">
        <v>46118</v>
      </c>
      <c r="C1185" s="364" t="s">
        <v>1129</v>
      </c>
      <c r="D1185" s="364" t="s">
        <v>1130</v>
      </c>
      <c r="E1185" s="364" t="s">
        <v>1214</v>
      </c>
      <c r="F1185" s="364" t="s">
        <v>1132</v>
      </c>
      <c r="G1185" s="365" t="n">
        <v>46118</v>
      </c>
      <c r="H1185" s="365" t="n">
        <v>46148</v>
      </c>
      <c r="I1185" s="364" t="n">
        <f aca="false">H1185-G1185</f>
        <v>30</v>
      </c>
      <c r="J1185" s="366" t="n">
        <f aca="false">TRUNC(I1185/30,0)</f>
        <v>1</v>
      </c>
      <c r="K1185" s="395" t="s">
        <v>95</v>
      </c>
      <c r="L1185" s="368" t="n">
        <v>3</v>
      </c>
      <c r="M1185" s="369"/>
      <c r="N1185" s="370"/>
      <c r="O1185" s="366" t="s">
        <v>303</v>
      </c>
      <c r="P1185" s="371" t="n">
        <v>0.0365227</v>
      </c>
      <c r="Q1185" s="371"/>
      <c r="R1185" s="372" t="s">
        <v>914</v>
      </c>
      <c r="S1185" s="373"/>
      <c r="T1185" s="372"/>
      <c r="U1185" s="373"/>
      <c r="V1185" s="373" t="n">
        <v>0.039538</v>
      </c>
      <c r="W1185" s="373" t="n">
        <v>0.00079</v>
      </c>
      <c r="X1185" s="373" t="n">
        <f aca="false">V1185-AD1185-$X$5-W1185</f>
        <v>0.00197199999999999</v>
      </c>
      <c r="Y1185" s="373" t="n">
        <v>0.030177</v>
      </c>
      <c r="Z1185" s="373" t="n">
        <v>0.00172</v>
      </c>
      <c r="AA1185" s="373" t="n">
        <v>0.002</v>
      </c>
      <c r="AB1185" s="374" t="n">
        <f aca="false">S1185-Z1185</f>
        <v>-0.00172</v>
      </c>
      <c r="AC1185" s="374" t="n">
        <f aca="false">U1185-Z1185-AA1185</f>
        <v>-0.00372</v>
      </c>
      <c r="AD1185" s="375" t="n">
        <v>0.035</v>
      </c>
      <c r="AE1185" s="373" t="n">
        <v>0.030177</v>
      </c>
      <c r="AF1185" s="412" t="n">
        <f aca="false">AD1185-AE1185</f>
        <v>0.004823</v>
      </c>
      <c r="AG1185" s="377" t="n">
        <v>0.035</v>
      </c>
      <c r="AH1185" s="378" t="n">
        <v>46115</v>
      </c>
      <c r="AI1185" s="379" t="n">
        <v>3</v>
      </c>
      <c r="AJ1185" s="380" t="str">
        <f aca="false">IF(AG1185="","N","Y")</f>
        <v>Y</v>
      </c>
      <c r="AK1185" s="396" t="s">
        <v>1271</v>
      </c>
      <c r="AL1185" s="397"/>
    </row>
    <row r="1186" s="382" customFormat="true" ht="20.25" hidden="false" customHeight="true" outlineLevel="0" collapsed="false">
      <c r="A1186" s="364" t="n">
        <v>659</v>
      </c>
      <c r="B1186" s="363" t="n">
        <v>46122</v>
      </c>
      <c r="C1186" s="364" t="s">
        <v>862</v>
      </c>
      <c r="D1186" s="364" t="s">
        <v>932</v>
      </c>
      <c r="E1186" s="364" t="s">
        <v>970</v>
      </c>
      <c r="F1186" s="364" t="s">
        <v>906</v>
      </c>
      <c r="G1186" s="365" t="n">
        <v>46122</v>
      </c>
      <c r="H1186" s="365" t="n">
        <v>46153</v>
      </c>
      <c r="I1186" s="364" t="n">
        <f aca="false">H1186-G1186</f>
        <v>31</v>
      </c>
      <c r="J1186" s="366" t="n">
        <f aca="false">TRUNC(I1186/30,0)</f>
        <v>1</v>
      </c>
      <c r="K1186" s="367" t="s">
        <v>99</v>
      </c>
      <c r="L1186" s="368" t="n">
        <v>2</v>
      </c>
      <c r="M1186" s="369"/>
      <c r="N1186" s="370"/>
      <c r="O1186" s="366" t="s">
        <v>303</v>
      </c>
      <c r="P1186" s="371" t="n">
        <v>0.0365178</v>
      </c>
      <c r="Q1186" s="371"/>
      <c r="R1186" s="372" t="s">
        <v>914</v>
      </c>
      <c r="S1186" s="373"/>
      <c r="T1186" s="372"/>
      <c r="U1186" s="373"/>
      <c r="V1186" s="373" t="n">
        <v>0.040434</v>
      </c>
      <c r="W1186" s="373" t="n">
        <v>0.00283</v>
      </c>
      <c r="X1186" s="373" t="n">
        <v>0.003827</v>
      </c>
      <c r="Y1186" s="373" t="n">
        <v>0.022705</v>
      </c>
      <c r="Z1186" s="373" t="n">
        <v>0.00172</v>
      </c>
      <c r="AA1186" s="373" t="n">
        <v>0.002</v>
      </c>
      <c r="AB1186" s="374" t="n">
        <f aca="false">S1186-Z1186</f>
        <v>-0.00172</v>
      </c>
      <c r="AC1186" s="374" t="n">
        <f aca="false">U1186-Z1186-AA1186</f>
        <v>-0.00372</v>
      </c>
      <c r="AD1186" s="375" t="n">
        <v>0.032</v>
      </c>
      <c r="AE1186" s="376" t="n">
        <v>0.022705</v>
      </c>
      <c r="AF1186" s="376" t="n">
        <f aca="false">AD1186-AE1186</f>
        <v>0.009295</v>
      </c>
      <c r="AG1186" s="377" t="n">
        <v>0.032</v>
      </c>
      <c r="AH1186" s="378" t="n">
        <v>46122</v>
      </c>
      <c r="AI1186" s="379" t="n">
        <v>1</v>
      </c>
      <c r="AJ1186" s="380" t="str">
        <f aca="false">IF(AG1186="","N","Y")</f>
        <v>Y</v>
      </c>
      <c r="AK1186" s="396" t="s">
        <v>1262</v>
      </c>
      <c r="AL1186" s="397"/>
    </row>
    <row r="1187" s="382" customFormat="true" ht="20.25" hidden="false" customHeight="true" outlineLevel="0" collapsed="false">
      <c r="A1187" s="364" t="n">
        <v>660</v>
      </c>
      <c r="B1187" s="363" t="n">
        <v>46125</v>
      </c>
      <c r="C1187" s="364" t="s">
        <v>1066</v>
      </c>
      <c r="D1187" s="402" t="s">
        <v>1280</v>
      </c>
      <c r="E1187" s="402" t="s">
        <v>970</v>
      </c>
      <c r="F1187" s="402" t="s">
        <v>864</v>
      </c>
      <c r="G1187" s="365" t="n">
        <v>46125</v>
      </c>
      <c r="H1187" s="365" t="n">
        <v>46155</v>
      </c>
      <c r="I1187" s="364" t="n">
        <f aca="false">H1187-G1187</f>
        <v>30</v>
      </c>
      <c r="J1187" s="366" t="n">
        <f aca="false">TRUNC(I1187/30,0)</f>
        <v>1</v>
      </c>
      <c r="K1187" s="367" t="s">
        <v>99</v>
      </c>
      <c r="L1187" s="368" t="n">
        <v>6.01</v>
      </c>
      <c r="M1187" s="408"/>
      <c r="N1187" s="409"/>
      <c r="O1187" s="405" t="s">
        <v>303</v>
      </c>
      <c r="P1187" s="410" t="n">
        <v>0.0364863</v>
      </c>
      <c r="Q1187" s="371"/>
      <c r="R1187" s="372" t="s">
        <v>914</v>
      </c>
      <c r="S1187" s="373"/>
      <c r="T1187" s="372"/>
      <c r="U1187" s="373"/>
      <c r="V1187" s="412" t="n">
        <v>0.040352</v>
      </c>
      <c r="W1187" s="412" t="n">
        <v>0.002824</v>
      </c>
      <c r="X1187" s="412" t="n">
        <f aca="false">V1187-AD1187-$X$5-W1187</f>
        <v>0.003752</v>
      </c>
      <c r="Y1187" s="412" t="n">
        <v>0.022552</v>
      </c>
      <c r="Z1187" s="412" t="n">
        <v>0.00172</v>
      </c>
      <c r="AA1187" s="412" t="n">
        <v>0.002</v>
      </c>
      <c r="AB1187" s="374" t="n">
        <f aca="false">S1187-Z1187</f>
        <v>-0.00172</v>
      </c>
      <c r="AC1187" s="374" t="n">
        <f aca="false">U1187-Z1187-AA1187</f>
        <v>-0.00372</v>
      </c>
      <c r="AD1187" s="375" t="n">
        <v>0.032</v>
      </c>
      <c r="AE1187" s="412" t="n">
        <f aca="false">Y1187</f>
        <v>0.022552</v>
      </c>
      <c r="AF1187" s="412" t="n">
        <f aca="false">AD1187-AE1187</f>
        <v>0.009448</v>
      </c>
      <c r="AG1187" s="377" t="n">
        <f aca="false">IF(AF1187="","",AE1187+AF1187)</f>
        <v>0.032</v>
      </c>
      <c r="AH1187" s="378" t="n">
        <v>46125</v>
      </c>
      <c r="AI1187" s="379" t="n">
        <v>1</v>
      </c>
      <c r="AJ1187" s="380" t="str">
        <f aca="false">IF(AG1187="","N","Y")</f>
        <v>Y</v>
      </c>
      <c r="AK1187" s="396" t="s">
        <v>1262</v>
      </c>
      <c r="AL1187" s="397"/>
    </row>
    <row r="1188" s="382" customFormat="true" ht="20.25" hidden="false" customHeight="true" outlineLevel="0" collapsed="false">
      <c r="A1188" s="364" t="n">
        <v>661</v>
      </c>
      <c r="B1188" s="363" t="n">
        <v>46125</v>
      </c>
      <c r="C1188" s="364" t="s">
        <v>1066</v>
      </c>
      <c r="D1188" s="402" t="s">
        <v>1280</v>
      </c>
      <c r="E1188" s="402" t="s">
        <v>970</v>
      </c>
      <c r="F1188" s="402" t="s">
        <v>1192</v>
      </c>
      <c r="G1188" s="365" t="n">
        <v>46125</v>
      </c>
      <c r="H1188" s="365" t="n">
        <v>46155</v>
      </c>
      <c r="I1188" s="364" t="n">
        <f aca="false">H1188-G1188</f>
        <v>30</v>
      </c>
      <c r="J1188" s="366" t="n">
        <f aca="false">TRUNC(I1188/30,0)</f>
        <v>1</v>
      </c>
      <c r="K1188" s="367" t="s">
        <v>99</v>
      </c>
      <c r="L1188" s="368" t="n">
        <v>1.43</v>
      </c>
      <c r="M1188" s="408"/>
      <c r="N1188" s="409"/>
      <c r="O1188" s="405" t="s">
        <v>303</v>
      </c>
      <c r="P1188" s="410" t="n">
        <v>0.0364863</v>
      </c>
      <c r="Q1188" s="371"/>
      <c r="R1188" s="372" t="s">
        <v>914</v>
      </c>
      <c r="S1188" s="373"/>
      <c r="T1188" s="372"/>
      <c r="U1188" s="373"/>
      <c r="V1188" s="412" t="n">
        <v>0.040352</v>
      </c>
      <c r="W1188" s="412" t="n">
        <v>0.002824</v>
      </c>
      <c r="X1188" s="412" t="n">
        <f aca="false">V1188-AD1188-$X$5-W1188</f>
        <v>0.003752</v>
      </c>
      <c r="Y1188" s="412" t="n">
        <v>0.022552</v>
      </c>
      <c r="Z1188" s="412" t="n">
        <v>0.00172</v>
      </c>
      <c r="AA1188" s="412" t="n">
        <v>0.002</v>
      </c>
      <c r="AB1188" s="374" t="n">
        <f aca="false">S1188-Z1188</f>
        <v>-0.00172</v>
      </c>
      <c r="AC1188" s="374" t="n">
        <f aca="false">U1188-Z1188-AA1188</f>
        <v>-0.00372</v>
      </c>
      <c r="AD1188" s="375" t="n">
        <v>0.032</v>
      </c>
      <c r="AE1188" s="412" t="n">
        <f aca="false">Y1188</f>
        <v>0.022552</v>
      </c>
      <c r="AF1188" s="412" t="n">
        <f aca="false">AD1188-AE1188</f>
        <v>0.009448</v>
      </c>
      <c r="AG1188" s="377" t="n">
        <f aca="false">IF(AF1188="","",AE1188+AF1188)</f>
        <v>0.032</v>
      </c>
      <c r="AH1188" s="378" t="n">
        <v>46125</v>
      </c>
      <c r="AI1188" s="379" t="n">
        <v>2</v>
      </c>
      <c r="AJ1188" s="380" t="str">
        <f aca="false">IF(AG1188="","N","Y")</f>
        <v>Y</v>
      </c>
      <c r="AK1188" s="396" t="s">
        <v>1262</v>
      </c>
      <c r="AL1188" s="397"/>
    </row>
    <row r="1189" s="526" customFormat="true" ht="20.25" hidden="false" customHeight="true" outlineLevel="0" collapsed="false">
      <c r="A1189" s="510" t="n">
        <v>662</v>
      </c>
      <c r="B1189" s="511" t="n">
        <v>46128</v>
      </c>
      <c r="C1189" s="512" t="s">
        <v>1304</v>
      </c>
      <c r="D1189" s="512" t="s">
        <v>1305</v>
      </c>
      <c r="E1189" s="512" t="s">
        <v>1306</v>
      </c>
      <c r="F1189" s="512" t="s">
        <v>1307</v>
      </c>
      <c r="G1189" s="513" t="n">
        <v>46128</v>
      </c>
      <c r="H1189" s="513" t="n">
        <v>46244</v>
      </c>
      <c r="I1189" s="510" t="n">
        <f aca="false">H1189-G1189</f>
        <v>116</v>
      </c>
      <c r="J1189" s="514" t="n">
        <f aca="false">TRUNC(I1189/30,0)</f>
        <v>3</v>
      </c>
      <c r="K1189" s="515" t="s">
        <v>95</v>
      </c>
      <c r="L1189" s="516" t="n">
        <v>5</v>
      </c>
      <c r="M1189" s="517"/>
      <c r="N1189" s="518"/>
      <c r="O1189" s="514" t="s">
        <v>265</v>
      </c>
      <c r="P1189" s="519" t="n">
        <v>0.0368038</v>
      </c>
      <c r="Q1189" s="519"/>
      <c r="R1189" s="520" t="s">
        <v>914</v>
      </c>
      <c r="S1189" s="259"/>
      <c r="T1189" s="520"/>
      <c r="U1189" s="259"/>
      <c r="V1189" s="259" t="n">
        <v>0.041474</v>
      </c>
      <c r="W1189" s="259" t="n">
        <v>0.000829</v>
      </c>
      <c r="X1189" s="259" t="n">
        <f aca="false">V1189-AD1189-$X$5-W1189</f>
        <v>0.002869</v>
      </c>
      <c r="Y1189" s="259" t="n">
        <v>0.031067</v>
      </c>
      <c r="Z1189" s="259" t="n">
        <v>0.00172</v>
      </c>
      <c r="AA1189" s="259" t="n">
        <v>0.002</v>
      </c>
      <c r="AB1189" s="259" t="n">
        <f aca="false">S1189-Z1189</f>
        <v>-0.00172</v>
      </c>
      <c r="AC1189" s="259" t="n">
        <f aca="false">U1189-Z1189-AA1189</f>
        <v>-0.00372</v>
      </c>
      <c r="AD1189" s="521" t="n">
        <v>0.036</v>
      </c>
      <c r="AE1189" s="259" t="n">
        <f aca="false">Y1189</f>
        <v>0.031067</v>
      </c>
      <c r="AF1189" s="259" t="n">
        <f aca="false">AD1189-AE1189</f>
        <v>0.004933</v>
      </c>
      <c r="AG1189" s="259" t="n">
        <f aca="false">IF(AF1189="","",AE1189+AF1189)</f>
        <v>0.036</v>
      </c>
      <c r="AH1189" s="522" t="n">
        <v>46128</v>
      </c>
      <c r="AI1189" s="523" t="n">
        <v>1</v>
      </c>
      <c r="AJ1189" s="510" t="str">
        <f aca="false">IF(AG1189="","N","Y")</f>
        <v>Y</v>
      </c>
      <c r="AK1189" s="524" t="s">
        <v>1308</v>
      </c>
      <c r="AL1189" s="525"/>
    </row>
    <row r="1190" s="382" customFormat="true" ht="20.25" hidden="false" customHeight="true" outlineLevel="0" collapsed="false">
      <c r="A1190" s="364" t="n">
        <v>663</v>
      </c>
      <c r="B1190" s="363" t="n">
        <v>46129</v>
      </c>
      <c r="C1190" s="364" t="s">
        <v>1172</v>
      </c>
      <c r="D1190" s="364" t="s">
        <v>1173</v>
      </c>
      <c r="E1190" s="364" t="s">
        <v>1218</v>
      </c>
      <c r="F1190" s="364" t="s">
        <v>1175</v>
      </c>
      <c r="G1190" s="365" t="n">
        <v>46129</v>
      </c>
      <c r="H1190" s="365" t="n">
        <v>46157</v>
      </c>
      <c r="I1190" s="364" t="n">
        <f aca="false">H1190-G1190</f>
        <v>28</v>
      </c>
      <c r="J1190" s="366" t="n">
        <f aca="false">TRUNC(I1190/30,0)</f>
        <v>0</v>
      </c>
      <c r="K1190" s="367" t="s">
        <v>99</v>
      </c>
      <c r="L1190" s="368" t="n">
        <v>6.02</v>
      </c>
      <c r="M1190" s="369"/>
      <c r="N1190" s="370"/>
      <c r="O1190" s="366" t="s">
        <v>303</v>
      </c>
      <c r="P1190" s="371" t="n">
        <v>0.0366101</v>
      </c>
      <c r="Q1190" s="371"/>
      <c r="R1190" s="372" t="s">
        <v>914</v>
      </c>
      <c r="S1190" s="373"/>
      <c r="T1190" s="372"/>
      <c r="U1190" s="373"/>
      <c r="V1190" s="373" t="n">
        <v>0.040491</v>
      </c>
      <c r="W1190" s="373" t="n">
        <v>0.002834</v>
      </c>
      <c r="X1190" s="373" t="n">
        <v>0.003881</v>
      </c>
      <c r="Y1190" s="373" t="n">
        <v>0.023682</v>
      </c>
      <c r="Z1190" s="373" t="n">
        <v>0.00172</v>
      </c>
      <c r="AA1190" s="373" t="n">
        <v>0.002</v>
      </c>
      <c r="AB1190" s="374" t="n">
        <f aca="false">S1190-Z1190</f>
        <v>-0.00172</v>
      </c>
      <c r="AC1190" s="374" t="n">
        <f aca="false">U1190-Z1190-AA1190</f>
        <v>-0.00372</v>
      </c>
      <c r="AD1190" s="375" t="n">
        <v>0.032</v>
      </c>
      <c r="AE1190" s="412" t="n">
        <v>0.023682</v>
      </c>
      <c r="AF1190" s="376" t="n">
        <f aca="false">AD1190-AE1190</f>
        <v>0.008318</v>
      </c>
      <c r="AG1190" s="377" t="n">
        <f aca="false">IF(AF1190="","",AE1190+AF1190)</f>
        <v>0.032</v>
      </c>
      <c r="AH1190" s="378" t="n">
        <v>46129</v>
      </c>
      <c r="AI1190" s="379" t="n">
        <v>1</v>
      </c>
      <c r="AJ1190" s="380" t="str">
        <f aca="false">IF(AG1190="","N","Y")</f>
        <v>Y</v>
      </c>
      <c r="AK1190" s="396" t="s">
        <v>1262</v>
      </c>
      <c r="AL1190" s="397"/>
    </row>
    <row r="1191" s="382" customFormat="true" ht="19.5" hidden="false" customHeight="true" outlineLevel="0" collapsed="false">
      <c r="A1191" s="364" t="n">
        <v>664</v>
      </c>
      <c r="B1191" s="363" t="n">
        <v>46129</v>
      </c>
      <c r="C1191" s="364" t="s">
        <v>209</v>
      </c>
      <c r="D1191" s="364" t="s">
        <v>1309</v>
      </c>
      <c r="E1191" s="364" t="s">
        <v>1310</v>
      </c>
      <c r="F1191" s="364" t="s">
        <v>1311</v>
      </c>
      <c r="G1191" s="365" t="n">
        <v>46129</v>
      </c>
      <c r="H1191" s="365" t="n">
        <v>46223</v>
      </c>
      <c r="I1191" s="364" t="n">
        <f aca="false">H1191-G1191</f>
        <v>94</v>
      </c>
      <c r="J1191" s="366" t="n">
        <f aca="false">TRUNC(I1191/30,0)</f>
        <v>3</v>
      </c>
      <c r="K1191" s="395" t="s">
        <v>95</v>
      </c>
      <c r="L1191" s="368" t="n">
        <v>3</v>
      </c>
      <c r="M1191" s="369"/>
      <c r="N1191" s="370"/>
      <c r="O1191" s="366" t="s">
        <v>265</v>
      </c>
      <c r="P1191" s="371" t="n">
        <v>0.0367253</v>
      </c>
      <c r="Q1191" s="371"/>
      <c r="R1191" s="372" t="s">
        <v>914</v>
      </c>
      <c r="S1191" s="373"/>
      <c r="T1191" s="372"/>
      <c r="U1191" s="373"/>
      <c r="V1191" s="373" t="n">
        <v>0.041322</v>
      </c>
      <c r="W1191" s="373" t="n">
        <v>0.000826</v>
      </c>
      <c r="X1191" s="412" t="n">
        <f aca="false">V1191-AD1191-$X$5-W1191</f>
        <v>0.00272</v>
      </c>
      <c r="Y1191" s="373" t="n">
        <v>0.031017</v>
      </c>
      <c r="Z1191" s="373" t="n">
        <v>0.00172</v>
      </c>
      <c r="AA1191" s="373" t="n">
        <v>0.002</v>
      </c>
      <c r="AB1191" s="374" t="n">
        <f aca="false">S1191-Z1191</f>
        <v>-0.00172</v>
      </c>
      <c r="AC1191" s="374" t="n">
        <f aca="false">U1191-Z1191-AA1191</f>
        <v>-0.00372</v>
      </c>
      <c r="AD1191" s="375" t="n">
        <v>0.036</v>
      </c>
      <c r="AE1191" s="412" t="n">
        <v>0.031017</v>
      </c>
      <c r="AF1191" s="376" t="n">
        <f aca="false">AD1191-AE1191</f>
        <v>0.004983</v>
      </c>
      <c r="AG1191" s="377" t="n">
        <f aca="false">IF(AF1191="","",AE1191+AF1191)</f>
        <v>0.036</v>
      </c>
      <c r="AH1191" s="378" t="n">
        <v>46129</v>
      </c>
      <c r="AI1191" s="379" t="n">
        <v>1</v>
      </c>
      <c r="AJ1191" s="380" t="str">
        <f aca="false">IF(AG1191="","N","Y")</f>
        <v>Y</v>
      </c>
      <c r="AK1191" s="396" t="s">
        <v>1260</v>
      </c>
      <c r="AL1191" s="397"/>
    </row>
    <row r="1192" s="382" customFormat="true" ht="20.25" hidden="false" customHeight="true" outlineLevel="0" collapsed="false">
      <c r="A1192" s="364" t="n">
        <v>665</v>
      </c>
      <c r="B1192" s="363" t="n">
        <v>46132</v>
      </c>
      <c r="C1192" s="364" t="s">
        <v>187</v>
      </c>
      <c r="D1192" s="364" t="s">
        <v>1062</v>
      </c>
      <c r="E1192" s="364" t="s">
        <v>1165</v>
      </c>
      <c r="F1192" s="364" t="s">
        <v>877</v>
      </c>
      <c r="G1192" s="365" t="n">
        <v>46132</v>
      </c>
      <c r="H1192" s="365" t="n">
        <v>46162</v>
      </c>
      <c r="I1192" s="364" t="n">
        <f aca="false">H1192-G1192</f>
        <v>30</v>
      </c>
      <c r="J1192" s="366" t="n">
        <f aca="false">TRUNC(I1192/30,0)</f>
        <v>1</v>
      </c>
      <c r="K1192" s="367" t="s">
        <v>99</v>
      </c>
      <c r="L1192" s="368" t="n">
        <v>8.37</v>
      </c>
      <c r="M1192" s="408"/>
      <c r="N1192" s="409"/>
      <c r="O1192" s="366" t="s">
        <v>303</v>
      </c>
      <c r="P1192" s="371" t="n">
        <v>0.0365719</v>
      </c>
      <c r="Q1192" s="371"/>
      <c r="R1192" s="372" t="s">
        <v>914</v>
      </c>
      <c r="S1192" s="373"/>
      <c r="T1192" s="372"/>
      <c r="U1192" s="373"/>
      <c r="V1192" s="373" t="n">
        <v>0.040431</v>
      </c>
      <c r="W1192" s="373" t="n">
        <v>0.002821</v>
      </c>
      <c r="X1192" s="412" t="n">
        <v>0.003736</v>
      </c>
      <c r="Y1192" s="373" t="n">
        <v>0.023306</v>
      </c>
      <c r="Z1192" s="412" t="n">
        <v>0.00172</v>
      </c>
      <c r="AA1192" s="412" t="n">
        <v>0.002</v>
      </c>
      <c r="AB1192" s="374" t="n">
        <f aca="false">S1192-Z1192</f>
        <v>-0.00172</v>
      </c>
      <c r="AC1192" s="374" t="n">
        <f aca="false">U1192-Z1192-AA1192</f>
        <v>-0.00372</v>
      </c>
      <c r="AD1192" s="375" t="n">
        <v>0.032</v>
      </c>
      <c r="AE1192" s="412" t="n">
        <v>0.023306</v>
      </c>
      <c r="AF1192" s="376" t="n">
        <f aca="false">AD1192-AE1192</f>
        <v>0.008694</v>
      </c>
      <c r="AG1192" s="377" t="n">
        <f aca="false">IF(AF1192="","",AE1192+AF1192)</f>
        <v>0.032</v>
      </c>
      <c r="AH1192" s="378" t="n">
        <v>46132</v>
      </c>
      <c r="AI1192" s="379" t="n">
        <v>1</v>
      </c>
      <c r="AJ1192" s="380" t="str">
        <f aca="false">IF(AG1192="","N","Y")</f>
        <v>Y</v>
      </c>
      <c r="AK1192" s="396" t="s">
        <v>1258</v>
      </c>
      <c r="AL1192" s="397"/>
    </row>
    <row r="1193" s="382" customFormat="true" ht="19.5" hidden="false" customHeight="true" outlineLevel="0" collapsed="false">
      <c r="A1193" s="364" t="n">
        <v>666</v>
      </c>
      <c r="B1193" s="363" t="n">
        <v>46132</v>
      </c>
      <c r="C1193" s="364" t="s">
        <v>209</v>
      </c>
      <c r="D1193" s="364" t="s">
        <v>1054</v>
      </c>
      <c r="E1193" s="364" t="s">
        <v>1312</v>
      </c>
      <c r="F1193" s="364" t="s">
        <v>1313</v>
      </c>
      <c r="G1193" s="365" t="n">
        <v>46132</v>
      </c>
      <c r="H1193" s="365" t="n">
        <v>46162</v>
      </c>
      <c r="I1193" s="364" t="n">
        <f aca="false">H1193-G1193</f>
        <v>30</v>
      </c>
      <c r="J1193" s="366" t="n">
        <f aca="false">TRUNC(I1193/30,0)</f>
        <v>1</v>
      </c>
      <c r="K1193" s="367" t="s">
        <v>99</v>
      </c>
      <c r="L1193" s="368" t="n">
        <v>8.55</v>
      </c>
      <c r="M1193" s="369"/>
      <c r="N1193" s="370"/>
      <c r="O1193" s="366" t="s">
        <v>303</v>
      </c>
      <c r="P1193" s="371" t="n">
        <v>0.0365719</v>
      </c>
      <c r="Q1193" s="371"/>
      <c r="R1193" s="372" t="s">
        <v>914</v>
      </c>
      <c r="S1193" s="373"/>
      <c r="T1193" s="372"/>
      <c r="U1193" s="373"/>
      <c r="V1193" s="373" t="n">
        <v>0.040431</v>
      </c>
      <c r="W1193" s="373" t="n">
        <v>0.00283</v>
      </c>
      <c r="X1193" s="412" t="n">
        <v>0.003736</v>
      </c>
      <c r="Y1193" s="373" t="n">
        <v>0.023306</v>
      </c>
      <c r="Z1193" s="373" t="n">
        <v>0.00172</v>
      </c>
      <c r="AA1193" s="373" t="n">
        <v>0.002</v>
      </c>
      <c r="AB1193" s="374" t="n">
        <f aca="false">S1193-Z1193</f>
        <v>-0.00172</v>
      </c>
      <c r="AC1193" s="374" t="n">
        <f aca="false">U1193-Z1193-AA1193</f>
        <v>-0.00372</v>
      </c>
      <c r="AD1193" s="375" t="n">
        <v>0.032</v>
      </c>
      <c r="AE1193" s="412" t="n">
        <v>0.023306</v>
      </c>
      <c r="AF1193" s="376" t="n">
        <f aca="false">AD1193-AE1193</f>
        <v>0.008694</v>
      </c>
      <c r="AG1193" s="377" t="n">
        <f aca="false">IF(AF1193="","",AE1193+AF1193)</f>
        <v>0.032</v>
      </c>
      <c r="AH1193" s="378" t="n">
        <v>46132</v>
      </c>
      <c r="AI1193" s="379" t="n">
        <v>2</v>
      </c>
      <c r="AJ1193" s="380" t="str">
        <f aca="false">IF(AG1193="","N","Y")</f>
        <v>Y</v>
      </c>
      <c r="AK1193" s="396" t="s">
        <v>1258</v>
      </c>
      <c r="AL1193" s="397"/>
    </row>
    <row r="1194" s="382" customFormat="true" ht="20.25" hidden="false" customHeight="true" outlineLevel="0" collapsed="false">
      <c r="A1194" s="364" t="n">
        <v>667</v>
      </c>
      <c r="B1194" s="363" t="n">
        <v>46132</v>
      </c>
      <c r="C1194" s="364" t="s">
        <v>1219</v>
      </c>
      <c r="D1194" s="364" t="s">
        <v>1005</v>
      </c>
      <c r="E1194" s="364" t="s">
        <v>445</v>
      </c>
      <c r="F1194" s="364" t="s">
        <v>1056</v>
      </c>
      <c r="G1194" s="365" t="n">
        <v>46132</v>
      </c>
      <c r="H1194" s="365" t="n">
        <v>46162</v>
      </c>
      <c r="I1194" s="364" t="n">
        <f aca="false">H1194-G1194</f>
        <v>30</v>
      </c>
      <c r="J1194" s="366" t="n">
        <f aca="false">TRUNC(I1194/30,0)</f>
        <v>1</v>
      </c>
      <c r="K1194" s="367" t="s">
        <v>99</v>
      </c>
      <c r="L1194" s="368" t="n">
        <v>18.01</v>
      </c>
      <c r="M1194" s="369"/>
      <c r="N1194" s="370"/>
      <c r="O1194" s="366" t="s">
        <v>303</v>
      </c>
      <c r="P1194" s="371" t="n">
        <v>0.0365719</v>
      </c>
      <c r="Q1194" s="371"/>
      <c r="R1194" s="372" t="s">
        <v>914</v>
      </c>
      <c r="S1194" s="373"/>
      <c r="T1194" s="372"/>
      <c r="U1194" s="373"/>
      <c r="V1194" s="373" t="n">
        <v>0.040431</v>
      </c>
      <c r="W1194" s="373" t="n">
        <v>0.00283</v>
      </c>
      <c r="X1194" s="373" t="n">
        <v>0.003736</v>
      </c>
      <c r="Y1194" s="373" t="n">
        <v>0.023306</v>
      </c>
      <c r="Z1194" s="373" t="n">
        <v>0.00172</v>
      </c>
      <c r="AA1194" s="373" t="n">
        <v>0.002</v>
      </c>
      <c r="AB1194" s="374" t="n">
        <f aca="false">S1194-Z1194</f>
        <v>-0.00172</v>
      </c>
      <c r="AC1194" s="374" t="n">
        <f aca="false">U1194-Z1194-AA1194</f>
        <v>-0.00372</v>
      </c>
      <c r="AD1194" s="375" t="n">
        <v>0.032</v>
      </c>
      <c r="AE1194" s="412" t="n">
        <f aca="false">Y1194</f>
        <v>0.023306</v>
      </c>
      <c r="AF1194" s="376" t="n">
        <f aca="false">AD1194-AE1194</f>
        <v>0.008694</v>
      </c>
      <c r="AG1194" s="377" t="n">
        <v>0.032</v>
      </c>
      <c r="AH1194" s="378" t="n">
        <v>46132</v>
      </c>
      <c r="AI1194" s="379" t="n">
        <v>3</v>
      </c>
      <c r="AJ1194" s="380" t="str">
        <f aca="false">IF(AG1194="","N","Y")</f>
        <v>Y</v>
      </c>
      <c r="AK1194" s="396" t="s">
        <v>1262</v>
      </c>
      <c r="AL1194" s="397"/>
    </row>
    <row r="1195" s="382" customFormat="true" ht="19.5" hidden="false" customHeight="true" outlineLevel="0" collapsed="false">
      <c r="A1195" s="364" t="n">
        <v>668</v>
      </c>
      <c r="B1195" s="363" t="n">
        <v>46132</v>
      </c>
      <c r="C1195" s="364" t="s">
        <v>644</v>
      </c>
      <c r="D1195" s="364" t="s">
        <v>1070</v>
      </c>
      <c r="E1195" s="364" t="s">
        <v>1226</v>
      </c>
      <c r="F1195" s="364" t="s">
        <v>1072</v>
      </c>
      <c r="G1195" s="365" t="n">
        <v>46132</v>
      </c>
      <c r="H1195" s="365" t="n">
        <v>46162</v>
      </c>
      <c r="I1195" s="364" t="n">
        <f aca="false">H1195-G1195</f>
        <v>30</v>
      </c>
      <c r="J1195" s="366" t="n">
        <f aca="false">TRUNC(I1195/30,0)</f>
        <v>1</v>
      </c>
      <c r="K1195" s="395" t="s">
        <v>95</v>
      </c>
      <c r="L1195" s="368" t="n">
        <v>1.5</v>
      </c>
      <c r="M1195" s="408"/>
      <c r="N1195" s="409"/>
      <c r="O1195" s="405" t="s">
        <v>303</v>
      </c>
      <c r="P1195" s="371" t="n">
        <v>0.0365719</v>
      </c>
      <c r="Q1195" s="371"/>
      <c r="R1195" s="372" t="s">
        <v>914</v>
      </c>
      <c r="S1195" s="373"/>
      <c r="T1195" s="372"/>
      <c r="U1195" s="373"/>
      <c r="V1195" s="412" t="n">
        <v>0.039589</v>
      </c>
      <c r="W1195" s="373" t="n">
        <v>0.000791</v>
      </c>
      <c r="X1195" s="412" t="n">
        <f aca="false">V1195-AD1195-$X$5-W1195</f>
        <v>0.002522</v>
      </c>
      <c r="Y1195" s="373" t="n">
        <v>0.03014</v>
      </c>
      <c r="Z1195" s="412" t="n">
        <v>0.00172</v>
      </c>
      <c r="AA1195" s="412" t="n">
        <v>0.002</v>
      </c>
      <c r="AB1195" s="374" t="n">
        <f aca="false">S1195-Z1195</f>
        <v>-0.00172</v>
      </c>
      <c r="AC1195" s="374" t="n">
        <f aca="false">U1195-Z1195-AA1195</f>
        <v>-0.00372</v>
      </c>
      <c r="AD1195" s="375" t="n">
        <v>0.0345</v>
      </c>
      <c r="AE1195" s="412" t="n">
        <v>0.03014</v>
      </c>
      <c r="AF1195" s="412" t="n">
        <f aca="false">AD1195-AE1195</f>
        <v>0.00436</v>
      </c>
      <c r="AG1195" s="377" t="n">
        <f aca="false">IF(AF1195="","",AE1195+AF1195)</f>
        <v>0.0345</v>
      </c>
      <c r="AH1195" s="378" t="n">
        <v>46132</v>
      </c>
      <c r="AI1195" s="379" t="n">
        <v>4</v>
      </c>
      <c r="AJ1195" s="380" t="str">
        <f aca="false">IF(AG1195="","N","Y")</f>
        <v>Y</v>
      </c>
      <c r="AK1195" s="396" t="s">
        <v>1262</v>
      </c>
      <c r="AL1195" s="397"/>
    </row>
    <row r="1196" s="382" customFormat="true" ht="19.5" hidden="false" customHeight="true" outlineLevel="0" collapsed="false">
      <c r="A1196" s="364" t="n">
        <v>669</v>
      </c>
      <c r="B1196" s="363" t="n">
        <v>46132</v>
      </c>
      <c r="C1196" s="364" t="s">
        <v>1314</v>
      </c>
      <c r="D1196" s="364" t="s">
        <v>1315</v>
      </c>
      <c r="E1196" s="364" t="s">
        <v>1316</v>
      </c>
      <c r="F1196" s="364" t="s">
        <v>1317</v>
      </c>
      <c r="G1196" s="365" t="n">
        <v>46132</v>
      </c>
      <c r="H1196" s="365" t="n">
        <v>46315</v>
      </c>
      <c r="I1196" s="364" t="n">
        <f aca="false">H1196-G1196</f>
        <v>183</v>
      </c>
      <c r="J1196" s="366" t="n">
        <f aca="false">TRUNC(I1196/30,0)</f>
        <v>6</v>
      </c>
      <c r="K1196" s="395" t="s">
        <v>95</v>
      </c>
      <c r="L1196" s="368" t="n">
        <v>1</v>
      </c>
      <c r="M1196" s="408"/>
      <c r="N1196" s="409"/>
      <c r="O1196" s="405" t="s">
        <v>641</v>
      </c>
      <c r="P1196" s="371" t="n">
        <v>0.0368196</v>
      </c>
      <c r="Q1196" s="371"/>
      <c r="R1196" s="372" t="s">
        <v>914</v>
      </c>
      <c r="S1196" s="373"/>
      <c r="T1196" s="372"/>
      <c r="U1196" s="373"/>
      <c r="V1196" s="412" t="n">
        <v>0.04188</v>
      </c>
      <c r="W1196" s="373" t="n">
        <v>0.000837</v>
      </c>
      <c r="X1196" s="412" t="n">
        <f aca="false">V1196-AD1196-$X$5-W1196</f>
        <v>0.003267</v>
      </c>
      <c r="Y1196" s="373" t="n">
        <v>0.029683</v>
      </c>
      <c r="Z1196" s="412" t="n">
        <v>0.00172</v>
      </c>
      <c r="AA1196" s="412" t="n">
        <v>0.002</v>
      </c>
      <c r="AB1196" s="374" t="n">
        <f aca="false">S1196-Z1196</f>
        <v>-0.00172</v>
      </c>
      <c r="AC1196" s="374" t="n">
        <f aca="false">U1196-Z1196-AA1196</f>
        <v>-0.00372</v>
      </c>
      <c r="AD1196" s="375" t="n">
        <v>0.036</v>
      </c>
      <c r="AE1196" s="412" t="n">
        <v>0.029683</v>
      </c>
      <c r="AF1196" s="412" t="n">
        <f aca="false">AD1196-AE1196</f>
        <v>0.006317</v>
      </c>
      <c r="AG1196" s="377" t="n">
        <f aca="false">IF(AF1196="","",AE1196+AF1196)</f>
        <v>0.036</v>
      </c>
      <c r="AH1196" s="378" t="n">
        <v>46132</v>
      </c>
      <c r="AI1196" s="379" t="n">
        <v>5</v>
      </c>
      <c r="AJ1196" s="380" t="str">
        <f aca="false">IF(AG1196="","N","Y")</f>
        <v>Y</v>
      </c>
      <c r="AK1196" s="396" t="s">
        <v>1318</v>
      </c>
      <c r="AL1196" s="397"/>
    </row>
    <row r="1197" s="382" customFormat="true" ht="19.5" hidden="false" customHeight="true" outlineLevel="0" collapsed="false">
      <c r="A1197" s="364" t="n">
        <v>670</v>
      </c>
      <c r="B1197" s="363" t="n">
        <v>46132</v>
      </c>
      <c r="C1197" s="364" t="s">
        <v>1081</v>
      </c>
      <c r="D1197" s="364" t="s">
        <v>1082</v>
      </c>
      <c r="E1197" s="364" t="s">
        <v>900</v>
      </c>
      <c r="F1197" s="364" t="s">
        <v>1083</v>
      </c>
      <c r="G1197" s="365" t="n">
        <v>46132</v>
      </c>
      <c r="H1197" s="365" t="n">
        <v>46162</v>
      </c>
      <c r="I1197" s="364" t="n">
        <f aca="false">H1197-G1197</f>
        <v>30</v>
      </c>
      <c r="J1197" s="366" t="n">
        <f aca="false">TRUNC(I1197/30,0)</f>
        <v>1</v>
      </c>
      <c r="K1197" s="367" t="s">
        <v>99</v>
      </c>
      <c r="L1197" s="368" t="n">
        <v>1.63</v>
      </c>
      <c r="M1197" s="369"/>
      <c r="N1197" s="370"/>
      <c r="O1197" s="366" t="s">
        <v>303</v>
      </c>
      <c r="P1197" s="371" t="n">
        <v>0.0365719</v>
      </c>
      <c r="Q1197" s="371"/>
      <c r="R1197" s="372" t="s">
        <v>914</v>
      </c>
      <c r="S1197" s="373"/>
      <c r="T1197" s="372"/>
      <c r="U1197" s="373"/>
      <c r="V1197" s="373" t="n">
        <v>0.040431</v>
      </c>
      <c r="W1197" s="373" t="n">
        <v>0.002838</v>
      </c>
      <c r="X1197" s="373" t="n">
        <v>0.003736</v>
      </c>
      <c r="Y1197" s="373" t="n">
        <v>0.023306</v>
      </c>
      <c r="Z1197" s="373" t="n">
        <v>0.00172</v>
      </c>
      <c r="AA1197" s="373" t="n">
        <v>0.002</v>
      </c>
      <c r="AB1197" s="374" t="n">
        <f aca="false">S1197-Z1197</f>
        <v>-0.00172</v>
      </c>
      <c r="AC1197" s="374" t="n">
        <f aca="false">U1197-Z1197-AA1197</f>
        <v>-0.00372</v>
      </c>
      <c r="AD1197" s="375" t="n">
        <v>0.032</v>
      </c>
      <c r="AE1197" s="376" t="n">
        <v>0.023306</v>
      </c>
      <c r="AF1197" s="376" t="n">
        <f aca="false">AD1197-AE1197</f>
        <v>0.008694</v>
      </c>
      <c r="AG1197" s="377" t="n">
        <f aca="false">IF(AF1197="","",AE1197+AF1197)</f>
        <v>0.032</v>
      </c>
      <c r="AH1197" s="378" t="n">
        <v>46132</v>
      </c>
      <c r="AI1197" s="379" t="n">
        <v>6</v>
      </c>
      <c r="AJ1197" s="380" t="str">
        <f aca="false">IF(AG1197="","N","Y")</f>
        <v>Y</v>
      </c>
      <c r="AK1197" s="396" t="s">
        <v>1262</v>
      </c>
      <c r="AL1197" s="397"/>
    </row>
    <row r="1198" s="382" customFormat="true" ht="20.25" hidden="false" customHeight="true" outlineLevel="0" collapsed="false">
      <c r="A1198" s="364" t="n">
        <v>671</v>
      </c>
      <c r="B1198" s="363" t="n">
        <v>46133</v>
      </c>
      <c r="C1198" s="364" t="s">
        <v>96</v>
      </c>
      <c r="D1198" s="364" t="s">
        <v>1073</v>
      </c>
      <c r="E1198" s="364" t="s">
        <v>1298</v>
      </c>
      <c r="F1198" s="364" t="s">
        <v>1299</v>
      </c>
      <c r="G1198" s="365" t="n">
        <v>46133</v>
      </c>
      <c r="H1198" s="365" t="n">
        <v>46163</v>
      </c>
      <c r="I1198" s="364" t="n">
        <f aca="false">H1198-G1198</f>
        <v>30</v>
      </c>
      <c r="J1198" s="366" t="n">
        <f aca="false">TRUNC(I1198/30,0)</f>
        <v>1</v>
      </c>
      <c r="K1198" s="395" t="s">
        <v>95</v>
      </c>
      <c r="L1198" s="368" t="n">
        <v>1</v>
      </c>
      <c r="M1198" s="408"/>
      <c r="N1198" s="409"/>
      <c r="O1198" s="405" t="s">
        <v>303</v>
      </c>
      <c r="P1198" s="371" t="n">
        <v>0.036525</v>
      </c>
      <c r="Q1198" s="371"/>
      <c r="R1198" s="372" t="s">
        <v>914</v>
      </c>
      <c r="S1198" s="373"/>
      <c r="T1198" s="372"/>
      <c r="U1198" s="373"/>
      <c r="V1198" s="412" t="n">
        <v>0.039545</v>
      </c>
      <c r="W1198" s="373" t="n">
        <v>0.00079</v>
      </c>
      <c r="X1198" s="412" t="n">
        <f aca="false">V1198-AD1198-$X$5-W1198</f>
        <v>0.00297899999999999</v>
      </c>
      <c r="Y1198" s="373" t="n">
        <v>0.030094</v>
      </c>
      <c r="Z1198" s="412" t="n">
        <v>0.00172</v>
      </c>
      <c r="AA1198" s="412" t="n">
        <v>0.002</v>
      </c>
      <c r="AB1198" s="374" t="n">
        <f aca="false">S1198-Z1198</f>
        <v>-0.00172</v>
      </c>
      <c r="AC1198" s="374" t="n">
        <f aca="false">U1198-Z1198-AA1198</f>
        <v>-0.00372</v>
      </c>
      <c r="AD1198" s="375" t="n">
        <v>0.034</v>
      </c>
      <c r="AE1198" s="412" t="n">
        <f aca="false">Y1198</f>
        <v>0.030094</v>
      </c>
      <c r="AF1198" s="412" t="n">
        <f aca="false">AD1198-AE1198</f>
        <v>0.003906</v>
      </c>
      <c r="AG1198" s="377" t="n">
        <f aca="false">IF(AF1198="","",AE1198+AF1198)</f>
        <v>0.034</v>
      </c>
      <c r="AH1198" s="378" t="n">
        <v>46133</v>
      </c>
      <c r="AI1198" s="379" t="n">
        <v>1</v>
      </c>
      <c r="AJ1198" s="380" t="str">
        <f aca="false">IF(AG1198="","N","Y")</f>
        <v>Y</v>
      </c>
      <c r="AK1198" s="416" t="s">
        <v>1300</v>
      </c>
      <c r="AL1198" s="397"/>
    </row>
    <row r="1199" s="382" customFormat="true" ht="20.25" hidden="false" customHeight="true" outlineLevel="0" collapsed="false">
      <c r="A1199" s="364" t="n">
        <v>672</v>
      </c>
      <c r="B1199" s="363" t="n">
        <v>46142</v>
      </c>
      <c r="C1199" s="364" t="s">
        <v>187</v>
      </c>
      <c r="D1199" s="364" t="s">
        <v>1277</v>
      </c>
      <c r="E1199" s="364" t="s">
        <v>1278</v>
      </c>
      <c r="F1199" s="364" t="s">
        <v>1120</v>
      </c>
      <c r="G1199" s="365" t="n">
        <v>46142</v>
      </c>
      <c r="H1199" s="365" t="n">
        <v>46171</v>
      </c>
      <c r="I1199" s="364" t="n">
        <f aca="false">H1199-G1199</f>
        <v>29</v>
      </c>
      <c r="J1199" s="366" t="n">
        <f aca="false">TRUNC(I1199/30,0)</f>
        <v>0</v>
      </c>
      <c r="K1199" s="367" t="s">
        <v>99</v>
      </c>
      <c r="L1199" s="368" t="n">
        <v>3.55</v>
      </c>
      <c r="M1199" s="369"/>
      <c r="N1199" s="370"/>
      <c r="O1199" s="366" t="s">
        <v>303</v>
      </c>
      <c r="P1199" s="371" t="n">
        <v>0.0364933</v>
      </c>
      <c r="Q1199" s="371"/>
      <c r="R1199" s="372" t="s">
        <v>914</v>
      </c>
      <c r="S1199" s="373"/>
      <c r="T1199" s="372"/>
      <c r="U1199" s="373"/>
      <c r="V1199" s="373" t="n">
        <v>0.040327</v>
      </c>
      <c r="W1199" s="373" t="n">
        <v>0.002822</v>
      </c>
      <c r="X1199" s="412" t="n">
        <v>0.004228</v>
      </c>
      <c r="Y1199" s="373" t="n">
        <v>0.023069</v>
      </c>
      <c r="Z1199" s="373" t="n">
        <v>0.00172</v>
      </c>
      <c r="AA1199" s="373" t="n">
        <v>0.002</v>
      </c>
      <c r="AB1199" s="374" t="n">
        <f aca="false">S1199-Z1199</f>
        <v>-0.00172</v>
      </c>
      <c r="AC1199" s="374" t="n">
        <f aca="false">U1199-Z1199-AA1199</f>
        <v>-0.00372</v>
      </c>
      <c r="AD1199" s="375" t="n">
        <v>0.0315</v>
      </c>
      <c r="AE1199" s="373" t="n">
        <v>0.023069</v>
      </c>
      <c r="AF1199" s="376" t="n">
        <v>0.008107</v>
      </c>
      <c r="AG1199" s="377" t="n">
        <v>0.0315</v>
      </c>
      <c r="AH1199" s="378" t="n">
        <v>46142</v>
      </c>
      <c r="AI1199" s="379" t="n">
        <v>1</v>
      </c>
      <c r="AJ1199" s="380" t="str">
        <f aca="false">IF(AG1199="","N","Y")</f>
        <v>Y</v>
      </c>
      <c r="AK1199" s="396" t="s">
        <v>1262</v>
      </c>
      <c r="AL1199" s="397"/>
    </row>
    <row r="1200" s="382" customFormat="true" ht="20.25" hidden="false" customHeight="true" outlineLevel="0" collapsed="false">
      <c r="A1200" s="364" t="n">
        <v>673</v>
      </c>
      <c r="B1200" s="363" t="n">
        <v>46146</v>
      </c>
      <c r="C1200" s="364" t="s">
        <v>1184</v>
      </c>
      <c r="D1200" s="364" t="s">
        <v>1185</v>
      </c>
      <c r="E1200" s="364" t="s">
        <v>1303</v>
      </c>
      <c r="F1200" s="364" t="s">
        <v>1187</v>
      </c>
      <c r="G1200" s="365" t="n">
        <v>46146</v>
      </c>
      <c r="H1200" s="365" t="n">
        <v>46174</v>
      </c>
      <c r="I1200" s="364" t="n">
        <f aca="false">H1200-G1200</f>
        <v>28</v>
      </c>
      <c r="J1200" s="366" t="n">
        <f aca="false">TRUNC(I1200/30,0)</f>
        <v>0</v>
      </c>
      <c r="K1200" s="367" t="s">
        <v>99</v>
      </c>
      <c r="L1200" s="368" t="n">
        <v>7.73</v>
      </c>
      <c r="M1200" s="369"/>
      <c r="N1200" s="370"/>
      <c r="O1200" s="366" t="s">
        <v>303</v>
      </c>
      <c r="P1200" s="371" t="n">
        <v>0.0364637</v>
      </c>
      <c r="Q1200" s="371"/>
      <c r="R1200" s="372" t="s">
        <v>914</v>
      </c>
      <c r="S1200" s="373"/>
      <c r="T1200" s="372"/>
      <c r="U1200" s="373"/>
      <c r="V1200" s="373" t="n">
        <v>0.040312</v>
      </c>
      <c r="W1200" s="373" t="n">
        <v>0.002821</v>
      </c>
      <c r="X1200" s="412" t="n">
        <f aca="false">V1200-AD1200-$X$5-W1200</f>
        <v>0.003715</v>
      </c>
      <c r="Y1200" s="373" t="n">
        <v>0.023211</v>
      </c>
      <c r="Z1200" s="373" t="n">
        <v>0.00172</v>
      </c>
      <c r="AA1200" s="373" t="n">
        <v>0.002</v>
      </c>
      <c r="AB1200" s="374" t="n">
        <f aca="false">S1200-Z1200</f>
        <v>-0.00172</v>
      </c>
      <c r="AC1200" s="374" t="n">
        <f aca="false">U1200-Z1200-AA1200</f>
        <v>-0.00372</v>
      </c>
      <c r="AD1200" s="375" t="n">
        <v>0.032</v>
      </c>
      <c r="AE1200" s="373" t="n">
        <v>0.023211</v>
      </c>
      <c r="AF1200" s="376" t="n">
        <f aca="false">AD1200-AE1200</f>
        <v>0.008789</v>
      </c>
      <c r="AG1200" s="377" t="n">
        <f aca="false">IF(AF1200="","",AE1200+AF1200)</f>
        <v>0.032</v>
      </c>
      <c r="AH1200" s="378" t="n">
        <v>46146</v>
      </c>
      <c r="AI1200" s="379" t="n">
        <v>1</v>
      </c>
      <c r="AJ1200" s="380" t="str">
        <f aca="false">IF(AG1200="","N","Y")</f>
        <v>Y</v>
      </c>
      <c r="AK1200" s="396" t="s">
        <v>1262</v>
      </c>
      <c r="AL1200" s="397"/>
    </row>
    <row r="1201" s="382" customFormat="true" ht="20.25" hidden="false" customHeight="true" outlineLevel="0" collapsed="false">
      <c r="A1201" s="364" t="n">
        <v>674</v>
      </c>
      <c r="B1201" s="363" t="n">
        <v>46146</v>
      </c>
      <c r="C1201" s="364" t="s">
        <v>1319</v>
      </c>
      <c r="D1201" s="364" t="s">
        <v>1320</v>
      </c>
      <c r="E1201" s="364" t="s">
        <v>1321</v>
      </c>
      <c r="F1201" s="364" t="s">
        <v>1234</v>
      </c>
      <c r="G1201" s="365" t="n">
        <v>46146</v>
      </c>
      <c r="H1201" s="365" t="n">
        <v>46177</v>
      </c>
      <c r="I1201" s="364" t="n">
        <f aca="false">H1201-G1201</f>
        <v>31</v>
      </c>
      <c r="J1201" s="366" t="n">
        <f aca="false">TRUNC(I1201/30,0)</f>
        <v>1</v>
      </c>
      <c r="K1201" s="395" t="s">
        <v>95</v>
      </c>
      <c r="L1201" s="368" t="n">
        <v>2</v>
      </c>
      <c r="M1201" s="369"/>
      <c r="N1201" s="370"/>
      <c r="O1201" s="366" t="s">
        <v>303</v>
      </c>
      <c r="P1201" s="371" t="n">
        <v>0.0364637</v>
      </c>
      <c r="Q1201" s="371"/>
      <c r="R1201" s="372" t="s">
        <v>914</v>
      </c>
      <c r="S1201" s="373"/>
      <c r="T1201" s="372"/>
      <c r="U1201" s="373"/>
      <c r="V1201" s="373" t="n">
        <v>0.039509</v>
      </c>
      <c r="W1201" s="373" t="n">
        <v>0.00079</v>
      </c>
      <c r="X1201" s="412" t="n">
        <f aca="false">V1201-AD1201-$X$5-W1201</f>
        <v>0.002943</v>
      </c>
      <c r="Y1201" s="373" t="n">
        <v>0.030034</v>
      </c>
      <c r="Z1201" s="373" t="n">
        <v>0.00172</v>
      </c>
      <c r="AA1201" s="373" t="n">
        <v>0.002</v>
      </c>
      <c r="AB1201" s="374" t="n">
        <f aca="false">S1201-Z1201</f>
        <v>-0.00172</v>
      </c>
      <c r="AC1201" s="374" t="n">
        <f aca="false">U1201-Z1201-AA1201</f>
        <v>-0.00372</v>
      </c>
      <c r="AD1201" s="375" t="n">
        <v>0.034</v>
      </c>
      <c r="AE1201" s="373" t="n">
        <v>0.030034</v>
      </c>
      <c r="AF1201" s="376" t="n">
        <f aca="false">AD1201-AE1201</f>
        <v>0.003966</v>
      </c>
      <c r="AG1201" s="377" t="n">
        <v>0.034</v>
      </c>
      <c r="AH1201" s="378" t="n">
        <v>46146</v>
      </c>
      <c r="AI1201" s="379" t="n">
        <v>2</v>
      </c>
      <c r="AJ1201" s="380" t="str">
        <f aca="false">IF(AG1201="","N","Y")</f>
        <v>Y</v>
      </c>
      <c r="AK1201" s="396" t="s">
        <v>1286</v>
      </c>
      <c r="AL1201" s="397"/>
    </row>
    <row r="1202" s="382" customFormat="true" ht="20.25" hidden="false" customHeight="true" outlineLevel="0" collapsed="false">
      <c r="A1202" s="364" t="n">
        <v>675</v>
      </c>
      <c r="B1202" s="363" t="n">
        <v>46146</v>
      </c>
      <c r="C1202" s="364" t="s">
        <v>209</v>
      </c>
      <c r="D1202" s="364" t="s">
        <v>1178</v>
      </c>
      <c r="E1202" s="364" t="s">
        <v>1186</v>
      </c>
      <c r="F1202" s="364" t="s">
        <v>1188</v>
      </c>
      <c r="G1202" s="365" t="n">
        <v>46146</v>
      </c>
      <c r="H1202" s="365" t="n">
        <v>46238</v>
      </c>
      <c r="I1202" s="364" t="n">
        <f aca="false">H1202-G1202</f>
        <v>92</v>
      </c>
      <c r="J1202" s="366" t="n">
        <f aca="false">TRUNC(I1202/30,0)</f>
        <v>3</v>
      </c>
      <c r="K1202" s="395" t="s">
        <v>1189</v>
      </c>
      <c r="L1202" s="368" t="n">
        <v>2.17</v>
      </c>
      <c r="M1202" s="369"/>
      <c r="N1202" s="370"/>
      <c r="O1202" s="366" t="s">
        <v>300</v>
      </c>
      <c r="P1202" s="371" t="n">
        <v>0.0365811</v>
      </c>
      <c r="Q1202" s="371"/>
      <c r="R1202" s="372" t="s">
        <v>914</v>
      </c>
      <c r="S1202" s="373"/>
      <c r="T1202" s="372"/>
      <c r="U1202" s="373"/>
      <c r="V1202" s="373" t="n">
        <v>0.041136</v>
      </c>
      <c r="W1202" s="373" t="n">
        <v>0.000822</v>
      </c>
      <c r="X1202" s="373" t="n">
        <v>0.002537</v>
      </c>
      <c r="Y1202" s="373" t="n">
        <v>0.030849</v>
      </c>
      <c r="Z1202" s="373" t="n">
        <v>0.00172</v>
      </c>
      <c r="AA1202" s="373" t="n">
        <v>0.002</v>
      </c>
      <c r="AB1202" s="374" t="n">
        <f aca="false">S1202-Z1202</f>
        <v>-0.00172</v>
      </c>
      <c r="AC1202" s="374" t="n">
        <f aca="false">U1202-Z1202-AA1202</f>
        <v>-0.00372</v>
      </c>
      <c r="AD1202" s="375" t="n">
        <v>0.036</v>
      </c>
      <c r="AE1202" s="373" t="n">
        <v>0.030894</v>
      </c>
      <c r="AF1202" s="376" t="n">
        <f aca="false">AD1202-AE1202</f>
        <v>0.005106</v>
      </c>
      <c r="AG1202" s="377" t="n">
        <v>0.036</v>
      </c>
      <c r="AH1202" s="378" t="n">
        <v>46146</v>
      </c>
      <c r="AI1202" s="379" t="n">
        <v>3</v>
      </c>
      <c r="AJ1202" s="380" t="str">
        <f aca="false">IF(AG1202="","N","Y")</f>
        <v>Y</v>
      </c>
      <c r="AK1202" s="396" t="s">
        <v>1322</v>
      </c>
      <c r="AL1202" s="397"/>
    </row>
    <row r="1203" s="382" customFormat="true" ht="20.25" hidden="false" customHeight="true" outlineLevel="0" collapsed="false">
      <c r="A1203" s="364" t="n">
        <v>676</v>
      </c>
      <c r="B1203" s="363" t="n">
        <v>46148</v>
      </c>
      <c r="C1203" s="364" t="s">
        <v>1149</v>
      </c>
      <c r="D1203" s="364" t="s">
        <v>1150</v>
      </c>
      <c r="E1203" s="364" t="s">
        <v>1183</v>
      </c>
      <c r="F1203" s="364" t="s">
        <v>1152</v>
      </c>
      <c r="G1203" s="365" t="n">
        <v>46148</v>
      </c>
      <c r="H1203" s="365" t="n">
        <v>46181</v>
      </c>
      <c r="I1203" s="364" t="n">
        <f aca="false">H1203-G1203</f>
        <v>33</v>
      </c>
      <c r="J1203" s="366" t="n">
        <f aca="false">TRUNC(I1203/30,0)</f>
        <v>1</v>
      </c>
      <c r="K1203" s="367" t="s">
        <v>99</v>
      </c>
      <c r="L1203" s="368" t="n">
        <v>1.37</v>
      </c>
      <c r="M1203" s="369"/>
      <c r="N1203" s="370"/>
      <c r="O1203" s="366" t="s">
        <v>303</v>
      </c>
      <c r="P1203" s="371" t="n">
        <v>0.0364265</v>
      </c>
      <c r="Q1203" s="371"/>
      <c r="R1203" s="372" t="s">
        <v>914</v>
      </c>
      <c r="S1203" s="373"/>
      <c r="T1203" s="372"/>
      <c r="U1203" s="373"/>
      <c r="V1203" s="373" t="n">
        <v>0.040272</v>
      </c>
      <c r="W1203" s="373" t="n">
        <v>0.002819</v>
      </c>
      <c r="X1203" s="373" t="n">
        <v>0.004177</v>
      </c>
      <c r="Y1203" s="373" t="n">
        <v>0.022983</v>
      </c>
      <c r="Z1203" s="373" t="n">
        <v>0.00172</v>
      </c>
      <c r="AA1203" s="373" t="n">
        <v>0.002</v>
      </c>
      <c r="AB1203" s="374" t="n">
        <f aca="false">S1203-Z1203</f>
        <v>-0.00172</v>
      </c>
      <c r="AC1203" s="374" t="n">
        <f aca="false">U1203-Z1203-AA1203</f>
        <v>-0.00372</v>
      </c>
      <c r="AD1203" s="375" t="n">
        <v>0.0315</v>
      </c>
      <c r="AE1203" s="373" t="n">
        <v>0.022983</v>
      </c>
      <c r="AF1203" s="376" t="n">
        <f aca="false">AD1203-AE1203</f>
        <v>0.008517</v>
      </c>
      <c r="AG1203" s="377" t="n">
        <v>0.0315</v>
      </c>
      <c r="AH1203" s="378" t="n">
        <v>46148</v>
      </c>
      <c r="AI1203" s="379" t="n">
        <v>1</v>
      </c>
      <c r="AJ1203" s="380" t="str">
        <f aca="false">IF(AG1203="","N","Y")</f>
        <v>Y</v>
      </c>
      <c r="AK1203" s="396" t="s">
        <v>1262</v>
      </c>
      <c r="AL1203" s="397"/>
    </row>
    <row r="1204" s="382" customFormat="true" ht="20.25" hidden="false" customHeight="true" outlineLevel="0" collapsed="false">
      <c r="A1204" s="364" t="n">
        <v>677</v>
      </c>
      <c r="B1204" s="363" t="n">
        <v>46148</v>
      </c>
      <c r="C1204" s="364" t="s">
        <v>103</v>
      </c>
      <c r="D1204" s="364" t="s">
        <v>1146</v>
      </c>
      <c r="E1204" s="364" t="s">
        <v>1264</v>
      </c>
      <c r="F1204" s="364" t="s">
        <v>1158</v>
      </c>
      <c r="G1204" s="365" t="n">
        <v>46148</v>
      </c>
      <c r="H1204" s="365" t="n">
        <v>46181</v>
      </c>
      <c r="I1204" s="364" t="n">
        <f aca="false">H1204-G1204</f>
        <v>33</v>
      </c>
      <c r="J1204" s="366" t="n">
        <f aca="false">TRUNC(I1204/30,0)</f>
        <v>1</v>
      </c>
      <c r="K1204" s="395" t="s">
        <v>95</v>
      </c>
      <c r="L1204" s="368" t="n">
        <v>5.01</v>
      </c>
      <c r="M1204" s="369"/>
      <c r="N1204" s="370"/>
      <c r="O1204" s="366" t="s">
        <v>303</v>
      </c>
      <c r="P1204" s="371" t="n">
        <v>0.0364265</v>
      </c>
      <c r="Q1204" s="371"/>
      <c r="R1204" s="372" t="s">
        <v>914</v>
      </c>
      <c r="S1204" s="373"/>
      <c r="T1204" s="372"/>
      <c r="U1204" s="373"/>
      <c r="V1204" s="373" t="n">
        <v>0.039479</v>
      </c>
      <c r="W1204" s="373" t="n">
        <v>0.000789</v>
      </c>
      <c r="X1204" s="373" t="n">
        <v>0.002913</v>
      </c>
      <c r="Y1204" s="373" t="n">
        <v>0.029997</v>
      </c>
      <c r="Z1204" s="373" t="n">
        <v>0.00172</v>
      </c>
      <c r="AA1204" s="373" t="n">
        <v>0.002</v>
      </c>
      <c r="AB1204" s="374" t="n">
        <f aca="false">S1204-Z1204</f>
        <v>-0.00172</v>
      </c>
      <c r="AC1204" s="374" t="n">
        <f aca="false">U1204-Z1204-AA1204</f>
        <v>-0.00372</v>
      </c>
      <c r="AD1204" s="375" t="n">
        <v>0.034</v>
      </c>
      <c r="AE1204" s="373" t="n">
        <v>0.029997</v>
      </c>
      <c r="AF1204" s="376" t="n">
        <f aca="false">AD1204-AE1204</f>
        <v>0.004003</v>
      </c>
      <c r="AG1204" s="377" t="n">
        <v>0.034</v>
      </c>
      <c r="AH1204" s="378" t="n">
        <v>46148</v>
      </c>
      <c r="AI1204" s="379" t="n">
        <v>2</v>
      </c>
      <c r="AJ1204" s="380" t="str">
        <f aca="false">IF(AG1204="","N","Y")</f>
        <v>Y</v>
      </c>
      <c r="AK1204" s="396" t="s">
        <v>1323</v>
      </c>
      <c r="AL1204" s="397"/>
    </row>
    <row r="1205" s="382" customFormat="true" ht="20.25" hidden="false" customHeight="true" outlineLevel="0" collapsed="false">
      <c r="A1205" s="364" t="n">
        <v>678</v>
      </c>
      <c r="B1205" s="363" t="n">
        <v>46148</v>
      </c>
      <c r="C1205" s="364" t="s">
        <v>1129</v>
      </c>
      <c r="D1205" s="364" t="s">
        <v>1130</v>
      </c>
      <c r="E1205" s="364" t="s">
        <v>1214</v>
      </c>
      <c r="F1205" s="364" t="s">
        <v>1132</v>
      </c>
      <c r="G1205" s="365" t="n">
        <v>46148</v>
      </c>
      <c r="H1205" s="365" t="n">
        <v>46181</v>
      </c>
      <c r="I1205" s="364" t="n">
        <f aca="false">H1205-G1205</f>
        <v>33</v>
      </c>
      <c r="J1205" s="366" t="n">
        <f aca="false">TRUNC(I1205/30,0)</f>
        <v>1</v>
      </c>
      <c r="K1205" s="395" t="s">
        <v>95</v>
      </c>
      <c r="L1205" s="368" t="n">
        <v>2.01</v>
      </c>
      <c r="M1205" s="369"/>
      <c r="N1205" s="370"/>
      <c r="O1205" s="366" t="s">
        <v>303</v>
      </c>
      <c r="P1205" s="371" t="n">
        <v>0.0364265</v>
      </c>
      <c r="Q1205" s="371"/>
      <c r="R1205" s="372" t="s">
        <v>914</v>
      </c>
      <c r="S1205" s="373"/>
      <c r="T1205" s="372"/>
      <c r="U1205" s="373"/>
      <c r="V1205" s="373" t="n">
        <v>0.039479</v>
      </c>
      <c r="W1205" s="373" t="n">
        <v>0.00079</v>
      </c>
      <c r="X1205" s="373" t="n">
        <f aca="false">V1205-AD1205-$X$5-W1205</f>
        <v>0.002413</v>
      </c>
      <c r="Y1205" s="373" t="n">
        <v>0.029997</v>
      </c>
      <c r="Z1205" s="373" t="n">
        <v>0.00172</v>
      </c>
      <c r="AA1205" s="373" t="n">
        <v>0.002</v>
      </c>
      <c r="AB1205" s="374" t="n">
        <f aca="false">S1205-Z1205</f>
        <v>-0.00172</v>
      </c>
      <c r="AC1205" s="374" t="n">
        <f aca="false">U1205-Z1205-AA1205</f>
        <v>-0.00372</v>
      </c>
      <c r="AD1205" s="375" t="n">
        <v>0.0345</v>
      </c>
      <c r="AE1205" s="373" t="n">
        <v>0.029997</v>
      </c>
      <c r="AF1205" s="412" t="n">
        <f aca="false">AD1205-AE1205</f>
        <v>0.004503</v>
      </c>
      <c r="AG1205" s="377" t="n">
        <v>0.0345</v>
      </c>
      <c r="AH1205" s="378" t="n">
        <v>46148</v>
      </c>
      <c r="AI1205" s="379" t="n">
        <v>3</v>
      </c>
      <c r="AJ1205" s="380" t="str">
        <f aca="false">IF(AG1205="","N","Y")</f>
        <v>Y</v>
      </c>
      <c r="AK1205" s="396" t="s">
        <v>1323</v>
      </c>
      <c r="AL1205" s="397"/>
    </row>
    <row r="1206" s="382" customFormat="true" ht="20.25" hidden="false" customHeight="true" outlineLevel="0" collapsed="false">
      <c r="A1206" s="364" t="n">
        <v>679</v>
      </c>
      <c r="B1206" s="363" t="n">
        <v>46153</v>
      </c>
      <c r="C1206" s="364" t="s">
        <v>862</v>
      </c>
      <c r="D1206" s="364" t="s">
        <v>932</v>
      </c>
      <c r="E1206" s="364" t="s">
        <v>970</v>
      </c>
      <c r="F1206" s="364" t="s">
        <v>906</v>
      </c>
      <c r="G1206" s="365" t="n">
        <v>46153</v>
      </c>
      <c r="H1206" s="365" t="n">
        <v>46184</v>
      </c>
      <c r="I1206" s="364" t="n">
        <f aca="false">H1206-G1206</f>
        <v>31</v>
      </c>
      <c r="J1206" s="366" t="n">
        <f aca="false">TRUNC(I1206/30,0)</f>
        <v>1</v>
      </c>
      <c r="K1206" s="367" t="s">
        <v>99</v>
      </c>
      <c r="L1206" s="368" t="n">
        <v>1</v>
      </c>
      <c r="M1206" s="369"/>
      <c r="N1206" s="370"/>
      <c r="O1206" s="366" t="s">
        <v>303</v>
      </c>
      <c r="P1206" s="371" t="n">
        <v>0.0363229</v>
      </c>
      <c r="Q1206" s="371"/>
      <c r="R1206" s="372" t="s">
        <v>914</v>
      </c>
      <c r="S1206" s="373"/>
      <c r="T1206" s="372"/>
      <c r="U1206" s="373"/>
      <c r="V1206" s="373" t="n">
        <v>0.040178</v>
      </c>
      <c r="W1206" s="373" t="n">
        <v>0.002812</v>
      </c>
      <c r="X1206" s="373" t="n">
        <v>0.003589</v>
      </c>
      <c r="Y1206" s="373" t="n">
        <v>0.022742</v>
      </c>
      <c r="Z1206" s="373" t="n">
        <v>0.00172</v>
      </c>
      <c r="AA1206" s="373" t="n">
        <v>0.002</v>
      </c>
      <c r="AB1206" s="374" t="n">
        <f aca="false">S1206-Z1206</f>
        <v>-0.00172</v>
      </c>
      <c r="AC1206" s="374" t="n">
        <f aca="false">U1206-Z1206-AA1206</f>
        <v>-0.00372</v>
      </c>
      <c r="AD1206" s="375" t="n">
        <v>0.032</v>
      </c>
      <c r="AE1206" s="376" t="n">
        <v>0.022742</v>
      </c>
      <c r="AF1206" s="376" t="n">
        <f aca="false">AD1206-AE1206</f>
        <v>0.009258</v>
      </c>
      <c r="AG1206" s="377" t="n">
        <v>0.032</v>
      </c>
      <c r="AH1206" s="378" t="n">
        <v>46153</v>
      </c>
      <c r="AI1206" s="379" t="n">
        <v>1</v>
      </c>
      <c r="AJ1206" s="380" t="str">
        <f aca="false">IF(AG1206="","N","Y")</f>
        <v>Y</v>
      </c>
      <c r="AK1206" s="396" t="s">
        <v>1262</v>
      </c>
      <c r="AL1206" s="397"/>
    </row>
    <row r="1207" s="382" customFormat="true" ht="20.25" hidden="false" customHeight="true" outlineLevel="0" collapsed="false">
      <c r="A1207" s="364" t="n">
        <v>680</v>
      </c>
      <c r="B1207" s="363" t="n">
        <v>46153</v>
      </c>
      <c r="C1207" s="364" t="s">
        <v>1133</v>
      </c>
      <c r="D1207" s="364" t="s">
        <v>1134</v>
      </c>
      <c r="E1207" s="364" t="s">
        <v>1324</v>
      </c>
      <c r="F1207" s="364" t="s">
        <v>1159</v>
      </c>
      <c r="G1207" s="365" t="n">
        <v>46153</v>
      </c>
      <c r="H1207" s="365" t="n">
        <v>46184</v>
      </c>
      <c r="I1207" s="364" t="n">
        <f aca="false">H1207-G1207</f>
        <v>31</v>
      </c>
      <c r="J1207" s="366" t="n">
        <f aca="false">TRUNC(I1207/30,0)</f>
        <v>1</v>
      </c>
      <c r="K1207" s="367" t="s">
        <v>99</v>
      </c>
      <c r="L1207" s="368" t="n">
        <v>1.3</v>
      </c>
      <c r="M1207" s="369"/>
      <c r="N1207" s="370"/>
      <c r="O1207" s="366" t="s">
        <v>303</v>
      </c>
      <c r="P1207" s="371" t="n">
        <v>0.0363229</v>
      </c>
      <c r="Q1207" s="371"/>
      <c r="R1207" s="372" t="s">
        <v>914</v>
      </c>
      <c r="S1207" s="373"/>
      <c r="T1207" s="372"/>
      <c r="U1207" s="373"/>
      <c r="V1207" s="373" t="n">
        <v>0.040178</v>
      </c>
      <c r="W1207" s="373" t="n">
        <v>0.002812</v>
      </c>
      <c r="X1207" s="373" t="n">
        <v>0.004589</v>
      </c>
      <c r="Y1207" s="373" t="n">
        <v>0.022742</v>
      </c>
      <c r="Z1207" s="373" t="n">
        <v>0.00172</v>
      </c>
      <c r="AA1207" s="373" t="n">
        <v>0.002</v>
      </c>
      <c r="AB1207" s="374" t="n">
        <f aca="false">S1207-Z1207</f>
        <v>-0.00172</v>
      </c>
      <c r="AC1207" s="374" t="n">
        <f aca="false">U1207-Z1207-AA1207</f>
        <v>-0.00372</v>
      </c>
      <c r="AD1207" s="375" t="n">
        <v>0.031</v>
      </c>
      <c r="AE1207" s="373" t="n">
        <v>0.022742</v>
      </c>
      <c r="AF1207" s="376" t="n">
        <f aca="false">AD1207-AE1207</f>
        <v>0.008258</v>
      </c>
      <c r="AG1207" s="377" t="n">
        <v>0.031</v>
      </c>
      <c r="AH1207" s="378" t="n">
        <v>46153</v>
      </c>
      <c r="AI1207" s="379" t="n">
        <v>2</v>
      </c>
      <c r="AJ1207" s="380" t="str">
        <f aca="false">IF(AG1207="","N","Y")</f>
        <v>Y</v>
      </c>
      <c r="AK1207" s="396" t="s">
        <v>1262</v>
      </c>
      <c r="AL1207" s="397"/>
    </row>
    <row r="1208" s="382" customFormat="true" ht="20.25" hidden="false" customHeight="true" outlineLevel="0" collapsed="false">
      <c r="A1208" s="364" t="n">
        <v>681</v>
      </c>
      <c r="B1208" s="363" t="n">
        <v>46155</v>
      </c>
      <c r="C1208" s="364" t="s">
        <v>1066</v>
      </c>
      <c r="D1208" s="402" t="s">
        <v>1280</v>
      </c>
      <c r="E1208" s="402" t="s">
        <v>970</v>
      </c>
      <c r="F1208" s="402" t="s">
        <v>864</v>
      </c>
      <c r="G1208" s="365" t="n">
        <v>46155</v>
      </c>
      <c r="H1208" s="365" t="n">
        <v>46188</v>
      </c>
      <c r="I1208" s="364" t="n">
        <f aca="false">H1208-G1208</f>
        <v>33</v>
      </c>
      <c r="J1208" s="366" t="n">
        <f aca="false">TRUNC(I1208/30,0)</f>
        <v>1</v>
      </c>
      <c r="K1208" s="367" t="s">
        <v>99</v>
      </c>
      <c r="L1208" s="368" t="n">
        <v>7.97</v>
      </c>
      <c r="M1208" s="408"/>
      <c r="N1208" s="409"/>
      <c r="O1208" s="405" t="s">
        <v>303</v>
      </c>
      <c r="P1208" s="410" t="n">
        <v>0.0362852</v>
      </c>
      <c r="Q1208" s="371"/>
      <c r="R1208" s="372" t="s">
        <v>914</v>
      </c>
      <c r="S1208" s="373"/>
      <c r="T1208" s="372"/>
      <c r="U1208" s="373"/>
      <c r="V1208" s="412" t="n">
        <v>0.040127</v>
      </c>
      <c r="W1208" s="412" t="n">
        <v>0.002808</v>
      </c>
      <c r="X1208" s="412" t="n">
        <f aca="false">V1208-AD1208-$X$5-W1208</f>
        <v>0.003543</v>
      </c>
      <c r="Y1208" s="412" t="n">
        <v>0.022734</v>
      </c>
      <c r="Z1208" s="412" t="n">
        <v>0.00172</v>
      </c>
      <c r="AA1208" s="412" t="n">
        <v>0.002</v>
      </c>
      <c r="AB1208" s="374" t="n">
        <f aca="false">S1208-Z1208</f>
        <v>-0.00172</v>
      </c>
      <c r="AC1208" s="374" t="n">
        <f aca="false">U1208-Z1208-AA1208</f>
        <v>-0.00372</v>
      </c>
      <c r="AD1208" s="375" t="n">
        <v>0.032</v>
      </c>
      <c r="AE1208" s="412" t="n">
        <f aca="false">Y1208</f>
        <v>0.022734</v>
      </c>
      <c r="AF1208" s="412" t="n">
        <f aca="false">AD1208-AE1208</f>
        <v>0.009266</v>
      </c>
      <c r="AG1208" s="377" t="n">
        <f aca="false">IF(AF1208="","",AE1208+AF1208)</f>
        <v>0.032</v>
      </c>
      <c r="AH1208" s="378" t="n">
        <v>46155</v>
      </c>
      <c r="AI1208" s="379" t="n">
        <v>1</v>
      </c>
      <c r="AJ1208" s="380" t="str">
        <f aca="false">IF(AG1208="","N","Y")</f>
        <v>Y</v>
      </c>
      <c r="AK1208" s="396" t="s">
        <v>1262</v>
      </c>
      <c r="AL1208" s="397"/>
    </row>
    <row r="1209" s="382" customFormat="true" ht="20.25" hidden="false" customHeight="true" outlineLevel="0" collapsed="false">
      <c r="A1209" s="364" t="n">
        <v>682</v>
      </c>
      <c r="B1209" s="363" t="n">
        <v>46155</v>
      </c>
      <c r="C1209" s="364" t="s">
        <v>1066</v>
      </c>
      <c r="D1209" s="402" t="s">
        <v>1280</v>
      </c>
      <c r="E1209" s="402" t="s">
        <v>970</v>
      </c>
      <c r="F1209" s="402" t="s">
        <v>1192</v>
      </c>
      <c r="G1209" s="365" t="n">
        <v>46155</v>
      </c>
      <c r="H1209" s="365" t="n">
        <v>46188</v>
      </c>
      <c r="I1209" s="364" t="n">
        <f aca="false">H1209-G1209</f>
        <v>33</v>
      </c>
      <c r="J1209" s="366" t="n">
        <f aca="false">TRUNC(I1209/30,0)</f>
        <v>1</v>
      </c>
      <c r="K1209" s="367" t="s">
        <v>99</v>
      </c>
      <c r="L1209" s="368" t="n">
        <v>1.43</v>
      </c>
      <c r="M1209" s="408"/>
      <c r="N1209" s="409"/>
      <c r="O1209" s="405" t="s">
        <v>303</v>
      </c>
      <c r="P1209" s="410" t="n">
        <v>0.0362852</v>
      </c>
      <c r="Q1209" s="371"/>
      <c r="R1209" s="372" t="s">
        <v>914</v>
      </c>
      <c r="S1209" s="373"/>
      <c r="T1209" s="372"/>
      <c r="U1209" s="373"/>
      <c r="V1209" s="412" t="n">
        <v>0.040127</v>
      </c>
      <c r="W1209" s="412" t="n">
        <v>0.002808</v>
      </c>
      <c r="X1209" s="412" t="n">
        <f aca="false">V1209-AD1209-$X$5-W1209</f>
        <v>0.003543</v>
      </c>
      <c r="Y1209" s="412" t="n">
        <v>0.022734</v>
      </c>
      <c r="Z1209" s="412" t="n">
        <v>0.00172</v>
      </c>
      <c r="AA1209" s="412" t="n">
        <v>0.002</v>
      </c>
      <c r="AB1209" s="374" t="n">
        <f aca="false">S1209-Z1209</f>
        <v>-0.00172</v>
      </c>
      <c r="AC1209" s="374" t="n">
        <f aca="false">U1209-Z1209-AA1209</f>
        <v>-0.00372</v>
      </c>
      <c r="AD1209" s="375" t="n">
        <v>0.032</v>
      </c>
      <c r="AE1209" s="412" t="n">
        <f aca="false">Y1209</f>
        <v>0.022734</v>
      </c>
      <c r="AF1209" s="412" t="n">
        <f aca="false">AD1209-AE1209</f>
        <v>0.009266</v>
      </c>
      <c r="AG1209" s="377" t="n">
        <f aca="false">IF(AF1209="","",AE1209+AF1209)</f>
        <v>0.032</v>
      </c>
      <c r="AH1209" s="378" t="n">
        <v>46155</v>
      </c>
      <c r="AI1209" s="379" t="n">
        <v>2</v>
      </c>
      <c r="AJ1209" s="380" t="str">
        <f aca="false">IF(AG1209="","N","Y")</f>
        <v>Y</v>
      </c>
      <c r="AK1209" s="396" t="s">
        <v>1262</v>
      </c>
      <c r="AL1209" s="397"/>
    </row>
    <row r="1210" s="418" customFormat="true" ht="20.25" hidden="false" customHeight="true" outlineLevel="0" collapsed="false">
      <c r="A1210" s="402" t="n">
        <v>683</v>
      </c>
      <c r="B1210" s="403" t="n">
        <v>46155</v>
      </c>
      <c r="C1210" s="402" t="s">
        <v>209</v>
      </c>
      <c r="D1210" s="402" t="s">
        <v>913</v>
      </c>
      <c r="E1210" s="402" t="s">
        <v>1195</v>
      </c>
      <c r="F1210" s="364" t="s">
        <v>1188</v>
      </c>
      <c r="G1210" s="365" t="n">
        <v>46155</v>
      </c>
      <c r="H1210" s="404" t="n">
        <v>46247</v>
      </c>
      <c r="I1210" s="402" t="n">
        <f aca="false">H1210-G1210</f>
        <v>92</v>
      </c>
      <c r="J1210" s="405" t="n">
        <f aca="false">TRUNC(I1210/30,0)</f>
        <v>3</v>
      </c>
      <c r="K1210" s="406" t="s">
        <v>95</v>
      </c>
      <c r="L1210" s="407" t="n">
        <v>1.44</v>
      </c>
      <c r="M1210" s="408"/>
      <c r="N1210" s="409"/>
      <c r="O1210" s="405" t="s">
        <v>300</v>
      </c>
      <c r="P1210" s="410" t="n">
        <v>0.0364634</v>
      </c>
      <c r="Q1210" s="410"/>
      <c r="R1210" s="411" t="s">
        <v>914</v>
      </c>
      <c r="S1210" s="412"/>
      <c r="T1210" s="411"/>
      <c r="U1210" s="412"/>
      <c r="V1210" s="412" t="n">
        <v>0.040945</v>
      </c>
      <c r="W1210" s="412" t="n">
        <v>0.000818</v>
      </c>
      <c r="X1210" s="412" t="n">
        <v>0.00235</v>
      </c>
      <c r="Y1210" s="412" t="n">
        <v>0.030734</v>
      </c>
      <c r="Z1210" s="412" t="n">
        <v>0.00172</v>
      </c>
      <c r="AA1210" s="412" t="n">
        <v>0.002</v>
      </c>
      <c r="AB1210" s="412" t="n">
        <f aca="false">S1210-Z1210</f>
        <v>-0.00172</v>
      </c>
      <c r="AC1210" s="412" t="n">
        <f aca="false">U1210-Z1210-AA1210</f>
        <v>-0.00372</v>
      </c>
      <c r="AD1210" s="413" t="n">
        <v>0.036</v>
      </c>
      <c r="AE1210" s="412" t="n">
        <f aca="false">Y1210</f>
        <v>0.030734</v>
      </c>
      <c r="AF1210" s="412" t="n">
        <v>0.004518</v>
      </c>
      <c r="AG1210" s="412" t="n">
        <v>0.036</v>
      </c>
      <c r="AH1210" s="378" t="n">
        <v>46155</v>
      </c>
      <c r="AI1210" s="414" t="n">
        <v>3</v>
      </c>
      <c r="AJ1210" s="415" t="str">
        <f aca="false">IF(AG1210="","N","Y")</f>
        <v>Y</v>
      </c>
      <c r="AK1210" s="416" t="s">
        <v>1325</v>
      </c>
      <c r="AL1210" s="417"/>
    </row>
    <row r="1211" s="418" customFormat="true" ht="20.25" hidden="false" customHeight="true" outlineLevel="0" collapsed="false">
      <c r="A1211" s="402" t="n">
        <v>684</v>
      </c>
      <c r="B1211" s="403" t="n">
        <v>46155</v>
      </c>
      <c r="C1211" s="402" t="s">
        <v>209</v>
      </c>
      <c r="D1211" s="402" t="s">
        <v>913</v>
      </c>
      <c r="E1211" s="402" t="s">
        <v>1195</v>
      </c>
      <c r="F1211" s="364" t="s">
        <v>524</v>
      </c>
      <c r="G1211" s="365" t="n">
        <v>46155</v>
      </c>
      <c r="H1211" s="404" t="n">
        <v>46247</v>
      </c>
      <c r="I1211" s="402" t="n">
        <f aca="false">H1211-G1211</f>
        <v>92</v>
      </c>
      <c r="J1211" s="405" t="n">
        <f aca="false">TRUNC(I1211/30,0)</f>
        <v>3</v>
      </c>
      <c r="K1211" s="406" t="s">
        <v>95</v>
      </c>
      <c r="L1211" s="407" t="n">
        <v>1.44</v>
      </c>
      <c r="M1211" s="408"/>
      <c r="N1211" s="409"/>
      <c r="O1211" s="405" t="s">
        <v>300</v>
      </c>
      <c r="P1211" s="410" t="n">
        <v>0.0364634</v>
      </c>
      <c r="Q1211" s="410"/>
      <c r="R1211" s="411" t="s">
        <v>914</v>
      </c>
      <c r="S1211" s="412"/>
      <c r="T1211" s="411"/>
      <c r="U1211" s="412"/>
      <c r="V1211" s="412" t="n">
        <v>0.040945</v>
      </c>
      <c r="W1211" s="412" t="n">
        <v>0.000818</v>
      </c>
      <c r="X1211" s="412" t="n">
        <v>0.00235</v>
      </c>
      <c r="Y1211" s="412" t="n">
        <v>0.030734</v>
      </c>
      <c r="Z1211" s="412" t="n">
        <v>0.00172</v>
      </c>
      <c r="AA1211" s="412" t="n">
        <v>0.002</v>
      </c>
      <c r="AB1211" s="412" t="n">
        <f aca="false">S1211-Z1211</f>
        <v>-0.00172</v>
      </c>
      <c r="AC1211" s="412" t="n">
        <f aca="false">U1211-Z1211-AA1211</f>
        <v>-0.00372</v>
      </c>
      <c r="AD1211" s="413" t="n">
        <v>0.036</v>
      </c>
      <c r="AE1211" s="412" t="n">
        <f aca="false">Y1211</f>
        <v>0.030734</v>
      </c>
      <c r="AF1211" s="412" t="n">
        <v>0.004518</v>
      </c>
      <c r="AG1211" s="412" t="n">
        <v>0.036</v>
      </c>
      <c r="AH1211" s="378" t="n">
        <v>46155</v>
      </c>
      <c r="AI1211" s="379" t="n">
        <v>4</v>
      </c>
      <c r="AJ1211" s="415" t="str">
        <f aca="false">IF(AG1211="","N","Y")</f>
        <v>Y</v>
      </c>
      <c r="AK1211" s="416" t="s">
        <v>1325</v>
      </c>
      <c r="AL1211" s="417"/>
    </row>
    <row r="1212" s="418" customFormat="true" ht="20.25" hidden="false" customHeight="true" outlineLevel="0" collapsed="false">
      <c r="A1212" s="402" t="n">
        <v>685</v>
      </c>
      <c r="B1212" s="403" t="n">
        <v>46155</v>
      </c>
      <c r="C1212" s="402" t="s">
        <v>209</v>
      </c>
      <c r="D1212" s="402" t="s">
        <v>913</v>
      </c>
      <c r="E1212" s="402" t="s">
        <v>1195</v>
      </c>
      <c r="F1212" s="364" t="s">
        <v>524</v>
      </c>
      <c r="G1212" s="365" t="n">
        <v>46155</v>
      </c>
      <c r="H1212" s="404" t="n">
        <v>46247</v>
      </c>
      <c r="I1212" s="402" t="n">
        <f aca="false">H1212-G1212</f>
        <v>92</v>
      </c>
      <c r="J1212" s="405" t="n">
        <f aca="false">TRUNC(I1212/30,0)</f>
        <v>3</v>
      </c>
      <c r="K1212" s="406" t="s">
        <v>95</v>
      </c>
      <c r="L1212" s="407" t="n">
        <v>3.61</v>
      </c>
      <c r="M1212" s="408"/>
      <c r="N1212" s="409"/>
      <c r="O1212" s="405" t="s">
        <v>300</v>
      </c>
      <c r="P1212" s="410" t="n">
        <v>0.0364634</v>
      </c>
      <c r="Q1212" s="410"/>
      <c r="R1212" s="411" t="s">
        <v>914</v>
      </c>
      <c r="S1212" s="412"/>
      <c r="T1212" s="411"/>
      <c r="U1212" s="412"/>
      <c r="V1212" s="412" t="n">
        <v>0.040945</v>
      </c>
      <c r="W1212" s="412" t="n">
        <v>0.000818</v>
      </c>
      <c r="X1212" s="412" t="n">
        <v>0.00235</v>
      </c>
      <c r="Y1212" s="412" t="n">
        <v>0.030734</v>
      </c>
      <c r="Z1212" s="412" t="n">
        <v>0.00172</v>
      </c>
      <c r="AA1212" s="412" t="n">
        <v>0.002</v>
      </c>
      <c r="AB1212" s="412" t="n">
        <f aca="false">S1212-Z1212</f>
        <v>-0.00172</v>
      </c>
      <c r="AC1212" s="412" t="n">
        <f aca="false">U1212-Z1212-AA1212</f>
        <v>-0.00372</v>
      </c>
      <c r="AD1212" s="413" t="n">
        <v>0.036</v>
      </c>
      <c r="AE1212" s="412" t="n">
        <f aca="false">Y1212</f>
        <v>0.030734</v>
      </c>
      <c r="AF1212" s="412" t="n">
        <v>0.004518</v>
      </c>
      <c r="AG1212" s="412" t="n">
        <v>0.036</v>
      </c>
      <c r="AH1212" s="378" t="n">
        <v>46155</v>
      </c>
      <c r="AI1212" s="414" t="n">
        <v>5</v>
      </c>
      <c r="AJ1212" s="415" t="str">
        <f aca="false">IF(AG1212="","N","Y")</f>
        <v>Y</v>
      </c>
      <c r="AK1212" s="416" t="s">
        <v>1325</v>
      </c>
      <c r="AL1212" s="417"/>
    </row>
    <row r="1213" s="382" customFormat="true" ht="20.25" hidden="false" customHeight="true" outlineLevel="0" collapsed="false">
      <c r="A1213" s="364" t="n">
        <v>686</v>
      </c>
      <c r="B1213" s="363" t="n">
        <v>46156</v>
      </c>
      <c r="C1213" s="364" t="s">
        <v>1133</v>
      </c>
      <c r="D1213" s="364" t="s">
        <v>1134</v>
      </c>
      <c r="E1213" s="364" t="s">
        <v>1191</v>
      </c>
      <c r="F1213" s="364" t="s">
        <v>1136</v>
      </c>
      <c r="G1213" s="365" t="n">
        <v>46156</v>
      </c>
      <c r="H1213" s="365" t="n">
        <v>46252</v>
      </c>
      <c r="I1213" s="364" t="n">
        <f aca="false">H1213-G1213</f>
        <v>96</v>
      </c>
      <c r="J1213" s="366" t="n">
        <f aca="false">TRUNC(I1213/30,0)</f>
        <v>3</v>
      </c>
      <c r="K1213" s="395" t="s">
        <v>95</v>
      </c>
      <c r="L1213" s="368" t="n">
        <v>2.06</v>
      </c>
      <c r="M1213" s="369"/>
      <c r="N1213" s="370"/>
      <c r="O1213" s="366" t="s">
        <v>300</v>
      </c>
      <c r="P1213" s="371" t="n">
        <v>0.0365107</v>
      </c>
      <c r="Q1213" s="371"/>
      <c r="R1213" s="372" t="s">
        <v>914</v>
      </c>
      <c r="S1213" s="373"/>
      <c r="T1213" s="372"/>
      <c r="U1213" s="373"/>
      <c r="V1213" s="373" t="n">
        <v>0.040969</v>
      </c>
      <c r="W1213" s="373" t="n">
        <v>0.000819</v>
      </c>
      <c r="X1213" s="373" t="n">
        <v>0.002874</v>
      </c>
      <c r="Y1213" s="373" t="n">
        <v>0.03078</v>
      </c>
      <c r="Z1213" s="373" t="n">
        <v>0.00172</v>
      </c>
      <c r="AA1213" s="373" t="n">
        <v>0.002</v>
      </c>
      <c r="AB1213" s="374" t="n">
        <f aca="false">S1213-Z1213</f>
        <v>-0.00172</v>
      </c>
      <c r="AC1213" s="374" t="n">
        <f aca="false">U1213-Z1213-AA1213</f>
        <v>-0.00372</v>
      </c>
      <c r="AD1213" s="375" t="n">
        <v>0.0355</v>
      </c>
      <c r="AE1213" s="412" t="n">
        <v>0.03078</v>
      </c>
      <c r="AF1213" s="376" t="n">
        <f aca="false">AD1213-AE1213</f>
        <v>0.00472</v>
      </c>
      <c r="AG1213" s="377" t="n">
        <f aca="false">AD1213</f>
        <v>0.0355</v>
      </c>
      <c r="AH1213" s="378" t="n">
        <v>46156</v>
      </c>
      <c r="AI1213" s="379" t="n">
        <v>1</v>
      </c>
      <c r="AJ1213" s="380" t="str">
        <f aca="false">IF(AG1213="","N","Y")</f>
        <v>Y</v>
      </c>
      <c r="AK1213" s="396" t="s">
        <v>1326</v>
      </c>
      <c r="AL1213" s="397"/>
    </row>
    <row r="1214" s="382" customFormat="true" ht="20.25" hidden="false" customHeight="true" outlineLevel="0" collapsed="false">
      <c r="A1214" s="364" t="n">
        <v>687</v>
      </c>
      <c r="B1214" s="363" t="n">
        <v>46157</v>
      </c>
      <c r="C1214" s="364" t="s">
        <v>1172</v>
      </c>
      <c r="D1214" s="364" t="s">
        <v>1327</v>
      </c>
      <c r="E1214" s="364" t="s">
        <v>1218</v>
      </c>
      <c r="F1214" s="364" t="s">
        <v>1175</v>
      </c>
      <c r="G1214" s="365" t="n">
        <v>46157</v>
      </c>
      <c r="H1214" s="365" t="n">
        <v>46188</v>
      </c>
      <c r="I1214" s="364" t="n">
        <f aca="false">H1214-G1214</f>
        <v>31</v>
      </c>
      <c r="J1214" s="366" t="n">
        <f aca="false">TRUNC(I1214/30,0)</f>
        <v>1</v>
      </c>
      <c r="K1214" s="367" t="s">
        <v>99</v>
      </c>
      <c r="L1214" s="368" t="n">
        <v>4.3</v>
      </c>
      <c r="M1214" s="369"/>
      <c r="N1214" s="370"/>
      <c r="O1214" s="366" t="s">
        <v>303</v>
      </c>
      <c r="P1214" s="371" t="n">
        <v>0.0362506</v>
      </c>
      <c r="Q1214" s="371"/>
      <c r="R1214" s="372" t="s">
        <v>914</v>
      </c>
      <c r="S1214" s="373"/>
      <c r="T1214" s="372"/>
      <c r="U1214" s="373"/>
      <c r="V1214" s="373" t="n">
        <v>0.04014</v>
      </c>
      <c r="W1214" s="373" t="n">
        <v>0.002809</v>
      </c>
      <c r="X1214" s="373" t="n">
        <v>0.003554</v>
      </c>
      <c r="Y1214" s="373" t="n">
        <v>0.022654</v>
      </c>
      <c r="Z1214" s="373" t="n">
        <v>0.00172</v>
      </c>
      <c r="AA1214" s="373" t="n">
        <v>0.002</v>
      </c>
      <c r="AB1214" s="374" t="n">
        <f aca="false">S1214-Z1214</f>
        <v>-0.00172</v>
      </c>
      <c r="AC1214" s="374" t="n">
        <f aca="false">U1214-Z1214-AA1214</f>
        <v>-0.00372</v>
      </c>
      <c r="AD1214" s="375" t="n">
        <v>0.032</v>
      </c>
      <c r="AE1214" s="412" t="n">
        <v>0.022654</v>
      </c>
      <c r="AF1214" s="376" t="n">
        <f aca="false">AD1214-AE1214</f>
        <v>0.009346</v>
      </c>
      <c r="AG1214" s="377" t="n">
        <f aca="false">IF(AF1214="","",AE1214+AF1214)</f>
        <v>0.032</v>
      </c>
      <c r="AH1214" s="378" t="n">
        <v>46157</v>
      </c>
      <c r="AI1214" s="379" t="n">
        <v>1</v>
      </c>
      <c r="AJ1214" s="380" t="str">
        <f aca="false">IF(AG1214="","N","Y")</f>
        <v>Y</v>
      </c>
      <c r="AK1214" s="396" t="s">
        <v>1262</v>
      </c>
      <c r="AL1214" s="397"/>
    </row>
    <row r="1215" s="382" customFormat="true" ht="20.25" hidden="false" customHeight="true" outlineLevel="0" collapsed="false">
      <c r="A1215" s="364" t="n">
        <v>688</v>
      </c>
      <c r="B1215" s="363" t="n">
        <v>46157</v>
      </c>
      <c r="C1215" s="364" t="s">
        <v>1328</v>
      </c>
      <c r="D1215" s="364" t="s">
        <v>1329</v>
      </c>
      <c r="E1215" s="364" t="s">
        <v>1330</v>
      </c>
      <c r="F1215" s="364" t="s">
        <v>1331</v>
      </c>
      <c r="G1215" s="365" t="n">
        <v>46157</v>
      </c>
      <c r="H1215" s="365" t="n">
        <v>46188</v>
      </c>
      <c r="I1215" s="364" t="n">
        <f aca="false">H1215-G1215</f>
        <v>31</v>
      </c>
      <c r="J1215" s="366" t="n">
        <f aca="false">TRUNC(I1215/30,0)</f>
        <v>1</v>
      </c>
      <c r="K1215" s="367" t="s">
        <v>99</v>
      </c>
      <c r="L1215" s="368" t="n">
        <v>7</v>
      </c>
      <c r="M1215" s="369"/>
      <c r="N1215" s="370"/>
      <c r="O1215" s="366" t="s">
        <v>303</v>
      </c>
      <c r="P1215" s="371" t="n">
        <v>0.0362506</v>
      </c>
      <c r="Q1215" s="371"/>
      <c r="R1215" s="372" t="s">
        <v>914</v>
      </c>
      <c r="S1215" s="373"/>
      <c r="T1215" s="372"/>
      <c r="U1215" s="373"/>
      <c r="V1215" s="373" t="n">
        <v>0.04014</v>
      </c>
      <c r="W1215" s="373" t="n">
        <v>0.002809</v>
      </c>
      <c r="X1215" s="373" t="n">
        <v>0.003554</v>
      </c>
      <c r="Y1215" s="373" t="n">
        <v>0.022654</v>
      </c>
      <c r="Z1215" s="373" t="n">
        <v>0.00172</v>
      </c>
      <c r="AA1215" s="373" t="n">
        <v>0.002</v>
      </c>
      <c r="AB1215" s="374" t="n">
        <f aca="false">S1215-Z1215</f>
        <v>-0.00172</v>
      </c>
      <c r="AC1215" s="374" t="n">
        <f aca="false">U1215-Z1215-AA1215</f>
        <v>-0.00372</v>
      </c>
      <c r="AD1215" s="375" t="n">
        <v>0.032</v>
      </c>
      <c r="AE1215" s="412" t="n">
        <v>0.022654</v>
      </c>
      <c r="AF1215" s="376" t="n">
        <f aca="false">AD1215-AE1215</f>
        <v>0.009346</v>
      </c>
      <c r="AG1215" s="377" t="n">
        <f aca="false">IF(AF1215="","",AE1215+AF1215)</f>
        <v>0.032</v>
      </c>
      <c r="AH1215" s="378" t="n">
        <v>46157</v>
      </c>
      <c r="AI1215" s="379" t="n">
        <v>2</v>
      </c>
      <c r="AJ1215" s="380" t="str">
        <f aca="false">IF(AG1215="","N","Y")</f>
        <v>Y</v>
      </c>
      <c r="AK1215" s="396" t="s">
        <v>1262</v>
      </c>
      <c r="AL1215" s="397"/>
    </row>
    <row r="1216" s="382" customFormat="true" ht="20.25" hidden="false" customHeight="true" outlineLevel="0" collapsed="false">
      <c r="A1216" s="364" t="n">
        <v>689</v>
      </c>
      <c r="B1216" s="363" t="n">
        <v>46162</v>
      </c>
      <c r="C1216" s="364" t="s">
        <v>187</v>
      </c>
      <c r="D1216" s="364" t="s">
        <v>1062</v>
      </c>
      <c r="E1216" s="364" t="s">
        <v>1165</v>
      </c>
      <c r="F1216" s="364" t="s">
        <v>877</v>
      </c>
      <c r="G1216" s="365" t="n">
        <v>46162</v>
      </c>
      <c r="H1216" s="365" t="n">
        <v>46192</v>
      </c>
      <c r="I1216" s="364" t="n">
        <f aca="false">H1216-G1216</f>
        <v>30</v>
      </c>
      <c r="J1216" s="366" t="n">
        <f aca="false">TRUNC(I1216/30,0)</f>
        <v>1</v>
      </c>
      <c r="K1216" s="367" t="s">
        <v>99</v>
      </c>
      <c r="L1216" s="368" t="n">
        <v>11.11</v>
      </c>
      <c r="M1216" s="408"/>
      <c r="N1216" s="409"/>
      <c r="O1216" s="366" t="s">
        <v>303</v>
      </c>
      <c r="P1216" s="371" t="n">
        <v>0.0359824</v>
      </c>
      <c r="Q1216" s="371"/>
      <c r="R1216" s="372" t="s">
        <v>914</v>
      </c>
      <c r="S1216" s="373"/>
      <c r="T1216" s="372"/>
      <c r="U1216" s="373"/>
      <c r="V1216" s="412" t="n">
        <v>0.039972</v>
      </c>
      <c r="W1216" s="373" t="n">
        <v>0.002798</v>
      </c>
      <c r="X1216" s="412" t="n">
        <f aca="false">V1216-AD1216-$X$5-W1216</f>
        <v>0.003398</v>
      </c>
      <c r="Y1216" s="373" t="n">
        <v>0.02216</v>
      </c>
      <c r="Z1216" s="412" t="n">
        <v>0.00172</v>
      </c>
      <c r="AA1216" s="412" t="n">
        <v>0.002</v>
      </c>
      <c r="AB1216" s="374" t="n">
        <f aca="false">S1216-Z1216</f>
        <v>-0.00172</v>
      </c>
      <c r="AC1216" s="374" t="n">
        <f aca="false">U1216-Z1216-AA1216</f>
        <v>-0.00372</v>
      </c>
      <c r="AD1216" s="375" t="n">
        <v>0.032</v>
      </c>
      <c r="AE1216" s="412" t="n">
        <f aca="false">Y1216</f>
        <v>0.02216</v>
      </c>
      <c r="AF1216" s="412" t="n">
        <f aca="false">AD1216-AE1216</f>
        <v>0.00984</v>
      </c>
      <c r="AG1216" s="377" t="n">
        <f aca="false">IF(AF1216="","",AE1216+AF1216)</f>
        <v>0.032</v>
      </c>
      <c r="AH1216" s="378" t="n">
        <v>46162</v>
      </c>
      <c r="AI1216" s="379" t="n">
        <v>1</v>
      </c>
      <c r="AJ1216" s="380" t="str">
        <f aca="false">IF(AG1216="","N","Y")</f>
        <v>Y</v>
      </c>
      <c r="AK1216" s="396" t="s">
        <v>1258</v>
      </c>
      <c r="AL1216" s="397"/>
    </row>
    <row r="1217" s="382" customFormat="true" ht="20.25" hidden="false" customHeight="true" outlineLevel="0" collapsed="false">
      <c r="A1217" s="364" t="n">
        <v>690</v>
      </c>
      <c r="B1217" s="363" t="n">
        <v>46162</v>
      </c>
      <c r="C1217" s="364" t="s">
        <v>1219</v>
      </c>
      <c r="D1217" s="364" t="s">
        <v>1005</v>
      </c>
      <c r="E1217" s="364" t="s">
        <v>1006</v>
      </c>
      <c r="F1217" s="364" t="s">
        <v>1056</v>
      </c>
      <c r="G1217" s="365" t="n">
        <v>46162</v>
      </c>
      <c r="H1217" s="365" t="n">
        <v>46192</v>
      </c>
      <c r="I1217" s="364" t="n">
        <f aca="false">H1217-G1217</f>
        <v>30</v>
      </c>
      <c r="J1217" s="366" t="n">
        <f aca="false">TRUNC(I1217/30,0)</f>
        <v>1</v>
      </c>
      <c r="K1217" s="367" t="s">
        <v>99</v>
      </c>
      <c r="L1217" s="368" t="n">
        <v>12.39</v>
      </c>
      <c r="M1217" s="369"/>
      <c r="N1217" s="370"/>
      <c r="O1217" s="366" t="s">
        <v>303</v>
      </c>
      <c r="P1217" s="371" t="n">
        <v>0.0359824</v>
      </c>
      <c r="Q1217" s="371"/>
      <c r="R1217" s="372" t="s">
        <v>914</v>
      </c>
      <c r="S1217" s="373"/>
      <c r="T1217" s="372"/>
      <c r="U1217" s="373"/>
      <c r="V1217" s="373" t="n">
        <v>0.039972</v>
      </c>
      <c r="W1217" s="373" t="n">
        <v>0.002798</v>
      </c>
      <c r="X1217" s="373" t="n">
        <v>0.003398</v>
      </c>
      <c r="Y1217" s="373" t="n">
        <v>0.02216</v>
      </c>
      <c r="Z1217" s="373" t="n">
        <v>0.00172</v>
      </c>
      <c r="AA1217" s="373" t="n">
        <v>0.002</v>
      </c>
      <c r="AB1217" s="374" t="n">
        <f aca="false">S1217-Z1217</f>
        <v>-0.00172</v>
      </c>
      <c r="AC1217" s="374" t="n">
        <f aca="false">U1217-Z1217-AA1217</f>
        <v>-0.00372</v>
      </c>
      <c r="AD1217" s="375" t="n">
        <v>0.032</v>
      </c>
      <c r="AE1217" s="412" t="n">
        <f aca="false">Y1217</f>
        <v>0.02216</v>
      </c>
      <c r="AF1217" s="376" t="n">
        <f aca="false">AD1217-AE1217</f>
        <v>0.00984</v>
      </c>
      <c r="AG1217" s="377" t="n">
        <v>0.032</v>
      </c>
      <c r="AH1217" s="378" t="n">
        <v>46162</v>
      </c>
      <c r="AI1217" s="379" t="n">
        <v>2</v>
      </c>
      <c r="AJ1217" s="380" t="str">
        <f aca="false">IF(AG1217="","N","Y")</f>
        <v>Y</v>
      </c>
      <c r="AK1217" s="396" t="s">
        <v>1262</v>
      </c>
      <c r="AL1217" s="397"/>
    </row>
    <row r="1218" s="382" customFormat="true" ht="19.5" hidden="false" customHeight="true" outlineLevel="0" collapsed="false">
      <c r="A1218" s="364" t="n">
        <v>691</v>
      </c>
      <c r="B1218" s="363" t="n">
        <v>46162</v>
      </c>
      <c r="C1218" s="364" t="s">
        <v>644</v>
      </c>
      <c r="D1218" s="364" t="s">
        <v>1070</v>
      </c>
      <c r="E1218" s="364" t="s">
        <v>1226</v>
      </c>
      <c r="F1218" s="364" t="s">
        <v>1072</v>
      </c>
      <c r="G1218" s="365" t="n">
        <v>46162</v>
      </c>
      <c r="H1218" s="365" t="n">
        <v>46192</v>
      </c>
      <c r="I1218" s="364" t="n">
        <f aca="false">H1218-G1218</f>
        <v>30</v>
      </c>
      <c r="J1218" s="366" t="n">
        <f aca="false">TRUNC(I1218/30,0)</f>
        <v>1</v>
      </c>
      <c r="K1218" s="395" t="s">
        <v>95</v>
      </c>
      <c r="L1218" s="368" t="n">
        <v>1.5</v>
      </c>
      <c r="M1218" s="408"/>
      <c r="N1218" s="409"/>
      <c r="O1218" s="405" t="s">
        <v>303</v>
      </c>
      <c r="P1218" s="371" t="n">
        <v>0.0359824</v>
      </c>
      <c r="Q1218" s="371"/>
      <c r="R1218" s="372" t="s">
        <v>914</v>
      </c>
      <c r="S1218" s="373"/>
      <c r="T1218" s="372"/>
      <c r="U1218" s="373"/>
      <c r="V1218" s="412" t="n">
        <v>0.039044</v>
      </c>
      <c r="W1218" s="373" t="n">
        <v>0.00078</v>
      </c>
      <c r="X1218" s="412" t="n">
        <v>0.002487</v>
      </c>
      <c r="Y1218" s="373" t="n">
        <v>0.029562</v>
      </c>
      <c r="Z1218" s="412" t="n">
        <v>0.00172</v>
      </c>
      <c r="AA1218" s="412" t="n">
        <v>0.002</v>
      </c>
      <c r="AB1218" s="374" t="n">
        <f aca="false">S1218-Z1218</f>
        <v>-0.00172</v>
      </c>
      <c r="AC1218" s="374" t="n">
        <f aca="false">U1218-Z1218-AA1218</f>
        <v>-0.00372</v>
      </c>
      <c r="AD1218" s="375" t="n">
        <v>0.034</v>
      </c>
      <c r="AE1218" s="412" t="n">
        <v>0.029562</v>
      </c>
      <c r="AF1218" s="412" t="n">
        <f aca="false">AD1218-AE1218</f>
        <v>0.004438</v>
      </c>
      <c r="AG1218" s="377" t="n">
        <f aca="false">IF(AF1218="","",AE1218+AF1218)</f>
        <v>0.034</v>
      </c>
      <c r="AH1218" s="378" t="n">
        <v>46162</v>
      </c>
      <c r="AI1218" s="379" t="n">
        <v>3</v>
      </c>
      <c r="AJ1218" s="380" t="str">
        <f aca="false">IF(AG1218="","N","Y")</f>
        <v>Y</v>
      </c>
      <c r="AK1218" s="396" t="s">
        <v>1262</v>
      </c>
      <c r="AL1218" s="397"/>
    </row>
    <row r="1219" s="382" customFormat="true" ht="19.5" hidden="false" customHeight="true" outlineLevel="0" collapsed="false">
      <c r="A1219" s="364" t="n">
        <v>692</v>
      </c>
      <c r="B1219" s="363" t="n">
        <v>46162</v>
      </c>
      <c r="C1219" s="364" t="s">
        <v>1081</v>
      </c>
      <c r="D1219" s="364" t="s">
        <v>1082</v>
      </c>
      <c r="E1219" s="364" t="s">
        <v>900</v>
      </c>
      <c r="F1219" s="364" t="s">
        <v>1083</v>
      </c>
      <c r="G1219" s="365" t="n">
        <v>46162</v>
      </c>
      <c r="H1219" s="365" t="n">
        <v>46192</v>
      </c>
      <c r="I1219" s="364" t="n">
        <f aca="false">H1219-G1219</f>
        <v>30</v>
      </c>
      <c r="J1219" s="366" t="n">
        <f aca="false">TRUNC(I1219/30,0)</f>
        <v>1</v>
      </c>
      <c r="K1219" s="367" t="s">
        <v>99</v>
      </c>
      <c r="L1219" s="368" t="n">
        <v>5.73</v>
      </c>
      <c r="M1219" s="369"/>
      <c r="N1219" s="370"/>
      <c r="O1219" s="366" t="s">
        <v>303</v>
      </c>
      <c r="P1219" s="371" t="n">
        <v>0.0359824</v>
      </c>
      <c r="Q1219" s="371"/>
      <c r="R1219" s="372" t="s">
        <v>914</v>
      </c>
      <c r="S1219" s="373"/>
      <c r="T1219" s="372"/>
      <c r="U1219" s="373"/>
      <c r="V1219" s="373" t="n">
        <v>0.039972</v>
      </c>
      <c r="W1219" s="373" t="n">
        <v>0.002798</v>
      </c>
      <c r="X1219" s="373" t="n">
        <v>0.003398</v>
      </c>
      <c r="Y1219" s="373" t="n">
        <v>0.02216</v>
      </c>
      <c r="Z1219" s="373" t="n">
        <v>0.00172</v>
      </c>
      <c r="AA1219" s="373" t="n">
        <v>0.002</v>
      </c>
      <c r="AB1219" s="374" t="n">
        <f aca="false">S1219-Z1219</f>
        <v>-0.00172</v>
      </c>
      <c r="AC1219" s="374" t="n">
        <f aca="false">U1219-Z1219-AA1219</f>
        <v>-0.00372</v>
      </c>
      <c r="AD1219" s="375" t="n">
        <v>0.032</v>
      </c>
      <c r="AE1219" s="412" t="n">
        <f aca="false">Y1219</f>
        <v>0.02216</v>
      </c>
      <c r="AF1219" s="376" t="n">
        <f aca="false">AD1219-AE1219</f>
        <v>0.00984</v>
      </c>
      <c r="AG1219" s="377" t="n">
        <f aca="false">IF(AF1219="","",AE1219+AF1219)</f>
        <v>0.032</v>
      </c>
      <c r="AH1219" s="378" t="n">
        <v>46162</v>
      </c>
      <c r="AI1219" s="379" t="n">
        <v>4</v>
      </c>
      <c r="AJ1219" s="380" t="str">
        <f aca="false">IF(AG1219="","N","Y")</f>
        <v>Y</v>
      </c>
      <c r="AK1219" s="396" t="s">
        <v>1262</v>
      </c>
      <c r="AL1219" s="397"/>
    </row>
    <row r="1220" s="382" customFormat="true" ht="19.5" hidden="false" customHeight="true" outlineLevel="0" collapsed="false">
      <c r="A1220" s="364" t="n">
        <v>693</v>
      </c>
      <c r="B1220" s="363" t="n">
        <v>46162</v>
      </c>
      <c r="C1220" s="364" t="s">
        <v>209</v>
      </c>
      <c r="D1220" s="364" t="s">
        <v>1054</v>
      </c>
      <c r="E1220" s="364" t="s">
        <v>1312</v>
      </c>
      <c r="F1220" s="364" t="s">
        <v>1313</v>
      </c>
      <c r="G1220" s="365" t="n">
        <v>46162</v>
      </c>
      <c r="H1220" s="365" t="n">
        <v>46195</v>
      </c>
      <c r="I1220" s="364" t="n">
        <f aca="false">H1220-G1220</f>
        <v>33</v>
      </c>
      <c r="J1220" s="366" t="n">
        <f aca="false">TRUNC(I1220/30,0)</f>
        <v>1</v>
      </c>
      <c r="K1220" s="367" t="s">
        <v>99</v>
      </c>
      <c r="L1220" s="368" t="n">
        <v>8.67</v>
      </c>
      <c r="M1220" s="369"/>
      <c r="N1220" s="370"/>
      <c r="O1220" s="366" t="s">
        <v>303</v>
      </c>
      <c r="P1220" s="371" t="n">
        <v>0.0359824</v>
      </c>
      <c r="Q1220" s="371"/>
      <c r="R1220" s="372" t="s">
        <v>914</v>
      </c>
      <c r="S1220" s="373"/>
      <c r="T1220" s="372"/>
      <c r="U1220" s="373"/>
      <c r="V1220" s="373" t="n">
        <v>0.039972</v>
      </c>
      <c r="W1220" s="373" t="n">
        <v>0.002798</v>
      </c>
      <c r="X1220" s="373" t="n">
        <v>0.003398</v>
      </c>
      <c r="Y1220" s="373" t="n">
        <v>0.02216</v>
      </c>
      <c r="Z1220" s="373" t="n">
        <v>0.00172</v>
      </c>
      <c r="AA1220" s="373" t="n">
        <v>0.002</v>
      </c>
      <c r="AB1220" s="374" t="n">
        <f aca="false">S1220-Z1220</f>
        <v>-0.00172</v>
      </c>
      <c r="AC1220" s="374" t="n">
        <f aca="false">U1220-Z1220-AA1220</f>
        <v>-0.00372</v>
      </c>
      <c r="AD1220" s="375" t="n">
        <v>0.032</v>
      </c>
      <c r="AE1220" s="412" t="n">
        <f aca="false">Y1220</f>
        <v>0.02216</v>
      </c>
      <c r="AF1220" s="376" t="n">
        <f aca="false">AD1220-AE1220</f>
        <v>0.00984</v>
      </c>
      <c r="AG1220" s="377" t="n">
        <f aca="false">IF(AF1220="","",AE1220+AF1220)</f>
        <v>0.032</v>
      </c>
      <c r="AH1220" s="378" t="n">
        <v>46162</v>
      </c>
      <c r="AI1220" s="379" t="n">
        <v>5</v>
      </c>
      <c r="AJ1220" s="380" t="str">
        <f aca="false">IF(AG1220="","N","Y")</f>
        <v>Y</v>
      </c>
      <c r="AK1220" s="396" t="s">
        <v>1258</v>
      </c>
      <c r="AL1220" s="397"/>
    </row>
    <row r="1221" s="382" customFormat="true" ht="20.25" hidden="false" customHeight="true" outlineLevel="0" collapsed="false">
      <c r="A1221" s="364" t="n">
        <v>694</v>
      </c>
      <c r="B1221" s="363" t="n">
        <v>46163</v>
      </c>
      <c r="C1221" s="364" t="s">
        <v>96</v>
      </c>
      <c r="D1221" s="364" t="s">
        <v>1073</v>
      </c>
      <c r="E1221" s="364" t="s">
        <v>805</v>
      </c>
      <c r="F1221" s="364" t="s">
        <v>1299</v>
      </c>
      <c r="G1221" s="365" t="n">
        <v>46163</v>
      </c>
      <c r="H1221" s="365" t="n">
        <v>46195</v>
      </c>
      <c r="I1221" s="364" t="n">
        <f aca="false">H1221-G1221</f>
        <v>32</v>
      </c>
      <c r="J1221" s="366" t="n">
        <f aca="false">TRUNC(I1221/30,0)</f>
        <v>1</v>
      </c>
      <c r="K1221" s="395" t="s">
        <v>95</v>
      </c>
      <c r="L1221" s="368" t="n">
        <v>1</v>
      </c>
      <c r="M1221" s="408"/>
      <c r="N1221" s="409"/>
      <c r="O1221" s="405" t="s">
        <v>303</v>
      </c>
      <c r="P1221" s="371" t="n">
        <v>0.0357888</v>
      </c>
      <c r="Q1221" s="371"/>
      <c r="R1221" s="372" t="s">
        <v>914</v>
      </c>
      <c r="S1221" s="373"/>
      <c r="T1221" s="372"/>
      <c r="U1221" s="373"/>
      <c r="V1221" s="412" t="n">
        <v>0.039</v>
      </c>
      <c r="W1221" s="373" t="n">
        <v>0.00079</v>
      </c>
      <c r="X1221" s="412" t="n">
        <v>0.002944</v>
      </c>
      <c r="Y1221" s="373" t="n">
        <v>0.029373</v>
      </c>
      <c r="Z1221" s="412" t="n">
        <v>0.00172</v>
      </c>
      <c r="AA1221" s="412" t="n">
        <v>0.002</v>
      </c>
      <c r="AB1221" s="374" t="n">
        <f aca="false">S1221-Z1221</f>
        <v>-0.00172</v>
      </c>
      <c r="AC1221" s="374" t="n">
        <f aca="false">U1221-Z1221-AA1221</f>
        <v>-0.00372</v>
      </c>
      <c r="AD1221" s="375" t="n">
        <v>0.0335</v>
      </c>
      <c r="AE1221" s="412" t="n">
        <v>0.029373</v>
      </c>
      <c r="AF1221" s="412" t="n">
        <f aca="false">AD1221-AE1221</f>
        <v>0.004127</v>
      </c>
      <c r="AG1221" s="377" t="n">
        <f aca="false">IF(AF1221="","",AE1221+AF1221)</f>
        <v>0.0335</v>
      </c>
      <c r="AH1221" s="378" t="n">
        <v>46163</v>
      </c>
      <c r="AI1221" s="379" t="n">
        <v>1</v>
      </c>
      <c r="AJ1221" s="380" t="str">
        <f aca="false">IF(AG1221="","N","Y")</f>
        <v>Y</v>
      </c>
      <c r="AK1221" s="416" t="s">
        <v>1332</v>
      </c>
      <c r="AL1221" s="397"/>
    </row>
    <row r="1222" s="382" customFormat="true" ht="20.25" hidden="false" customHeight="true" outlineLevel="0" collapsed="false">
      <c r="A1222" s="364" t="n">
        <v>695</v>
      </c>
      <c r="B1222" s="363" t="n">
        <v>46169</v>
      </c>
      <c r="C1222" s="364" t="s">
        <v>1333</v>
      </c>
      <c r="D1222" s="364" t="s">
        <v>1334</v>
      </c>
      <c r="E1222" s="364" t="s">
        <v>1335</v>
      </c>
      <c r="F1222" s="364" t="s">
        <v>1336</v>
      </c>
      <c r="G1222" s="365" t="n">
        <v>46169</v>
      </c>
      <c r="H1222" s="365" t="n">
        <v>46200</v>
      </c>
      <c r="I1222" s="364" t="n">
        <f aca="false">H1222-G1222</f>
        <v>31</v>
      </c>
      <c r="J1222" s="366" t="n">
        <f aca="false">TRUNC(I1222/30,0)</f>
        <v>1</v>
      </c>
      <c r="K1222" s="367" t="s">
        <v>99</v>
      </c>
      <c r="L1222" s="368" t="n">
        <v>1.3</v>
      </c>
      <c r="M1222" s="408"/>
      <c r="N1222" s="409"/>
      <c r="O1222" s="405" t="s">
        <v>303</v>
      </c>
      <c r="P1222" s="371" t="n">
        <v>0.0361389</v>
      </c>
      <c r="Q1222" s="371"/>
      <c r="R1222" s="372" t="s">
        <v>914</v>
      </c>
      <c r="S1222" s="373"/>
      <c r="T1222" s="372"/>
      <c r="U1222" s="373"/>
      <c r="V1222" s="412" t="n">
        <v>0.040072</v>
      </c>
      <c r="W1222" s="373" t="n">
        <v>0.002805</v>
      </c>
      <c r="X1222" s="412" t="n">
        <v>0.004491</v>
      </c>
      <c r="Y1222" s="373" t="n">
        <v>0.022337</v>
      </c>
      <c r="Z1222" s="412" t="n">
        <v>0.00172</v>
      </c>
      <c r="AA1222" s="412" t="n">
        <v>0.002</v>
      </c>
      <c r="AB1222" s="374" t="n">
        <f aca="false">S1222-Z1222</f>
        <v>-0.00172</v>
      </c>
      <c r="AC1222" s="374" t="n">
        <f aca="false">U1222-Z1222-AA1222</f>
        <v>-0.00372</v>
      </c>
      <c r="AD1222" s="375" t="n">
        <v>0.031</v>
      </c>
      <c r="AE1222" s="412" t="n">
        <v>0.022337</v>
      </c>
      <c r="AF1222" s="412" t="n">
        <f aca="false">AD1222-AE1222</f>
        <v>0.008663</v>
      </c>
      <c r="AG1222" s="377" t="n">
        <f aca="false">IF(AF1222="","",AE1222+AF1222)</f>
        <v>0.031</v>
      </c>
      <c r="AH1222" s="378" t="n">
        <v>46169</v>
      </c>
      <c r="AI1222" s="379" t="n">
        <v>1</v>
      </c>
      <c r="AJ1222" s="380" t="str">
        <f aca="false">IF(AG1222="","N","Y")</f>
        <v>Y</v>
      </c>
      <c r="AK1222" s="396" t="s">
        <v>1262</v>
      </c>
      <c r="AL1222" s="397"/>
    </row>
    <row r="1223" s="382" customFormat="true" ht="20.25" hidden="false" customHeight="true" outlineLevel="0" collapsed="false">
      <c r="A1223" s="364" t="n">
        <v>696</v>
      </c>
      <c r="B1223" s="363" t="n">
        <v>46171</v>
      </c>
      <c r="C1223" s="364" t="s">
        <v>187</v>
      </c>
      <c r="D1223" s="364" t="s">
        <v>1277</v>
      </c>
      <c r="E1223" s="364" t="s">
        <v>1278</v>
      </c>
      <c r="F1223" s="364" t="s">
        <v>1120</v>
      </c>
      <c r="G1223" s="365" t="n">
        <v>46171</v>
      </c>
      <c r="H1223" s="365" t="n">
        <v>46202</v>
      </c>
      <c r="I1223" s="364" t="n">
        <f aca="false">H1223-G1223</f>
        <v>31</v>
      </c>
      <c r="J1223" s="366" t="n">
        <f aca="false">TRUNC(I1223/30,0)</f>
        <v>1</v>
      </c>
      <c r="K1223" s="367" t="s">
        <v>99</v>
      </c>
      <c r="L1223" s="368" t="n">
        <v>2.55</v>
      </c>
      <c r="M1223" s="369"/>
      <c r="N1223" s="370"/>
      <c r="O1223" s="366" t="s">
        <v>303</v>
      </c>
      <c r="P1223" s="371" t="n">
        <v>0.0362045</v>
      </c>
      <c r="Q1223" s="371"/>
      <c r="R1223" s="372" t="s">
        <v>914</v>
      </c>
      <c r="S1223" s="373"/>
      <c r="T1223" s="372"/>
      <c r="U1223" s="373"/>
      <c r="V1223" s="373" t="n">
        <v>0.04018</v>
      </c>
      <c r="W1223" s="373" t="n">
        <v>0.002812</v>
      </c>
      <c r="X1223" s="412" t="n">
        <v>0.004091</v>
      </c>
      <c r="Y1223" s="373" t="n">
        <v>0.02294</v>
      </c>
      <c r="Z1223" s="373" t="n">
        <v>0.00172</v>
      </c>
      <c r="AA1223" s="373" t="n">
        <v>0.002</v>
      </c>
      <c r="AB1223" s="374" t="n">
        <f aca="false">S1223-Z1223</f>
        <v>-0.00172</v>
      </c>
      <c r="AC1223" s="374" t="n">
        <f aca="false">U1223-Z1223-AA1223</f>
        <v>-0.00372</v>
      </c>
      <c r="AD1223" s="375" t="n">
        <v>0.0315</v>
      </c>
      <c r="AE1223" s="373" t="n">
        <v>0.02294</v>
      </c>
      <c r="AF1223" s="376" t="n">
        <v>0.008107</v>
      </c>
      <c r="AG1223" s="377" t="n">
        <v>0.0315</v>
      </c>
      <c r="AH1223" s="378" t="n">
        <v>46171</v>
      </c>
      <c r="AI1223" s="379" t="n">
        <v>1</v>
      </c>
      <c r="AJ1223" s="380" t="str">
        <f aca="false">IF(AG1223="","N","Y")</f>
        <v>Y</v>
      </c>
      <c r="AK1223" s="396" t="s">
        <v>1262</v>
      </c>
      <c r="AL1223" s="397"/>
    </row>
    <row r="1224" s="382" customFormat="true" ht="20.25" hidden="false" customHeight="true" outlineLevel="0" collapsed="false">
      <c r="A1224" s="364" t="n">
        <v>697</v>
      </c>
      <c r="B1224" s="363" t="n">
        <v>46171</v>
      </c>
      <c r="C1224" s="364" t="s">
        <v>862</v>
      </c>
      <c r="D1224" s="364" t="s">
        <v>932</v>
      </c>
      <c r="E1224" s="364" t="s">
        <v>970</v>
      </c>
      <c r="F1224" s="364" t="s">
        <v>906</v>
      </c>
      <c r="G1224" s="365" t="n">
        <v>46171</v>
      </c>
      <c r="H1224" s="365" t="n">
        <v>46202</v>
      </c>
      <c r="I1224" s="364" t="n">
        <f aca="false">H1224-G1224</f>
        <v>31</v>
      </c>
      <c r="J1224" s="366" t="n">
        <f aca="false">TRUNC(I1224/30,0)</f>
        <v>1</v>
      </c>
      <c r="K1224" s="367" t="s">
        <v>99</v>
      </c>
      <c r="L1224" s="368" t="n">
        <v>3</v>
      </c>
      <c r="M1224" s="369"/>
      <c r="N1224" s="370"/>
      <c r="O1224" s="366" t="s">
        <v>303</v>
      </c>
      <c r="P1224" s="371" t="n">
        <v>0.0362045</v>
      </c>
      <c r="Q1224" s="371"/>
      <c r="R1224" s="372" t="s">
        <v>914</v>
      </c>
      <c r="S1224" s="373"/>
      <c r="T1224" s="372"/>
      <c r="U1224" s="373"/>
      <c r="V1224" s="258" t="n">
        <v>0.04018</v>
      </c>
      <c r="W1224" s="258" t="n">
        <v>0.002812</v>
      </c>
      <c r="X1224" s="373" t="n">
        <v>0.003091</v>
      </c>
      <c r="Y1224" s="373" t="n">
        <v>0.02294</v>
      </c>
      <c r="Z1224" s="373" t="n">
        <v>0.00172</v>
      </c>
      <c r="AA1224" s="373" t="n">
        <v>0.002</v>
      </c>
      <c r="AB1224" s="374" t="n">
        <f aca="false">S1224-Z1224</f>
        <v>-0.00172</v>
      </c>
      <c r="AC1224" s="374" t="n">
        <f aca="false">U1224-Z1224-AA1224</f>
        <v>-0.00372</v>
      </c>
      <c r="AD1224" s="375" t="n">
        <v>0.0325</v>
      </c>
      <c r="AE1224" s="376" t="n">
        <v>0.02294</v>
      </c>
      <c r="AF1224" s="376" t="n">
        <f aca="false">AD1224-AE1224</f>
        <v>0.00956</v>
      </c>
      <c r="AG1224" s="377" t="n">
        <v>0.0325</v>
      </c>
      <c r="AH1224" s="378" t="n">
        <v>46171</v>
      </c>
      <c r="AI1224" s="379" t="n">
        <v>2</v>
      </c>
      <c r="AJ1224" s="380" t="str">
        <f aca="false">IF(AG1224="","N","Y")</f>
        <v>Y</v>
      </c>
      <c r="AK1224" s="396" t="s">
        <v>1262</v>
      </c>
      <c r="AL1224" s="397"/>
    </row>
    <row r="1225" s="382" customFormat="true" ht="20.25" hidden="false" customHeight="true" outlineLevel="0" collapsed="false">
      <c r="A1225" s="364" t="n">
        <v>698</v>
      </c>
      <c r="B1225" s="363" t="n">
        <v>46174</v>
      </c>
      <c r="C1225" s="364" t="s">
        <v>1184</v>
      </c>
      <c r="D1225" s="364" t="s">
        <v>1185</v>
      </c>
      <c r="E1225" s="364" t="s">
        <v>1303</v>
      </c>
      <c r="F1225" s="364" t="s">
        <v>1187</v>
      </c>
      <c r="G1225" s="365" t="n">
        <v>46174</v>
      </c>
      <c r="H1225" s="365" t="n">
        <v>46204</v>
      </c>
      <c r="I1225" s="364" t="n">
        <f aca="false">H1225-G1225</f>
        <v>30</v>
      </c>
      <c r="J1225" s="366" t="n">
        <f aca="false">TRUNC(I1225/30,0)</f>
        <v>1</v>
      </c>
      <c r="K1225" s="367" t="s">
        <v>99</v>
      </c>
      <c r="L1225" s="368" t="n">
        <v>8.35</v>
      </c>
      <c r="M1225" s="369"/>
      <c r="N1225" s="370"/>
      <c r="O1225" s="366" t="s">
        <v>303</v>
      </c>
      <c r="P1225" s="371" t="n">
        <v>0.0361998</v>
      </c>
      <c r="Q1225" s="371"/>
      <c r="R1225" s="372" t="s">
        <v>914</v>
      </c>
      <c r="S1225" s="373"/>
      <c r="T1225" s="372"/>
      <c r="U1225" s="373"/>
      <c r="V1225" s="373" t="n">
        <v>0.040154</v>
      </c>
      <c r="W1225" s="373" t="n">
        <v>0.00281</v>
      </c>
      <c r="X1225" s="412" t="n">
        <f aca="false">V1225-AD1225-$X$5-W1225</f>
        <v>0.003568</v>
      </c>
      <c r="Y1225" s="373" t="n">
        <v>0.022866</v>
      </c>
      <c r="Z1225" s="373" t="n">
        <v>0.00172</v>
      </c>
      <c r="AA1225" s="373" t="n">
        <v>0.002</v>
      </c>
      <c r="AB1225" s="374" t="n">
        <f aca="false">S1225-Z1225</f>
        <v>-0.00172</v>
      </c>
      <c r="AC1225" s="374" t="n">
        <f aca="false">U1225-Z1225-AA1225</f>
        <v>-0.00372</v>
      </c>
      <c r="AD1225" s="375" t="n">
        <v>0.032</v>
      </c>
      <c r="AE1225" s="373" t="n">
        <v>0.022866</v>
      </c>
      <c r="AF1225" s="376" t="n">
        <f aca="false">AD1225-AE1225</f>
        <v>0.009134</v>
      </c>
      <c r="AG1225" s="377" t="n">
        <f aca="false">IF(AF1225="","",AE1225+AF1225)</f>
        <v>0.032</v>
      </c>
      <c r="AH1225" s="378" t="n">
        <v>46174</v>
      </c>
      <c r="AI1225" s="379" t="n">
        <v>1</v>
      </c>
      <c r="AJ1225" s="380" t="str">
        <f aca="false">IF(AG1225="","N","Y")</f>
        <v>Y</v>
      </c>
      <c r="AK1225" s="396" t="s">
        <v>1262</v>
      </c>
      <c r="AL1225" s="397"/>
    </row>
    <row r="1226" s="382" customFormat="true" ht="20.25" hidden="false" customHeight="true" outlineLevel="0" collapsed="false">
      <c r="A1226" s="364" t="n">
        <v>699</v>
      </c>
      <c r="B1226" s="363" t="n">
        <v>46174</v>
      </c>
      <c r="C1226" s="364" t="s">
        <v>1184</v>
      </c>
      <c r="D1226" s="364" t="s">
        <v>1185</v>
      </c>
      <c r="E1226" s="364" t="s">
        <v>1303</v>
      </c>
      <c r="F1226" s="364" t="s">
        <v>1337</v>
      </c>
      <c r="G1226" s="365" t="n">
        <v>46174</v>
      </c>
      <c r="H1226" s="365" t="n">
        <v>46204</v>
      </c>
      <c r="I1226" s="364" t="n">
        <f aca="false">H1226-G1226</f>
        <v>30</v>
      </c>
      <c r="J1226" s="366" t="n">
        <f aca="false">TRUNC(I1226/30,0)</f>
        <v>1</v>
      </c>
      <c r="K1226" s="367" t="s">
        <v>99</v>
      </c>
      <c r="L1226" s="368" t="n">
        <v>3.78</v>
      </c>
      <c r="M1226" s="369"/>
      <c r="N1226" s="370"/>
      <c r="O1226" s="366" t="s">
        <v>303</v>
      </c>
      <c r="P1226" s="371" t="n">
        <v>0.0361998</v>
      </c>
      <c r="Q1226" s="371"/>
      <c r="R1226" s="372" t="s">
        <v>914</v>
      </c>
      <c r="S1226" s="373"/>
      <c r="T1226" s="372"/>
      <c r="U1226" s="373"/>
      <c r="V1226" s="373" t="n">
        <v>0.040154</v>
      </c>
      <c r="W1226" s="373" t="n">
        <v>0.00281</v>
      </c>
      <c r="X1226" s="412" t="n">
        <f aca="false">V1226-AD1226-$X$5-W1226</f>
        <v>0.006568</v>
      </c>
      <c r="Y1226" s="373" t="n">
        <v>0.022866</v>
      </c>
      <c r="Z1226" s="373" t="n">
        <v>0.00172</v>
      </c>
      <c r="AA1226" s="373" t="n">
        <v>0.002</v>
      </c>
      <c r="AB1226" s="374" t="n">
        <f aca="false">S1226-Z1226</f>
        <v>-0.00172</v>
      </c>
      <c r="AC1226" s="374" t="n">
        <f aca="false">U1226-Z1226-AA1226</f>
        <v>-0.00372</v>
      </c>
      <c r="AD1226" s="375" t="n">
        <v>0.029</v>
      </c>
      <c r="AE1226" s="373" t="n">
        <v>0.022866</v>
      </c>
      <c r="AF1226" s="376" t="n">
        <f aca="false">AD1226-AE1226</f>
        <v>0.006134</v>
      </c>
      <c r="AG1226" s="377" t="n">
        <f aca="false">IF(AF1226="","",AE1226+AF1226)</f>
        <v>0.029</v>
      </c>
      <c r="AH1226" s="378" t="n">
        <v>46174</v>
      </c>
      <c r="AI1226" s="379" t="n">
        <v>2</v>
      </c>
      <c r="AJ1226" s="380" t="str">
        <f aca="false">IF(AG1226="","N","Y")</f>
        <v>Y</v>
      </c>
      <c r="AK1226" s="396" t="s">
        <v>1262</v>
      </c>
      <c r="AL1226" s="397"/>
    </row>
    <row r="1227" s="382" customFormat="true" ht="20.25" hidden="false" customHeight="true" outlineLevel="0" collapsed="false">
      <c r="A1227" s="364" t="n">
        <v>700</v>
      </c>
      <c r="B1227" s="363" t="n">
        <v>46177</v>
      </c>
      <c r="C1227" s="364" t="s">
        <v>925</v>
      </c>
      <c r="D1227" s="364" t="s">
        <v>1281</v>
      </c>
      <c r="E1227" s="364" t="s">
        <v>987</v>
      </c>
      <c r="F1227" s="364" t="s">
        <v>1234</v>
      </c>
      <c r="G1227" s="365" t="n">
        <v>46177</v>
      </c>
      <c r="H1227" s="365" t="n">
        <v>46238</v>
      </c>
      <c r="I1227" s="364" t="n">
        <f aca="false">H1227-G1227</f>
        <v>61</v>
      </c>
      <c r="J1227" s="366" t="n">
        <f aca="false">TRUNC(I1227/30,0)</f>
        <v>2</v>
      </c>
      <c r="K1227" s="395" t="s">
        <v>95</v>
      </c>
      <c r="L1227" s="368" t="n">
        <v>2</v>
      </c>
      <c r="M1227" s="369"/>
      <c r="N1227" s="370"/>
      <c r="O1227" s="366" t="s">
        <v>303</v>
      </c>
      <c r="P1227" s="371" t="n">
        <v>0.0361264</v>
      </c>
      <c r="Q1227" s="371"/>
      <c r="R1227" s="372" t="s">
        <v>914</v>
      </c>
      <c r="S1227" s="373"/>
      <c r="T1227" s="372"/>
      <c r="U1227" s="373"/>
      <c r="V1227" s="373" t="n">
        <v>0.040139</v>
      </c>
      <c r="W1227" s="373" t="n">
        <v>0.000802</v>
      </c>
      <c r="X1227" s="412" t="n">
        <f aca="false">V1227-AD1227-$X$5-W1227</f>
        <v>0.003061</v>
      </c>
      <c r="Y1227" s="373" t="n">
        <v>0.022925</v>
      </c>
      <c r="Z1227" s="373" t="n">
        <v>0.00172</v>
      </c>
      <c r="AA1227" s="373" t="n">
        <v>0.002</v>
      </c>
      <c r="AB1227" s="374" t="n">
        <f aca="false">S1227-Z1227</f>
        <v>-0.00172</v>
      </c>
      <c r="AC1227" s="374" t="n">
        <f aca="false">U1227-Z1227-AA1227</f>
        <v>-0.00372</v>
      </c>
      <c r="AD1227" s="375" t="n">
        <v>0.0345</v>
      </c>
      <c r="AE1227" s="373" t="n">
        <v>0.022925</v>
      </c>
      <c r="AF1227" s="376" t="n">
        <f aca="false">AD1227-AE1227</f>
        <v>0.011575</v>
      </c>
      <c r="AG1227" s="377" t="n">
        <v>0.0345</v>
      </c>
      <c r="AH1227" s="378" t="n">
        <v>46177</v>
      </c>
      <c r="AI1227" s="379" t="n">
        <v>1</v>
      </c>
      <c r="AJ1227" s="380" t="str">
        <f aca="false">IF(AG1227="","N","Y")</f>
        <v>Y</v>
      </c>
      <c r="AK1227" s="396" t="s">
        <v>1286</v>
      </c>
      <c r="AL1227" s="397"/>
    </row>
    <row r="1228" s="382" customFormat="true" ht="20.25" hidden="false" customHeight="true" outlineLevel="0" collapsed="false">
      <c r="A1228" s="364" t="n">
        <v>701</v>
      </c>
      <c r="B1228" s="363" t="n">
        <v>46181</v>
      </c>
      <c r="C1228" s="364" t="s">
        <v>1149</v>
      </c>
      <c r="D1228" s="364" t="s">
        <v>1338</v>
      </c>
      <c r="E1228" s="364" t="s">
        <v>1339</v>
      </c>
      <c r="F1228" s="364" t="s">
        <v>1152</v>
      </c>
      <c r="G1228" s="365" t="n">
        <v>46181</v>
      </c>
      <c r="H1228" s="365" t="n">
        <v>46211</v>
      </c>
      <c r="I1228" s="364" t="n">
        <f aca="false">H1228-G1228</f>
        <v>30</v>
      </c>
      <c r="J1228" s="366" t="n">
        <f aca="false">TRUNC(I1228/30,0)</f>
        <v>1</v>
      </c>
      <c r="K1228" s="367" t="s">
        <v>99</v>
      </c>
      <c r="L1228" s="368" t="n">
        <v>1.37</v>
      </c>
      <c r="M1228" s="369"/>
      <c r="N1228" s="370"/>
      <c r="O1228" s="366" t="s">
        <v>303</v>
      </c>
      <c r="P1228" s="371" t="n">
        <v>0.0361196</v>
      </c>
      <c r="Q1228" s="371"/>
      <c r="R1228" s="372" t="s">
        <v>914</v>
      </c>
      <c r="S1228" s="373"/>
      <c r="T1228" s="372"/>
      <c r="U1228" s="373"/>
      <c r="V1228" s="373" t="n">
        <v>0.040078</v>
      </c>
      <c r="W1228" s="373" t="n">
        <v>0.002805</v>
      </c>
      <c r="X1228" s="412" t="n">
        <f aca="false">V1228-AD1228-$X$5-W1228</f>
        <v>0.003997</v>
      </c>
      <c r="Y1228" s="373" t="n">
        <v>0.02285</v>
      </c>
      <c r="Z1228" s="373" t="n">
        <v>0.00172</v>
      </c>
      <c r="AA1228" s="373" t="n">
        <v>0.002</v>
      </c>
      <c r="AB1228" s="374" t="n">
        <f aca="false">S1228-Z1228</f>
        <v>-0.00172</v>
      </c>
      <c r="AC1228" s="374" t="n">
        <f aca="false">U1228-Z1228-AA1228</f>
        <v>-0.00372</v>
      </c>
      <c r="AD1228" s="375" t="n">
        <v>0.0315</v>
      </c>
      <c r="AE1228" s="373" t="n">
        <f aca="false">Y1228</f>
        <v>0.02285</v>
      </c>
      <c r="AF1228" s="376" t="n">
        <f aca="false">AD1228-AE1228</f>
        <v>0.00865</v>
      </c>
      <c r="AG1228" s="377" t="n">
        <f aca="false">AD1228</f>
        <v>0.0315</v>
      </c>
      <c r="AH1228" s="378" t="n">
        <v>46177</v>
      </c>
      <c r="AI1228" s="379" t="n">
        <v>1</v>
      </c>
      <c r="AJ1228" s="380" t="str">
        <f aca="false">IF(AG1228="","N","Y")</f>
        <v>Y</v>
      </c>
      <c r="AK1228" s="396" t="s">
        <v>1286</v>
      </c>
      <c r="AL1228" s="397"/>
    </row>
    <row r="1229" s="382" customFormat="true" ht="20.25" hidden="false" customHeight="true" outlineLevel="0" collapsed="false">
      <c r="A1229" s="364" t="n">
        <v>702</v>
      </c>
      <c r="B1229" s="363" t="n">
        <v>46181</v>
      </c>
      <c r="C1229" s="364" t="s">
        <v>103</v>
      </c>
      <c r="D1229" s="364" t="s">
        <v>1340</v>
      </c>
      <c r="E1229" s="364" t="s">
        <v>104</v>
      </c>
      <c r="F1229" s="364" t="s">
        <v>1158</v>
      </c>
      <c r="G1229" s="365" t="n">
        <v>46181</v>
      </c>
      <c r="H1229" s="365" t="n">
        <v>46211</v>
      </c>
      <c r="I1229" s="364" t="n">
        <f aca="false">H1229-G1229</f>
        <v>30</v>
      </c>
      <c r="J1229" s="366" t="n">
        <f aca="false">TRUNC(I1229/30,0)</f>
        <v>1</v>
      </c>
      <c r="K1229" s="395" t="s">
        <v>95</v>
      </c>
      <c r="L1229" s="368" t="n">
        <v>3</v>
      </c>
      <c r="M1229" s="369"/>
      <c r="N1229" s="370"/>
      <c r="O1229" s="366" t="s">
        <v>303</v>
      </c>
      <c r="P1229" s="371" t="n">
        <v>0.036487</v>
      </c>
      <c r="Q1229" s="371"/>
      <c r="R1229" s="372" t="s">
        <v>914</v>
      </c>
      <c r="S1229" s="373"/>
      <c r="T1229" s="372"/>
      <c r="U1229" s="373"/>
      <c r="V1229" s="373" t="n">
        <v>0.039106</v>
      </c>
      <c r="W1229" s="373" t="n">
        <v>0.000782</v>
      </c>
      <c r="X1229" s="412" t="n">
        <f aca="false">V1229-AD1229-$X$5-W1229</f>
        <v>0.003048</v>
      </c>
      <c r="Y1229" s="373" t="n">
        <v>0.029697</v>
      </c>
      <c r="Z1229" s="373" t="n">
        <v>0.00172</v>
      </c>
      <c r="AA1229" s="373" t="n">
        <v>0.002</v>
      </c>
      <c r="AB1229" s="374" t="n">
        <f aca="false">S1229-Z1229</f>
        <v>-0.00172</v>
      </c>
      <c r="AC1229" s="374" t="n">
        <f aca="false">U1229-Z1229-AA1229</f>
        <v>-0.00372</v>
      </c>
      <c r="AD1229" s="375" t="n">
        <v>0.0335</v>
      </c>
      <c r="AE1229" s="373" t="n">
        <f aca="false">Y1229</f>
        <v>0.029697</v>
      </c>
      <c r="AF1229" s="376" t="n">
        <f aca="false">AD1229-AE1229</f>
        <v>0.003803</v>
      </c>
      <c r="AG1229" s="377" t="n">
        <f aca="false">AD1229</f>
        <v>0.0335</v>
      </c>
      <c r="AH1229" s="378" t="n">
        <v>46177</v>
      </c>
      <c r="AI1229" s="379" t="n">
        <v>4</v>
      </c>
      <c r="AJ1229" s="380" t="str">
        <f aca="false">IF(AG1229="","N","Y")</f>
        <v>Y</v>
      </c>
      <c r="AK1229" s="396" t="s">
        <v>1286</v>
      </c>
      <c r="AL1229" s="397"/>
    </row>
    <row r="1230" s="382" customFormat="true" ht="20.25" hidden="false" customHeight="true" outlineLevel="0" collapsed="false">
      <c r="A1230" s="364" t="n">
        <v>703</v>
      </c>
      <c r="B1230" s="363" t="n">
        <v>46181</v>
      </c>
      <c r="C1230" s="364" t="s">
        <v>1129</v>
      </c>
      <c r="D1230" s="364" t="s">
        <v>1341</v>
      </c>
      <c r="E1230" s="364" t="s">
        <v>1214</v>
      </c>
      <c r="F1230" s="364" t="s">
        <v>442</v>
      </c>
      <c r="G1230" s="365" t="n">
        <v>46181</v>
      </c>
      <c r="H1230" s="365" t="n">
        <v>46211</v>
      </c>
      <c r="I1230" s="364" t="n">
        <f aca="false">H1230-G1230</f>
        <v>30</v>
      </c>
      <c r="J1230" s="366" t="n">
        <f aca="false">TRUNC(I1230/30,0)</f>
        <v>1</v>
      </c>
      <c r="K1230" s="395" t="s">
        <v>95</v>
      </c>
      <c r="L1230" s="368" t="n">
        <v>1</v>
      </c>
      <c r="M1230" s="369"/>
      <c r="N1230" s="370"/>
      <c r="O1230" s="366" t="s">
        <v>303</v>
      </c>
      <c r="P1230" s="371" t="n">
        <v>0.0361196</v>
      </c>
      <c r="Q1230" s="371"/>
      <c r="R1230" s="372" t="s">
        <v>914</v>
      </c>
      <c r="S1230" s="373"/>
      <c r="T1230" s="372"/>
      <c r="U1230" s="373"/>
      <c r="V1230" s="373" t="n">
        <v>0.039106</v>
      </c>
      <c r="W1230" s="373" t="n">
        <v>0.000782</v>
      </c>
      <c r="X1230" s="412" t="n">
        <f aca="false">V1230-AD1230-$X$5-W1230</f>
        <v>0.003048</v>
      </c>
      <c r="Y1230" s="373" t="n">
        <v>0.029697</v>
      </c>
      <c r="Z1230" s="373" t="n">
        <v>0.00172</v>
      </c>
      <c r="AA1230" s="373" t="n">
        <v>0.002</v>
      </c>
      <c r="AB1230" s="374" t="n">
        <f aca="false">S1230-Z1230</f>
        <v>-0.00172</v>
      </c>
      <c r="AC1230" s="374" t="n">
        <f aca="false">U1230-Z1230-AA1230</f>
        <v>-0.00372</v>
      </c>
      <c r="AD1230" s="375" t="n">
        <v>0.0335</v>
      </c>
      <c r="AE1230" s="373" t="n">
        <f aca="false">Y1230</f>
        <v>0.029697</v>
      </c>
      <c r="AF1230" s="376" t="n">
        <f aca="false">AD1230-AE1230</f>
        <v>0.003803</v>
      </c>
      <c r="AG1230" s="377" t="n">
        <f aca="false">AD1230</f>
        <v>0.0335</v>
      </c>
      <c r="AH1230" s="378" t="n">
        <v>46177</v>
      </c>
      <c r="AI1230" s="379" t="n">
        <v>5</v>
      </c>
      <c r="AJ1230" s="380" t="str">
        <f aca="false">IF(AG1230="","N","Y")</f>
        <v>Y</v>
      </c>
      <c r="AK1230" s="396" t="s">
        <v>1286</v>
      </c>
      <c r="AL1230" s="397"/>
    </row>
    <row r="1231" s="382" customFormat="true" ht="20.25" hidden="false" customHeight="true" outlineLevel="0" collapsed="false">
      <c r="A1231" s="364" t="n">
        <v>704</v>
      </c>
      <c r="B1231" s="363" t="n">
        <v>46182</v>
      </c>
      <c r="C1231" s="364" t="s">
        <v>96</v>
      </c>
      <c r="D1231" s="402" t="s">
        <v>1063</v>
      </c>
      <c r="E1231" s="402" t="s">
        <v>1255</v>
      </c>
      <c r="F1231" s="402" t="s">
        <v>1203</v>
      </c>
      <c r="G1231" s="365" t="n">
        <v>46182</v>
      </c>
      <c r="H1231" s="365" t="n">
        <v>46274</v>
      </c>
      <c r="I1231" s="364" t="n">
        <f aca="false">H1231-G1231</f>
        <v>92</v>
      </c>
      <c r="J1231" s="366" t="n">
        <f aca="false">TRUNC(I1231/30,0)</f>
        <v>3</v>
      </c>
      <c r="K1231" s="395" t="s">
        <v>95</v>
      </c>
      <c r="L1231" s="368" t="n">
        <v>15</v>
      </c>
      <c r="M1231" s="408"/>
      <c r="N1231" s="409"/>
      <c r="O1231" s="405" t="s">
        <v>300</v>
      </c>
      <c r="P1231" s="410" t="n">
        <v>0.0366135</v>
      </c>
      <c r="Q1231" s="371"/>
      <c r="R1231" s="372" t="s">
        <v>914</v>
      </c>
      <c r="S1231" s="373"/>
      <c r="T1231" s="372"/>
      <c r="U1231" s="373"/>
      <c r="V1231" s="412" t="n">
        <v>0.040995</v>
      </c>
      <c r="W1231" s="412" t="n">
        <v>0.000819</v>
      </c>
      <c r="X1231" s="412" t="n">
        <v>0.0034</v>
      </c>
      <c r="Y1231" s="412" t="n">
        <v>0.030881</v>
      </c>
      <c r="Z1231" s="412" t="n">
        <v>0.00172</v>
      </c>
      <c r="AA1231" s="412" t="n">
        <v>0.002</v>
      </c>
      <c r="AB1231" s="374" t="n">
        <f aca="false">S1231-Z1231</f>
        <v>-0.00172</v>
      </c>
      <c r="AC1231" s="374" t="n">
        <f aca="false">U1231-Z1231-AA1231</f>
        <v>-0.00372</v>
      </c>
      <c r="AD1231" s="375" t="n">
        <v>0.035</v>
      </c>
      <c r="AE1231" s="412" t="n">
        <v>0.030881</v>
      </c>
      <c r="AF1231" s="412" t="n">
        <f aca="false">AD1231-AE1231</f>
        <v>0.00411900000000001</v>
      </c>
      <c r="AG1231" s="377" t="n">
        <v>0.035</v>
      </c>
      <c r="AH1231" s="378" t="n">
        <v>46182</v>
      </c>
      <c r="AI1231" s="379" t="n">
        <v>1</v>
      </c>
      <c r="AJ1231" s="380" t="str">
        <f aca="false">IF(AG1231="","N","Y")</f>
        <v>Y</v>
      </c>
      <c r="AK1231" s="396" t="s">
        <v>1308</v>
      </c>
      <c r="AL1231" s="397"/>
    </row>
    <row r="1232" s="268" customFormat="true" ht="20.25" hidden="false" customHeight="true" outlineLevel="0" collapsed="false">
      <c r="A1232" s="249" t="n">
        <v>705</v>
      </c>
      <c r="B1232" s="248" t="n">
        <v>46188</v>
      </c>
      <c r="C1232" s="249" t="s">
        <v>1172</v>
      </c>
      <c r="D1232" s="249" t="s">
        <v>1327</v>
      </c>
      <c r="E1232" s="249" t="s">
        <v>1218</v>
      </c>
      <c r="F1232" s="249" t="s">
        <v>1175</v>
      </c>
      <c r="G1232" s="250" t="n">
        <v>46188</v>
      </c>
      <c r="H1232" s="250" t="n">
        <v>46218</v>
      </c>
      <c r="I1232" s="249" t="n">
        <f aca="false">H1232-G1232</f>
        <v>30</v>
      </c>
      <c r="J1232" s="251" t="n">
        <f aca="false">TRUNC(I1232/30,0)</f>
        <v>1</v>
      </c>
      <c r="K1232" s="399" t="s">
        <v>99</v>
      </c>
      <c r="L1232" s="253" t="n">
        <v>8.09</v>
      </c>
      <c r="M1232" s="254"/>
      <c r="N1232" s="255"/>
      <c r="O1232" s="251" t="s">
        <v>303</v>
      </c>
      <c r="P1232" s="256" t="n">
        <v>0.0363312</v>
      </c>
      <c r="Q1232" s="256"/>
      <c r="R1232" s="257" t="s">
        <v>914</v>
      </c>
      <c r="S1232" s="258"/>
      <c r="T1232" s="257"/>
      <c r="U1232" s="258"/>
      <c r="V1232" s="258" t="n">
        <v>0.040198</v>
      </c>
      <c r="W1232" s="258" t="n">
        <v>0.002813</v>
      </c>
      <c r="X1232" s="258" t="n">
        <v>0.003609</v>
      </c>
      <c r="Y1232" s="258" t="n">
        <v>0.022743</v>
      </c>
      <c r="Z1232" s="258" t="n">
        <v>0.00172</v>
      </c>
      <c r="AA1232" s="258" t="n">
        <v>0.002</v>
      </c>
      <c r="AB1232" s="259" t="n">
        <f aca="false">S1232-Z1232</f>
        <v>-0.00172</v>
      </c>
      <c r="AC1232" s="259" t="n">
        <f aca="false">U1232-Z1232-AA1232</f>
        <v>-0.00372</v>
      </c>
      <c r="AD1232" s="260" t="n">
        <v>0.032</v>
      </c>
      <c r="AE1232" s="527" t="n">
        <v>0.022743</v>
      </c>
      <c r="AF1232" s="261" t="n">
        <f aca="false">AD1232-AE1232</f>
        <v>0.009257</v>
      </c>
      <c r="AG1232" s="262" t="n">
        <f aca="false">IF(AF1232="","",AE1232+AF1232)</f>
        <v>0.032</v>
      </c>
      <c r="AH1232" s="263" t="n">
        <v>46188</v>
      </c>
      <c r="AI1232" s="264" t="n">
        <v>1</v>
      </c>
      <c r="AJ1232" s="265" t="str">
        <f aca="false">IF(AG1232="","N","Y")</f>
        <v>Y</v>
      </c>
      <c r="AK1232" s="400" t="s">
        <v>1262</v>
      </c>
      <c r="AL1232" s="267"/>
    </row>
    <row r="1233" s="268" customFormat="true" ht="20.25" hidden="false" customHeight="true" outlineLevel="0" collapsed="false">
      <c r="A1233" s="249" t="n">
        <v>706</v>
      </c>
      <c r="B1233" s="248" t="n">
        <v>46188</v>
      </c>
      <c r="C1233" s="249" t="s">
        <v>1066</v>
      </c>
      <c r="D1233" s="528" t="s">
        <v>1280</v>
      </c>
      <c r="E1233" s="528" t="s">
        <v>970</v>
      </c>
      <c r="F1233" s="528" t="s">
        <v>1192</v>
      </c>
      <c r="G1233" s="250" t="n">
        <v>46188</v>
      </c>
      <c r="H1233" s="250" t="n">
        <v>46218</v>
      </c>
      <c r="I1233" s="249" t="n">
        <f aca="false">H1233-G1233</f>
        <v>30</v>
      </c>
      <c r="J1233" s="251" t="n">
        <f aca="false">TRUNC(I1233/30,0)</f>
        <v>1</v>
      </c>
      <c r="K1233" s="399" t="s">
        <v>99</v>
      </c>
      <c r="L1233" s="253" t="n">
        <v>1.43</v>
      </c>
      <c r="M1233" s="504"/>
      <c r="N1233" s="505"/>
      <c r="O1233" s="529" t="s">
        <v>303</v>
      </c>
      <c r="P1233" s="256" t="n">
        <v>0.0363312</v>
      </c>
      <c r="Q1233" s="256"/>
      <c r="R1233" s="257" t="s">
        <v>914</v>
      </c>
      <c r="S1233" s="258"/>
      <c r="T1233" s="257"/>
      <c r="U1233" s="258"/>
      <c r="V1233" s="258" t="n">
        <v>0.040198</v>
      </c>
      <c r="W1233" s="258" t="n">
        <v>0.002813</v>
      </c>
      <c r="X1233" s="258" t="n">
        <v>0.003609</v>
      </c>
      <c r="Y1233" s="258" t="n">
        <v>0.022743</v>
      </c>
      <c r="Z1233" s="527" t="n">
        <v>0.00172</v>
      </c>
      <c r="AA1233" s="527" t="n">
        <v>0.002</v>
      </c>
      <c r="AB1233" s="259" t="n">
        <f aca="false">S1233-Z1233</f>
        <v>-0.00172</v>
      </c>
      <c r="AC1233" s="259" t="n">
        <f aca="false">U1233-Z1233-AA1233</f>
        <v>-0.00372</v>
      </c>
      <c r="AD1233" s="260" t="n">
        <v>0.032</v>
      </c>
      <c r="AE1233" s="527" t="n">
        <v>0.022743</v>
      </c>
      <c r="AF1233" s="527" t="n">
        <f aca="false">AD1233-AE1233</f>
        <v>0.009257</v>
      </c>
      <c r="AG1233" s="262" t="n">
        <f aca="false">IF(AF1233="","",AE1233+AF1233)</f>
        <v>0.032</v>
      </c>
      <c r="AH1233" s="263" t="n">
        <v>46188</v>
      </c>
      <c r="AI1233" s="264" t="n">
        <v>2</v>
      </c>
      <c r="AJ1233" s="265" t="str">
        <f aca="false">IF(AG1233="","N","Y")</f>
        <v>Y</v>
      </c>
      <c r="AK1233" s="400" t="s">
        <v>1262</v>
      </c>
      <c r="AL1233" s="267"/>
    </row>
    <row r="1234" s="268" customFormat="true" ht="20.25" hidden="false" customHeight="true" outlineLevel="0" collapsed="false">
      <c r="A1234" s="249" t="n">
        <v>707</v>
      </c>
      <c r="B1234" s="248" t="n">
        <v>46188</v>
      </c>
      <c r="C1234" s="249" t="s">
        <v>1149</v>
      </c>
      <c r="D1234" s="249" t="s">
        <v>1150</v>
      </c>
      <c r="E1234" s="249" t="s">
        <v>1183</v>
      </c>
      <c r="F1234" s="249" t="s">
        <v>1152</v>
      </c>
      <c r="G1234" s="250" t="n">
        <v>46188</v>
      </c>
      <c r="H1234" s="250" t="n">
        <v>46218</v>
      </c>
      <c r="I1234" s="249" t="n">
        <f aca="false">H1234-G1234</f>
        <v>30</v>
      </c>
      <c r="J1234" s="251" t="n">
        <f aca="false">TRUNC(I1234/30,0)</f>
        <v>1</v>
      </c>
      <c r="K1234" s="399" t="s">
        <v>99</v>
      </c>
      <c r="L1234" s="253" t="n">
        <v>19</v>
      </c>
      <c r="M1234" s="254"/>
      <c r="N1234" s="255"/>
      <c r="O1234" s="251" t="s">
        <v>303</v>
      </c>
      <c r="P1234" s="256" t="n">
        <v>0.0363312</v>
      </c>
      <c r="Q1234" s="256"/>
      <c r="R1234" s="257" t="s">
        <v>914</v>
      </c>
      <c r="S1234" s="258"/>
      <c r="T1234" s="257"/>
      <c r="U1234" s="258"/>
      <c r="V1234" s="258" t="n">
        <v>0.040198</v>
      </c>
      <c r="W1234" s="258" t="n">
        <v>0.002813</v>
      </c>
      <c r="X1234" s="258" t="n">
        <v>0.003609</v>
      </c>
      <c r="Y1234" s="258" t="n">
        <v>0.022743</v>
      </c>
      <c r="Z1234" s="258" t="n">
        <v>0.00172</v>
      </c>
      <c r="AA1234" s="258" t="n">
        <v>0.002</v>
      </c>
      <c r="AB1234" s="259" t="n">
        <f aca="false">S1234-Z1234</f>
        <v>-0.00172</v>
      </c>
      <c r="AC1234" s="259" t="n">
        <f aca="false">U1234-Z1234-AA1234</f>
        <v>-0.00372</v>
      </c>
      <c r="AD1234" s="260" t="n">
        <v>0.032</v>
      </c>
      <c r="AE1234" s="527" t="n">
        <v>0.022743</v>
      </c>
      <c r="AF1234" s="261" t="n">
        <f aca="false">AD1234-AE1234</f>
        <v>0.009257</v>
      </c>
      <c r="AG1234" s="262" t="n">
        <v>0.032</v>
      </c>
      <c r="AH1234" s="263" t="n">
        <v>46188</v>
      </c>
      <c r="AI1234" s="264" t="n">
        <v>3</v>
      </c>
      <c r="AJ1234" s="265" t="str">
        <f aca="false">IF(AG1234="","N","Y")</f>
        <v>Y</v>
      </c>
      <c r="AK1234" s="400" t="s">
        <v>1262</v>
      </c>
      <c r="AL1234" s="267"/>
    </row>
    <row r="1235" s="268" customFormat="true" ht="19.5" hidden="false" customHeight="true" outlineLevel="0" collapsed="false">
      <c r="A1235" s="249" t="n">
        <v>708</v>
      </c>
      <c r="B1235" s="248" t="n">
        <v>46188</v>
      </c>
      <c r="C1235" s="249" t="s">
        <v>209</v>
      </c>
      <c r="D1235" s="249" t="s">
        <v>1309</v>
      </c>
      <c r="E1235" s="249" t="s">
        <v>1342</v>
      </c>
      <c r="F1235" s="249" t="s">
        <v>697</v>
      </c>
      <c r="G1235" s="250" t="n">
        <v>46188</v>
      </c>
      <c r="H1235" s="250" t="n">
        <v>46218</v>
      </c>
      <c r="I1235" s="249" t="n">
        <f aca="false">H1235-G1235</f>
        <v>30</v>
      </c>
      <c r="J1235" s="251" t="n">
        <f aca="false">TRUNC(I1235/30,0)</f>
        <v>1</v>
      </c>
      <c r="K1235" s="399" t="s">
        <v>99</v>
      </c>
      <c r="L1235" s="253" t="n">
        <v>1.11</v>
      </c>
      <c r="M1235" s="254"/>
      <c r="N1235" s="255"/>
      <c r="O1235" s="251" t="s">
        <v>303</v>
      </c>
      <c r="P1235" s="256" t="n">
        <v>0.0363312</v>
      </c>
      <c r="Q1235" s="256"/>
      <c r="R1235" s="257" t="s">
        <v>914</v>
      </c>
      <c r="S1235" s="258"/>
      <c r="T1235" s="257"/>
      <c r="U1235" s="258"/>
      <c r="V1235" s="258" t="n">
        <v>0.040198</v>
      </c>
      <c r="W1235" s="258" t="n">
        <v>0.002813</v>
      </c>
      <c r="X1235" s="527" t="n">
        <f aca="false">V1235-AD1235-$X$5-W1235</f>
        <v>0.005609</v>
      </c>
      <c r="Y1235" s="258" t="n">
        <v>0.022743</v>
      </c>
      <c r="Z1235" s="258" t="n">
        <v>0.00172</v>
      </c>
      <c r="AA1235" s="258" t="n">
        <v>0.002</v>
      </c>
      <c r="AB1235" s="259" t="n">
        <f aca="false">S1235-Z1235</f>
        <v>-0.00172</v>
      </c>
      <c r="AC1235" s="259" t="n">
        <f aca="false">U1235-Z1235-AA1235</f>
        <v>-0.00372</v>
      </c>
      <c r="AD1235" s="260" t="n">
        <v>0.03</v>
      </c>
      <c r="AE1235" s="527" t="n">
        <v>0.022743</v>
      </c>
      <c r="AF1235" s="261" t="n">
        <f aca="false">AD1235-AE1235</f>
        <v>0.007257</v>
      </c>
      <c r="AG1235" s="262" t="n">
        <f aca="false">IF(AF1235="","",AE1235+AF1235)</f>
        <v>0.03</v>
      </c>
      <c r="AH1235" s="263" t="n">
        <v>46188</v>
      </c>
      <c r="AI1235" s="264" t="n">
        <v>4</v>
      </c>
      <c r="AJ1235" s="265" t="str">
        <f aca="false">IF(AG1235="","N","Y")</f>
        <v>Y</v>
      </c>
      <c r="AK1235" s="400" t="s">
        <v>1262</v>
      </c>
      <c r="AL1235" s="267"/>
    </row>
    <row r="1236" customFormat="false" ht="16.5" hidden="false" customHeight="true" outlineLevel="0" collapsed="false">
      <c r="H1236" s="365"/>
    </row>
    <row r="1237" customFormat="false" ht="16.5" hidden="false" customHeight="true" outlineLevel="0" collapsed="false">
      <c r="H1237" s="365"/>
    </row>
    <row r="1238" customFormat="false" ht="16.5" hidden="false" customHeight="true" outlineLevel="0" collapsed="false">
      <c r="H1238" s="365"/>
    </row>
    <row r="1239" customFormat="false" ht="16.5" hidden="false" customHeight="true" outlineLevel="0" collapsed="false">
      <c r="H1239" s="365"/>
    </row>
    <row r="1240" customFormat="false" ht="16.5" hidden="false" customHeight="true" outlineLevel="0" collapsed="false">
      <c r="H1240" s="365"/>
    </row>
    <row r="1241" customFormat="false" ht="16.5" hidden="false" customHeight="true" outlineLevel="0" collapsed="false">
      <c r="H1241" s="365"/>
    </row>
    <row r="1242" customFormat="false" ht="16.5" hidden="false" customHeight="true" outlineLevel="0" collapsed="false">
      <c r="H1242" s="365"/>
    </row>
    <row r="1243" customFormat="false" ht="16.5" hidden="false" customHeight="true" outlineLevel="0" collapsed="false">
      <c r="H1243" s="365"/>
    </row>
    <row r="1244" customFormat="false" ht="16.5" hidden="false" customHeight="true" outlineLevel="0" collapsed="false">
      <c r="H1244" s="365"/>
    </row>
    <row r="1245" customFormat="false" ht="16.5" hidden="false" customHeight="true" outlineLevel="0" collapsed="false">
      <c r="H1245" s="365"/>
    </row>
    <row r="1246" customFormat="false" ht="16.5" hidden="false" customHeight="true" outlineLevel="0" collapsed="false">
      <c r="H1246" s="365"/>
    </row>
    <row r="1247" customFormat="false" ht="16.5" hidden="false" customHeight="true" outlineLevel="0" collapsed="false">
      <c r="H1247" s="365"/>
    </row>
    <row r="1248" customFormat="false" ht="16.5" hidden="false" customHeight="true" outlineLevel="0" collapsed="false">
      <c r="H1248" s="365"/>
    </row>
    <row r="1249" customFormat="false" ht="16.5" hidden="false" customHeight="true" outlineLevel="0" collapsed="false">
      <c r="H1249" s="365"/>
    </row>
    <row r="1250" customFormat="false" ht="16.5" hidden="false" customHeight="true" outlineLevel="0" collapsed="false">
      <c r="H1250" s="365"/>
    </row>
    <row r="1251" customFormat="false" ht="16.5" hidden="false" customHeight="true" outlineLevel="0" collapsed="false">
      <c r="H1251" s="365"/>
    </row>
    <row r="1252" customFormat="false" ht="16.5" hidden="false" customHeight="true" outlineLevel="0" collapsed="false">
      <c r="H1252" s="365"/>
    </row>
    <row r="1253" customFormat="false" ht="16.5" hidden="false" customHeight="true" outlineLevel="0" collapsed="false">
      <c r="H1253" s="365"/>
    </row>
    <row r="1254" customFormat="false" ht="16.5" hidden="false" customHeight="true" outlineLevel="0" collapsed="false">
      <c r="H1254" s="365"/>
    </row>
    <row r="1255" customFormat="false" ht="16.5" hidden="false" customHeight="true" outlineLevel="0" collapsed="false">
      <c r="H1255" s="365"/>
    </row>
    <row r="1256" customFormat="false" ht="16.5" hidden="false" customHeight="true" outlineLevel="0" collapsed="false">
      <c r="H1256" s="365"/>
    </row>
    <row r="1257" customFormat="false" ht="16.5" hidden="false" customHeight="true" outlineLevel="0" collapsed="false">
      <c r="H1257" s="365"/>
    </row>
    <row r="1258" customFormat="false" ht="16.5" hidden="false" customHeight="true" outlineLevel="0" collapsed="false">
      <c r="H1258" s="365"/>
    </row>
    <row r="1259" customFormat="false" ht="16.5" hidden="false" customHeight="true" outlineLevel="0" collapsed="false">
      <c r="H1259" s="365"/>
    </row>
    <row r="1260" customFormat="false" ht="16.5" hidden="false" customHeight="true" outlineLevel="0" collapsed="false">
      <c r="H1260" s="365"/>
    </row>
    <row r="1261" customFormat="false" ht="16.5" hidden="false" customHeight="true" outlineLevel="0" collapsed="false">
      <c r="H1261" s="365"/>
    </row>
    <row r="1262" customFormat="false" ht="16.5" hidden="false" customHeight="true" outlineLevel="0" collapsed="false">
      <c r="H1262" s="365"/>
    </row>
    <row r="1263" customFormat="false" ht="16.5" hidden="false" customHeight="true" outlineLevel="0" collapsed="false">
      <c r="H1263" s="365"/>
    </row>
    <row r="1264" customFormat="false" ht="16.5" hidden="false" customHeight="true" outlineLevel="0" collapsed="false">
      <c r="H1264" s="365"/>
    </row>
    <row r="1265" customFormat="false" ht="16.5" hidden="false" customHeight="true" outlineLevel="0" collapsed="false">
      <c r="H1265" s="365"/>
    </row>
    <row r="1266" customFormat="false" ht="16.5" hidden="false" customHeight="true" outlineLevel="0" collapsed="false">
      <c r="H1266" s="365"/>
    </row>
    <row r="1267" customFormat="false" ht="16.5" hidden="false" customHeight="true" outlineLevel="0" collapsed="false">
      <c r="H1267" s="365"/>
    </row>
    <row r="1268" customFormat="false" ht="16.5" hidden="false" customHeight="true" outlineLevel="0" collapsed="false">
      <c r="H1268" s="365"/>
    </row>
    <row r="1269" customFormat="false" ht="16.5" hidden="false" customHeight="true" outlineLevel="0" collapsed="false">
      <c r="H1269" s="365"/>
    </row>
    <row r="1270" customFormat="false" ht="16.5" hidden="false" customHeight="true" outlineLevel="0" collapsed="false">
      <c r="H1270" s="365"/>
    </row>
    <row r="1271" customFormat="false" ht="16.5" hidden="false" customHeight="true" outlineLevel="0" collapsed="false">
      <c r="H1271" s="365"/>
    </row>
    <row r="1272" customFormat="false" ht="16.5" hidden="false" customHeight="true" outlineLevel="0" collapsed="false">
      <c r="H1272" s="365"/>
    </row>
    <row r="1273" customFormat="false" ht="16.5" hidden="false" customHeight="true" outlineLevel="0" collapsed="false">
      <c r="H1273" s="365"/>
    </row>
    <row r="1274" customFormat="false" ht="16.5" hidden="false" customHeight="true" outlineLevel="0" collapsed="false">
      <c r="H1274" s="365"/>
    </row>
    <row r="1275" customFormat="false" ht="16.5" hidden="false" customHeight="true" outlineLevel="0" collapsed="false">
      <c r="H1275" s="365"/>
    </row>
    <row r="1276" customFormat="false" ht="16.5" hidden="false" customHeight="true" outlineLevel="0" collapsed="false">
      <c r="H1276" s="365"/>
    </row>
    <row r="1277" customFormat="false" ht="16.5" hidden="false" customHeight="true" outlineLevel="0" collapsed="false">
      <c r="H1277" s="365"/>
    </row>
    <row r="1278" customFormat="false" ht="16.5" hidden="false" customHeight="true" outlineLevel="0" collapsed="false">
      <c r="H1278" s="365"/>
    </row>
    <row r="1279" customFormat="false" ht="16.5" hidden="false" customHeight="true" outlineLevel="0" collapsed="false">
      <c r="H1279" s="365"/>
    </row>
    <row r="1280" customFormat="false" ht="16.5" hidden="false" customHeight="true" outlineLevel="0" collapsed="false">
      <c r="H1280" s="365"/>
    </row>
    <row r="1281" customFormat="false" ht="16.5" hidden="false" customHeight="true" outlineLevel="0" collapsed="false">
      <c r="H1281" s="365"/>
    </row>
    <row r="1282" customFormat="false" ht="16.5" hidden="false" customHeight="true" outlineLevel="0" collapsed="false">
      <c r="H1282" s="365"/>
    </row>
    <row r="1283" customFormat="false" ht="16.5" hidden="false" customHeight="true" outlineLevel="0" collapsed="false">
      <c r="H1283" s="365"/>
    </row>
    <row r="1284" customFormat="false" ht="16.5" hidden="false" customHeight="true" outlineLevel="0" collapsed="false">
      <c r="H1284" s="365"/>
    </row>
    <row r="1285" customFormat="false" ht="16.5" hidden="false" customHeight="true" outlineLevel="0" collapsed="false">
      <c r="H1285" s="365"/>
    </row>
    <row r="1286" customFormat="false" ht="16.5" hidden="false" customHeight="true" outlineLevel="0" collapsed="false">
      <c r="H1286" s="365"/>
    </row>
    <row r="1287" customFormat="false" ht="16.5" hidden="false" customHeight="true" outlineLevel="0" collapsed="false">
      <c r="H1287" s="365"/>
    </row>
    <row r="1288" customFormat="false" ht="16.5" hidden="false" customHeight="true" outlineLevel="0" collapsed="false">
      <c r="H1288" s="365"/>
    </row>
    <row r="1289" customFormat="false" ht="16.5" hidden="false" customHeight="true" outlineLevel="0" collapsed="false">
      <c r="H1289" s="365"/>
    </row>
    <row r="1290" customFormat="false" ht="16.5" hidden="false" customHeight="true" outlineLevel="0" collapsed="false">
      <c r="H1290" s="365"/>
    </row>
    <row r="1291" customFormat="false" ht="16.5" hidden="false" customHeight="true" outlineLevel="0" collapsed="false">
      <c r="H1291" s="365"/>
    </row>
    <row r="1292" customFormat="false" ht="16.5" hidden="false" customHeight="true" outlineLevel="0" collapsed="false">
      <c r="H1292" s="365"/>
    </row>
    <row r="1293" customFormat="false" ht="16.5" hidden="false" customHeight="true" outlineLevel="0" collapsed="false">
      <c r="H1293" s="365"/>
    </row>
    <row r="1294" customFormat="false" ht="16.5" hidden="false" customHeight="true" outlineLevel="0" collapsed="false">
      <c r="H1294" s="365"/>
    </row>
    <row r="1295" customFormat="false" ht="16.5" hidden="false" customHeight="true" outlineLevel="0" collapsed="false">
      <c r="H1295" s="365"/>
    </row>
    <row r="1296" customFormat="false" ht="16.5" hidden="false" customHeight="true" outlineLevel="0" collapsed="false">
      <c r="H1296" s="365"/>
    </row>
    <row r="1297" customFormat="false" ht="16.5" hidden="false" customHeight="true" outlineLevel="0" collapsed="false">
      <c r="H1297" s="365"/>
    </row>
    <row r="1298" customFormat="false" ht="16.5" hidden="false" customHeight="true" outlineLevel="0" collapsed="false">
      <c r="H1298" s="365"/>
    </row>
    <row r="1299" customFormat="false" ht="16.5" hidden="false" customHeight="true" outlineLevel="0" collapsed="false">
      <c r="H1299" s="365"/>
    </row>
    <row r="1300" customFormat="false" ht="16.5" hidden="false" customHeight="true" outlineLevel="0" collapsed="false">
      <c r="H1300" s="365"/>
    </row>
    <row r="1301" customFormat="false" ht="16.5" hidden="false" customHeight="true" outlineLevel="0" collapsed="false">
      <c r="H1301" s="365"/>
    </row>
    <row r="1302" customFormat="false" ht="16.5" hidden="false" customHeight="true" outlineLevel="0" collapsed="false">
      <c r="H1302" s="365"/>
    </row>
    <row r="1303" customFormat="false" ht="16.5" hidden="false" customHeight="true" outlineLevel="0" collapsed="false">
      <c r="H1303" s="365"/>
    </row>
    <row r="1304" customFormat="false" ht="16.5" hidden="false" customHeight="true" outlineLevel="0" collapsed="false">
      <c r="H1304" s="365"/>
    </row>
    <row r="1305" customFormat="false" ht="16.5" hidden="false" customHeight="true" outlineLevel="0" collapsed="false">
      <c r="H1305" s="365"/>
    </row>
    <row r="1306" customFormat="false" ht="16.5" hidden="false" customHeight="true" outlineLevel="0" collapsed="false">
      <c r="H1306" s="365"/>
    </row>
    <row r="1307" customFormat="false" ht="16.5" hidden="false" customHeight="true" outlineLevel="0" collapsed="false">
      <c r="H1307" s="365"/>
    </row>
    <row r="1308" customFormat="false" ht="16.5" hidden="false" customHeight="true" outlineLevel="0" collapsed="false">
      <c r="H1308" s="365"/>
    </row>
    <row r="1309" customFormat="false" ht="16.5" hidden="false" customHeight="true" outlineLevel="0" collapsed="false">
      <c r="H1309" s="365"/>
    </row>
    <row r="1310" customFormat="false" ht="16.5" hidden="false" customHeight="true" outlineLevel="0" collapsed="false">
      <c r="H1310" s="365"/>
    </row>
    <row r="1311" customFormat="false" ht="16.5" hidden="false" customHeight="true" outlineLevel="0" collapsed="false">
      <c r="H1311" s="365"/>
    </row>
    <row r="1312" customFormat="false" ht="16.5" hidden="false" customHeight="true" outlineLevel="0" collapsed="false">
      <c r="H1312" s="365"/>
    </row>
    <row r="1313" customFormat="false" ht="16.5" hidden="false" customHeight="true" outlineLevel="0" collapsed="false">
      <c r="H1313" s="365"/>
    </row>
    <row r="1314" customFormat="false" ht="16.5" hidden="false" customHeight="true" outlineLevel="0" collapsed="false">
      <c r="H1314" s="365"/>
    </row>
    <row r="1315" customFormat="false" ht="16.5" hidden="false" customHeight="true" outlineLevel="0" collapsed="false">
      <c r="H1315" s="365"/>
    </row>
    <row r="1316" customFormat="false" ht="16.5" hidden="false" customHeight="true" outlineLevel="0" collapsed="false">
      <c r="H1316" s="365"/>
    </row>
    <row r="1317" customFormat="false" ht="16.5" hidden="false" customHeight="true" outlineLevel="0" collapsed="false">
      <c r="H1317" s="365"/>
    </row>
    <row r="1318" customFormat="false" ht="16.5" hidden="false" customHeight="true" outlineLevel="0" collapsed="false">
      <c r="H1318" s="365"/>
    </row>
    <row r="1319" customFormat="false" ht="16.5" hidden="false" customHeight="true" outlineLevel="0" collapsed="false">
      <c r="H1319" s="365"/>
    </row>
    <row r="1320" customFormat="false" ht="16.5" hidden="false" customHeight="true" outlineLevel="0" collapsed="false">
      <c r="H1320" s="365"/>
    </row>
    <row r="1321" customFormat="false" ht="16.5" hidden="false" customHeight="true" outlineLevel="0" collapsed="false">
      <c r="H1321" s="365"/>
    </row>
    <row r="1322" customFormat="false" ht="16.5" hidden="false" customHeight="true" outlineLevel="0" collapsed="false">
      <c r="H1322" s="365"/>
    </row>
    <row r="1323" customFormat="false" ht="16.5" hidden="false" customHeight="true" outlineLevel="0" collapsed="false">
      <c r="H1323" s="365"/>
    </row>
    <row r="1324" customFormat="false" ht="16.5" hidden="false" customHeight="true" outlineLevel="0" collapsed="false">
      <c r="H1324" s="365"/>
    </row>
    <row r="1325" customFormat="false" ht="16.5" hidden="false" customHeight="true" outlineLevel="0" collapsed="false">
      <c r="H1325" s="365"/>
    </row>
    <row r="1326" customFormat="false" ht="16.5" hidden="false" customHeight="true" outlineLevel="0" collapsed="false">
      <c r="H1326" s="365"/>
    </row>
    <row r="1327" customFormat="false" ht="16.5" hidden="false" customHeight="true" outlineLevel="0" collapsed="false">
      <c r="H1327" s="365"/>
    </row>
    <row r="1328" customFormat="false" ht="16.5" hidden="false" customHeight="true" outlineLevel="0" collapsed="false">
      <c r="H1328" s="365"/>
    </row>
    <row r="1329" customFormat="false" ht="16.5" hidden="false" customHeight="true" outlineLevel="0" collapsed="false">
      <c r="H1329" s="365"/>
    </row>
    <row r="1330" customFormat="false" ht="16.5" hidden="false" customHeight="true" outlineLevel="0" collapsed="false">
      <c r="H1330" s="365"/>
    </row>
    <row r="1331" customFormat="false" ht="16.5" hidden="false" customHeight="true" outlineLevel="0" collapsed="false">
      <c r="H1331" s="365"/>
    </row>
    <row r="1332" customFormat="false" ht="16.5" hidden="false" customHeight="true" outlineLevel="0" collapsed="false">
      <c r="H1332" s="365"/>
    </row>
    <row r="1333" customFormat="false" ht="16.5" hidden="false" customHeight="true" outlineLevel="0" collapsed="false">
      <c r="H1333" s="365"/>
    </row>
    <row r="1334" customFormat="false" ht="16.5" hidden="false" customHeight="true" outlineLevel="0" collapsed="false">
      <c r="H1334" s="365"/>
    </row>
    <row r="1335" customFormat="false" ht="16.5" hidden="false" customHeight="true" outlineLevel="0" collapsed="false">
      <c r="H1335" s="365"/>
    </row>
    <row r="1336" customFormat="false" ht="16.5" hidden="false" customHeight="true" outlineLevel="0" collapsed="false">
      <c r="H1336" s="365"/>
    </row>
    <row r="1337" customFormat="false" ht="16.5" hidden="false" customHeight="true" outlineLevel="0" collapsed="false">
      <c r="H1337" s="365"/>
    </row>
    <row r="1338" customFormat="false" ht="16.5" hidden="false" customHeight="true" outlineLevel="0" collapsed="false">
      <c r="H1338" s="365"/>
    </row>
    <row r="1339" customFormat="false" ht="16.5" hidden="false" customHeight="true" outlineLevel="0" collapsed="false">
      <c r="H1339" s="365"/>
    </row>
    <row r="1340" customFormat="false" ht="16.5" hidden="false" customHeight="true" outlineLevel="0" collapsed="false">
      <c r="H1340" s="365"/>
    </row>
    <row r="1341" customFormat="false" ht="16.5" hidden="false" customHeight="true" outlineLevel="0" collapsed="false">
      <c r="H1341" s="365"/>
    </row>
    <row r="1342" customFormat="false" ht="16.5" hidden="false" customHeight="true" outlineLevel="0" collapsed="false">
      <c r="H1342" s="365"/>
    </row>
    <row r="1343" customFormat="false" ht="16.5" hidden="false" customHeight="true" outlineLevel="0" collapsed="false">
      <c r="H1343" s="365"/>
    </row>
    <row r="1344" customFormat="false" ht="16.5" hidden="false" customHeight="true" outlineLevel="0" collapsed="false">
      <c r="H1344" s="365"/>
    </row>
    <row r="1345" customFormat="false" ht="16.5" hidden="false" customHeight="true" outlineLevel="0" collapsed="false">
      <c r="H1345" s="365"/>
    </row>
    <row r="1346" customFormat="false" ht="16.5" hidden="false" customHeight="true" outlineLevel="0" collapsed="false">
      <c r="H1346" s="365"/>
    </row>
    <row r="1347" customFormat="false" ht="16.5" hidden="false" customHeight="true" outlineLevel="0" collapsed="false">
      <c r="H1347" s="365"/>
    </row>
    <row r="1348" customFormat="false" ht="16.5" hidden="false" customHeight="true" outlineLevel="0" collapsed="false">
      <c r="H1348" s="365"/>
    </row>
    <row r="1349" customFormat="false" ht="16.5" hidden="false" customHeight="true" outlineLevel="0" collapsed="false">
      <c r="H1349" s="365"/>
    </row>
    <row r="1350" customFormat="false" ht="16.5" hidden="false" customHeight="true" outlineLevel="0" collapsed="false">
      <c r="H1350" s="365"/>
    </row>
    <row r="1351" customFormat="false" ht="16.5" hidden="false" customHeight="true" outlineLevel="0" collapsed="false">
      <c r="H1351" s="365"/>
    </row>
    <row r="1352" customFormat="false" ht="16.5" hidden="false" customHeight="true" outlineLevel="0" collapsed="false">
      <c r="H1352" s="365"/>
    </row>
    <row r="1353" customFormat="false" ht="16.5" hidden="false" customHeight="true" outlineLevel="0" collapsed="false">
      <c r="H1353" s="365"/>
    </row>
    <row r="1354" customFormat="false" ht="16.5" hidden="false" customHeight="true" outlineLevel="0" collapsed="false">
      <c r="H1354" s="365"/>
    </row>
    <row r="1355" customFormat="false" ht="16.5" hidden="false" customHeight="true" outlineLevel="0" collapsed="false">
      <c r="H1355" s="365"/>
    </row>
    <row r="1356" customFormat="false" ht="16.5" hidden="false" customHeight="true" outlineLevel="0" collapsed="false">
      <c r="H1356" s="365"/>
    </row>
    <row r="1357" customFormat="false" ht="16.5" hidden="false" customHeight="true" outlineLevel="0" collapsed="false">
      <c r="H1357" s="365"/>
    </row>
    <row r="1358" customFormat="false" ht="16.5" hidden="false" customHeight="true" outlineLevel="0" collapsed="false">
      <c r="H1358" s="365"/>
    </row>
    <row r="1359" customFormat="false" ht="16.5" hidden="false" customHeight="true" outlineLevel="0" collapsed="false">
      <c r="H1359" s="365"/>
    </row>
    <row r="1360" customFormat="false" ht="16.5" hidden="false" customHeight="true" outlineLevel="0" collapsed="false">
      <c r="H1360" s="365"/>
    </row>
    <row r="1361" customFormat="false" ht="16.5" hidden="false" customHeight="true" outlineLevel="0" collapsed="false">
      <c r="H1361" s="365"/>
    </row>
    <row r="1362" customFormat="false" ht="16.5" hidden="false" customHeight="true" outlineLevel="0" collapsed="false">
      <c r="H1362" s="365"/>
    </row>
    <row r="1363" customFormat="false" ht="16.5" hidden="false" customHeight="true" outlineLevel="0" collapsed="false">
      <c r="H1363" s="365"/>
    </row>
    <row r="1364" customFormat="false" ht="16.5" hidden="false" customHeight="true" outlineLevel="0" collapsed="false">
      <c r="H1364" s="365"/>
    </row>
    <row r="1365" customFormat="false" ht="16.5" hidden="false" customHeight="true" outlineLevel="0" collapsed="false">
      <c r="H1365" s="365"/>
    </row>
    <row r="1366" customFormat="false" ht="16.5" hidden="false" customHeight="true" outlineLevel="0" collapsed="false">
      <c r="H1366" s="365"/>
    </row>
    <row r="1367" customFormat="false" ht="16.5" hidden="false" customHeight="true" outlineLevel="0" collapsed="false">
      <c r="H1367" s="365"/>
    </row>
    <row r="1368" customFormat="false" ht="16.5" hidden="false" customHeight="true" outlineLevel="0" collapsed="false">
      <c r="H1368" s="365"/>
    </row>
    <row r="1369" customFormat="false" ht="16.5" hidden="false" customHeight="true" outlineLevel="0" collapsed="false">
      <c r="H1369" s="365"/>
    </row>
    <row r="1370" customFormat="false" ht="16.5" hidden="false" customHeight="true" outlineLevel="0" collapsed="false">
      <c r="H1370" s="365"/>
    </row>
    <row r="1371" customFormat="false" ht="16.5" hidden="false" customHeight="true" outlineLevel="0" collapsed="false">
      <c r="H1371" s="365"/>
    </row>
    <row r="1372" customFormat="false" ht="16.5" hidden="false" customHeight="true" outlineLevel="0" collapsed="false">
      <c r="H1372" s="365"/>
    </row>
    <row r="1373" customFormat="false" ht="16.5" hidden="false" customHeight="true" outlineLevel="0" collapsed="false">
      <c r="H1373" s="365"/>
    </row>
    <row r="1374" customFormat="false" ht="16.5" hidden="false" customHeight="true" outlineLevel="0" collapsed="false">
      <c r="H1374" s="365"/>
    </row>
    <row r="1375" customFormat="false" ht="16.5" hidden="false" customHeight="true" outlineLevel="0" collapsed="false">
      <c r="H1375" s="365"/>
    </row>
    <row r="1376" customFormat="false" ht="16.5" hidden="false" customHeight="true" outlineLevel="0" collapsed="false">
      <c r="H1376" s="365"/>
    </row>
    <row r="1377" customFormat="false" ht="16.5" hidden="false" customHeight="true" outlineLevel="0" collapsed="false">
      <c r="H1377" s="365"/>
    </row>
    <row r="1378" customFormat="false" ht="16.5" hidden="false" customHeight="true" outlineLevel="0" collapsed="false">
      <c r="H1378" s="365"/>
    </row>
    <row r="1379" customFormat="false" ht="16.5" hidden="false" customHeight="true" outlineLevel="0" collapsed="false">
      <c r="H1379" s="365"/>
    </row>
    <row r="1380" customFormat="false" ht="16.5" hidden="false" customHeight="true" outlineLevel="0" collapsed="false">
      <c r="H1380" s="365"/>
    </row>
    <row r="1381" customFormat="false" ht="16.5" hidden="false" customHeight="true" outlineLevel="0" collapsed="false">
      <c r="H1381" s="365"/>
    </row>
    <row r="1382" customFormat="false" ht="16.5" hidden="false" customHeight="true" outlineLevel="0" collapsed="false">
      <c r="H1382" s="365"/>
    </row>
    <row r="1383" customFormat="false" ht="16.5" hidden="false" customHeight="true" outlineLevel="0" collapsed="false">
      <c r="H1383" s="365"/>
    </row>
    <row r="1384" customFormat="false" ht="16.5" hidden="false" customHeight="true" outlineLevel="0" collapsed="false">
      <c r="H1384" s="365"/>
    </row>
    <row r="1385" customFormat="false" ht="16.5" hidden="false" customHeight="true" outlineLevel="0" collapsed="false">
      <c r="H1385" s="365"/>
    </row>
    <row r="1386" customFormat="false" ht="16.5" hidden="false" customHeight="true" outlineLevel="0" collapsed="false">
      <c r="H1386" s="365"/>
    </row>
    <row r="1387" customFormat="false" ht="16.5" hidden="false" customHeight="true" outlineLevel="0" collapsed="false">
      <c r="H1387" s="365"/>
    </row>
    <row r="1388" customFormat="false" ht="16.5" hidden="false" customHeight="true" outlineLevel="0" collapsed="false">
      <c r="H1388" s="365"/>
    </row>
    <row r="1389" customFormat="false" ht="16.5" hidden="false" customHeight="true" outlineLevel="0" collapsed="false">
      <c r="H1389" s="365"/>
    </row>
    <row r="1390" customFormat="false" ht="16.5" hidden="false" customHeight="true" outlineLevel="0" collapsed="false">
      <c r="H1390" s="365"/>
    </row>
    <row r="1391" customFormat="false" ht="16.5" hidden="false" customHeight="true" outlineLevel="0" collapsed="false">
      <c r="H1391" s="365"/>
    </row>
    <row r="1392" customFormat="false" ht="16.5" hidden="false" customHeight="true" outlineLevel="0" collapsed="false">
      <c r="H1392" s="365"/>
    </row>
    <row r="1393" customFormat="false" ht="16.5" hidden="false" customHeight="true" outlineLevel="0" collapsed="false">
      <c r="H1393" s="365"/>
    </row>
    <row r="1394" customFormat="false" ht="16.5" hidden="false" customHeight="true" outlineLevel="0" collapsed="false">
      <c r="H1394" s="365"/>
    </row>
    <row r="1395" customFormat="false" ht="16.5" hidden="false" customHeight="true" outlineLevel="0" collapsed="false">
      <c r="H1395" s="365"/>
    </row>
    <row r="1396" customFormat="false" ht="16.5" hidden="false" customHeight="true" outlineLevel="0" collapsed="false">
      <c r="H1396" s="365"/>
    </row>
    <row r="1397" customFormat="false" ht="16.5" hidden="false" customHeight="true" outlineLevel="0" collapsed="false">
      <c r="H1397" s="365"/>
    </row>
    <row r="1398" customFormat="false" ht="16.5" hidden="false" customHeight="true" outlineLevel="0" collapsed="false">
      <c r="H1398" s="365"/>
    </row>
    <row r="1399" customFormat="false" ht="16.5" hidden="false" customHeight="true" outlineLevel="0" collapsed="false">
      <c r="H1399" s="365"/>
    </row>
    <row r="1400" customFormat="false" ht="16.5" hidden="false" customHeight="true" outlineLevel="0" collapsed="false">
      <c r="H1400" s="365"/>
    </row>
    <row r="1401" customFormat="false" ht="16.5" hidden="false" customHeight="true" outlineLevel="0" collapsed="false">
      <c r="H1401" s="365"/>
    </row>
    <row r="1402" customFormat="false" ht="16.5" hidden="false" customHeight="true" outlineLevel="0" collapsed="false">
      <c r="H1402" s="365"/>
    </row>
    <row r="1403" customFormat="false" ht="16.5" hidden="false" customHeight="true" outlineLevel="0" collapsed="false">
      <c r="H1403" s="365"/>
    </row>
    <row r="1404" customFormat="false" ht="16.5" hidden="false" customHeight="true" outlineLevel="0" collapsed="false">
      <c r="H1404" s="365"/>
    </row>
    <row r="1405" customFormat="false" ht="16.5" hidden="false" customHeight="true" outlineLevel="0" collapsed="false">
      <c r="H1405" s="365"/>
    </row>
    <row r="1406" customFormat="false" ht="16.5" hidden="false" customHeight="true" outlineLevel="0" collapsed="false">
      <c r="H1406" s="365"/>
    </row>
    <row r="1407" customFormat="false" ht="16.5" hidden="false" customHeight="true" outlineLevel="0" collapsed="false">
      <c r="H1407" s="365"/>
    </row>
    <row r="1408" customFormat="false" ht="16.5" hidden="false" customHeight="true" outlineLevel="0" collapsed="false">
      <c r="H1408" s="365"/>
    </row>
    <row r="1409" customFormat="false" ht="16.5" hidden="false" customHeight="true" outlineLevel="0" collapsed="false">
      <c r="H1409" s="365"/>
    </row>
    <row r="1410" customFormat="false" ht="16.5" hidden="false" customHeight="true" outlineLevel="0" collapsed="false">
      <c r="H1410" s="365"/>
    </row>
    <row r="1411" customFormat="false" ht="16.5" hidden="false" customHeight="true" outlineLevel="0" collapsed="false">
      <c r="H1411" s="365"/>
    </row>
    <row r="1412" customFormat="false" ht="16.5" hidden="false" customHeight="true" outlineLevel="0" collapsed="false">
      <c r="H1412" s="365"/>
    </row>
    <row r="1413" customFormat="false" ht="16.5" hidden="false" customHeight="true" outlineLevel="0" collapsed="false">
      <c r="H1413" s="365"/>
    </row>
    <row r="1414" customFormat="false" ht="16.5" hidden="false" customHeight="true" outlineLevel="0" collapsed="false">
      <c r="H1414" s="365"/>
    </row>
  </sheetData>
  <mergeCells count="120">
    <mergeCell ref="G6:L6"/>
    <mergeCell ref="M6:U6"/>
    <mergeCell ref="V6:AC6"/>
    <mergeCell ref="AE6:AJ6"/>
    <mergeCell ref="AL6:AL8"/>
    <mergeCell ref="I7:J7"/>
    <mergeCell ref="M7:N7"/>
    <mergeCell ref="O7:U7"/>
    <mergeCell ref="V7:X7"/>
    <mergeCell ref="Z7:AA7"/>
    <mergeCell ref="AB7:AC7"/>
    <mergeCell ref="R8:S8"/>
    <mergeCell ref="T8:U8"/>
    <mergeCell ref="AK494:AR494"/>
    <mergeCell ref="AK512:AR512"/>
    <mergeCell ref="AK513:AR513"/>
    <mergeCell ref="AK517:AR517"/>
    <mergeCell ref="AK521:AR521"/>
    <mergeCell ref="AK522:AR522"/>
    <mergeCell ref="AK523:AR523"/>
    <mergeCell ref="AK524:AR524"/>
    <mergeCell ref="AK525:AR525"/>
    <mergeCell ref="AK528:AR528"/>
    <mergeCell ref="AK529:AR529"/>
    <mergeCell ref="AK530:AR530"/>
    <mergeCell ref="AK531:AR531"/>
    <mergeCell ref="AK532:AR532"/>
    <mergeCell ref="AK533:AR533"/>
    <mergeCell ref="AK534:AR534"/>
    <mergeCell ref="AK535:AR535"/>
    <mergeCell ref="AK536:AR536"/>
    <mergeCell ref="AK537:AR537"/>
    <mergeCell ref="AK538:AR538"/>
    <mergeCell ref="AK539:AR539"/>
    <mergeCell ref="AK540:AR540"/>
    <mergeCell ref="AK541:AR541"/>
    <mergeCell ref="AK542:AR542"/>
    <mergeCell ref="AK543:AR543"/>
    <mergeCell ref="AK544:AR544"/>
    <mergeCell ref="AK545:AR545"/>
    <mergeCell ref="AK546:AR546"/>
    <mergeCell ref="AK547:AR547"/>
    <mergeCell ref="AK548:AR548"/>
    <mergeCell ref="AK549:AR549"/>
    <mergeCell ref="AK550:AR550"/>
    <mergeCell ref="AK551:AR551"/>
    <mergeCell ref="AK552:AR552"/>
    <mergeCell ref="AK553:AR553"/>
    <mergeCell ref="AK554:AR554"/>
    <mergeCell ref="AK555:AR555"/>
    <mergeCell ref="AK556:AR556"/>
    <mergeCell ref="AK557:AR557"/>
    <mergeCell ref="AK558:AR558"/>
    <mergeCell ref="AK559:AR559"/>
    <mergeCell ref="AK560:AR560"/>
    <mergeCell ref="AK561:AR561"/>
    <mergeCell ref="AK562:AR562"/>
    <mergeCell ref="AK563:AR563"/>
    <mergeCell ref="AK565:AR565"/>
    <mergeCell ref="AK566:AR566"/>
    <mergeCell ref="AK567:AR567"/>
    <mergeCell ref="AK568:AR568"/>
    <mergeCell ref="AK569:AR569"/>
    <mergeCell ref="AK570:AR570"/>
    <mergeCell ref="AK571:AR571"/>
    <mergeCell ref="AK572:AR572"/>
    <mergeCell ref="AK573:AR573"/>
    <mergeCell ref="AK574:AR574"/>
    <mergeCell ref="AK576:AR576"/>
    <mergeCell ref="AK577:AR577"/>
    <mergeCell ref="AK578:AR578"/>
    <mergeCell ref="AK579:AR579"/>
    <mergeCell ref="AK580:AR580"/>
    <mergeCell ref="AK581:AR581"/>
    <mergeCell ref="AK584:AR584"/>
    <mergeCell ref="AK585:AR585"/>
    <mergeCell ref="AK586:AR586"/>
    <mergeCell ref="AK587:AR587"/>
    <mergeCell ref="AK588:AR588"/>
    <mergeCell ref="AK589:AR589"/>
    <mergeCell ref="AK590:AR590"/>
    <mergeCell ref="AK591:AR591"/>
    <mergeCell ref="AK593:AR593"/>
    <mergeCell ref="AK594:AR594"/>
    <mergeCell ref="AK595:AR595"/>
    <mergeCell ref="AK596:AR596"/>
    <mergeCell ref="AK597:AR597"/>
    <mergeCell ref="AK598:AR598"/>
    <mergeCell ref="AK599:AR599"/>
    <mergeCell ref="AK600:AR600"/>
    <mergeCell ref="AK601:AR601"/>
    <mergeCell ref="AK602:AR602"/>
    <mergeCell ref="AK603:AR603"/>
    <mergeCell ref="AK604:AR604"/>
    <mergeCell ref="AK605:AR605"/>
    <mergeCell ref="AK606:AR606"/>
    <mergeCell ref="AK607:AR607"/>
    <mergeCell ref="AK608:AR608"/>
    <mergeCell ref="AK609:AR609"/>
    <mergeCell ref="AK610:AR610"/>
    <mergeCell ref="AK611:AR611"/>
    <mergeCell ref="AK612:AR612"/>
    <mergeCell ref="AK613:AR613"/>
    <mergeCell ref="AK614:AR614"/>
    <mergeCell ref="AK615:AR615"/>
    <mergeCell ref="AK616:AR616"/>
    <mergeCell ref="AK617:AR617"/>
    <mergeCell ref="AK618:AR618"/>
    <mergeCell ref="AK619:AR619"/>
    <mergeCell ref="AK621:AR621"/>
    <mergeCell ref="AK622:AR622"/>
    <mergeCell ref="AK626:AR626"/>
    <mergeCell ref="AK627:AR627"/>
    <mergeCell ref="AK628:AR628"/>
    <mergeCell ref="AK629:AR629"/>
    <mergeCell ref="AK630:AR630"/>
    <mergeCell ref="AK631:AR631"/>
    <mergeCell ref="AK733:AR733"/>
    <mergeCell ref="AK1048:AR1048"/>
    <mergeCell ref="AK1049:AR1049"/>
  </mergeCells>
  <conditionalFormatting sqref="AG1235">
    <cfRule type="cellIs" priority="2" operator="greaterThan" aboveAverage="0" equalAverage="0" bottom="0" percent="0" rank="0" text="" dxfId="0">
      <formula>$AD$11</formula>
    </cfRule>
  </conditionalFormatting>
  <conditionalFormatting sqref="AG1118:AG1161">
    <cfRule type="cellIs" priority="3" operator="greaterThan" aboveAverage="0" equalAverage="0" bottom="0" percent="0" rank="0" text="" dxfId="0">
      <formula>$AD$11</formula>
    </cfRule>
  </conditionalFormatting>
  <conditionalFormatting sqref="AG1113">
    <cfRule type="cellIs" priority="4" operator="greaterThan" aboveAverage="0" equalAverage="0" bottom="0" percent="0" rank="0" text="" dxfId="0">
      <formula>$AD$11</formula>
    </cfRule>
  </conditionalFormatting>
  <conditionalFormatting sqref="AG1078:AG1107">
    <cfRule type="cellIs" priority="5" operator="greaterThan" aboveAverage="0" equalAverage="0" bottom="0" percent="0" rank="0" text="" dxfId="0">
      <formula>$AD$11</formula>
    </cfRule>
  </conditionalFormatting>
  <conditionalFormatting sqref="AG10:AG1073">
    <cfRule type="cellIs" priority="6" operator="greaterThan" aboveAverage="0" equalAverage="0" bottom="0" percent="0" rank="0" text="" dxfId="0">
      <formula>$AD$11</formula>
    </cfRule>
  </conditionalFormatting>
  <conditionalFormatting sqref="C1000:C1049">
    <cfRule type="cellIs" priority="7" operator="equal" aboveAverage="0" equalAverage="0" bottom="0" percent="0" rank="0" text="" dxfId="1">
      <formula>"상해지점"</formula>
    </cfRule>
  </conditionalFormatting>
  <conditionalFormatting sqref="C957:C997">
    <cfRule type="cellIs" priority="8" operator="equal" aboveAverage="0" equalAverage="0" bottom="0" percent="0" rank="0" text="" dxfId="1">
      <formula>"상해지점"</formula>
    </cfRule>
  </conditionalFormatting>
  <conditionalFormatting sqref="B6:B8 C1052:C1048576">
    <cfRule type="cellIs" priority="9" operator="equal" aboveAverage="0" equalAverage="0" bottom="0" percent="0" rank="0" text="" dxfId="1">
      <formula>"상해지점"</formula>
    </cfRule>
  </conditionalFormatting>
  <conditionalFormatting sqref="C930:C954">
    <cfRule type="cellIs" priority="10" operator="equal" aboveAverage="0" equalAverage="0" bottom="0" percent="0" rank="0" text="" dxfId="1">
      <formula>"상해지점"</formula>
    </cfRule>
  </conditionalFormatting>
  <conditionalFormatting sqref="C1:C927">
    <cfRule type="cellIs" priority="11" operator="equal" aboveAverage="0" equalAverage="0" bottom="0" percent="0" rank="0" text="" dxfId="1">
      <formula>"상해지점"</formula>
    </cfRule>
  </conditionalFormatting>
  <conditionalFormatting sqref="D438">
    <cfRule type="cellIs" priority="12" operator="equal" aboveAverage="0" equalAverage="0" bottom="0" percent="0" rank="0" text="" dxfId="1">
      <formula>"상해지점"</formula>
    </cfRule>
  </conditionalFormatting>
  <conditionalFormatting sqref="D432">
    <cfRule type="cellIs" priority="13" operator="equal" aboveAverage="0" equalAverage="0" bottom="0" percent="0" rank="0" text="" dxfId="1">
      <formula>"상해지점"</formula>
    </cfRule>
  </conditionalFormatting>
  <conditionalFormatting sqref="D427">
    <cfRule type="cellIs" priority="14" operator="equal" aboveAverage="0" equalAverage="0" bottom="0" percent="0" rank="0" text="" dxfId="1">
      <formula>"상해지점"</formula>
    </cfRule>
  </conditionalFormatting>
  <conditionalFormatting sqref="D411">
    <cfRule type="cellIs" priority="15" operator="equal" aboveAverage="0" equalAverage="0" bottom="0" percent="0" rank="0" text="" dxfId="1">
      <formula>"상해지점"</formula>
    </cfRule>
  </conditionalFormatting>
  <conditionalFormatting sqref="D403">
    <cfRule type="cellIs" priority="16" operator="equal" aboveAverage="0" equalAverage="0" bottom="0" percent="0" rank="0" text="" dxfId="1">
      <formula>"상해지점"</formula>
    </cfRule>
  </conditionalFormatting>
  <conditionalFormatting sqref="D392">
    <cfRule type="cellIs" priority="17" operator="equal" aboveAverage="0" equalAverage="0" bottom="0" percent="0" rank="0" text="" dxfId="1">
      <formula>"상해지점"</formula>
    </cfRule>
  </conditionalFormatting>
  <conditionalFormatting sqref="D374">
    <cfRule type="cellIs" priority="18" operator="equal" aboveAverage="0" equalAverage="0" bottom="0" percent="0" rank="0" text="" dxfId="1">
      <formula>"상해지점"</formula>
    </cfRule>
  </conditionalFormatting>
  <conditionalFormatting sqref="D364">
    <cfRule type="cellIs" priority="19" operator="equal" aboveAverage="0" equalAverage="0" bottom="0" percent="0" rank="0" text="" dxfId="1">
      <formula>"상해지점"</formula>
    </cfRule>
  </conditionalFormatting>
  <conditionalFormatting sqref="D352">
    <cfRule type="cellIs" priority="20" operator="equal" aboveAverage="0" equalAverage="0" bottom="0" percent="0" rank="0" text="" dxfId="1">
      <formula>"상해지점"</formula>
    </cfRule>
  </conditionalFormatting>
  <conditionalFormatting sqref="D342">
    <cfRule type="cellIs" priority="21" operator="equal" aboveAverage="0" equalAverage="0" bottom="0" percent="0" rank="0" text="" dxfId="1">
      <formula>"상해지점"</formula>
    </cfRule>
  </conditionalFormatting>
  <conditionalFormatting sqref="D337">
    <cfRule type="cellIs" priority="22" operator="equal" aboveAverage="0" equalAverage="0" bottom="0" percent="0" rank="0" text="" dxfId="1">
      <formula>"상해지점"</formula>
    </cfRule>
  </conditionalFormatting>
  <conditionalFormatting sqref="D333">
    <cfRule type="cellIs" priority="23" operator="equal" aboveAverage="0" equalAverage="0" bottom="0" percent="0" rank="0" text="" dxfId="1">
      <formula>"상해지점"</formula>
    </cfRule>
  </conditionalFormatting>
  <conditionalFormatting sqref="D327">
    <cfRule type="cellIs" priority="24" operator="equal" aboveAverage="0" equalAverage="0" bottom="0" percent="0" rank="0" text="" dxfId="1">
      <formula>"상해지점"</formula>
    </cfRule>
  </conditionalFormatting>
  <conditionalFormatting sqref="D317">
    <cfRule type="cellIs" priority="25" operator="equal" aboveAverage="0" equalAverage="0" bottom="0" percent="0" rank="0" text="" dxfId="1">
      <formula>"상해지점"</formula>
    </cfRule>
  </conditionalFormatting>
  <conditionalFormatting sqref="B314:B315">
    <cfRule type="cellIs" priority="26" operator="equal" aboveAverage="0" equalAverage="0" bottom="0" percent="0" rank="0" text="" dxfId="1">
      <formula>"상해지점"</formula>
    </cfRule>
  </conditionalFormatting>
  <conditionalFormatting sqref="D306">
    <cfRule type="cellIs" priority="27" operator="equal" aboveAverage="0" equalAverage="0" bottom="0" percent="0" rank="0" text="" dxfId="1">
      <formula>"상해지점"</formula>
    </cfRule>
  </conditionalFormatting>
  <conditionalFormatting sqref="AL285:AL286">
    <cfRule type="cellIs" priority="28" operator="equal" aboveAverage="0" equalAverage="0" bottom="0" percent="0" rank="0" text="" dxfId="2">
      <formula>"N"</formula>
    </cfRule>
    <cfRule type="containsText" priority="29" operator="containsText" aboveAverage="0" equalAverage="0" bottom="0" percent="0" rank="0" text="Y" dxfId="1">
      <formula>NOT(ISERROR(SEARCH("Y",AL285)))</formula>
    </cfRule>
  </conditionalFormatting>
  <conditionalFormatting sqref="AL278:AL280">
    <cfRule type="cellIs" priority="30" operator="equal" aboveAverage="0" equalAverage="0" bottom="0" percent="0" rank="0" text="" dxfId="2">
      <formula>"N"</formula>
    </cfRule>
    <cfRule type="containsText" priority="31" operator="containsText" aboveAverage="0" equalAverage="0" bottom="0" percent="0" rank="0" text="Y" dxfId="1">
      <formula>NOT(ISERROR(SEARCH("Y",AL278)))</formula>
    </cfRule>
  </conditionalFormatting>
  <conditionalFormatting sqref="AL266:AL271">
    <cfRule type="cellIs" priority="32" operator="equal" aboveAverage="0" equalAverage="0" bottom="0" percent="0" rank="0" text="" dxfId="2">
      <formula>"N"</formula>
    </cfRule>
    <cfRule type="containsText" priority="33" operator="containsText" aboveAverage="0" equalAverage="0" bottom="0" percent="0" rank="0" text="Y" dxfId="1">
      <formula>NOT(ISERROR(SEARCH("Y",AL266)))</formula>
    </cfRule>
  </conditionalFormatting>
  <conditionalFormatting sqref="AL257:AL258">
    <cfRule type="cellIs" priority="34" operator="equal" aboveAverage="0" equalAverage="0" bottom="0" percent="0" rank="0" text="" dxfId="2">
      <formula>"N"</formula>
    </cfRule>
    <cfRule type="containsText" priority="35" operator="containsText" aboveAverage="0" equalAverage="0" bottom="0" percent="0" rank="0" text="Y" dxfId="1">
      <formula>NOT(ISERROR(SEARCH("Y",AL257)))</formula>
    </cfRule>
  </conditionalFormatting>
  <conditionalFormatting sqref="AL250:AL251">
    <cfRule type="cellIs" priority="36" operator="equal" aboveAverage="0" equalAverage="0" bottom="0" percent="0" rank="0" text="" dxfId="2">
      <formula>"N"</formula>
    </cfRule>
    <cfRule type="containsText" priority="37" operator="containsText" aboveAverage="0" equalAverage="0" bottom="0" percent="0" rank="0" text="Y" dxfId="1">
      <formula>NOT(ISERROR(SEARCH("Y",AL250)))</formula>
    </cfRule>
  </conditionalFormatting>
  <conditionalFormatting sqref="AL246">
    <cfRule type="cellIs" priority="38" operator="equal" aboveAverage="0" equalAverage="0" bottom="0" percent="0" rank="0" text="" dxfId="2">
      <formula>"N"</formula>
    </cfRule>
    <cfRule type="containsText" priority="39" operator="containsText" aboveAverage="0" equalAverage="0" bottom="0" percent="0" rank="0" text="Y" dxfId="1">
      <formula>NOT(ISERROR(SEARCH("Y",AL246)))</formula>
    </cfRule>
  </conditionalFormatting>
  <conditionalFormatting sqref="AL243">
    <cfRule type="cellIs" priority="40" operator="equal" aboveAverage="0" equalAverage="0" bottom="0" percent="0" rank="0" text="" dxfId="2">
      <formula>"N"</formula>
    </cfRule>
    <cfRule type="containsText" priority="41" operator="containsText" aboveAverage="0" equalAverage="0" bottom="0" percent="0" rank="0" text="Y" dxfId="1">
      <formula>NOT(ISERROR(SEARCH("Y",AL243)))</formula>
    </cfRule>
  </conditionalFormatting>
  <conditionalFormatting sqref="AL223:AL235">
    <cfRule type="cellIs" priority="42" operator="equal" aboveAverage="0" equalAverage="0" bottom="0" percent="0" rank="0" text="" dxfId="2">
      <formula>"N"</formula>
    </cfRule>
    <cfRule type="containsText" priority="43" operator="containsText" aboveAverage="0" equalAverage="0" bottom="0" percent="0" rank="0" text="Y" dxfId="1">
      <formula>NOT(ISERROR(SEARCH("Y",AL223)))</formula>
    </cfRule>
  </conditionalFormatting>
  <conditionalFormatting sqref="AE6 AJ10:AJ1048576">
    <cfRule type="cellIs" priority="44" operator="equal" aboveAverage="0" equalAverage="0" bottom="0" percent="0" rank="0" text="" dxfId="2">
      <formula>"N"</formula>
    </cfRule>
    <cfRule type="containsText" priority="45" operator="containsText" aboveAverage="0" equalAverage="0" bottom="0" percent="0" rank="0" text="Y" dxfId="1">
      <formula>NOT(ISERROR(SEARCH("Y",AE6)))</formula>
    </cfRule>
  </conditionalFormatting>
  <conditionalFormatting sqref="AL220">
    <cfRule type="cellIs" priority="46" operator="equal" aboveAverage="0" equalAverage="0" bottom="0" percent="0" rank="0" text="" dxfId="2">
      <formula>"N"</formula>
    </cfRule>
    <cfRule type="containsText" priority="47" operator="containsText" aboveAverage="0" equalAverage="0" bottom="0" percent="0" rank="0" text="Y" dxfId="1">
      <formula>NOT(ISERROR(SEARCH("Y",AL220)))</formula>
    </cfRule>
  </conditionalFormatting>
  <conditionalFormatting sqref="AL210:AL218">
    <cfRule type="cellIs" priority="48" operator="equal" aboveAverage="0" equalAverage="0" bottom="0" percent="0" rank="0" text="" dxfId="2">
      <formula>"N"</formula>
    </cfRule>
  </conditionalFormatting>
  <conditionalFormatting sqref="AL208:AL218">
    <cfRule type="containsText" priority="49" operator="containsText" aboveAverage="0" equalAverage="0" bottom="0" percent="0" rank="0" text="Y" dxfId="1">
      <formula>NOT(ISERROR(SEARCH("Y",AL208)))</formula>
    </cfRule>
  </conditionalFormatting>
  <conditionalFormatting sqref="AL204:AL207">
    <cfRule type="cellIs" priority="50" operator="equal" aboveAverage="0" equalAverage="0" bottom="0" percent="0" rank="0" text="" dxfId="2">
      <formula>"N"</formula>
    </cfRule>
  </conditionalFormatting>
  <conditionalFormatting sqref="AL203:AL207">
    <cfRule type="containsText" priority="51" operator="containsText" aboveAverage="0" equalAverage="0" bottom="0" percent="0" rank="0" text="Y" dxfId="1">
      <formula>NOT(ISERROR(SEARCH("Y",AL203)))</formula>
    </cfRule>
  </conditionalFormatting>
  <conditionalFormatting sqref="AL201">
    <cfRule type="containsText" priority="52" operator="containsText" aboveAverage="0" equalAverage="0" bottom="0" percent="0" rank="0" text="Y" dxfId="1">
      <formula>NOT(ISERROR(SEARCH("Y",AL201)))</formula>
    </cfRule>
  </conditionalFormatting>
  <conditionalFormatting sqref="AL96 AL98 AM81">
    <cfRule type="containsText" priority="53" operator="containsText" aboveAverage="0" equalAverage="0" bottom="0" percent="0" rank="0" text="Y" dxfId="1">
      <formula>NOT(ISERROR(SEARCH("Y",AL81)))</formula>
    </cfRule>
  </conditionalFormatting>
  <conditionalFormatting sqref="AG7 AG1163:AG1234 AG1236:AG1048576">
    <cfRule type="cellIs" priority="54" operator="greaterThan" aboveAverage="0" equalAverage="0" bottom="0" percent="0" rank="0" text="" dxfId="0">
      <formula>$AD$11</formula>
    </cfRule>
  </conditionalFormatting>
  <dataValidations count="1">
    <dataValidation allowBlank="true" errorStyle="stop" operator="between" showDropDown="false" showErrorMessage="true" showInputMessage="true" sqref="AM149:AM150" type="list">
      <formula1>금융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N108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N38" activeCellId="0" sqref="N38"/>
    </sheetView>
  </sheetViews>
  <sheetFormatPr defaultColWidth="8.5390625" defaultRowHeight="16.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6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1"/>
    <col collapsed="false" customWidth="true" hidden="false" outlineLevel="0" max="8" min="8" style="1" width="7"/>
    <col collapsed="false" customWidth="true" hidden="false" outlineLevel="0" max="9" min="9" style="1" width="13"/>
    <col collapsed="false" customWidth="true" hidden="false" outlineLevel="0" max="11" min="10" style="1" width="10"/>
    <col collapsed="false" customWidth="true" hidden="false" outlineLevel="0" max="12" min="12" style="1" width="16"/>
    <col collapsed="false" customWidth="true" hidden="false" outlineLevel="0" max="13" min="13" style="1" width="12.5"/>
    <col collapsed="false" customWidth="true" hidden="true" outlineLevel="0" max="14" min="14" style="1" width="9.25"/>
    <col collapsed="false" customWidth="true" hidden="true" outlineLevel="0" max="15" min="15" style="1" width="7.38"/>
    <col collapsed="false" customWidth="true" hidden="true" outlineLevel="0" max="16" min="16" style="1" width="20.63"/>
    <col collapsed="false" customWidth="true" hidden="true" outlineLevel="0" max="17" min="17" style="1" width="9.25"/>
    <col collapsed="false" customWidth="false" hidden="true" outlineLevel="0" max="18" min="18" style="1" width="8.5"/>
    <col collapsed="false" customWidth="true" hidden="true" outlineLevel="0" max="19" min="19" style="1" width="12.5"/>
    <col collapsed="false" customWidth="true" hidden="true" outlineLevel="0" max="20" min="20" style="1" width="9.25"/>
    <col collapsed="false" customWidth="true" hidden="true" outlineLevel="0" max="21" min="21" style="1" width="7.38"/>
    <col collapsed="false" customWidth="true" hidden="true" outlineLevel="0" max="22" min="22" style="1" width="13"/>
    <col collapsed="false" customWidth="true" hidden="true" outlineLevel="0" max="23" min="23" style="1" width="9.25"/>
    <col collapsed="false" customWidth="false" hidden="true" outlineLevel="0" max="24" min="24" style="1" width="8.5"/>
    <col collapsed="false" customWidth="true" hidden="true" outlineLevel="0" max="25" min="25" style="1" width="12.5"/>
    <col collapsed="false" customWidth="true" hidden="false" outlineLevel="0" max="26" min="26" style="1" width="9.25"/>
    <col collapsed="false" customWidth="true" hidden="false" outlineLevel="0" max="27" min="27" style="1" width="7.38"/>
    <col collapsed="false" customWidth="true" hidden="false" outlineLevel="0" max="28" min="28" style="1" width="12.5"/>
    <col collapsed="false" customWidth="true" hidden="false" outlineLevel="0" max="29" min="29" style="1" width="9.25"/>
    <col collapsed="false" customWidth="true" hidden="false" outlineLevel="0" max="30" min="30" style="1" width="7.38"/>
    <col collapsed="false" customWidth="true" hidden="false" outlineLevel="0" max="31" min="31" style="1" width="12.25"/>
    <col collapsed="false" customWidth="true" hidden="false" outlineLevel="0" max="32" min="32" style="9" width="13.25"/>
    <col collapsed="false" customWidth="true" hidden="false" outlineLevel="0" max="33" min="33" style="1" width="13.25"/>
    <col collapsed="false" customWidth="true" hidden="false" outlineLevel="0" max="34" min="34" style="1" width="20"/>
    <col collapsed="false" customWidth="true" hidden="false" outlineLevel="0" max="35" min="35" style="1" width="5.38"/>
    <col collapsed="false" customWidth="true" hidden="false" outlineLevel="0" max="36" min="36" style="1" width="7.63"/>
    <col collapsed="false" customWidth="true" hidden="false" outlineLevel="0" max="40" min="37" style="1" width="13"/>
  </cols>
  <sheetData>
    <row r="1" customFormat="false" ht="25.5" hidden="false" customHeight="true" outlineLevel="0" collapsed="false">
      <c r="A1" s="530" t="s">
        <v>1343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1"/>
      <c r="AJ1" s="531"/>
      <c r="AK1" s="531"/>
      <c r="AL1" s="531"/>
      <c r="AM1" s="531"/>
      <c r="AN1" s="531"/>
    </row>
    <row r="2" customFormat="false" ht="17.25" hidden="false" customHeight="true" outlineLevel="0" collapsed="false">
      <c r="A2" s="532" t="s">
        <v>1344</v>
      </c>
      <c r="B2" s="533" t="n">
        <f aca="true">TODAY()</f>
        <v>46189</v>
      </c>
      <c r="C2" s="531"/>
      <c r="D2" s="534" t="s">
        <v>1345</v>
      </c>
      <c r="E2" s="531"/>
      <c r="F2" s="531"/>
      <c r="G2" s="535" t="s">
        <v>1346</v>
      </c>
      <c r="H2" s="536" t="n">
        <f aca="false">COUNT($Y$6:$Y$85)</f>
        <v>11</v>
      </c>
      <c r="I2" s="535" t="s">
        <v>1347</v>
      </c>
      <c r="J2" s="537" t="n">
        <f aca="false">SUM($I$6:$I$85)</f>
        <v>51.24</v>
      </c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1"/>
      <c r="AL2" s="531"/>
      <c r="AM2" s="531"/>
      <c r="AN2" s="531"/>
    </row>
    <row r="3" customFormat="false" ht="16.5" hidden="false" customHeight="true" outlineLevel="0" collapsed="false">
      <c r="A3" s="532" t="s">
        <v>1348</v>
      </c>
      <c r="B3" s="538" t="str">
        <f aca="false">TEXT(B2,"yyyy-mm-dd")&amp;"  ~  "&amp;TEXT(B2+10,"yyyy-mm-dd")</f>
        <v>2026-06-16  ~  2026-06-26</v>
      </c>
      <c r="C3" s="531"/>
      <c r="D3" s="531"/>
      <c r="E3" s="531"/>
      <c r="F3" s="531"/>
      <c r="G3" s="539" t="s">
        <v>1349</v>
      </c>
      <c r="H3" s="540" t="n">
        <f aca="false">COUNTIF($I$6:$I$85,"&gt;=10")</f>
        <v>2</v>
      </c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1"/>
      <c r="AB3" s="531"/>
      <c r="AC3" s="531"/>
      <c r="AD3" s="531"/>
      <c r="AE3" s="531"/>
      <c r="AF3" s="531"/>
      <c r="AG3" s="531"/>
      <c r="AH3" s="531"/>
      <c r="AI3" s="531"/>
      <c r="AJ3" s="531"/>
      <c r="AK3" s="531"/>
      <c r="AL3" s="531"/>
      <c r="AM3" s="531"/>
      <c r="AN3" s="531"/>
    </row>
    <row r="4" customFormat="false" ht="16.5" hidden="false" customHeight="true" outlineLevel="0" collapsed="false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531"/>
      <c r="T4" s="531"/>
      <c r="U4" s="531"/>
      <c r="V4" s="531"/>
      <c r="W4" s="531"/>
      <c r="X4" s="531"/>
      <c r="Y4" s="531"/>
      <c r="Z4" s="531"/>
      <c r="AA4" s="531"/>
      <c r="AB4" s="531"/>
      <c r="AC4" s="531"/>
      <c r="AD4" s="531"/>
      <c r="AE4" s="531"/>
      <c r="AF4" s="531"/>
      <c r="AG4" s="531"/>
      <c r="AH4" s="531"/>
      <c r="AI4" s="531"/>
      <c r="AJ4" s="531"/>
      <c r="AK4" s="531"/>
      <c r="AL4" s="531"/>
      <c r="AM4" s="531"/>
      <c r="AN4" s="531"/>
    </row>
    <row r="5" customFormat="false" ht="19.5" hidden="false" customHeight="true" outlineLevel="0" collapsed="false">
      <c r="A5" s="541" t="s">
        <v>1350</v>
      </c>
      <c r="B5" s="541" t="s">
        <v>1351</v>
      </c>
      <c r="C5" s="541" t="s">
        <v>1352</v>
      </c>
      <c r="D5" s="541" t="s">
        <v>1353</v>
      </c>
      <c r="E5" s="541" t="s">
        <v>1354</v>
      </c>
      <c r="F5" s="541" t="s">
        <v>57</v>
      </c>
      <c r="G5" s="541" t="s">
        <v>65</v>
      </c>
      <c r="H5" s="541" t="s">
        <v>1355</v>
      </c>
      <c r="I5" s="541" t="s">
        <v>1356</v>
      </c>
      <c r="J5" s="541" t="s">
        <v>84</v>
      </c>
      <c r="K5" s="541" t="s">
        <v>76</v>
      </c>
      <c r="L5" s="541" t="s">
        <v>1357</v>
      </c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1"/>
      <c r="AB5" s="531"/>
      <c r="AC5" s="531"/>
      <c r="AD5" s="531"/>
      <c r="AE5" s="531"/>
      <c r="AF5" s="531"/>
      <c r="AG5" s="531"/>
      <c r="AH5" s="531"/>
      <c r="AI5" s="531"/>
      <c r="AJ5" s="531"/>
      <c r="AK5" s="531"/>
      <c r="AL5" s="531"/>
      <c r="AM5" s="531"/>
      <c r="AN5" s="531"/>
    </row>
    <row r="6" customFormat="false" ht="16.5" hidden="false" customHeight="true" outlineLevel="0" collapsed="false">
      <c r="A6" s="542" t="str">
        <f aca="false">IF($Y6="","",IF(INDEX($N$6:$N$1005,$Y6)=$B$2,"오늘","+"&amp;(INDEX($N$6:$N$1005,$Y6)-$B$2)&amp;"일"))</f>
        <v>오늘</v>
      </c>
      <c r="B6" s="543" t="n">
        <f aca="false">IF($Y6="","",INDEX($N$6:$N$1005,$Y6))</f>
        <v>46189</v>
      </c>
      <c r="C6" s="542" t="str">
        <f aca="false">IF($Y6="","",CHOOSE(WEEKDAY(INDEX($N$6:$N$1005,$Y6)),"일","월","화","수","목","금","토"))</f>
        <v>화</v>
      </c>
      <c r="D6" s="543" t="n">
        <f aca="false">IF($Y6="","",INDEX($O$6:$O$1005,$Y6))</f>
        <v>46097</v>
      </c>
      <c r="E6" s="544" t="str">
        <f aca="false">IF($Y6="","",INDEX($P$6:$P$1005,$Y6))</f>
        <v>㈜ 동아홀딩스 </v>
      </c>
      <c r="F6" s="544" t="str">
        <f aca="false">IF($Y6="","",INDEX($Q$6:$Q$1005,$Y6))</f>
        <v>달성공단영업부</v>
      </c>
      <c r="G6" s="542" t="str">
        <f aca="false">IF($Y6="","",INDEX($R$6:$R$1005,$Y6))</f>
        <v>정기예금</v>
      </c>
      <c r="H6" s="542" t="str">
        <f aca="false">IF($Y6="","","USD")</f>
        <v>USD</v>
      </c>
      <c r="I6" s="545" t="n">
        <f aca="false">IF($Y6="","",INDEX($S$6:$S$1005,$Y6))</f>
        <v>2.19</v>
      </c>
      <c r="J6" s="546" t="n">
        <f aca="false">IF($Y6="","",INDEX($T$6:$T$1005,$Y6))</f>
        <v>0.036</v>
      </c>
      <c r="K6" s="546" t="n">
        <f aca="false">IF($Y6="","",INDEX($U$6:$U$1005,$Y6))</f>
        <v>0.00264</v>
      </c>
      <c r="L6" s="542" t="str">
        <f aca="false">IF($Y6="","",IF(INDEX($S$6:$S$1005,$Y6)&gt;=10,"★ 10백만불↑",""))</f>
        <v/>
      </c>
      <c r="M6" s="531"/>
      <c r="N6" s="547" t="n">
        <f aca="false">IF('(1)예금승인내역'!H632="","",'(1)예금승인내역'!H632)</f>
        <v>45313</v>
      </c>
      <c r="O6" s="547" t="n">
        <f aca="false">IF('(1)예금승인내역'!G632="","",'(1)예금승인내역'!G632)</f>
        <v>45280</v>
      </c>
      <c r="P6" s="531" t="str">
        <f aca="false">IF('(1)예금승인내역'!F632="","",'(1)예금승인내역'!F632)</f>
        <v>주식회사 한국비앤씨</v>
      </c>
      <c r="Q6" s="531" t="str">
        <f aca="false">IF('(1)예금승인내역'!C632="","",'(1)예금승인내역'!C632)</f>
        <v>성서영업부</v>
      </c>
      <c r="R6" s="531" t="str">
        <f aca="false">IF('(1)예금승인내역'!K632="","",'(1)예금승인내역'!K632)</f>
        <v>정기예금</v>
      </c>
      <c r="S6" s="548" t="n">
        <f aca="false">IF('(1)예금승인내역'!L632="","",'(1)예금승인내역'!L632)</f>
        <v>5</v>
      </c>
      <c r="T6" s="549" t="n">
        <f aca="false">IF('(1)예금승인내역'!AG632="","",'(1)예금승인내역'!AG632)</f>
        <v>0.0525</v>
      </c>
      <c r="U6" s="549" t="n">
        <f aca="false">IF('(1)예금승인내역'!X632="","",'(1)예금승인내역'!X632)</f>
        <v>0.002275</v>
      </c>
      <c r="V6" s="531" t="n">
        <f aca="false">IF(ISNUMBER(N6),N6-$B$2,"")</f>
        <v>-876</v>
      </c>
      <c r="W6" s="531" t="str">
        <f aca="false">IF(AND(ISNUMBER(N6),N6&gt;=$B$2,N6&lt;=$B$2+10),N6*100000+ROW(),"")</f>
        <v/>
      </c>
      <c r="X6" s="531" t="n">
        <f aca="false">IFERROR(SMALL($W$6:$W$1005,1),"")</f>
        <v>4618900541</v>
      </c>
      <c r="Y6" s="531" t="n">
        <f aca="false">IF(X6="","",MATCH(X6,$W$6:$W$1005,0))</f>
        <v>536</v>
      </c>
      <c r="Z6" s="531"/>
      <c r="AA6" s="531"/>
      <c r="AB6" s="531"/>
      <c r="AC6" s="531"/>
      <c r="AD6" s="531"/>
      <c r="AE6" s="531"/>
      <c r="AF6" s="531"/>
      <c r="AG6" s="531"/>
      <c r="AH6" s="531"/>
      <c r="AI6" s="531"/>
      <c r="AJ6" s="531"/>
      <c r="AK6" s="531"/>
      <c r="AL6" s="531"/>
      <c r="AM6" s="531"/>
      <c r="AN6" s="531"/>
    </row>
    <row r="7" customFormat="false" ht="16.5" hidden="false" customHeight="true" outlineLevel="0" collapsed="false">
      <c r="A7" s="542" t="str">
        <f aca="false">IF($Y7="","",IF(INDEX($N$6:$N$1005,$Y7)=$B$2,"오늘","+"&amp;(INDEX($N$6:$N$1005,$Y7)-$B$2)&amp;"일"))</f>
        <v>오늘</v>
      </c>
      <c r="B7" s="543" t="n">
        <f aca="false">IF($Y7="","",INDEX($N$6:$N$1005,$Y7))</f>
        <v>46189</v>
      </c>
      <c r="C7" s="542" t="str">
        <f aca="false">IF($Y7="","",CHOOSE(WEEKDAY(INDEX($N$6:$N$1005,$Y7)),"일","월","화","수","목","금","토"))</f>
        <v>화</v>
      </c>
      <c r="D7" s="543" t="n">
        <f aca="false">IF($Y7="","",INDEX($O$6:$O$1005,$Y7))</f>
        <v>46097</v>
      </c>
      <c r="E7" s="544" t="str">
        <f aca="false">IF($Y7="","",INDEX($P$6:$P$1005,$Y7))</f>
        <v>해내다컨트리클럽</v>
      </c>
      <c r="F7" s="544" t="str">
        <f aca="false">IF($Y7="","",INDEX($Q$6:$Q$1005,$Y7))</f>
        <v>달성공단영업부</v>
      </c>
      <c r="G7" s="542" t="str">
        <f aca="false">IF($Y7="","",INDEX($R$6:$R$1005,$Y7))</f>
        <v>정기예금</v>
      </c>
      <c r="H7" s="542" t="str">
        <f aca="false">IF($Y7="","","USD")</f>
        <v>USD</v>
      </c>
      <c r="I7" s="545" t="n">
        <f aca="false">IF($Y7="","",INDEX($S$6:$S$1005,$Y7))</f>
        <v>3.65</v>
      </c>
      <c r="J7" s="546" t="n">
        <f aca="false">IF($Y7="","",INDEX($T$6:$T$1005,$Y7))</f>
        <v>0.036</v>
      </c>
      <c r="K7" s="546" t="n">
        <f aca="false">IF($Y7="","",INDEX($U$6:$U$1005,$Y7))</f>
        <v>0.00264</v>
      </c>
      <c r="L7" s="542" t="str">
        <f aca="false">IF($Y7="","",IF(INDEX($S$6:$S$1005,$Y7)&gt;=10,"★ 10백만불↑",""))</f>
        <v/>
      </c>
      <c r="M7" s="531"/>
      <c r="N7" s="547" t="n">
        <f aca="false">IF('(1)예금승인내역'!H633="","",'(1)예금승인내역'!H633)</f>
        <v>45313</v>
      </c>
      <c r="O7" s="547" t="n">
        <f aca="false">IF('(1)예금승인내역'!G633="","",'(1)예금승인내역'!G633)</f>
        <v>45280</v>
      </c>
      <c r="P7" s="531" t="str">
        <f aca="false">IF('(1)예금승인내역'!F633="","",'(1)예금승인내역'!F633)</f>
        <v>주식회사 한국비앤씨</v>
      </c>
      <c r="Q7" s="531" t="str">
        <f aca="false">IF('(1)예금승인내역'!C633="","",'(1)예금승인내역'!C633)</f>
        <v>성서영업부</v>
      </c>
      <c r="R7" s="531" t="str">
        <f aca="false">IF('(1)예금승인내역'!K633="","",'(1)예금승인내역'!K633)</f>
        <v>정기예금</v>
      </c>
      <c r="S7" s="548" t="n">
        <f aca="false">IF('(1)예금승인내역'!L633="","",'(1)예금승인내역'!L633)</f>
        <v>5</v>
      </c>
      <c r="T7" s="549" t="n">
        <f aca="false">IF('(1)예금승인내역'!AG633="","",'(1)예금승인내역'!AG633)</f>
        <v>0.0525</v>
      </c>
      <c r="U7" s="549" t="n">
        <f aca="false">IF('(1)예금승인내역'!X633="","",'(1)예금승인내역'!X633)</f>
        <v>0.002275</v>
      </c>
      <c r="V7" s="531" t="n">
        <f aca="false">IF(ISNUMBER(N7),N7-$B$2,"")</f>
        <v>-876</v>
      </c>
      <c r="W7" s="531" t="str">
        <f aca="false">IF(AND(ISNUMBER(N7),N7&gt;=$B$2,N7&lt;=$B$2+10),N7*100000+ROW(),"")</f>
        <v/>
      </c>
      <c r="X7" s="531" t="n">
        <f aca="false">IFERROR(SMALL($W$6:$W$1005,2),"")</f>
        <v>4618900542</v>
      </c>
      <c r="Y7" s="531" t="n">
        <f aca="false">IF(X7="","",MATCH(X7,$W$6:$W$1005,0))</f>
        <v>537</v>
      </c>
      <c r="Z7" s="531"/>
      <c r="AA7" s="531"/>
      <c r="AB7" s="531"/>
      <c r="AC7" s="531"/>
      <c r="AD7" s="531"/>
      <c r="AE7" s="531"/>
      <c r="AF7" s="531"/>
      <c r="AG7" s="531"/>
      <c r="AH7" s="531"/>
      <c r="AI7" s="531"/>
      <c r="AJ7" s="531"/>
      <c r="AK7" s="531"/>
      <c r="AL7" s="531"/>
      <c r="AM7" s="531"/>
      <c r="AN7" s="531"/>
    </row>
    <row r="8" customFormat="false" ht="16.5" hidden="false" customHeight="true" outlineLevel="0" collapsed="false">
      <c r="A8" s="542" t="str">
        <f aca="false">IF($Y8="","",IF(INDEX($N$6:$N$1005,$Y8)=$B$2,"오늘","+"&amp;(INDEX($N$6:$N$1005,$Y8)-$B$2)&amp;"일"))</f>
        <v>오늘</v>
      </c>
      <c r="B8" s="543" t="n">
        <f aca="false">IF($Y8="","",INDEX($N$6:$N$1005,$Y8))</f>
        <v>46189</v>
      </c>
      <c r="C8" s="542" t="str">
        <f aca="false">IF($Y8="","",CHOOSE(WEEKDAY(INDEX($N$6:$N$1005,$Y8)),"일","월","화","수","목","금","토"))</f>
        <v>화</v>
      </c>
      <c r="D8" s="543" t="n">
        <f aca="false">IF($Y8="","",INDEX($O$6:$O$1005,$Y8))</f>
        <v>46097</v>
      </c>
      <c r="E8" s="544" t="str">
        <f aca="false">IF($Y8="","",INDEX($P$6:$P$1005,$Y8))</f>
        <v>거림테크주식회사</v>
      </c>
      <c r="F8" s="544" t="str">
        <f aca="false">IF($Y8="","",INDEX($Q$6:$Q$1005,$Y8))</f>
        <v>죽전지점</v>
      </c>
      <c r="G8" s="542" t="str">
        <f aca="false">IF($Y8="","",INDEX($R$6:$R$1005,$Y8))</f>
        <v>정기예금</v>
      </c>
      <c r="H8" s="542" t="str">
        <f aca="false">IF($Y8="","","USD")</f>
        <v>USD</v>
      </c>
      <c r="I8" s="545" t="n">
        <f aca="false">IF($Y8="","",INDEX($S$6:$S$1005,$Y8))</f>
        <v>2</v>
      </c>
      <c r="J8" s="546" t="n">
        <f aca="false">IF($Y8="","",INDEX($T$6:$T$1005,$Y8))</f>
        <v>0.0365</v>
      </c>
      <c r="K8" s="546" t="n">
        <f aca="false">IF($Y8="","",INDEX($U$6:$U$1005,$Y8))</f>
        <v>0.00214</v>
      </c>
      <c r="L8" s="542" t="str">
        <f aca="false">IF($Y8="","",IF(INDEX($S$6:$S$1005,$Y8)&gt;=10,"★ 10백만불↑",""))</f>
        <v/>
      </c>
      <c r="M8" s="531"/>
      <c r="N8" s="547" t="n">
        <f aca="false">IF('(1)예금승인내역'!H634="","",'(1)예금승인내역'!H634)</f>
        <v>45313</v>
      </c>
      <c r="O8" s="547" t="n">
        <f aca="false">IF('(1)예금승인내역'!G634="","",'(1)예금승인내역'!G634)</f>
        <v>45280</v>
      </c>
      <c r="P8" s="531" t="str">
        <f aca="false">IF('(1)예금승인내역'!F634="","",'(1)예금승인내역'!F634)</f>
        <v>㈜대우로지스틱스</v>
      </c>
      <c r="Q8" s="531" t="str">
        <f aca="false">IF('(1)예금승인내역'!C634="","",'(1)예금승인내역'!C634)</f>
        <v>사상공단영업부</v>
      </c>
      <c r="R8" s="531" t="str">
        <f aca="false">IF('(1)예금승인내역'!K634="","",'(1)예금승인내역'!K634)</f>
        <v>MMDA</v>
      </c>
      <c r="S8" s="548" t="n">
        <f aca="false">IF('(1)예금승인내역'!L634="","",'(1)예금승인내역'!L634)</f>
        <v>1</v>
      </c>
      <c r="T8" s="549" t="n">
        <f aca="false">IF('(1)예금승인내역'!AG634="","",'(1)예금승인내역'!AG634)</f>
        <v>0.0435</v>
      </c>
      <c r="U8" s="549" t="n">
        <f aca="false">IF('(1)예금승인내역'!X634="","",'(1)예금승인내역'!X634)</f>
        <v>0.009148</v>
      </c>
      <c r="V8" s="531" t="n">
        <f aca="false">IF(ISNUMBER(N8),N8-$B$2,"")</f>
        <v>-876</v>
      </c>
      <c r="W8" s="531" t="str">
        <f aca="false">IF(AND(ISNUMBER(N8),N8&gt;=$B$2,N8&lt;=$B$2+10),N8*100000+ROW(),"")</f>
        <v/>
      </c>
      <c r="X8" s="531" t="n">
        <f aca="false">IFERROR(SMALL($W$6:$W$1005,3),"")</f>
        <v>4618900543</v>
      </c>
      <c r="Y8" s="531" t="n">
        <f aca="false">IF(X8="","",MATCH(X8,$W$6:$W$1005,0))</f>
        <v>538</v>
      </c>
      <c r="Z8" s="531"/>
      <c r="AA8" s="531"/>
      <c r="AB8" s="531"/>
      <c r="AC8" s="531"/>
      <c r="AD8" s="531"/>
      <c r="AE8" s="531"/>
      <c r="AF8" s="531"/>
      <c r="AG8" s="531"/>
      <c r="AH8" s="531"/>
      <c r="AI8" s="531"/>
      <c r="AJ8" s="531"/>
      <c r="AK8" s="531"/>
      <c r="AL8" s="531"/>
      <c r="AM8" s="531"/>
      <c r="AN8" s="531"/>
    </row>
    <row r="9" customFormat="false" ht="16.5" hidden="false" customHeight="true" outlineLevel="0" collapsed="false">
      <c r="A9" s="542" t="str">
        <f aca="false">IF($Y9="","",IF(INDEX($N$6:$N$1005,$Y9)=$B$2,"오늘","+"&amp;(INDEX($N$6:$N$1005,$Y9)-$B$2)&amp;"일"))</f>
        <v>+1일</v>
      </c>
      <c r="B9" s="543" t="n">
        <f aca="false">IF($Y9="","",INDEX($N$6:$N$1005,$Y9))</f>
        <v>46190</v>
      </c>
      <c r="C9" s="542" t="str">
        <f aca="false">IF($Y9="","",CHOOSE(WEEKDAY(INDEX($N$6:$N$1005,$Y9)),"일","월","화","수","목","금","토"))</f>
        <v>수</v>
      </c>
      <c r="D9" s="543" t="n">
        <f aca="false">IF($Y9="","",INDEX($O$6:$O$1005,$Y9))</f>
        <v>46098</v>
      </c>
      <c r="E9" s="544" t="str">
        <f aca="false">IF($Y9="","",INDEX($P$6:$P$1005,$Y9))</f>
        <v>거림테크주식회사</v>
      </c>
      <c r="F9" s="544" t="str">
        <f aca="false">IF($Y9="","",INDEX($Q$6:$Q$1005,$Y9))</f>
        <v>죽전지점</v>
      </c>
      <c r="G9" s="542" t="str">
        <f aca="false">IF($Y9="","",INDEX($R$6:$R$1005,$Y9))</f>
        <v>정기예금</v>
      </c>
      <c r="H9" s="542" t="str">
        <f aca="false">IF($Y9="","","USD")</f>
        <v>USD</v>
      </c>
      <c r="I9" s="545" t="n">
        <f aca="false">IF($Y9="","",INDEX($S$6:$S$1005,$Y9))</f>
        <v>2</v>
      </c>
      <c r="J9" s="546" t="n">
        <f aca="false">IF($Y9="","",INDEX($T$6:$T$1005,$Y9))</f>
        <v>0.0365</v>
      </c>
      <c r="K9" s="546" t="n">
        <f aca="false">IF($Y9="","",INDEX($U$6:$U$1005,$Y9))</f>
        <v>0.002232</v>
      </c>
      <c r="L9" s="542" t="str">
        <f aca="false">IF($Y9="","",IF(INDEX($S$6:$S$1005,$Y9)&gt;=10,"★ 10백만불↑",""))</f>
        <v/>
      </c>
      <c r="M9" s="531"/>
      <c r="N9" s="547" t="n">
        <f aca="false">IF('(1)예금승인내역'!H635="","",'(1)예금승인내역'!H635)</f>
        <v>45659</v>
      </c>
      <c r="O9" s="547" t="n">
        <f aca="false">IF('(1)예금승인내역'!G635="","",'(1)예금승인내역'!G635)</f>
        <v>45293</v>
      </c>
      <c r="P9" s="531" t="str">
        <f aca="false">IF('(1)예금승인내역'!F635="","",'(1)예금승인내역'!F635)</f>
        <v>윤만수</v>
      </c>
      <c r="Q9" s="531" t="str">
        <f aca="false">IF('(1)예금승인내역'!C635="","",'(1)예금승인내역'!C635)</f>
        <v>경산공단영업부</v>
      </c>
      <c r="R9" s="531" t="str">
        <f aca="false">IF('(1)예금승인내역'!K635="","",'(1)예금승인내역'!K635)</f>
        <v>정기예금</v>
      </c>
      <c r="S9" s="548" t="n">
        <f aca="false">IF('(1)예금승인내역'!L635="","",'(1)예금승인내역'!L635)</f>
        <v>1</v>
      </c>
      <c r="T9" s="549" t="n">
        <f aca="false">IF('(1)예금승인내역'!AG635="","",'(1)예금승인내역'!AG635)</f>
        <v>0.05</v>
      </c>
      <c r="U9" s="549" t="n">
        <f aca="false">IF('(1)예금승인내역'!X635="","",'(1)예금승인내역'!X635)</f>
        <v>0.004779</v>
      </c>
      <c r="V9" s="531" t="n">
        <f aca="false">IF(ISNUMBER(N9),N9-$B$2,"")</f>
        <v>-530</v>
      </c>
      <c r="W9" s="531" t="str">
        <f aca="false">IF(AND(ISNUMBER(N9),N9&gt;=$B$2,N9&lt;=$B$2+10),N9*100000+ROW(),"")</f>
        <v/>
      </c>
      <c r="X9" s="531" t="n">
        <f aca="false">IFERROR(SMALL($W$6:$W$1005,4),"")</f>
        <v>4619000544</v>
      </c>
      <c r="Y9" s="531" t="n">
        <f aca="false">IF(X9="","",MATCH(X9,$W$6:$W$1005,0))</f>
        <v>539</v>
      </c>
      <c r="Z9" s="531"/>
      <c r="AA9" s="531"/>
      <c r="AB9" s="531"/>
      <c r="AC9" s="531"/>
      <c r="AD9" s="531"/>
      <c r="AE9" s="531"/>
      <c r="AF9" s="531"/>
      <c r="AG9" s="531"/>
      <c r="AH9" s="531"/>
      <c r="AI9" s="531"/>
      <c r="AJ9" s="531"/>
      <c r="AK9" s="531"/>
      <c r="AL9" s="531"/>
      <c r="AM9" s="531"/>
      <c r="AN9" s="531"/>
    </row>
    <row r="10" customFormat="false" ht="16.5" hidden="false" customHeight="true" outlineLevel="0" collapsed="false">
      <c r="A10" s="542" t="str">
        <f aca="false">IF($Y10="","",IF(INDEX($N$6:$N$1005,$Y10)=$B$2,"오늘","+"&amp;(INDEX($N$6:$N$1005,$Y10)-$B$2)&amp;"일"))</f>
        <v>+3일</v>
      </c>
      <c r="B10" s="543" t="n">
        <f aca="false">IF($Y10="","",INDEX($N$6:$N$1005,$Y10))</f>
        <v>46192</v>
      </c>
      <c r="C10" s="542" t="str">
        <f aca="false">IF($Y10="","",CHOOSE(WEEKDAY(INDEX($N$6:$N$1005,$Y10)),"일","월","화","수","목","금","토"))</f>
        <v>금</v>
      </c>
      <c r="D10" s="543" t="n">
        <f aca="false">IF($Y10="","",INDEX($O$6:$O$1005,$Y10))</f>
        <v>46162</v>
      </c>
      <c r="E10" s="544" t="str">
        <f aca="false">IF($Y10="","",INDEX($P$6:$P$1005,$Y10))</f>
        <v>㈜일지테크</v>
      </c>
      <c r="F10" s="544" t="str">
        <f aca="false">IF($Y10="","",INDEX($Q$6:$Q$1005,$Y10))</f>
        <v>경산공단영업부</v>
      </c>
      <c r="G10" s="542" t="str">
        <f aca="false">IF($Y10="","",INDEX($R$6:$R$1005,$Y10))</f>
        <v>MMDA</v>
      </c>
      <c r="H10" s="542" t="str">
        <f aca="false">IF($Y10="","","USD")</f>
        <v>USD</v>
      </c>
      <c r="I10" s="545" t="n">
        <f aca="false">IF($Y10="","",INDEX($S$6:$S$1005,$Y10))</f>
        <v>11.11</v>
      </c>
      <c r="J10" s="546" t="n">
        <f aca="false">IF($Y10="","",INDEX($T$6:$T$1005,$Y10))</f>
        <v>0.032</v>
      </c>
      <c r="K10" s="546" t="n">
        <f aca="false">IF($Y10="","",INDEX($U$6:$U$1005,$Y10))</f>
        <v>0.003398</v>
      </c>
      <c r="L10" s="542" t="str">
        <f aca="false">IF($Y10="","",IF(INDEX($S$6:$S$1005,$Y10)&gt;=10,"★ 10백만불↑",""))</f>
        <v>★ 10백만불↑</v>
      </c>
      <c r="M10" s="531"/>
      <c r="N10" s="547" t="n">
        <f aca="false">IF('(1)예금승인내역'!H636="","",'(1)예금승인내역'!H636)</f>
        <v>45659</v>
      </c>
      <c r="O10" s="547" t="n">
        <f aca="false">IF('(1)예금승인내역'!G636="","",'(1)예금승인내역'!G636)</f>
        <v>45293</v>
      </c>
      <c r="P10" s="531" t="str">
        <f aca="false">IF('(1)예금승인내역'!F636="","",'(1)예금승인내역'!F636)</f>
        <v>윤만수</v>
      </c>
      <c r="Q10" s="531" t="str">
        <f aca="false">IF('(1)예금승인내역'!C636="","",'(1)예금승인내역'!C636)</f>
        <v>경산공단영업부</v>
      </c>
      <c r="R10" s="531" t="str">
        <f aca="false">IF('(1)예금승인내역'!K636="","",'(1)예금승인내역'!K636)</f>
        <v>정기예금</v>
      </c>
      <c r="S10" s="548" t="n">
        <f aca="false">IF('(1)예금승인내역'!L636="","",'(1)예금승인내역'!L636)</f>
        <v>0.5</v>
      </c>
      <c r="T10" s="549" t="n">
        <f aca="false">IF('(1)예금승인내역'!AG636="","",'(1)예금승인내역'!AG636)</f>
        <v>0.05</v>
      </c>
      <c r="U10" s="549" t="n">
        <f aca="false">IF('(1)예금승인내역'!X636="","",'(1)예금승인내역'!X636)</f>
        <v>0.004779</v>
      </c>
      <c r="V10" s="531" t="n">
        <f aca="false">IF(ISNUMBER(N10),N10-$B$2,"")</f>
        <v>-530</v>
      </c>
      <c r="W10" s="531" t="str">
        <f aca="false">IF(AND(ISNUMBER(N10),N10&gt;=$B$2,N10&lt;=$B$2+10),N10*100000+ROW(),"")</f>
        <v/>
      </c>
      <c r="X10" s="531" t="n">
        <f aca="false">IFERROR(SMALL($W$6:$W$1005,5),"")</f>
        <v>4619200590</v>
      </c>
      <c r="Y10" s="531" t="n">
        <f aca="false">IF(X10="","",MATCH(X10,$W$6:$W$1005,0))</f>
        <v>585</v>
      </c>
      <c r="Z10" s="531"/>
      <c r="AA10" s="531"/>
      <c r="AB10" s="531"/>
      <c r="AC10" s="531"/>
      <c r="AD10" s="531"/>
      <c r="AE10" s="531"/>
      <c r="AF10" s="531"/>
      <c r="AG10" s="531"/>
      <c r="AH10" s="531"/>
      <c r="AI10" s="531"/>
      <c r="AJ10" s="531"/>
      <c r="AK10" s="531"/>
      <c r="AL10" s="531"/>
      <c r="AM10" s="531"/>
      <c r="AN10" s="531"/>
    </row>
    <row r="11" customFormat="false" ht="16.5" hidden="false" customHeight="true" outlineLevel="0" collapsed="false">
      <c r="A11" s="542" t="str">
        <f aca="false">IF($Y11="","",IF(INDEX($N$6:$N$1005,$Y11)=$B$2,"오늘","+"&amp;(INDEX($N$6:$N$1005,$Y11)-$B$2)&amp;"일"))</f>
        <v>+3일</v>
      </c>
      <c r="B11" s="543" t="n">
        <f aca="false">IF($Y11="","",INDEX($N$6:$N$1005,$Y11))</f>
        <v>46192</v>
      </c>
      <c r="C11" s="542" t="str">
        <f aca="false">IF($Y11="","",CHOOSE(WEEKDAY(INDEX($N$6:$N$1005,$Y11)),"일","월","화","수","목","금","토"))</f>
        <v>금</v>
      </c>
      <c r="D11" s="543" t="n">
        <f aca="false">IF($Y11="","",INDEX($O$6:$O$1005,$Y11))</f>
        <v>46162</v>
      </c>
      <c r="E11" s="544" t="str">
        <f aca="false">IF($Y11="","",INDEX($P$6:$P$1005,$Y11))</f>
        <v>㈜약진통상</v>
      </c>
      <c r="F11" s="544" t="str">
        <f aca="false">IF($Y11="","",INDEX($Q$6:$Q$1005,$Y11))</f>
        <v>반월공단영업부</v>
      </c>
      <c r="G11" s="542" t="str">
        <f aca="false">IF($Y11="","",INDEX($R$6:$R$1005,$Y11))</f>
        <v>MMDA</v>
      </c>
      <c r="H11" s="542" t="str">
        <f aca="false">IF($Y11="","","USD")</f>
        <v>USD</v>
      </c>
      <c r="I11" s="545" t="n">
        <f aca="false">IF($Y11="","",INDEX($S$6:$S$1005,$Y11))</f>
        <v>12.39</v>
      </c>
      <c r="J11" s="546" t="n">
        <f aca="false">IF($Y11="","",INDEX($T$6:$T$1005,$Y11))</f>
        <v>0.032</v>
      </c>
      <c r="K11" s="546" t="n">
        <f aca="false">IF($Y11="","",INDEX($U$6:$U$1005,$Y11))</f>
        <v>0.003398</v>
      </c>
      <c r="L11" s="542" t="str">
        <f aca="false">IF($Y11="","",IF(INDEX($S$6:$S$1005,$Y11)&gt;=10,"★ 10백만불↑",""))</f>
        <v>★ 10백만불↑</v>
      </c>
      <c r="M11" s="531"/>
      <c r="N11" s="547" t="n">
        <f aca="false">IF('(1)예금승인내역'!H637="","",'(1)예금승인내역'!H637)</f>
        <v>45335</v>
      </c>
      <c r="O11" s="547" t="n">
        <f aca="false">IF('(1)예금승인내역'!G637="","",'(1)예금승인내역'!G637)</f>
        <v>45302</v>
      </c>
      <c r="P11" s="531" t="str">
        <f aca="false">IF('(1)예금승인내역'!F637="","",'(1)예금승인내역'!F637)</f>
        <v>한국비철㈜</v>
      </c>
      <c r="Q11" s="531" t="str">
        <f aca="false">IF('(1)예금승인내역'!C637="","",'(1)예금승인내역'!C637)</f>
        <v>달성공단영업부</v>
      </c>
      <c r="R11" s="531" t="str">
        <f aca="false">IF('(1)예금승인내역'!K637="","",'(1)예금승인내역'!K637)</f>
        <v>MMDA</v>
      </c>
      <c r="S11" s="548" t="n">
        <f aca="false">IF('(1)예금승인내역'!L637="","",'(1)예금승인내역'!L637)</f>
        <v>8.59</v>
      </c>
      <c r="T11" s="549" t="n">
        <f aca="false">IF('(1)예금승인내역'!AG637="","",'(1)예금승인내역'!AG637)</f>
        <v>0.043</v>
      </c>
      <c r="U11" s="549" t="n">
        <f aca="false">IF('(1)예금승인내역'!X637="","",'(1)예금승인내역'!X637)</f>
        <v>0.009316</v>
      </c>
      <c r="V11" s="531" t="n">
        <f aca="false">IF(ISNUMBER(N11),N11-$B$2,"")</f>
        <v>-854</v>
      </c>
      <c r="W11" s="531" t="str">
        <f aca="false">IF(AND(ISNUMBER(N11),N11&gt;=$B$2,N11&lt;=$B$2+10),N11*100000+ROW(),"")</f>
        <v/>
      </c>
      <c r="X11" s="531" t="n">
        <f aca="false">IFERROR(SMALL($W$6:$W$1005,6),"")</f>
        <v>4619200591</v>
      </c>
      <c r="Y11" s="531" t="n">
        <f aca="false">IF(X11="","",MATCH(X11,$W$6:$W$1005,0))</f>
        <v>586</v>
      </c>
      <c r="Z11" s="531"/>
      <c r="AA11" s="531"/>
      <c r="AB11" s="531"/>
      <c r="AC11" s="531"/>
      <c r="AD11" s="531"/>
      <c r="AE11" s="531"/>
      <c r="AF11" s="531"/>
      <c r="AG11" s="531"/>
      <c r="AH11" s="531"/>
      <c r="AI11" s="531"/>
      <c r="AJ11" s="531"/>
      <c r="AK11" s="531"/>
      <c r="AL11" s="531"/>
      <c r="AM11" s="531"/>
      <c r="AN11" s="531"/>
    </row>
    <row r="12" customFormat="false" ht="16.5" hidden="false" customHeight="true" outlineLevel="0" collapsed="false">
      <c r="A12" s="542" t="str">
        <f aca="false">IF($Y12="","",IF(INDEX($N$6:$N$1005,$Y12)=$B$2,"오늘","+"&amp;(INDEX($N$6:$N$1005,$Y12)-$B$2)&amp;"일"))</f>
        <v>+3일</v>
      </c>
      <c r="B12" s="543" t="n">
        <f aca="false">IF($Y12="","",INDEX($N$6:$N$1005,$Y12))</f>
        <v>46192</v>
      </c>
      <c r="C12" s="542" t="str">
        <f aca="false">IF($Y12="","",CHOOSE(WEEKDAY(INDEX($N$6:$N$1005,$Y12)),"일","월","화","수","목","금","토"))</f>
        <v>금</v>
      </c>
      <c r="D12" s="543" t="n">
        <f aca="false">IF($Y12="","",INDEX($O$6:$O$1005,$Y12))</f>
        <v>46162</v>
      </c>
      <c r="E12" s="544" t="str">
        <f aca="false">IF($Y12="","",INDEX($P$6:$P$1005,$Y12))</f>
        <v>대원지에스아이</v>
      </c>
      <c r="F12" s="544" t="str">
        <f aca="false">IF($Y12="","",INDEX($Q$6:$Q$1005,$Y12))</f>
        <v>유통단지영업부</v>
      </c>
      <c r="G12" s="542" t="str">
        <f aca="false">IF($Y12="","",INDEX($R$6:$R$1005,$Y12))</f>
        <v>정기예금</v>
      </c>
      <c r="H12" s="542" t="str">
        <f aca="false">IF($Y12="","","USD")</f>
        <v>USD</v>
      </c>
      <c r="I12" s="545" t="n">
        <f aca="false">IF($Y12="","",INDEX($S$6:$S$1005,$Y12))</f>
        <v>1.5</v>
      </c>
      <c r="J12" s="546" t="n">
        <f aca="false">IF($Y12="","",INDEX($T$6:$T$1005,$Y12))</f>
        <v>0.034</v>
      </c>
      <c r="K12" s="546" t="n">
        <f aca="false">IF($Y12="","",INDEX($U$6:$U$1005,$Y12))</f>
        <v>0.002487</v>
      </c>
      <c r="L12" s="542" t="str">
        <f aca="false">IF($Y12="","",IF(INDEX($S$6:$S$1005,$Y12)&gt;=10,"★ 10백만불↑",""))</f>
        <v/>
      </c>
      <c r="M12" s="531"/>
      <c r="N12" s="547" t="n">
        <f aca="false">IF('(1)예금승인내역'!H638="","",'(1)예금승인내역'!H638)</f>
        <v>45579</v>
      </c>
      <c r="O12" s="547" t="n">
        <f aca="false">IF('(1)예금승인내역'!G638="","",'(1)예금승인내역'!G638)</f>
        <v>45303</v>
      </c>
      <c r="P12" s="531" t="str">
        <f aca="false">IF('(1)예금승인내역'!F638="","",'(1)예금승인내역'!F638)</f>
        <v>케이와이글로벌셀앤진사모투자합자회사</v>
      </c>
      <c r="Q12" s="531" t="str">
        <f aca="false">IF('(1)예금승인내역'!C638="","",'(1)예금승인내역'!C638)</f>
        <v>평택금융센터</v>
      </c>
      <c r="R12" s="531" t="str">
        <f aca="false">IF('(1)예금승인내역'!K638="","",'(1)예금승인내역'!K638)</f>
        <v>정기예금</v>
      </c>
      <c r="S12" s="548" t="n">
        <f aca="false">IF('(1)예금승인내역'!L638="","",'(1)예금승인내역'!L638)</f>
        <v>2.48</v>
      </c>
      <c r="T12" s="549" t="n">
        <f aca="false">IF('(1)예금승인내역'!AG638="","",'(1)예금승인내역'!AG638)</f>
        <v>0.0515</v>
      </c>
      <c r="U12" s="549" t="n">
        <f aca="false">IF('(1)예금승인내역'!X638="","",'(1)예금승인내역'!X638)</f>
        <v>0.003763</v>
      </c>
      <c r="V12" s="531" t="n">
        <f aca="false">IF(ISNUMBER(N12),N12-$B$2,"")</f>
        <v>-610</v>
      </c>
      <c r="W12" s="531" t="str">
        <f aca="false">IF(AND(ISNUMBER(N12),N12&gt;=$B$2,N12&lt;=$B$2+10),N12*100000+ROW(),"")</f>
        <v/>
      </c>
      <c r="X12" s="531" t="n">
        <f aca="false">IFERROR(SMALL($W$6:$W$1005,7),"")</f>
        <v>4619200592</v>
      </c>
      <c r="Y12" s="531" t="n">
        <f aca="false">IF(X12="","",MATCH(X12,$W$6:$W$1005,0))</f>
        <v>587</v>
      </c>
      <c r="Z12" s="531"/>
      <c r="AA12" s="531"/>
      <c r="AB12" s="531"/>
      <c r="AC12" s="531"/>
      <c r="AD12" s="531"/>
      <c r="AE12" s="531"/>
      <c r="AF12" s="531"/>
      <c r="AG12" s="531"/>
      <c r="AH12" s="531"/>
      <c r="AI12" s="531"/>
      <c r="AJ12" s="531"/>
      <c r="AK12" s="531"/>
      <c r="AL12" s="531"/>
      <c r="AM12" s="531"/>
      <c r="AN12" s="531"/>
    </row>
    <row r="13" customFormat="false" ht="16.5" hidden="false" customHeight="true" outlineLevel="0" collapsed="false">
      <c r="A13" s="542" t="str">
        <f aca="false">IF($Y13="","",IF(INDEX($N$6:$N$1005,$Y13)=$B$2,"오늘","+"&amp;(INDEX($N$6:$N$1005,$Y13)-$B$2)&amp;"일"))</f>
        <v>+3일</v>
      </c>
      <c r="B13" s="543" t="n">
        <f aca="false">IF($Y13="","",INDEX($N$6:$N$1005,$Y13))</f>
        <v>46192</v>
      </c>
      <c r="C13" s="542" t="str">
        <f aca="false">IF($Y13="","",CHOOSE(WEEKDAY(INDEX($N$6:$N$1005,$Y13)),"일","월","화","수","목","금","토"))</f>
        <v>금</v>
      </c>
      <c r="D13" s="543" t="n">
        <f aca="false">IF($Y13="","",INDEX($O$6:$O$1005,$Y13))</f>
        <v>46162</v>
      </c>
      <c r="E13" s="544" t="str">
        <f aca="false">IF($Y13="","",INDEX($P$6:$P$1005,$Y13))</f>
        <v>㈜비알팜</v>
      </c>
      <c r="F13" s="544" t="str">
        <f aca="false">IF($Y13="","",INDEX($Q$6:$Q$1005,$Y13))</f>
        <v>원주금융센터</v>
      </c>
      <c r="G13" s="542" t="str">
        <f aca="false">IF($Y13="","",INDEX($R$6:$R$1005,$Y13))</f>
        <v>MMDA</v>
      </c>
      <c r="H13" s="542" t="str">
        <f aca="false">IF($Y13="","","USD")</f>
        <v>USD</v>
      </c>
      <c r="I13" s="545" t="n">
        <f aca="false">IF($Y13="","",INDEX($S$6:$S$1005,$Y13))</f>
        <v>5.73</v>
      </c>
      <c r="J13" s="546" t="n">
        <f aca="false">IF($Y13="","",INDEX($T$6:$T$1005,$Y13))</f>
        <v>0.032</v>
      </c>
      <c r="K13" s="546" t="n">
        <f aca="false">IF($Y13="","",INDEX($U$6:$U$1005,$Y13))</f>
        <v>0.003398</v>
      </c>
      <c r="L13" s="542" t="str">
        <f aca="false">IF($Y13="","",IF(INDEX($S$6:$S$1005,$Y13)&gt;=10,"★ 10백만불↑",""))</f>
        <v/>
      </c>
      <c r="M13" s="531"/>
      <c r="N13" s="547" t="n">
        <f aca="false">IF('(1)예금승인내역'!H639="","",'(1)예금승인내역'!H639)</f>
        <v>45314</v>
      </c>
      <c r="O13" s="547" t="n">
        <f aca="false">IF('(1)예금승인내역'!G639="","",'(1)예금승인내역'!G639)</f>
        <v>45307</v>
      </c>
      <c r="P13" s="531" t="str">
        <f aca="false">IF('(1)예금승인내역'!F639="","",'(1)예금승인내역'!F639)</f>
        <v>한국석유공사</v>
      </c>
      <c r="Q13" s="531" t="str">
        <f aca="false">IF('(1)예금승인내역'!C639="","",'(1)예금승인내역'!C639)</f>
        <v>울산영업부</v>
      </c>
      <c r="R13" s="531" t="str">
        <f aca="false">IF('(1)예금승인내역'!K639="","",'(1)예금승인내역'!K639)</f>
        <v>정기예금</v>
      </c>
      <c r="S13" s="548" t="n">
        <f aca="false">IF('(1)예금승인내역'!L639="","",'(1)예금승인내역'!L639)</f>
        <v>20</v>
      </c>
      <c r="T13" s="549" t="n">
        <f aca="false">IF('(1)예금승인내역'!AG639="","",'(1)예금승인내역'!AG639)</f>
        <v>0.0505</v>
      </c>
      <c r="U13" s="549" t="n">
        <f aca="false">IF('(1)예금승인내역'!X639="","",'(1)예금승인내역'!X639)</f>
        <v>0.002227</v>
      </c>
      <c r="V13" s="531" t="n">
        <f aca="false">IF(ISNUMBER(N13),N13-$B$2,"")</f>
        <v>-875</v>
      </c>
      <c r="W13" s="531" t="str">
        <f aca="false">IF(AND(ISNUMBER(N13),N13&gt;=$B$2,N13&lt;=$B$2+10),N13*100000+ROW(),"")</f>
        <v/>
      </c>
      <c r="X13" s="531" t="n">
        <f aca="false">IFERROR(SMALL($W$6:$W$1005,8),"")</f>
        <v>4619200593</v>
      </c>
      <c r="Y13" s="531" t="n">
        <f aca="false">IF(X13="","",MATCH(X13,$W$6:$W$1005,0))</f>
        <v>588</v>
      </c>
      <c r="Z13" s="531"/>
      <c r="AA13" s="531"/>
      <c r="AB13" s="531"/>
      <c r="AC13" s="531"/>
      <c r="AD13" s="531"/>
      <c r="AE13" s="531"/>
      <c r="AF13" s="531"/>
      <c r="AG13" s="531"/>
      <c r="AH13" s="531"/>
      <c r="AI13" s="531"/>
      <c r="AJ13" s="531"/>
      <c r="AK13" s="531"/>
      <c r="AL13" s="531"/>
      <c r="AM13" s="531"/>
      <c r="AN13" s="531"/>
    </row>
    <row r="14" customFormat="false" ht="16.5" hidden="false" customHeight="true" outlineLevel="0" collapsed="false">
      <c r="A14" s="542" t="str">
        <f aca="false">IF($Y14="","",IF(INDEX($N$6:$N$1005,$Y14)=$B$2,"오늘","+"&amp;(INDEX($N$6:$N$1005,$Y14)-$B$2)&amp;"일"))</f>
        <v>+6일</v>
      </c>
      <c r="B14" s="543" t="n">
        <f aca="false">IF($Y14="","",INDEX($N$6:$N$1005,$Y14))</f>
        <v>46195</v>
      </c>
      <c r="C14" s="542" t="str">
        <f aca="false">IF($Y14="","",CHOOSE(WEEKDAY(INDEX($N$6:$N$1005,$Y14)),"일","월","화","수","목","금","토"))</f>
        <v>월</v>
      </c>
      <c r="D14" s="543" t="n">
        <f aca="false">IF($Y14="","",INDEX($O$6:$O$1005,$Y14))</f>
        <v>46162</v>
      </c>
      <c r="E14" s="544" t="str">
        <f aca="false">IF($Y14="","",INDEX($P$6:$P$1005,$Y14))</f>
        <v>한국비앤씨㈜</v>
      </c>
      <c r="F14" s="544" t="str">
        <f aca="false">IF($Y14="","",INDEX($Q$6:$Q$1005,$Y14))</f>
        <v>달성공단영업부</v>
      </c>
      <c r="G14" s="542" t="str">
        <f aca="false">IF($Y14="","",INDEX($R$6:$R$1005,$Y14))</f>
        <v>MMDA</v>
      </c>
      <c r="H14" s="542" t="str">
        <f aca="false">IF($Y14="","","USD")</f>
        <v>USD</v>
      </c>
      <c r="I14" s="545" t="n">
        <f aca="false">IF($Y14="","",INDEX($S$6:$S$1005,$Y14))</f>
        <v>8.67</v>
      </c>
      <c r="J14" s="546" t="n">
        <f aca="false">IF($Y14="","",INDEX($T$6:$T$1005,$Y14))</f>
        <v>0.032</v>
      </c>
      <c r="K14" s="546" t="n">
        <f aca="false">IF($Y14="","",INDEX($U$6:$U$1005,$Y14))</f>
        <v>0.003398</v>
      </c>
      <c r="L14" s="542" t="str">
        <f aca="false">IF($Y14="","",IF(INDEX($S$6:$S$1005,$Y14)&gt;=10,"★ 10백만불↑",""))</f>
        <v/>
      </c>
      <c r="M14" s="531"/>
      <c r="N14" s="547" t="n">
        <f aca="false">IF('(1)예금승인내역'!H640="","",'(1)예금승인내역'!H640)</f>
        <v>45348</v>
      </c>
      <c r="O14" s="547" t="n">
        <f aca="false">IF('(1)예금승인내역'!G640="","",'(1)예금승인내역'!G640)</f>
        <v>45316</v>
      </c>
      <c r="P14" s="531" t="str">
        <f aca="false">IF('(1)예금승인내역'!F640="","",'(1)예금승인내역'!F640)</f>
        <v>㈜와이투솔루션</v>
      </c>
      <c r="Q14" s="531" t="str">
        <f aca="false">IF('(1)예금승인내역'!C640="","",'(1)예금승인내역'!C640)</f>
        <v>화성금융센터</v>
      </c>
      <c r="R14" s="531" t="str">
        <f aca="false">IF('(1)예금승인내역'!K640="","",'(1)예금승인내역'!K640)</f>
        <v>정기예금</v>
      </c>
      <c r="S14" s="548" t="n">
        <f aca="false">IF('(1)예금승인내역'!L640="","",'(1)예금승인내역'!L640)</f>
        <v>1</v>
      </c>
      <c r="T14" s="549" t="n">
        <f aca="false">IF('(1)예금승인내역'!AG640="","",'(1)예금승인내역'!AG640)</f>
        <v>0.0515</v>
      </c>
      <c r="U14" s="549" t="n">
        <f aca="false">IF('(1)예금승인내역'!X640="","",'(1)예금승인내역'!X640)</f>
        <v>0.003027</v>
      </c>
      <c r="V14" s="531" t="n">
        <f aca="false">IF(ISNUMBER(N14),N14-$B$2,"")</f>
        <v>-841</v>
      </c>
      <c r="W14" s="531" t="str">
        <f aca="false">IF(AND(ISNUMBER(N14),N14&gt;=$B$2,N14&lt;=$B$2+10),N14*100000+ROW(),"")</f>
        <v/>
      </c>
      <c r="X14" s="531" t="n">
        <f aca="false">IFERROR(SMALL($W$6:$W$1005,9),"")</f>
        <v>4619500594</v>
      </c>
      <c r="Y14" s="531" t="n">
        <f aca="false">IF(X14="","",MATCH(X14,$W$6:$W$1005,0))</f>
        <v>589</v>
      </c>
      <c r="Z14" s="531"/>
      <c r="AA14" s="531"/>
      <c r="AB14" s="531"/>
      <c r="AC14" s="531"/>
      <c r="AD14" s="531"/>
      <c r="AE14" s="531"/>
      <c r="AF14" s="531"/>
      <c r="AG14" s="531"/>
      <c r="AH14" s="531"/>
      <c r="AI14" s="531"/>
      <c r="AJ14" s="531"/>
      <c r="AK14" s="531"/>
      <c r="AL14" s="531"/>
      <c r="AM14" s="531"/>
      <c r="AN14" s="531"/>
    </row>
    <row r="15" customFormat="false" ht="16.5" hidden="false" customHeight="true" outlineLevel="0" collapsed="false">
      <c r="A15" s="542" t="str">
        <f aca="false">IF($Y15="","",IF(INDEX($N$6:$N$1005,$Y15)=$B$2,"오늘","+"&amp;(INDEX($N$6:$N$1005,$Y15)-$B$2)&amp;"일"))</f>
        <v>+6일</v>
      </c>
      <c r="B15" s="543" t="n">
        <f aca="false">IF($Y15="","",INDEX($N$6:$N$1005,$Y15))</f>
        <v>46195</v>
      </c>
      <c r="C15" s="542" t="str">
        <f aca="false">IF($Y15="","",CHOOSE(WEEKDAY(INDEX($N$6:$N$1005,$Y15)),"일","월","화","수","목","금","토"))</f>
        <v>월</v>
      </c>
      <c r="D15" s="543" t="n">
        <f aca="false">IF($Y15="","",INDEX($O$6:$O$1005,$Y15))</f>
        <v>46163</v>
      </c>
      <c r="E15" s="544" t="str">
        <f aca="false">IF($Y15="","",INDEX($P$6:$P$1005,$Y15))</f>
        <v>더스킨팩토리</v>
      </c>
      <c r="F15" s="544" t="str">
        <f aca="false">IF($Y15="","",INDEX($Q$6:$Q$1005,$Y15))</f>
        <v>강남영업부</v>
      </c>
      <c r="G15" s="542" t="str">
        <f aca="false">IF($Y15="","",INDEX($R$6:$R$1005,$Y15))</f>
        <v>정기예금</v>
      </c>
      <c r="H15" s="542" t="str">
        <f aca="false">IF($Y15="","","USD")</f>
        <v>USD</v>
      </c>
      <c r="I15" s="545" t="n">
        <f aca="false">IF($Y15="","",INDEX($S$6:$S$1005,$Y15))</f>
        <v>1</v>
      </c>
      <c r="J15" s="546" t="n">
        <f aca="false">IF($Y15="","",INDEX($T$6:$T$1005,$Y15))</f>
        <v>0.0335</v>
      </c>
      <c r="K15" s="546" t="n">
        <f aca="false">IF($Y15="","",INDEX($U$6:$U$1005,$Y15))</f>
        <v>0.002944</v>
      </c>
      <c r="L15" s="542" t="str">
        <f aca="false">IF($Y15="","",IF(INDEX($S$6:$S$1005,$Y15)&gt;=10,"★ 10백만불↑",""))</f>
        <v/>
      </c>
      <c r="M15" s="531"/>
      <c r="N15" s="547" t="n">
        <f aca="false">IF('(1)예금승인내역'!H641="","",'(1)예금승인내역'!H641)</f>
        <v>45348</v>
      </c>
      <c r="O15" s="547" t="n">
        <f aca="false">IF('(1)예금승인내역'!G641="","",'(1)예금승인내역'!G641)</f>
        <v>45316</v>
      </c>
      <c r="P15" s="531" t="str">
        <f aca="false">IF('(1)예금승인내역'!F641="","",'(1)예금승인내역'!F641)</f>
        <v>㈜와이투솔루션</v>
      </c>
      <c r="Q15" s="531" t="str">
        <f aca="false">IF('(1)예금승인내역'!C641="","",'(1)예금승인내역'!C641)</f>
        <v>화성금융센터</v>
      </c>
      <c r="R15" s="531" t="str">
        <f aca="false">IF('(1)예금승인내역'!K641="","",'(1)예금승인내역'!K641)</f>
        <v>정기예금</v>
      </c>
      <c r="S15" s="548" t="n">
        <f aca="false">IF('(1)예금승인내역'!L641="","",'(1)예금승인내역'!L641)</f>
        <v>1</v>
      </c>
      <c r="T15" s="549" t="n">
        <f aca="false">IF('(1)예금승인내역'!AG641="","",'(1)예금승인내역'!AG641)</f>
        <v>0.0515</v>
      </c>
      <c r="U15" s="549" t="n">
        <f aca="false">IF('(1)예금승인내역'!X641="","",'(1)예금승인내역'!X641)</f>
        <v>0.003027</v>
      </c>
      <c r="V15" s="531" t="n">
        <f aca="false">IF(ISNUMBER(N15),N15-$B$2,"")</f>
        <v>-841</v>
      </c>
      <c r="W15" s="531" t="str">
        <f aca="false">IF(AND(ISNUMBER(N15),N15&gt;=$B$2,N15&lt;=$B$2+10),N15*100000+ROW(),"")</f>
        <v/>
      </c>
      <c r="X15" s="531" t="n">
        <f aca="false">IFERROR(SMALL($W$6:$W$1005,10),"")</f>
        <v>4619500595</v>
      </c>
      <c r="Y15" s="531" t="n">
        <f aca="false">IF(X15="","",MATCH(X15,$W$6:$W$1005,0))</f>
        <v>590</v>
      </c>
      <c r="Z15" s="531"/>
      <c r="AA15" s="531"/>
      <c r="AB15" s="531"/>
      <c r="AC15" s="531"/>
      <c r="AD15" s="531"/>
      <c r="AE15" s="531"/>
      <c r="AF15" s="531"/>
      <c r="AG15" s="531"/>
      <c r="AH15" s="531"/>
      <c r="AI15" s="531"/>
      <c r="AJ15" s="531"/>
      <c r="AK15" s="531"/>
      <c r="AL15" s="531"/>
      <c r="AM15" s="531"/>
      <c r="AN15" s="531"/>
    </row>
    <row r="16" customFormat="false" ht="16.5" hidden="false" customHeight="true" outlineLevel="0" collapsed="false">
      <c r="A16" s="542" t="str">
        <f aca="false">IF($Y16="","",IF(INDEX($N$6:$N$1005,$Y16)=$B$2,"오늘","+"&amp;(INDEX($N$6:$N$1005,$Y16)-$B$2)&amp;"일"))</f>
        <v>+7일</v>
      </c>
      <c r="B16" s="543" t="n">
        <f aca="false">IF($Y16="","",INDEX($N$6:$N$1005,$Y16))</f>
        <v>46196</v>
      </c>
      <c r="C16" s="542" t="str">
        <f aca="false">IF($Y16="","",CHOOSE(WEEKDAY(INDEX($N$6:$N$1005,$Y16)),"일","월","화","수","목","금","토"))</f>
        <v>화</v>
      </c>
      <c r="D16" s="543" t="n">
        <f aca="false">IF($Y16="","",INDEX($O$6:$O$1005,$Y16))</f>
        <v>46104</v>
      </c>
      <c r="E16" s="544" t="str">
        <f aca="false">IF($Y16="","",INDEX($P$6:$P$1005,$Y16))</f>
        <v>㈜비앤에프</v>
      </c>
      <c r="F16" s="544" t="str">
        <f aca="false">IF($Y16="","",INDEX($Q$6:$Q$1005,$Y16))</f>
        <v>죽전지점</v>
      </c>
      <c r="G16" s="542" t="str">
        <f aca="false">IF($Y16="","",INDEX($R$6:$R$1005,$Y16))</f>
        <v>정기예금</v>
      </c>
      <c r="H16" s="542" t="str">
        <f aca="false">IF($Y16="","","USD")</f>
        <v>USD</v>
      </c>
      <c r="I16" s="545" t="n">
        <f aca="false">IF($Y16="","",INDEX($S$6:$S$1005,$Y16))</f>
        <v>1</v>
      </c>
      <c r="J16" s="546" t="n">
        <f aca="false">IF($Y16="","",INDEX($T$6:$T$1005,$Y16))</f>
        <v>0.0365</v>
      </c>
      <c r="K16" s="546" t="n">
        <f aca="false">IF($Y16="","",INDEX($U$6:$U$1005,$Y16))</f>
        <v>0.002274</v>
      </c>
      <c r="L16" s="542" t="str">
        <f aca="false">IF($Y16="","",IF(INDEX($S$6:$S$1005,$Y16)&gt;=10,"★ 10백만불↑",""))</f>
        <v/>
      </c>
      <c r="M16" s="531"/>
      <c r="N16" s="547" t="n">
        <f aca="false">IF('(1)예금승인내역'!H642="","",'(1)예금승인내역'!H642)</f>
        <v>45348</v>
      </c>
      <c r="O16" s="547" t="n">
        <f aca="false">IF('(1)예금승인내역'!G642="","",'(1)예금승인내역'!G642)</f>
        <v>45316</v>
      </c>
      <c r="P16" s="531" t="str">
        <f aca="false">IF('(1)예금승인내역'!F642="","",'(1)예금승인내역'!F642)</f>
        <v>㈜와이투솔루션</v>
      </c>
      <c r="Q16" s="531" t="str">
        <f aca="false">IF('(1)예금승인내역'!C642="","",'(1)예금승인내역'!C642)</f>
        <v>화성금융센터</v>
      </c>
      <c r="R16" s="531" t="str">
        <f aca="false">IF('(1)예금승인내역'!K642="","",'(1)예금승인내역'!K642)</f>
        <v>정기예금</v>
      </c>
      <c r="S16" s="548" t="n">
        <f aca="false">IF('(1)예금승인내역'!L642="","",'(1)예금승인내역'!L642)</f>
        <v>1</v>
      </c>
      <c r="T16" s="549" t="n">
        <f aca="false">IF('(1)예금승인내역'!AG642="","",'(1)예금승인내역'!AG642)</f>
        <v>0.0515</v>
      </c>
      <c r="U16" s="549" t="n">
        <f aca="false">IF('(1)예금승인내역'!X642="","",'(1)예금승인내역'!X642)</f>
        <v>0.003027</v>
      </c>
      <c r="V16" s="531" t="n">
        <f aca="false">IF(ISNUMBER(N16),N16-$B$2,"")</f>
        <v>-841</v>
      </c>
      <c r="W16" s="531" t="str">
        <f aca="false">IF(AND(ISNUMBER(N16),N16&gt;=$B$2,N16&lt;=$B$2+10),N16*100000+ROW(),"")</f>
        <v/>
      </c>
      <c r="X16" s="531" t="n">
        <f aca="false">IFERROR(SMALL($W$6:$W$1005,11),"")</f>
        <v>4619600551</v>
      </c>
      <c r="Y16" s="531" t="n">
        <f aca="false">IF(X16="","",MATCH(X16,$W$6:$W$1005,0))</f>
        <v>546</v>
      </c>
      <c r="Z16" s="531"/>
      <c r="AA16" s="531"/>
      <c r="AB16" s="531"/>
      <c r="AC16" s="531"/>
      <c r="AD16" s="531"/>
      <c r="AE16" s="531"/>
      <c r="AF16" s="531"/>
      <c r="AG16" s="531"/>
      <c r="AH16" s="531"/>
      <c r="AI16" s="531"/>
      <c r="AJ16" s="531"/>
      <c r="AK16" s="531"/>
      <c r="AL16" s="531"/>
      <c r="AM16" s="531"/>
      <c r="AN16" s="531"/>
    </row>
    <row r="17" customFormat="false" ht="16.5" hidden="false" customHeight="true" outlineLevel="0" collapsed="false">
      <c r="A17" s="542" t="str">
        <f aca="false">IF($Y17="","",IF(INDEX($N$6:$N$1005,$Y17)=$B$2,"오늘","+"&amp;(INDEX($N$6:$N$1005,$Y17)-$B$2)&amp;"일"))</f>
        <v/>
      </c>
      <c r="B17" s="543" t="str">
        <f aca="false">IF($Y17="","",INDEX($N$6:$N$1005,$Y17))</f>
        <v/>
      </c>
      <c r="C17" s="542" t="str">
        <f aca="false">IF($Y17="","",CHOOSE(WEEKDAY(INDEX($N$6:$N$1005,$Y17)),"일","월","화","수","목","금","토"))</f>
        <v/>
      </c>
      <c r="D17" s="543" t="str">
        <f aca="false">IF($Y17="","",INDEX($O$6:$O$1005,$Y17))</f>
        <v/>
      </c>
      <c r="E17" s="544" t="str">
        <f aca="false">IF($Y17="","",INDEX($P$6:$P$1005,$Y17))</f>
        <v/>
      </c>
      <c r="F17" s="544" t="str">
        <f aca="false">IF($Y17="","",INDEX($Q$6:$Q$1005,$Y17))</f>
        <v/>
      </c>
      <c r="G17" s="542" t="str">
        <f aca="false">IF($Y17="","",INDEX($R$6:$R$1005,$Y17))</f>
        <v/>
      </c>
      <c r="H17" s="542" t="str">
        <f aca="false">IF($Y17="","","USD")</f>
        <v/>
      </c>
      <c r="I17" s="545" t="str">
        <f aca="false">IF($Y17="","",INDEX($S$6:$S$1005,$Y17))</f>
        <v/>
      </c>
      <c r="J17" s="546" t="str">
        <f aca="false">IF($Y17="","",INDEX($T$6:$T$1005,$Y17))</f>
        <v/>
      </c>
      <c r="K17" s="546" t="str">
        <f aca="false">IF($Y17="","",INDEX($U$6:$U$1005,$Y17))</f>
        <v/>
      </c>
      <c r="L17" s="542" t="str">
        <f aca="false">IF($Y17="","",IF(INDEX($S$6:$S$1005,$Y17)&gt;=10,"★ 10백만불↑",""))</f>
        <v/>
      </c>
      <c r="M17" s="531"/>
      <c r="N17" s="547" t="n">
        <f aca="false">IF('(1)예금승인내역'!H643="","",'(1)예금승인내역'!H643)</f>
        <v>45348</v>
      </c>
      <c r="O17" s="547" t="n">
        <f aca="false">IF('(1)예금승인내역'!G643="","",'(1)예금승인내역'!G643)</f>
        <v>45316</v>
      </c>
      <c r="P17" s="531" t="str">
        <f aca="false">IF('(1)예금승인내역'!F643="","",'(1)예금승인내역'!F643)</f>
        <v>㈜와이투솔루션</v>
      </c>
      <c r="Q17" s="531" t="str">
        <f aca="false">IF('(1)예금승인내역'!C643="","",'(1)예금승인내역'!C643)</f>
        <v>화성금융센터</v>
      </c>
      <c r="R17" s="531" t="str">
        <f aca="false">IF('(1)예금승인내역'!K643="","",'(1)예금승인내역'!K643)</f>
        <v>정기예금</v>
      </c>
      <c r="S17" s="548" t="n">
        <f aca="false">IF('(1)예금승인내역'!L643="","",'(1)예금승인내역'!L643)</f>
        <v>1</v>
      </c>
      <c r="T17" s="549" t="n">
        <f aca="false">IF('(1)예금승인내역'!AG643="","",'(1)예금승인내역'!AG643)</f>
        <v>0.0515</v>
      </c>
      <c r="U17" s="549" t="n">
        <f aca="false">IF('(1)예금승인내역'!X643="","",'(1)예금승인내역'!X643)</f>
        <v>0.003027</v>
      </c>
      <c r="V17" s="531" t="n">
        <f aca="false">IF(ISNUMBER(N17),N17-$B$2,"")</f>
        <v>-841</v>
      </c>
      <c r="W17" s="531" t="str">
        <f aca="false">IF(AND(ISNUMBER(N17),N17&gt;=$B$2,N17&lt;=$B$2+10),N17*100000+ROW(),"")</f>
        <v/>
      </c>
      <c r="X17" s="531" t="str">
        <f aca="false">IFERROR(SMALL($W$6:$W$1005,12),"")</f>
        <v/>
      </c>
      <c r="Y17" s="531" t="str">
        <f aca="false">IF(X17="","",MATCH(X17,$W$6:$W$1005,0))</f>
        <v/>
      </c>
      <c r="Z17" s="531"/>
      <c r="AA17" s="531"/>
      <c r="AB17" s="531"/>
      <c r="AC17" s="531"/>
      <c r="AD17" s="531"/>
      <c r="AE17" s="531"/>
      <c r="AF17" s="531"/>
      <c r="AG17" s="531"/>
      <c r="AH17" s="531"/>
      <c r="AI17" s="531"/>
      <c r="AJ17" s="531"/>
      <c r="AK17" s="531"/>
      <c r="AL17" s="531"/>
      <c r="AM17" s="531"/>
      <c r="AN17" s="531"/>
    </row>
    <row r="18" customFormat="false" ht="16.5" hidden="false" customHeight="true" outlineLevel="0" collapsed="false">
      <c r="A18" s="542" t="str">
        <f aca="false">IF($Y18="","",IF(INDEX($N$6:$N$1005,$Y18)=$B$2,"오늘","+"&amp;(INDEX($N$6:$N$1005,$Y18)-$B$2)&amp;"일"))</f>
        <v/>
      </c>
      <c r="B18" s="543" t="str">
        <f aca="false">IF($Y18="","",INDEX($N$6:$N$1005,$Y18))</f>
        <v/>
      </c>
      <c r="C18" s="542" t="str">
        <f aca="false">IF($Y18="","",CHOOSE(WEEKDAY(INDEX($N$6:$N$1005,$Y18)),"일","월","화","수","목","금","토"))</f>
        <v/>
      </c>
      <c r="D18" s="543" t="str">
        <f aca="false">IF($Y18="","",INDEX($O$6:$O$1005,$Y18))</f>
        <v/>
      </c>
      <c r="E18" s="544" t="str">
        <f aca="false">IF($Y18="","",INDEX($P$6:$P$1005,$Y18))</f>
        <v/>
      </c>
      <c r="F18" s="544" t="str">
        <f aca="false">IF($Y18="","",INDEX($Q$6:$Q$1005,$Y18))</f>
        <v/>
      </c>
      <c r="G18" s="542" t="str">
        <f aca="false">IF($Y18="","",INDEX($R$6:$R$1005,$Y18))</f>
        <v/>
      </c>
      <c r="H18" s="542" t="str">
        <f aca="false">IF($Y18="","","USD")</f>
        <v/>
      </c>
      <c r="I18" s="545" t="str">
        <f aca="false">IF($Y18="","",INDEX($S$6:$S$1005,$Y18))</f>
        <v/>
      </c>
      <c r="J18" s="546" t="str">
        <f aca="false">IF($Y18="","",INDEX($T$6:$T$1005,$Y18))</f>
        <v/>
      </c>
      <c r="K18" s="546" t="str">
        <f aca="false">IF($Y18="","",INDEX($U$6:$U$1005,$Y18))</f>
        <v/>
      </c>
      <c r="L18" s="542" t="str">
        <f aca="false">IF($Y18="","",IF(INDEX($S$6:$S$1005,$Y18)&gt;=10,"★ 10백만불↑",""))</f>
        <v/>
      </c>
      <c r="M18" s="531"/>
      <c r="N18" s="547" t="n">
        <f aca="false">IF('(1)예금승인내역'!H644="","",'(1)예금승인내역'!H644)</f>
        <v>45357</v>
      </c>
      <c r="O18" s="547" t="n">
        <f aca="false">IF('(1)예금승인내역'!G644="","",'(1)예금승인내역'!G644)</f>
        <v>45328</v>
      </c>
      <c r="P18" s="531" t="str">
        <f aca="false">IF('(1)예금승인내역'!F644="","",'(1)예금승인내역'!F644)</f>
        <v>한국비철㈜</v>
      </c>
      <c r="Q18" s="531" t="str">
        <f aca="false">IF('(1)예금승인내역'!C644="","",'(1)예금승인내역'!C644)</f>
        <v>달성공단영업부</v>
      </c>
      <c r="R18" s="531" t="str">
        <f aca="false">IF('(1)예금승인내역'!K644="","",'(1)예금승인내역'!K644)</f>
        <v>MMDA</v>
      </c>
      <c r="S18" s="548" t="n">
        <f aca="false">IF('(1)예금승인내역'!L644="","",'(1)예금승인내역'!L644)</f>
        <v>9.7</v>
      </c>
      <c r="T18" s="549" t="n">
        <f aca="false">IF('(1)예금승인내역'!AG644="","",'(1)예금승인내역'!AG644)</f>
        <v>0.0435</v>
      </c>
      <c r="U18" s="549" t="n">
        <f aca="false">IF('(1)예금승인내역'!X644="","",'(1)예금승인내역'!X644)</f>
        <v>0.009959</v>
      </c>
      <c r="V18" s="531" t="n">
        <f aca="false">IF(ISNUMBER(N18),N18-$B$2,"")</f>
        <v>-832</v>
      </c>
      <c r="W18" s="531" t="str">
        <f aca="false">IF(AND(ISNUMBER(N18),N18&gt;=$B$2,N18&lt;=$B$2+10),N18*100000+ROW(),"")</f>
        <v/>
      </c>
      <c r="X18" s="531" t="str">
        <f aca="false">IFERROR(SMALL($W$6:$W$1005,13),"")</f>
        <v/>
      </c>
      <c r="Y18" s="531" t="str">
        <f aca="false">IF(X18="","",MATCH(X18,$W$6:$W$1005,0))</f>
        <v/>
      </c>
      <c r="Z18" s="531"/>
      <c r="AA18" s="531"/>
      <c r="AB18" s="531"/>
      <c r="AC18" s="531"/>
      <c r="AD18" s="531"/>
      <c r="AE18" s="531"/>
      <c r="AF18" s="531"/>
      <c r="AG18" s="531"/>
      <c r="AH18" s="531"/>
      <c r="AI18" s="531"/>
      <c r="AJ18" s="531"/>
      <c r="AK18" s="531"/>
      <c r="AL18" s="531"/>
      <c r="AM18" s="531"/>
      <c r="AN18" s="531"/>
    </row>
    <row r="19" customFormat="false" ht="16.5" hidden="false" customHeight="true" outlineLevel="0" collapsed="false">
      <c r="A19" s="542" t="str">
        <f aca="false">IF($Y19="","",IF(INDEX($N$6:$N$1005,$Y19)=$B$2,"오늘","+"&amp;(INDEX($N$6:$N$1005,$Y19)-$B$2)&amp;"일"))</f>
        <v/>
      </c>
      <c r="B19" s="543" t="str">
        <f aca="false">IF($Y19="","",INDEX($N$6:$N$1005,$Y19))</f>
        <v/>
      </c>
      <c r="C19" s="542" t="str">
        <f aca="false">IF($Y19="","",CHOOSE(WEEKDAY(INDEX($N$6:$N$1005,$Y19)),"일","월","화","수","목","금","토"))</f>
        <v/>
      </c>
      <c r="D19" s="543" t="str">
        <f aca="false">IF($Y19="","",INDEX($O$6:$O$1005,$Y19))</f>
        <v/>
      </c>
      <c r="E19" s="544" t="str">
        <f aca="false">IF($Y19="","",INDEX($P$6:$P$1005,$Y19))</f>
        <v/>
      </c>
      <c r="F19" s="544" t="str">
        <f aca="false">IF($Y19="","",INDEX($Q$6:$Q$1005,$Y19))</f>
        <v/>
      </c>
      <c r="G19" s="542" t="str">
        <f aca="false">IF($Y19="","",INDEX($R$6:$R$1005,$Y19))</f>
        <v/>
      </c>
      <c r="H19" s="542" t="str">
        <f aca="false">IF($Y19="","","USD")</f>
        <v/>
      </c>
      <c r="I19" s="545" t="str">
        <f aca="false">IF($Y19="","",INDEX($S$6:$S$1005,$Y19))</f>
        <v/>
      </c>
      <c r="J19" s="546" t="str">
        <f aca="false">IF($Y19="","",INDEX($T$6:$T$1005,$Y19))</f>
        <v/>
      </c>
      <c r="K19" s="546" t="str">
        <f aca="false">IF($Y19="","",INDEX($U$6:$U$1005,$Y19))</f>
        <v/>
      </c>
      <c r="L19" s="542" t="str">
        <f aca="false">IF($Y19="","",IF(INDEX($S$6:$S$1005,$Y19)&gt;=10,"★ 10백만불↑",""))</f>
        <v/>
      </c>
      <c r="M19" s="531"/>
      <c r="N19" s="547" t="n">
        <f aca="false">IF('(1)예금승인내역'!H645="","",'(1)예금승인내역'!H645)</f>
        <v>45425</v>
      </c>
      <c r="O19" s="547" t="n">
        <f aca="false">IF('(1)예금승인내역'!G645="","",'(1)예금승인내역'!G645)</f>
        <v>45335</v>
      </c>
      <c r="P19" s="531" t="str">
        <f aca="false">IF('(1)예금승인내역'!F645="","",'(1)예금승인내역'!F645)</f>
        <v>대성산업㈜</v>
      </c>
      <c r="Q19" s="531" t="str">
        <f aca="false">IF('(1)예금승인내역'!C645="","",'(1)예금승인내역'!C645)</f>
        <v>강남영업부</v>
      </c>
      <c r="R19" s="531" t="str">
        <f aca="false">IF('(1)예금승인내역'!K645="","",'(1)예금승인내역'!K645)</f>
        <v>정기예금</v>
      </c>
      <c r="S19" s="548" t="n">
        <f aca="false">IF('(1)예금승인내역'!L645="","",'(1)예금승인내역'!L645)</f>
        <v>3.5</v>
      </c>
      <c r="T19" s="549" t="n">
        <f aca="false">IF('(1)예금승인내역'!AG645="","",'(1)예금승인내역'!AG645)</f>
        <v>0.0492</v>
      </c>
      <c r="U19" s="549" t="n">
        <f aca="false">IF('(1)예금승인내역'!X645="","",'(1)예금승인내역'!X645)</f>
        <v>0.006521</v>
      </c>
      <c r="V19" s="531" t="n">
        <f aca="false">IF(ISNUMBER(N19),N19-$B$2,"")</f>
        <v>-764</v>
      </c>
      <c r="W19" s="531" t="str">
        <f aca="false">IF(AND(ISNUMBER(N19),N19&gt;=$B$2,N19&lt;=$B$2+10),N19*100000+ROW(),"")</f>
        <v/>
      </c>
      <c r="X19" s="531" t="str">
        <f aca="false">IFERROR(SMALL($W$6:$W$1005,14),"")</f>
        <v/>
      </c>
      <c r="Y19" s="531" t="str">
        <f aca="false">IF(X19="","",MATCH(X19,$W$6:$W$1005,0))</f>
        <v/>
      </c>
      <c r="Z19" s="531"/>
      <c r="AA19" s="531"/>
      <c r="AB19" s="531"/>
      <c r="AC19" s="531"/>
      <c r="AD19" s="531"/>
      <c r="AE19" s="531"/>
      <c r="AF19" s="531"/>
      <c r="AG19" s="531"/>
      <c r="AH19" s="531"/>
      <c r="AI19" s="531"/>
      <c r="AJ19" s="531"/>
      <c r="AK19" s="531"/>
      <c r="AL19" s="531"/>
      <c r="AM19" s="531"/>
      <c r="AN19" s="531"/>
    </row>
    <row r="20" customFormat="false" ht="16.5" hidden="false" customHeight="true" outlineLevel="0" collapsed="false">
      <c r="A20" s="542" t="str">
        <f aca="false">IF($Y20="","",IF(INDEX($N$6:$N$1005,$Y20)=$B$2,"오늘","+"&amp;(INDEX($N$6:$N$1005,$Y20)-$B$2)&amp;"일"))</f>
        <v/>
      </c>
      <c r="B20" s="543" t="str">
        <f aca="false">IF($Y20="","",INDEX($N$6:$N$1005,$Y20))</f>
        <v/>
      </c>
      <c r="C20" s="542" t="str">
        <f aca="false">IF($Y20="","",CHOOSE(WEEKDAY(INDEX($N$6:$N$1005,$Y20)),"일","월","화","수","목","금","토"))</f>
        <v/>
      </c>
      <c r="D20" s="543" t="str">
        <f aca="false">IF($Y20="","",INDEX($O$6:$O$1005,$Y20))</f>
        <v/>
      </c>
      <c r="E20" s="544" t="str">
        <f aca="false">IF($Y20="","",INDEX($P$6:$P$1005,$Y20))</f>
        <v/>
      </c>
      <c r="F20" s="544" t="str">
        <f aca="false">IF($Y20="","",INDEX($Q$6:$Q$1005,$Y20))</f>
        <v/>
      </c>
      <c r="G20" s="542" t="str">
        <f aca="false">IF($Y20="","",INDEX($R$6:$R$1005,$Y20))</f>
        <v/>
      </c>
      <c r="H20" s="542" t="str">
        <f aca="false">IF($Y20="","","USD")</f>
        <v/>
      </c>
      <c r="I20" s="545" t="str">
        <f aca="false">IF($Y20="","",INDEX($S$6:$S$1005,$Y20))</f>
        <v/>
      </c>
      <c r="J20" s="546" t="str">
        <f aca="false">IF($Y20="","",INDEX($T$6:$T$1005,$Y20))</f>
        <v/>
      </c>
      <c r="K20" s="546" t="str">
        <f aca="false">IF($Y20="","",INDEX($U$6:$U$1005,$Y20))</f>
        <v/>
      </c>
      <c r="L20" s="542" t="str">
        <f aca="false">IF($Y20="","",IF(INDEX($S$6:$S$1005,$Y20)&gt;=10,"★ 10백만불↑",""))</f>
        <v/>
      </c>
      <c r="M20" s="531"/>
      <c r="N20" s="547" t="n">
        <f aca="false">IF('(1)예금승인내역'!H646="","",'(1)예금승인내역'!H646)</f>
        <v>45366</v>
      </c>
      <c r="O20" s="547" t="n">
        <f aca="false">IF('(1)예금승인내역'!G646="","",'(1)예금승인내역'!G646)</f>
        <v>45338</v>
      </c>
      <c r="P20" s="531" t="str">
        <f aca="false">IF('(1)예금승인내역'!F646="","",'(1)예금승인내역'!F646)</f>
        <v>오스템임플란트㈜</v>
      </c>
      <c r="Q20" s="531" t="str">
        <f aca="false">IF('(1)예금승인내역'!C646="","",'(1)예금승인내역'!C646)</f>
        <v>성남금융센터</v>
      </c>
      <c r="R20" s="531" t="str">
        <f aca="false">IF('(1)예금승인내역'!K646="","",'(1)예금승인내역'!K646)</f>
        <v>MMDA</v>
      </c>
      <c r="S20" s="548" t="n">
        <f aca="false">IF('(1)예금승인내역'!L646="","",'(1)예금승인내역'!L646)</f>
        <v>2</v>
      </c>
      <c r="T20" s="549" t="n">
        <f aca="false">IF('(1)예금승인내역'!AG646="","",'(1)예금승인내역'!AG646)</f>
        <v>0.0435</v>
      </c>
      <c r="U20" s="549" t="n">
        <f aca="false">IF('(1)예금승인내역'!X646="","",'(1)예금승인내역'!X646)</f>
        <v>0.010115</v>
      </c>
      <c r="V20" s="531" t="n">
        <f aca="false">IF(ISNUMBER(N20),N20-$B$2,"")</f>
        <v>-823</v>
      </c>
      <c r="W20" s="531" t="str">
        <f aca="false">IF(AND(ISNUMBER(N20),N20&gt;=$B$2,N20&lt;=$B$2+10),N20*100000+ROW(),"")</f>
        <v/>
      </c>
      <c r="X20" s="531" t="str">
        <f aca="false">IFERROR(SMALL($W$6:$W$1005,15),"")</f>
        <v/>
      </c>
      <c r="Y20" s="531" t="str">
        <f aca="false">IF(X20="","",MATCH(X20,$W$6:$W$1005,0))</f>
        <v/>
      </c>
      <c r="Z20" s="531"/>
      <c r="AA20" s="531"/>
      <c r="AB20" s="531"/>
      <c r="AC20" s="531"/>
      <c r="AD20" s="531"/>
      <c r="AE20" s="531"/>
      <c r="AF20" s="531"/>
      <c r="AG20" s="531"/>
      <c r="AH20" s="531"/>
      <c r="AI20" s="531"/>
      <c r="AJ20" s="531"/>
      <c r="AK20" s="531"/>
      <c r="AL20" s="531"/>
      <c r="AM20" s="531"/>
      <c r="AN20" s="531"/>
    </row>
    <row r="21" customFormat="false" ht="16.5" hidden="true" customHeight="true" outlineLevel="0" collapsed="false">
      <c r="A21" s="542" t="str">
        <f aca="false">IF($Y21="","",IF(INDEX($N$6:$N$1005,$Y21)=$B$2,"오늘","+"&amp;(INDEX($N$6:$N$1005,$Y21)-$B$2)&amp;"일"))</f>
        <v/>
      </c>
      <c r="B21" s="543" t="str">
        <f aca="false">IF($Y21="","",INDEX($N$6:$N$1005,$Y21))</f>
        <v/>
      </c>
      <c r="C21" s="542" t="str">
        <f aca="false">IF($Y21="","",CHOOSE(WEEKDAY(INDEX($N$6:$N$1005,$Y21)),"일","월","화","수","목","금","토"))</f>
        <v/>
      </c>
      <c r="D21" s="543" t="str">
        <f aca="false">IF($Y21="","",INDEX($O$6:$O$1005,$Y21))</f>
        <v/>
      </c>
      <c r="E21" s="544" t="str">
        <f aca="false">IF($Y21="","",INDEX($P$6:$P$1005,$Y21))</f>
        <v/>
      </c>
      <c r="F21" s="544" t="str">
        <f aca="false">IF($Y21="","",INDEX($Q$6:$Q$1005,$Y21))</f>
        <v/>
      </c>
      <c r="G21" s="542" t="str">
        <f aca="false">IF($Y21="","",INDEX($R$6:$R$1005,$Y21))</f>
        <v/>
      </c>
      <c r="H21" s="542" t="str">
        <f aca="false">IF($Y21="","","USD")</f>
        <v/>
      </c>
      <c r="I21" s="545" t="str">
        <f aca="false">IF($Y21="","",INDEX($S$6:$S$1005,$Y21))</f>
        <v/>
      </c>
      <c r="J21" s="546" t="str">
        <f aca="false">IF($Y21="","",INDEX($T$6:$T$1005,$Y21))</f>
        <v/>
      </c>
      <c r="K21" s="546" t="str">
        <f aca="false">IF($Y21="","",INDEX($U$6:$U$1005,$Y21))</f>
        <v/>
      </c>
      <c r="L21" s="542" t="str">
        <f aca="false">IF($Y21="","",IF(INDEX($S$6:$S$1005,$Y21)&gt;=10,"★ 10백만불↑",""))</f>
        <v/>
      </c>
      <c r="M21" s="531"/>
      <c r="N21" s="547" t="n">
        <f aca="false">IF('(1)예금승인내역'!H647="","",'(1)예금승인내역'!H647)</f>
        <v>45404</v>
      </c>
      <c r="O21" s="547" t="n">
        <f aca="false">IF('(1)예금승인내역'!G647="","",'(1)예금승인내역'!G647)</f>
        <v>45344</v>
      </c>
      <c r="P21" s="531" t="str">
        <f aca="false">IF('(1)예금승인내역'!F647="","",'(1)예금승인내역'!F647)</f>
        <v>에스엠상선㈜</v>
      </c>
      <c r="Q21" s="531" t="str">
        <f aca="false">IF('(1)예금승인내역'!C647="","",'(1)예금승인내역'!C647)</f>
        <v>강남영업부</v>
      </c>
      <c r="R21" s="531" t="str">
        <f aca="false">IF('(1)예금승인내역'!K647="","",'(1)예금승인내역'!K647)</f>
        <v>정기예금</v>
      </c>
      <c r="S21" s="548" t="n">
        <f aca="false">IF('(1)예금승인내역'!L647="","",'(1)예금승인내역'!L647)</f>
        <v>10</v>
      </c>
      <c r="T21" s="549" t="n">
        <f aca="false">IF('(1)예금승인내역'!AG647="","",'(1)예금승인내역'!AG647)</f>
        <v>0.0525</v>
      </c>
      <c r="U21" s="549" t="n">
        <f aca="false">IF('(1)예금승인내역'!X647="","",'(1)예금승인내역'!X647)</f>
        <v>0.00258</v>
      </c>
      <c r="V21" s="531" t="n">
        <f aca="false">IF(ISNUMBER(N21),N21-$B$2,"")</f>
        <v>-785</v>
      </c>
      <c r="W21" s="531" t="str">
        <f aca="false">IF(AND(ISNUMBER(N21),N21&gt;=$B$2,N21&lt;=$B$2+10),N21*100000+ROW(),"")</f>
        <v/>
      </c>
      <c r="X21" s="531" t="str">
        <f aca="false">IFERROR(SMALL($W$6:$W$1005,16),"")</f>
        <v/>
      </c>
      <c r="Y21" s="531" t="str">
        <f aca="false">IF(X21="","",MATCH(X21,$W$6:$W$1005,0))</f>
        <v/>
      </c>
      <c r="Z21" s="531"/>
      <c r="AA21" s="531"/>
      <c r="AB21" s="531"/>
      <c r="AC21" s="531"/>
      <c r="AD21" s="531"/>
      <c r="AE21" s="531"/>
      <c r="AF21" s="531"/>
      <c r="AG21" s="531"/>
      <c r="AH21" s="531"/>
      <c r="AI21" s="531"/>
      <c r="AJ21" s="531"/>
      <c r="AK21" s="531"/>
      <c r="AL21" s="531"/>
      <c r="AM21" s="531"/>
      <c r="AN21" s="531"/>
    </row>
    <row r="22" customFormat="false" ht="16.5" hidden="true" customHeight="true" outlineLevel="0" collapsed="false">
      <c r="A22" s="542" t="str">
        <f aca="false">IF($Y22="","",IF(INDEX($N$6:$N$1005,$Y22)=$B$2,"오늘","+"&amp;(INDEX($N$6:$N$1005,$Y22)-$B$2)&amp;"일"))</f>
        <v/>
      </c>
      <c r="B22" s="543" t="str">
        <f aca="false">IF($Y22="","",INDEX($N$6:$N$1005,$Y22))</f>
        <v/>
      </c>
      <c r="C22" s="542" t="str">
        <f aca="false">IF($Y22="","",CHOOSE(WEEKDAY(INDEX($N$6:$N$1005,$Y22)),"일","월","화","수","목","금","토"))</f>
        <v/>
      </c>
      <c r="D22" s="543" t="str">
        <f aca="false">IF($Y22="","",INDEX($O$6:$O$1005,$Y22))</f>
        <v/>
      </c>
      <c r="E22" s="544" t="str">
        <f aca="false">IF($Y22="","",INDEX($P$6:$P$1005,$Y22))</f>
        <v/>
      </c>
      <c r="F22" s="544" t="str">
        <f aca="false">IF($Y22="","",INDEX($Q$6:$Q$1005,$Y22))</f>
        <v/>
      </c>
      <c r="G22" s="542" t="str">
        <f aca="false">IF($Y22="","",INDEX($R$6:$R$1005,$Y22))</f>
        <v/>
      </c>
      <c r="H22" s="542" t="str">
        <f aca="false">IF($Y22="","","USD")</f>
        <v/>
      </c>
      <c r="I22" s="545" t="str">
        <f aca="false">IF($Y22="","",INDEX($S$6:$S$1005,$Y22))</f>
        <v/>
      </c>
      <c r="J22" s="546" t="str">
        <f aca="false">IF($Y22="","",INDEX($T$6:$T$1005,$Y22))</f>
        <v/>
      </c>
      <c r="K22" s="546" t="str">
        <f aca="false">IF($Y22="","",INDEX($U$6:$U$1005,$Y22))</f>
        <v/>
      </c>
      <c r="L22" s="542" t="str">
        <f aca="false">IF($Y22="","",IF(INDEX($S$6:$S$1005,$Y22)&gt;=10,"★ 10백만불↑",""))</f>
        <v/>
      </c>
      <c r="M22" s="531"/>
      <c r="N22" s="547" t="n">
        <f aca="false">IF('(1)예금승인내역'!H648="","",'(1)예금승인내역'!H648)</f>
        <v>45439</v>
      </c>
      <c r="O22" s="547" t="n">
        <f aca="false">IF('(1)예금승인내역'!G648="","",'(1)예금승인내역'!G648)</f>
        <v>45348</v>
      </c>
      <c r="P22" s="531" t="str">
        <f aca="false">IF('(1)예금승인내역'!F648="","",'(1)예금승인내역'!F648)</f>
        <v>에스엠상선㈜</v>
      </c>
      <c r="Q22" s="531" t="str">
        <f aca="false">IF('(1)예금승인내역'!C648="","",'(1)예금승인내역'!C648)</f>
        <v>강남영업부</v>
      </c>
      <c r="R22" s="531" t="str">
        <f aca="false">IF('(1)예금승인내역'!K648="","",'(1)예금승인내역'!K648)</f>
        <v>정기예금</v>
      </c>
      <c r="S22" s="548" t="n">
        <f aca="false">IF('(1)예금승인내역'!L648="","",'(1)예금승인내역'!L648)</f>
        <v>10</v>
      </c>
      <c r="T22" s="549" t="n">
        <f aca="false">IF('(1)예금승인내역'!AG648="","",'(1)예금승인내역'!AG648)</f>
        <v>0.053</v>
      </c>
      <c r="U22" s="549" t="n">
        <f aca="false">IF('(1)예금승인내역'!X648="","",'(1)예금승인내역'!X648)</f>
        <v>0.002813</v>
      </c>
      <c r="V22" s="531" t="n">
        <f aca="false">IF(ISNUMBER(N22),N22-$B$2,"")</f>
        <v>-750</v>
      </c>
      <c r="W22" s="531" t="str">
        <f aca="false">IF(AND(ISNUMBER(N22),N22&gt;=$B$2,N22&lt;=$B$2+10),N22*100000+ROW(),"")</f>
        <v/>
      </c>
      <c r="X22" s="531" t="str">
        <f aca="false">IFERROR(SMALL($W$6:$W$1005,17),"")</f>
        <v/>
      </c>
      <c r="Y22" s="531" t="str">
        <f aca="false">IF(X22="","",MATCH(X22,$W$6:$W$1005,0))</f>
        <v/>
      </c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  <c r="AK22" s="531"/>
      <c r="AL22" s="531"/>
      <c r="AM22" s="531"/>
      <c r="AN22" s="531"/>
    </row>
    <row r="23" customFormat="false" ht="16.5" hidden="true" customHeight="true" outlineLevel="0" collapsed="false">
      <c r="A23" s="542" t="str">
        <f aca="false">IF($Y23="","",IF(INDEX($N$6:$N$1005,$Y23)=$B$2,"오늘","+"&amp;(INDEX($N$6:$N$1005,$Y23)-$B$2)&amp;"일"))</f>
        <v/>
      </c>
      <c r="B23" s="543" t="str">
        <f aca="false">IF($Y23="","",INDEX($N$6:$N$1005,$Y23))</f>
        <v/>
      </c>
      <c r="C23" s="542" t="str">
        <f aca="false">IF($Y23="","",CHOOSE(WEEKDAY(INDEX($N$6:$N$1005,$Y23)),"일","월","화","수","목","금","토"))</f>
        <v/>
      </c>
      <c r="D23" s="543" t="str">
        <f aca="false">IF($Y23="","",INDEX($O$6:$O$1005,$Y23))</f>
        <v/>
      </c>
      <c r="E23" s="544" t="str">
        <f aca="false">IF($Y23="","",INDEX($P$6:$P$1005,$Y23))</f>
        <v/>
      </c>
      <c r="F23" s="544" t="str">
        <f aca="false">IF($Y23="","",INDEX($Q$6:$Q$1005,$Y23))</f>
        <v/>
      </c>
      <c r="G23" s="542" t="str">
        <f aca="false">IF($Y23="","",INDEX($R$6:$R$1005,$Y23))</f>
        <v/>
      </c>
      <c r="H23" s="542" t="str">
        <f aca="false">IF($Y23="","","USD")</f>
        <v/>
      </c>
      <c r="I23" s="545" t="str">
        <f aca="false">IF($Y23="","",INDEX($S$6:$S$1005,$Y23))</f>
        <v/>
      </c>
      <c r="J23" s="546" t="str">
        <f aca="false">IF($Y23="","",INDEX($T$6:$T$1005,$Y23))</f>
        <v/>
      </c>
      <c r="K23" s="546" t="str">
        <f aca="false">IF($Y23="","",INDEX($U$6:$U$1005,$Y23))</f>
        <v/>
      </c>
      <c r="L23" s="542" t="str">
        <f aca="false">IF($Y23="","",IF(INDEX($S$6:$S$1005,$Y23)&gt;=10,"★ 10백만불↑",""))</f>
        <v/>
      </c>
      <c r="M23" s="531"/>
      <c r="N23" s="547" t="n">
        <f aca="false">IF('(1)예금승인내역'!H649="","",'(1)예금승인내역'!H649)</f>
        <v>45377</v>
      </c>
      <c r="O23" s="547" t="n">
        <f aca="false">IF('(1)예금승인내역'!G649="","",'(1)예금승인내역'!G649)</f>
        <v>45348</v>
      </c>
      <c r="P23" s="531" t="str">
        <f aca="false">IF('(1)예금승인내역'!F649="","",'(1)예금승인내역'!F649)</f>
        <v>㈜와이투솔루션</v>
      </c>
      <c r="Q23" s="531" t="str">
        <f aca="false">IF('(1)예금승인내역'!C649="","",'(1)예금승인내역'!C649)</f>
        <v>화성금융센터</v>
      </c>
      <c r="R23" s="531" t="str">
        <f aca="false">IF('(1)예금승인내역'!K649="","",'(1)예금승인내역'!K649)</f>
        <v>정기예금</v>
      </c>
      <c r="S23" s="548" t="n">
        <f aca="false">IF('(1)예금승인내역'!L649="","",'(1)예금승인내역'!L649)</f>
        <v>1</v>
      </c>
      <c r="T23" s="549" t="n">
        <f aca="false">IF('(1)예금승인내역'!AG649="","",'(1)예금승인내역'!AG649)</f>
        <v>0.052</v>
      </c>
      <c r="U23" s="549" t="n">
        <f aca="false">IF('(1)예금승인내역'!X649="","",'(1)예금승인내역'!X649)</f>
        <v>0.00224</v>
      </c>
      <c r="V23" s="531" t="n">
        <f aca="false">IF(ISNUMBER(N23),N23-$B$2,"")</f>
        <v>-812</v>
      </c>
      <c r="W23" s="531" t="str">
        <f aca="false">IF(AND(ISNUMBER(N23),N23&gt;=$B$2,N23&lt;=$B$2+10),N23*100000+ROW(),"")</f>
        <v/>
      </c>
      <c r="X23" s="531" t="str">
        <f aca="false">IFERROR(SMALL($W$6:$W$1005,18),"")</f>
        <v/>
      </c>
      <c r="Y23" s="531" t="str">
        <f aca="false">IF(X23="","",MATCH(X23,$W$6:$W$1005,0))</f>
        <v/>
      </c>
      <c r="Z23" s="531"/>
      <c r="AA23" s="531"/>
      <c r="AB23" s="531"/>
      <c r="AC23" s="531"/>
      <c r="AD23" s="531"/>
      <c r="AE23" s="531"/>
      <c r="AF23" s="531"/>
      <c r="AG23" s="531"/>
      <c r="AH23" s="531"/>
      <c r="AI23" s="531"/>
      <c r="AJ23" s="531"/>
      <c r="AK23" s="531"/>
      <c r="AL23" s="531"/>
      <c r="AM23" s="531"/>
      <c r="AN23" s="531"/>
    </row>
    <row r="24" customFormat="false" ht="16.5" hidden="true" customHeight="true" outlineLevel="0" collapsed="false">
      <c r="A24" s="542" t="str">
        <f aca="false">IF($Y24="","",IF(INDEX($N$6:$N$1005,$Y24)=$B$2,"오늘","+"&amp;(INDEX($N$6:$N$1005,$Y24)-$B$2)&amp;"일"))</f>
        <v/>
      </c>
      <c r="B24" s="543" t="str">
        <f aca="false">IF($Y24="","",INDEX($N$6:$N$1005,$Y24))</f>
        <v/>
      </c>
      <c r="C24" s="542" t="str">
        <f aca="false">IF($Y24="","",CHOOSE(WEEKDAY(INDEX($N$6:$N$1005,$Y24)),"일","월","화","수","목","금","토"))</f>
        <v/>
      </c>
      <c r="D24" s="543" t="str">
        <f aca="false">IF($Y24="","",INDEX($O$6:$O$1005,$Y24))</f>
        <v/>
      </c>
      <c r="E24" s="544" t="str">
        <f aca="false">IF($Y24="","",INDEX($P$6:$P$1005,$Y24))</f>
        <v/>
      </c>
      <c r="F24" s="544" t="str">
        <f aca="false">IF($Y24="","",INDEX($Q$6:$Q$1005,$Y24))</f>
        <v/>
      </c>
      <c r="G24" s="542" t="str">
        <f aca="false">IF($Y24="","",INDEX($R$6:$R$1005,$Y24))</f>
        <v/>
      </c>
      <c r="H24" s="542" t="str">
        <f aca="false">IF($Y24="","","USD")</f>
        <v/>
      </c>
      <c r="I24" s="545" t="str">
        <f aca="false">IF($Y24="","",INDEX($S$6:$S$1005,$Y24))</f>
        <v/>
      </c>
      <c r="J24" s="546" t="str">
        <f aca="false">IF($Y24="","",INDEX($T$6:$T$1005,$Y24))</f>
        <v/>
      </c>
      <c r="K24" s="546" t="str">
        <f aca="false">IF($Y24="","",INDEX($U$6:$U$1005,$Y24))</f>
        <v/>
      </c>
      <c r="L24" s="542" t="str">
        <f aca="false">IF($Y24="","",IF(INDEX($S$6:$S$1005,$Y24)&gt;=10,"★ 10백만불↑",""))</f>
        <v/>
      </c>
      <c r="M24" s="531"/>
      <c r="N24" s="547" t="n">
        <f aca="false">IF('(1)예금승인내역'!H650="","",'(1)예금승인내역'!H650)</f>
        <v>45377</v>
      </c>
      <c r="O24" s="547" t="n">
        <f aca="false">IF('(1)예금승인내역'!G650="","",'(1)예금승인내역'!G650)</f>
        <v>45348</v>
      </c>
      <c r="P24" s="531" t="str">
        <f aca="false">IF('(1)예금승인내역'!F650="","",'(1)예금승인내역'!F650)</f>
        <v>㈜와이투솔루션</v>
      </c>
      <c r="Q24" s="531" t="str">
        <f aca="false">IF('(1)예금승인내역'!C650="","",'(1)예금승인내역'!C650)</f>
        <v>화성금융센터</v>
      </c>
      <c r="R24" s="531" t="str">
        <f aca="false">IF('(1)예금승인내역'!K650="","",'(1)예금승인내역'!K650)</f>
        <v>정기예금</v>
      </c>
      <c r="S24" s="548" t="n">
        <f aca="false">IF('(1)예금승인내역'!L650="","",'(1)예금승인내역'!L650)</f>
        <v>1</v>
      </c>
      <c r="T24" s="549" t="n">
        <f aca="false">IF('(1)예금승인내역'!AG650="","",'(1)예금승인내역'!AG650)</f>
        <v>0.052</v>
      </c>
      <c r="U24" s="549" t="n">
        <f aca="false">IF('(1)예금승인내역'!X650="","",'(1)예금승인내역'!X650)</f>
        <v>0.00224</v>
      </c>
      <c r="V24" s="531" t="n">
        <f aca="false">IF(ISNUMBER(N24),N24-$B$2,"")</f>
        <v>-812</v>
      </c>
      <c r="W24" s="531" t="str">
        <f aca="false">IF(AND(ISNUMBER(N24),N24&gt;=$B$2,N24&lt;=$B$2+10),N24*100000+ROW(),"")</f>
        <v/>
      </c>
      <c r="X24" s="531" t="str">
        <f aca="false">IFERROR(SMALL($W$6:$W$1005,19),"")</f>
        <v/>
      </c>
      <c r="Y24" s="531" t="str">
        <f aca="false">IF(X24="","",MATCH(X24,$W$6:$W$1005,0))</f>
        <v/>
      </c>
      <c r="Z24" s="531"/>
      <c r="AA24" s="531"/>
      <c r="AB24" s="531"/>
      <c r="AC24" s="531"/>
      <c r="AD24" s="531"/>
      <c r="AE24" s="531"/>
      <c r="AF24" s="531"/>
      <c r="AG24" s="531"/>
      <c r="AH24" s="531"/>
      <c r="AI24" s="531"/>
      <c r="AJ24" s="531"/>
      <c r="AK24" s="531"/>
      <c r="AL24" s="531"/>
      <c r="AM24" s="531"/>
      <c r="AN24" s="531"/>
    </row>
    <row r="25" customFormat="false" ht="16.5" hidden="true" customHeight="true" outlineLevel="0" collapsed="false">
      <c r="A25" s="542" t="str">
        <f aca="false">IF($Y25="","",IF(INDEX($N$6:$N$1005,$Y25)=$B$2,"오늘","+"&amp;(INDEX($N$6:$N$1005,$Y25)-$B$2)&amp;"일"))</f>
        <v/>
      </c>
      <c r="B25" s="543" t="str">
        <f aca="false">IF($Y25="","",INDEX($N$6:$N$1005,$Y25))</f>
        <v/>
      </c>
      <c r="C25" s="542" t="str">
        <f aca="false">IF($Y25="","",CHOOSE(WEEKDAY(INDEX($N$6:$N$1005,$Y25)),"일","월","화","수","목","금","토"))</f>
        <v/>
      </c>
      <c r="D25" s="543" t="str">
        <f aca="false">IF($Y25="","",INDEX($O$6:$O$1005,$Y25))</f>
        <v/>
      </c>
      <c r="E25" s="544" t="str">
        <f aca="false">IF($Y25="","",INDEX($P$6:$P$1005,$Y25))</f>
        <v/>
      </c>
      <c r="F25" s="544" t="str">
        <f aca="false">IF($Y25="","",INDEX($Q$6:$Q$1005,$Y25))</f>
        <v/>
      </c>
      <c r="G25" s="542" t="str">
        <f aca="false">IF($Y25="","",INDEX($R$6:$R$1005,$Y25))</f>
        <v/>
      </c>
      <c r="H25" s="542" t="str">
        <f aca="false">IF($Y25="","","USD")</f>
        <v/>
      </c>
      <c r="I25" s="545" t="str">
        <f aca="false">IF($Y25="","",INDEX($S$6:$S$1005,$Y25))</f>
        <v/>
      </c>
      <c r="J25" s="546" t="str">
        <f aca="false">IF($Y25="","",INDEX($T$6:$T$1005,$Y25))</f>
        <v/>
      </c>
      <c r="K25" s="546" t="str">
        <f aca="false">IF($Y25="","",INDEX($U$6:$U$1005,$Y25))</f>
        <v/>
      </c>
      <c r="L25" s="542" t="str">
        <f aca="false">IF($Y25="","",IF(INDEX($S$6:$S$1005,$Y25)&gt;=10,"★ 10백만불↑",""))</f>
        <v/>
      </c>
      <c r="M25" s="531"/>
      <c r="N25" s="547" t="n">
        <f aca="false">IF('(1)예금승인내역'!H651="","",'(1)예금승인내역'!H651)</f>
        <v>45377</v>
      </c>
      <c r="O25" s="547" t="n">
        <f aca="false">IF('(1)예금승인내역'!G651="","",'(1)예금승인내역'!G651)</f>
        <v>45348</v>
      </c>
      <c r="P25" s="531" t="str">
        <f aca="false">IF('(1)예금승인내역'!F651="","",'(1)예금승인내역'!F651)</f>
        <v>㈜와이투솔루션</v>
      </c>
      <c r="Q25" s="531" t="str">
        <f aca="false">IF('(1)예금승인내역'!C651="","",'(1)예금승인내역'!C651)</f>
        <v>화성금융센터</v>
      </c>
      <c r="R25" s="531" t="str">
        <f aca="false">IF('(1)예금승인내역'!K651="","",'(1)예금승인내역'!K651)</f>
        <v>정기예금</v>
      </c>
      <c r="S25" s="548" t="n">
        <f aca="false">IF('(1)예금승인내역'!L651="","",'(1)예금승인내역'!L651)</f>
        <v>1</v>
      </c>
      <c r="T25" s="549" t="n">
        <f aca="false">IF('(1)예금승인내역'!AG651="","",'(1)예금승인내역'!AG651)</f>
        <v>0.052</v>
      </c>
      <c r="U25" s="549" t="n">
        <f aca="false">IF('(1)예금승인내역'!X651="","",'(1)예금승인내역'!X651)</f>
        <v>0.00224</v>
      </c>
      <c r="V25" s="531" t="n">
        <f aca="false">IF(ISNUMBER(N25),N25-$B$2,"")</f>
        <v>-812</v>
      </c>
      <c r="W25" s="531" t="str">
        <f aca="false">IF(AND(ISNUMBER(N25),N25&gt;=$B$2,N25&lt;=$B$2+10),N25*100000+ROW(),"")</f>
        <v/>
      </c>
      <c r="X25" s="531" t="str">
        <f aca="false">IFERROR(SMALL($W$6:$W$1005,20),"")</f>
        <v/>
      </c>
      <c r="Y25" s="531" t="str">
        <f aca="false">IF(X25="","",MATCH(X25,$W$6:$W$1005,0))</f>
        <v/>
      </c>
      <c r="Z25" s="531"/>
      <c r="AA25" s="531"/>
      <c r="AB25" s="531"/>
      <c r="AC25" s="531"/>
      <c r="AD25" s="531"/>
      <c r="AE25" s="531"/>
      <c r="AF25" s="531"/>
      <c r="AG25" s="531"/>
      <c r="AH25" s="531"/>
      <c r="AI25" s="531"/>
      <c r="AJ25" s="531"/>
      <c r="AK25" s="531"/>
      <c r="AL25" s="531"/>
      <c r="AM25" s="531"/>
      <c r="AN25" s="531"/>
    </row>
    <row r="26" customFormat="false" ht="16.5" hidden="true" customHeight="true" outlineLevel="0" collapsed="false">
      <c r="A26" s="542" t="str">
        <f aca="false">IF($Y26="","",IF(INDEX($N$6:$N$1005,$Y26)=$B$2,"오늘","+"&amp;(INDEX($N$6:$N$1005,$Y26)-$B$2)&amp;"일"))</f>
        <v/>
      </c>
      <c r="B26" s="543" t="str">
        <f aca="false">IF($Y26="","",INDEX($N$6:$N$1005,$Y26))</f>
        <v/>
      </c>
      <c r="C26" s="542" t="str">
        <f aca="false">IF($Y26="","",CHOOSE(WEEKDAY(INDEX($N$6:$N$1005,$Y26)),"일","월","화","수","목","금","토"))</f>
        <v/>
      </c>
      <c r="D26" s="543" t="str">
        <f aca="false">IF($Y26="","",INDEX($O$6:$O$1005,$Y26))</f>
        <v/>
      </c>
      <c r="E26" s="544" t="str">
        <f aca="false">IF($Y26="","",INDEX($P$6:$P$1005,$Y26))</f>
        <v/>
      </c>
      <c r="F26" s="544" t="str">
        <f aca="false">IF($Y26="","",INDEX($Q$6:$Q$1005,$Y26))</f>
        <v/>
      </c>
      <c r="G26" s="542" t="str">
        <f aca="false">IF($Y26="","",INDEX($R$6:$R$1005,$Y26))</f>
        <v/>
      </c>
      <c r="H26" s="542" t="str">
        <f aca="false">IF($Y26="","","USD")</f>
        <v/>
      </c>
      <c r="I26" s="545" t="str">
        <f aca="false">IF($Y26="","",INDEX($S$6:$S$1005,$Y26))</f>
        <v/>
      </c>
      <c r="J26" s="546" t="str">
        <f aca="false">IF($Y26="","",INDEX($T$6:$T$1005,$Y26))</f>
        <v/>
      </c>
      <c r="K26" s="546" t="str">
        <f aca="false">IF($Y26="","",INDEX($U$6:$U$1005,$Y26))</f>
        <v/>
      </c>
      <c r="L26" s="542" t="str">
        <f aca="false">IF($Y26="","",IF(INDEX($S$6:$S$1005,$Y26)&gt;=10,"★ 10백만불↑",""))</f>
        <v/>
      </c>
      <c r="M26" s="531"/>
      <c r="N26" s="547" t="n">
        <f aca="false">IF('(1)예금승인내역'!H652="","",'(1)예금승인내역'!H652)</f>
        <v>45377</v>
      </c>
      <c r="O26" s="547" t="n">
        <f aca="false">IF('(1)예금승인내역'!G652="","",'(1)예금승인내역'!G652)</f>
        <v>45348</v>
      </c>
      <c r="P26" s="531" t="str">
        <f aca="false">IF('(1)예금승인내역'!F652="","",'(1)예금승인내역'!F652)</f>
        <v>㈜와이투솔루션</v>
      </c>
      <c r="Q26" s="531" t="str">
        <f aca="false">IF('(1)예금승인내역'!C652="","",'(1)예금승인내역'!C652)</f>
        <v>화성금융센터</v>
      </c>
      <c r="R26" s="531" t="str">
        <f aca="false">IF('(1)예금승인내역'!K652="","",'(1)예금승인내역'!K652)</f>
        <v>정기예금</v>
      </c>
      <c r="S26" s="548" t="n">
        <f aca="false">IF('(1)예금승인내역'!L652="","",'(1)예금승인내역'!L652)</f>
        <v>1</v>
      </c>
      <c r="T26" s="549" t="n">
        <f aca="false">IF('(1)예금승인내역'!AG652="","",'(1)예금승인내역'!AG652)</f>
        <v>0.052</v>
      </c>
      <c r="U26" s="549" t="n">
        <f aca="false">IF('(1)예금승인내역'!X652="","",'(1)예금승인내역'!X652)</f>
        <v>0.00224</v>
      </c>
      <c r="V26" s="531" t="n">
        <f aca="false">IF(ISNUMBER(N26),N26-$B$2,"")</f>
        <v>-812</v>
      </c>
      <c r="W26" s="531" t="str">
        <f aca="false">IF(AND(ISNUMBER(N26),N26&gt;=$B$2,N26&lt;=$B$2+10),N26*100000+ROW(),"")</f>
        <v/>
      </c>
      <c r="X26" s="531" t="str">
        <f aca="false">IFERROR(SMALL($W$6:$W$1005,21),"")</f>
        <v/>
      </c>
      <c r="Y26" s="531" t="str">
        <f aca="false">IF(X26="","",MATCH(X26,$W$6:$W$1005,0))</f>
        <v/>
      </c>
      <c r="Z26" s="531"/>
      <c r="AA26" s="531"/>
      <c r="AB26" s="531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</row>
    <row r="27" customFormat="false" ht="16.5" hidden="true" customHeight="true" outlineLevel="0" collapsed="false">
      <c r="A27" s="542" t="str">
        <f aca="false">IF($Y27="","",IF(INDEX($N$6:$N$1005,$Y27)=$B$2,"오늘","+"&amp;(INDEX($N$6:$N$1005,$Y27)-$B$2)&amp;"일"))</f>
        <v/>
      </c>
      <c r="B27" s="543" t="str">
        <f aca="false">IF($Y27="","",INDEX($N$6:$N$1005,$Y27))</f>
        <v/>
      </c>
      <c r="C27" s="542" t="str">
        <f aca="false">IF($Y27="","",CHOOSE(WEEKDAY(INDEX($N$6:$N$1005,$Y27)),"일","월","화","수","목","금","토"))</f>
        <v/>
      </c>
      <c r="D27" s="543" t="str">
        <f aca="false">IF($Y27="","",INDEX($O$6:$O$1005,$Y27))</f>
        <v/>
      </c>
      <c r="E27" s="544" t="str">
        <f aca="false">IF($Y27="","",INDEX($P$6:$P$1005,$Y27))</f>
        <v/>
      </c>
      <c r="F27" s="544" t="str">
        <f aca="false">IF($Y27="","",INDEX($Q$6:$Q$1005,$Y27))</f>
        <v/>
      </c>
      <c r="G27" s="542" t="str">
        <f aca="false">IF($Y27="","",INDEX($R$6:$R$1005,$Y27))</f>
        <v/>
      </c>
      <c r="H27" s="542" t="str">
        <f aca="false">IF($Y27="","","USD")</f>
        <v/>
      </c>
      <c r="I27" s="545" t="str">
        <f aca="false">IF($Y27="","",INDEX($S$6:$S$1005,$Y27))</f>
        <v/>
      </c>
      <c r="J27" s="546" t="str">
        <f aca="false">IF($Y27="","",INDEX($T$6:$T$1005,$Y27))</f>
        <v/>
      </c>
      <c r="K27" s="546" t="str">
        <f aca="false">IF($Y27="","",INDEX($U$6:$U$1005,$Y27))</f>
        <v/>
      </c>
      <c r="L27" s="542" t="str">
        <f aca="false">IF($Y27="","",IF(INDEX($S$6:$S$1005,$Y27)&gt;=10,"★ 10백만불↑",""))</f>
        <v/>
      </c>
      <c r="M27" s="531"/>
      <c r="N27" s="547" t="n">
        <f aca="false">IF('(1)예금승인내역'!H653="","",'(1)예금승인내역'!H653)</f>
        <v>45377</v>
      </c>
      <c r="O27" s="547" t="n">
        <f aca="false">IF('(1)예금승인내역'!G653="","",'(1)예금승인내역'!G653)</f>
        <v>45348</v>
      </c>
      <c r="P27" s="531" t="str">
        <f aca="false">IF('(1)예금승인내역'!F653="","",'(1)예금승인내역'!F653)</f>
        <v>㈜와이투솔루션</v>
      </c>
      <c r="Q27" s="531" t="str">
        <f aca="false">IF('(1)예금승인내역'!C653="","",'(1)예금승인내역'!C653)</f>
        <v>화성금융센터</v>
      </c>
      <c r="R27" s="531" t="str">
        <f aca="false">IF('(1)예금승인내역'!K653="","",'(1)예금승인내역'!K653)</f>
        <v>정기예금</v>
      </c>
      <c r="S27" s="548" t="n">
        <f aca="false">IF('(1)예금승인내역'!L653="","",'(1)예금승인내역'!L653)</f>
        <v>1</v>
      </c>
      <c r="T27" s="549" t="n">
        <f aca="false">IF('(1)예금승인내역'!AG653="","",'(1)예금승인내역'!AG653)</f>
        <v>0.052</v>
      </c>
      <c r="U27" s="549" t="n">
        <f aca="false">IF('(1)예금승인내역'!X653="","",'(1)예금승인내역'!X653)</f>
        <v>0.00224</v>
      </c>
      <c r="V27" s="531" t="n">
        <f aca="false">IF(ISNUMBER(N27),N27-$B$2,"")</f>
        <v>-812</v>
      </c>
      <c r="W27" s="531" t="str">
        <f aca="false">IF(AND(ISNUMBER(N27),N27&gt;=$B$2,N27&lt;=$B$2+10),N27*100000+ROW(),"")</f>
        <v/>
      </c>
      <c r="X27" s="531" t="str">
        <f aca="false">IFERROR(SMALL($W$6:$W$1005,22),"")</f>
        <v/>
      </c>
      <c r="Y27" s="531" t="str">
        <f aca="false">IF(X27="","",MATCH(X27,$W$6:$W$1005,0))</f>
        <v/>
      </c>
      <c r="Z27" s="531"/>
      <c r="AA27" s="531"/>
      <c r="AB27" s="531"/>
      <c r="AC27" s="531"/>
      <c r="AD27" s="531"/>
      <c r="AE27" s="531"/>
      <c r="AF27" s="531"/>
      <c r="AG27" s="531"/>
      <c r="AH27" s="531"/>
      <c r="AI27" s="531"/>
      <c r="AJ27" s="531"/>
      <c r="AK27" s="531"/>
      <c r="AL27" s="531"/>
      <c r="AM27" s="531"/>
      <c r="AN27" s="531"/>
    </row>
    <row r="28" customFormat="false" ht="16.5" hidden="true" customHeight="true" outlineLevel="0" collapsed="false">
      <c r="A28" s="542" t="str">
        <f aca="false">IF($Y28="","",IF(INDEX($N$6:$N$1005,$Y28)=$B$2,"오늘","+"&amp;(INDEX($N$6:$N$1005,$Y28)-$B$2)&amp;"일"))</f>
        <v/>
      </c>
      <c r="B28" s="543" t="str">
        <f aca="false">IF($Y28="","",INDEX($N$6:$N$1005,$Y28))</f>
        <v/>
      </c>
      <c r="C28" s="542" t="str">
        <f aca="false">IF($Y28="","",CHOOSE(WEEKDAY(INDEX($N$6:$N$1005,$Y28)),"일","월","화","수","목","금","토"))</f>
        <v/>
      </c>
      <c r="D28" s="543" t="str">
        <f aca="false">IF($Y28="","",INDEX($O$6:$O$1005,$Y28))</f>
        <v/>
      </c>
      <c r="E28" s="544" t="str">
        <f aca="false">IF($Y28="","",INDEX($P$6:$P$1005,$Y28))</f>
        <v/>
      </c>
      <c r="F28" s="544" t="str">
        <f aca="false">IF($Y28="","",INDEX($Q$6:$Q$1005,$Y28))</f>
        <v/>
      </c>
      <c r="G28" s="542" t="str">
        <f aca="false">IF($Y28="","",INDEX($R$6:$R$1005,$Y28))</f>
        <v/>
      </c>
      <c r="H28" s="542" t="str">
        <f aca="false">IF($Y28="","","USD")</f>
        <v/>
      </c>
      <c r="I28" s="545" t="str">
        <f aca="false">IF($Y28="","",INDEX($S$6:$S$1005,$Y28))</f>
        <v/>
      </c>
      <c r="J28" s="546" t="str">
        <f aca="false">IF($Y28="","",INDEX($T$6:$T$1005,$Y28))</f>
        <v/>
      </c>
      <c r="K28" s="546" t="str">
        <f aca="false">IF($Y28="","",INDEX($U$6:$U$1005,$Y28))</f>
        <v/>
      </c>
      <c r="L28" s="542" t="str">
        <f aca="false">IF($Y28="","",IF(INDEX($S$6:$S$1005,$Y28)&gt;=10,"★ 10백만불↑",""))</f>
        <v/>
      </c>
      <c r="M28" s="531"/>
      <c r="N28" s="547" t="n">
        <f aca="false">IF('(1)예금승인내역'!H654="","",'(1)예금승인내역'!H654)</f>
        <v>45387</v>
      </c>
      <c r="O28" s="547" t="n">
        <f aca="false">IF('(1)예금승인내역'!G654="","",'(1)예금승인내역'!G654)</f>
        <v>45356</v>
      </c>
      <c r="P28" s="531" t="str">
        <f aca="false">IF('(1)예금승인내역'!F654="","",'(1)예금승인내역'!F654)</f>
        <v>한국비철㈜</v>
      </c>
      <c r="Q28" s="531" t="str">
        <f aca="false">IF('(1)예금승인내역'!C654="","",'(1)예금승인내역'!C654)</f>
        <v>달성공단영업부</v>
      </c>
      <c r="R28" s="531" t="str">
        <f aca="false">IF('(1)예금승인내역'!K654="","",'(1)예금승인내역'!K654)</f>
        <v>정기예금</v>
      </c>
      <c r="S28" s="548" t="n">
        <f aca="false">IF('(1)예금승인내역'!L654="","",'(1)예금승인내역'!L654)</f>
        <v>7</v>
      </c>
      <c r="T28" s="549" t="n">
        <f aca="false">IF('(1)예금승인내역'!AG654="","",'(1)예금승인내역'!AG654)</f>
        <v>0.052</v>
      </c>
      <c r="U28" s="549" t="n">
        <f aca="false">IF('(1)예금승인내역'!X654="","",'(1)예금승인내역'!X654)</f>
        <v>0.002376</v>
      </c>
      <c r="V28" s="531" t="n">
        <f aca="false">IF(ISNUMBER(N28),N28-$B$2,"")</f>
        <v>-802</v>
      </c>
      <c r="W28" s="531" t="str">
        <f aca="false">IF(AND(ISNUMBER(N28),N28&gt;=$B$2,N28&lt;=$B$2+10),N28*100000+ROW(),"")</f>
        <v/>
      </c>
      <c r="X28" s="531" t="str">
        <f aca="false">IFERROR(SMALL($W$6:$W$1005,23),"")</f>
        <v/>
      </c>
      <c r="Y28" s="531" t="str">
        <f aca="false">IF(X28="","",MATCH(X28,$W$6:$W$1005,0))</f>
        <v/>
      </c>
      <c r="Z28" s="531"/>
      <c r="AA28" s="531"/>
      <c r="AB28" s="531"/>
      <c r="AC28" s="531"/>
      <c r="AD28" s="531"/>
      <c r="AE28" s="531"/>
      <c r="AF28" s="531"/>
      <c r="AG28" s="531"/>
      <c r="AH28" s="531"/>
      <c r="AI28" s="531"/>
      <c r="AJ28" s="531"/>
      <c r="AK28" s="531"/>
      <c r="AL28" s="531"/>
      <c r="AM28" s="531"/>
      <c r="AN28" s="531"/>
    </row>
    <row r="29" customFormat="false" ht="16.5" hidden="true" customHeight="true" outlineLevel="0" collapsed="false">
      <c r="A29" s="542" t="str">
        <f aca="false">IF($Y29="","",IF(INDEX($N$6:$N$1005,$Y29)=$B$2,"오늘","+"&amp;(INDEX($N$6:$N$1005,$Y29)-$B$2)&amp;"일"))</f>
        <v/>
      </c>
      <c r="B29" s="543" t="str">
        <f aca="false">IF($Y29="","",INDEX($N$6:$N$1005,$Y29))</f>
        <v/>
      </c>
      <c r="C29" s="542" t="str">
        <f aca="false">IF($Y29="","",CHOOSE(WEEKDAY(INDEX($N$6:$N$1005,$Y29)),"일","월","화","수","목","금","토"))</f>
        <v/>
      </c>
      <c r="D29" s="543" t="str">
        <f aca="false">IF($Y29="","",INDEX($O$6:$O$1005,$Y29))</f>
        <v/>
      </c>
      <c r="E29" s="544" t="str">
        <f aca="false">IF($Y29="","",INDEX($P$6:$P$1005,$Y29))</f>
        <v/>
      </c>
      <c r="F29" s="544" t="str">
        <f aca="false">IF($Y29="","",INDEX($Q$6:$Q$1005,$Y29))</f>
        <v/>
      </c>
      <c r="G29" s="542" t="str">
        <f aca="false">IF($Y29="","",INDEX($R$6:$R$1005,$Y29))</f>
        <v/>
      </c>
      <c r="H29" s="542" t="str">
        <f aca="false">IF($Y29="","","USD")</f>
        <v/>
      </c>
      <c r="I29" s="545" t="str">
        <f aca="false">IF($Y29="","",INDEX($S$6:$S$1005,$Y29))</f>
        <v/>
      </c>
      <c r="J29" s="546" t="str">
        <f aca="false">IF($Y29="","",INDEX($T$6:$T$1005,$Y29))</f>
        <v/>
      </c>
      <c r="K29" s="546" t="str">
        <f aca="false">IF($Y29="","",INDEX($U$6:$U$1005,$Y29))</f>
        <v/>
      </c>
      <c r="L29" s="542" t="str">
        <f aca="false">IF($Y29="","",IF(INDEX($S$6:$S$1005,$Y29)&gt;=10,"★ 10백만불↑",""))</f>
        <v/>
      </c>
      <c r="M29" s="531"/>
      <c r="N29" s="547" t="n">
        <f aca="false">IF('(1)예금승인내역'!H655="","",'(1)예금승인내역'!H655)</f>
        <v>45387</v>
      </c>
      <c r="O29" s="547" t="n">
        <f aca="false">IF('(1)예금승인내역'!G655="","",'(1)예금승인내역'!G655)</f>
        <v>45356</v>
      </c>
      <c r="P29" s="531" t="str">
        <f aca="false">IF('(1)예금승인내역'!F655="","",'(1)예금승인내역'!F655)</f>
        <v>한국비철㈜</v>
      </c>
      <c r="Q29" s="531" t="str">
        <f aca="false">IF('(1)예금승인내역'!C655="","",'(1)예금승인내역'!C655)</f>
        <v>달성공단영업부</v>
      </c>
      <c r="R29" s="531" t="str">
        <f aca="false">IF('(1)예금승인내역'!K655="","",'(1)예금승인내역'!K655)</f>
        <v>정기예금</v>
      </c>
      <c r="S29" s="548" t="n">
        <f aca="false">IF('(1)예금승인내역'!L655="","",'(1)예금승인내역'!L655)</f>
        <v>1</v>
      </c>
      <c r="T29" s="549" t="n">
        <f aca="false">IF('(1)예금승인내역'!AG655="","",'(1)예금승인내역'!AG655)</f>
        <v>0.052</v>
      </c>
      <c r="U29" s="549" t="n">
        <f aca="false">IF('(1)예금승인내역'!X655="","",'(1)예금승인내역'!X655)</f>
        <v>0.002376</v>
      </c>
      <c r="V29" s="531" t="n">
        <f aca="false">IF(ISNUMBER(N29),N29-$B$2,"")</f>
        <v>-802</v>
      </c>
      <c r="W29" s="531" t="str">
        <f aca="false">IF(AND(ISNUMBER(N29),N29&gt;=$B$2,N29&lt;=$B$2+10),N29*100000+ROW(),"")</f>
        <v/>
      </c>
      <c r="X29" s="531" t="str">
        <f aca="false">IFERROR(SMALL($W$6:$W$1005,24),"")</f>
        <v/>
      </c>
      <c r="Y29" s="531" t="str">
        <f aca="false">IF(X29="","",MATCH(X29,$W$6:$W$1005,0))</f>
        <v/>
      </c>
      <c r="Z29" s="531"/>
      <c r="AA29" s="531"/>
      <c r="AB29" s="531"/>
      <c r="AC29" s="531"/>
      <c r="AD29" s="531"/>
      <c r="AE29" s="531"/>
      <c r="AF29" s="531"/>
      <c r="AG29" s="531"/>
      <c r="AH29" s="531"/>
      <c r="AI29" s="531"/>
      <c r="AJ29" s="531"/>
      <c r="AK29" s="531"/>
      <c r="AL29" s="531"/>
      <c r="AM29" s="531"/>
      <c r="AN29" s="531"/>
    </row>
    <row r="30" customFormat="false" ht="16.5" hidden="true" customHeight="true" outlineLevel="0" collapsed="false">
      <c r="A30" s="542" t="str">
        <f aca="false">IF($Y30="","",IF(INDEX($N$6:$N$1005,$Y30)=$B$2,"오늘","+"&amp;(INDEX($N$6:$N$1005,$Y30)-$B$2)&amp;"일"))</f>
        <v/>
      </c>
      <c r="B30" s="543" t="str">
        <f aca="false">IF($Y30="","",INDEX($N$6:$N$1005,$Y30))</f>
        <v/>
      </c>
      <c r="C30" s="542" t="str">
        <f aca="false">IF($Y30="","",CHOOSE(WEEKDAY(INDEX($N$6:$N$1005,$Y30)),"일","월","화","수","목","금","토"))</f>
        <v/>
      </c>
      <c r="D30" s="543" t="str">
        <f aca="false">IF($Y30="","",INDEX($O$6:$O$1005,$Y30))</f>
        <v/>
      </c>
      <c r="E30" s="544" t="str">
        <f aca="false">IF($Y30="","",INDEX($P$6:$P$1005,$Y30))</f>
        <v/>
      </c>
      <c r="F30" s="544" t="str">
        <f aca="false">IF($Y30="","",INDEX($Q$6:$Q$1005,$Y30))</f>
        <v/>
      </c>
      <c r="G30" s="542" t="str">
        <f aca="false">IF($Y30="","",INDEX($R$6:$R$1005,$Y30))</f>
        <v/>
      </c>
      <c r="H30" s="542" t="str">
        <f aca="false">IF($Y30="","","USD")</f>
        <v/>
      </c>
      <c r="I30" s="545" t="str">
        <f aca="false">IF($Y30="","",INDEX($S$6:$S$1005,$Y30))</f>
        <v/>
      </c>
      <c r="J30" s="546" t="str">
        <f aca="false">IF($Y30="","",INDEX($T$6:$T$1005,$Y30))</f>
        <v/>
      </c>
      <c r="K30" s="546" t="str">
        <f aca="false">IF($Y30="","",INDEX($U$6:$U$1005,$Y30))</f>
        <v/>
      </c>
      <c r="L30" s="542" t="str">
        <f aca="false">IF($Y30="","",IF(INDEX($S$6:$S$1005,$Y30)&gt;=10,"★ 10백만불↑",""))</f>
        <v/>
      </c>
      <c r="M30" s="531"/>
      <c r="N30" s="547" t="n">
        <f aca="false">IF('(1)예금승인내역'!H656="","",'(1)예금승인내역'!H656)</f>
        <v>45390</v>
      </c>
      <c r="O30" s="547" t="n">
        <f aca="false">IF('(1)예금승인내역'!G656="","",'(1)예금승인내역'!G656)</f>
        <v>45358</v>
      </c>
      <c r="P30" s="531" t="str">
        <f aca="false">IF('(1)예금승인내역'!F656="","",'(1)예금승인내역'!F656)</f>
        <v>㈜성우하이텍</v>
      </c>
      <c r="Q30" s="531" t="str">
        <f aca="false">IF('(1)예금승인내역'!C656="","",'(1)예금승인내역'!C656)</f>
        <v>서울영업부</v>
      </c>
      <c r="R30" s="531" t="str">
        <f aca="false">IF('(1)예금승인내역'!K656="","",'(1)예금승인내역'!K656)</f>
        <v>MMDA</v>
      </c>
      <c r="S30" s="548" t="n">
        <f aca="false">IF('(1)예금승인내역'!L656="","",'(1)예금승인내역'!L656)</f>
        <v>6.44</v>
      </c>
      <c r="T30" s="549" t="n">
        <f aca="false">IF('(1)예금승인내역'!AG656="","",'(1)예금승인내역'!AG656)</f>
        <v>0.0435</v>
      </c>
      <c r="U30" s="549" t="n">
        <f aca="false">IF('(1)예금승인내역'!X656="","",'(1)예금승인내역'!X656)</f>
        <v>0.008721</v>
      </c>
      <c r="V30" s="531" t="n">
        <f aca="false">IF(ISNUMBER(N30),N30-$B$2,"")</f>
        <v>-799</v>
      </c>
      <c r="W30" s="531" t="str">
        <f aca="false">IF(AND(ISNUMBER(N30),N30&gt;=$B$2,N30&lt;=$B$2+10),N30*100000+ROW(),"")</f>
        <v/>
      </c>
      <c r="X30" s="531" t="str">
        <f aca="false">IFERROR(SMALL($W$6:$W$1005,25),"")</f>
        <v/>
      </c>
      <c r="Y30" s="531" t="str">
        <f aca="false">IF(X30="","",MATCH(X30,$W$6:$W$1005,0))</f>
        <v/>
      </c>
      <c r="Z30" s="531"/>
      <c r="AA30" s="531"/>
      <c r="AB30" s="531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</row>
    <row r="31" customFormat="false" ht="17.25" hidden="true" customHeight="true" outlineLevel="0" collapsed="false">
      <c r="A31" s="542" t="str">
        <f aca="false">IF($Y31="","",IF(INDEX($N$6:$N$1005,$Y31)=$B$2,"오늘","+"&amp;(INDEX($N$6:$N$1005,$Y31)-$B$2)&amp;"일"))</f>
        <v/>
      </c>
      <c r="B31" s="543" t="str">
        <f aca="false">IF($Y31="","",INDEX($N$6:$N$1005,$Y31))</f>
        <v/>
      </c>
      <c r="C31" s="542" t="str">
        <f aca="false">IF($Y31="","",CHOOSE(WEEKDAY(INDEX($N$6:$N$1005,$Y31)),"일","월","화","수","목","금","토"))</f>
        <v/>
      </c>
      <c r="D31" s="543" t="str">
        <f aca="false">IF($Y31="","",INDEX($O$6:$O$1005,$Y31))</f>
        <v/>
      </c>
      <c r="E31" s="544" t="str">
        <f aca="false">IF($Y31="","",INDEX($P$6:$P$1005,$Y31))</f>
        <v/>
      </c>
      <c r="F31" s="544" t="str">
        <f aca="false">IF($Y31="","",INDEX($Q$6:$Q$1005,$Y31))</f>
        <v/>
      </c>
      <c r="G31" s="542" t="str">
        <f aca="false">IF($Y31="","",INDEX($R$6:$R$1005,$Y31))</f>
        <v/>
      </c>
      <c r="H31" s="542" t="str">
        <f aca="false">IF($Y31="","","USD")</f>
        <v/>
      </c>
      <c r="I31" s="545" t="str">
        <f aca="false">IF($Y31="","",INDEX($S$6:$S$1005,$Y31))</f>
        <v/>
      </c>
      <c r="J31" s="546" t="str">
        <f aca="false">IF($Y31="","",INDEX($T$6:$T$1005,$Y31))</f>
        <v/>
      </c>
      <c r="K31" s="546" t="str">
        <f aca="false">IF($Y31="","",INDEX($U$6:$U$1005,$Y31))</f>
        <v/>
      </c>
      <c r="L31" s="542" t="str">
        <f aca="false">IF($Y31="","",IF(INDEX($S$6:$S$1005,$Y31)&gt;=10,"★ 10백만불↑",""))</f>
        <v/>
      </c>
      <c r="M31" s="531"/>
      <c r="N31" s="547" t="n">
        <f aca="false">IF('(1)예금승인내역'!H657="","",'(1)예금승인내역'!H657)</f>
        <v>45456</v>
      </c>
      <c r="O31" s="547" t="n">
        <f aca="false">IF('(1)예금승인내역'!G657="","",'(1)예금승인내역'!G657)</f>
        <v>45364</v>
      </c>
      <c r="P31" s="531" t="str">
        <f aca="false">IF('(1)예금승인내역'!F657="","",'(1)예금승인내역'!F657)</f>
        <v>㈜노바인터내쇼널</v>
      </c>
      <c r="Q31" s="531" t="str">
        <f aca="false">IF('(1)예금승인내역'!C657="","",'(1)예금승인내역'!C657)</f>
        <v>사상공단영업부</v>
      </c>
      <c r="R31" s="531" t="str">
        <f aca="false">IF('(1)예금승인내역'!K657="","",'(1)예금승인내역'!K657)</f>
        <v>정기예금</v>
      </c>
      <c r="S31" s="548" t="n">
        <f aca="false">IF('(1)예금승인내역'!L657="","",'(1)예금승인내역'!L657)</f>
        <v>1.01</v>
      </c>
      <c r="T31" s="549" t="n">
        <f aca="false">IF('(1)예금승인내역'!AG657="","",'(1)예금승인내역'!AG657)</f>
        <v>0.053</v>
      </c>
      <c r="U31" s="549" t="n">
        <f aca="false">IF('(1)예금승인내역'!X657="","",'(1)예금승인내역'!X657)</f>
        <v>0.002752</v>
      </c>
      <c r="V31" s="531" t="n">
        <f aca="false">IF(ISNUMBER(N31),N31-$B$2,"")</f>
        <v>-733</v>
      </c>
      <c r="W31" s="531" t="str">
        <f aca="false">IF(AND(ISNUMBER(N31),N31&gt;=$B$2,N31&lt;=$B$2+10),N31*100000+ROW(),"")</f>
        <v/>
      </c>
      <c r="X31" s="531" t="str">
        <f aca="false">IFERROR(SMALL($W$6:$W$1005,26),"")</f>
        <v/>
      </c>
      <c r="Y31" s="531" t="str">
        <f aca="false">IF(X31="","",MATCH(X31,$W$6:$W$1005,0))</f>
        <v/>
      </c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</row>
    <row r="32" customFormat="false" ht="16.5" hidden="false" customHeight="true" outlineLevel="0" collapsed="false">
      <c r="A32" s="542" t="str">
        <f aca="false">IF($Y32="","",IF(INDEX($N$6:$N$1005,$Y32)=$B$2,"오늘","+"&amp;(INDEX($N$6:$N$1005,$Y32)-$B$2)&amp;"일"))</f>
        <v/>
      </c>
      <c r="B32" s="543" t="str">
        <f aca="false">IF($Y32="","",INDEX($N$6:$N$1005,$Y32))</f>
        <v/>
      </c>
      <c r="C32" s="542" t="str">
        <f aca="false">IF($Y32="","",CHOOSE(WEEKDAY(INDEX($N$6:$N$1005,$Y32)),"일","월","화","수","목","금","토"))</f>
        <v/>
      </c>
      <c r="D32" s="543" t="str">
        <f aca="false">IF($Y32="","",INDEX($O$6:$O$1005,$Y32))</f>
        <v/>
      </c>
      <c r="E32" s="544" t="str">
        <f aca="false">IF($Y32="","",INDEX($P$6:$P$1005,$Y32))</f>
        <v/>
      </c>
      <c r="F32" s="544" t="str">
        <f aca="false">IF($Y32="","",INDEX($Q$6:$Q$1005,$Y32))</f>
        <v/>
      </c>
      <c r="G32" s="542" t="str">
        <f aca="false">IF($Y32="","",INDEX($R$6:$R$1005,$Y32))</f>
        <v/>
      </c>
      <c r="H32" s="542" t="str">
        <f aca="false">IF($Y32="","","USD")</f>
        <v/>
      </c>
      <c r="I32" s="545" t="str">
        <f aca="false">IF($Y32="","",INDEX($S$6:$S$1005,$Y32))</f>
        <v/>
      </c>
      <c r="J32" s="546" t="str">
        <f aca="false">IF($Y32="","",INDEX($T$6:$T$1005,$Y32))</f>
        <v/>
      </c>
      <c r="K32" s="546" t="str">
        <f aca="false">IF($Y32="","",INDEX($U$6:$U$1005,$Y32))</f>
        <v/>
      </c>
      <c r="L32" s="542" t="str">
        <f aca="false">IF($Y32="","",IF(INDEX($S$6:$S$1005,$Y32)&gt;=10,"★ 10백만불↑",""))</f>
        <v/>
      </c>
      <c r="M32" s="531"/>
      <c r="N32" s="547" t="n">
        <f aca="false">IF('(1)예금승인내역'!H658="","",'(1)예금승인내역'!H658)</f>
        <v>45397</v>
      </c>
      <c r="O32" s="547" t="n">
        <f aca="false">IF('(1)예금승인내역'!G658="","",'(1)예금승인내역'!G658)</f>
        <v>45365</v>
      </c>
      <c r="P32" s="531" t="str">
        <f aca="false">IF('(1)예금승인내역'!F658="","",'(1)예금승인내역'!F658)</f>
        <v>두손산업㈜</v>
      </c>
      <c r="Q32" s="531" t="str">
        <f aca="false">IF('(1)예금승인내역'!C658="","",'(1)예금승인내역'!C658)</f>
        <v>화성금융센터</v>
      </c>
      <c r="R32" s="531" t="str">
        <f aca="false">IF('(1)예금승인내역'!K658="","",'(1)예금승인내역'!K658)</f>
        <v>MMDA</v>
      </c>
      <c r="S32" s="548" t="n">
        <f aca="false">IF('(1)예금승인내역'!L658="","",'(1)예금승인내역'!L658)</f>
        <v>1</v>
      </c>
      <c r="T32" s="549" t="n">
        <f aca="false">IF('(1)예금승인내역'!AG658="","",'(1)예금승인내역'!AG658)</f>
        <v>0.0433</v>
      </c>
      <c r="U32" s="549" t="n">
        <f aca="false">IF('(1)예금승인내역'!X658="","",'(1)예금승인내역'!X658)</f>
        <v>0.008959</v>
      </c>
      <c r="V32" s="531" t="n">
        <f aca="false">IF(ISNUMBER(N32),N32-$B$2,"")</f>
        <v>-792</v>
      </c>
      <c r="W32" s="531" t="str">
        <f aca="false">IF(AND(ISNUMBER(N32),N32&gt;=$B$2,N32&lt;=$B$2+10),N32*100000+ROW(),"")</f>
        <v/>
      </c>
      <c r="X32" s="531" t="str">
        <f aca="false">IFERROR(SMALL($W$6:$W$1005,27),"")</f>
        <v/>
      </c>
      <c r="Y32" s="531" t="str">
        <f aca="false">IF(X32="","",MATCH(X32,$W$6:$W$1005,0))</f>
        <v/>
      </c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</row>
    <row r="33" s="550" customFormat="true" ht="17.25" hidden="false" customHeight="true" outlineLevel="0" collapsed="false">
      <c r="A33" s="542" t="str">
        <f aca="false">IF($Y33="","",IF(INDEX($N$6:$N$1005,$Y33)=$B$2,"오늘","+"&amp;(INDEX($N$6:$N$1005,$Y33)-$B$2)&amp;"일"))</f>
        <v/>
      </c>
      <c r="B33" s="543" t="str">
        <f aca="false">IF($Y33="","",INDEX($N$6:$N$1005,$Y33))</f>
        <v/>
      </c>
      <c r="C33" s="542" t="str">
        <f aca="false">IF($Y33="","",CHOOSE(WEEKDAY(INDEX($N$6:$N$1005,$Y33)),"일","월","화","수","목","금","토"))</f>
        <v/>
      </c>
      <c r="D33" s="543" t="str">
        <f aca="false">IF($Y33="","",INDEX($O$6:$O$1005,$Y33))</f>
        <v/>
      </c>
      <c r="E33" s="544" t="str">
        <f aca="false">IF($Y33="","",INDEX($P$6:$P$1005,$Y33))</f>
        <v/>
      </c>
      <c r="F33" s="544" t="str">
        <f aca="false">IF($Y33="","",INDEX($Q$6:$Q$1005,$Y33))</f>
        <v/>
      </c>
      <c r="G33" s="542" t="str">
        <f aca="false">IF($Y33="","",INDEX($R$6:$R$1005,$Y33))</f>
        <v/>
      </c>
      <c r="H33" s="542" t="str">
        <f aca="false">IF($Y33="","","USD")</f>
        <v/>
      </c>
      <c r="I33" s="545" t="str">
        <f aca="false">IF($Y33="","",INDEX($S$6:$S$1005,$Y33))</f>
        <v/>
      </c>
      <c r="J33" s="546" t="str">
        <f aca="false">IF($Y33="","",INDEX($T$6:$T$1005,$Y33))</f>
        <v/>
      </c>
      <c r="K33" s="546" t="str">
        <f aca="false">IF($Y33="","",INDEX($U$6:$U$1005,$Y33))</f>
        <v/>
      </c>
      <c r="L33" s="542" t="str">
        <f aca="false">IF($Y33="","",IF(INDEX($S$6:$S$1005,$Y33)&gt;=10,"★ 10백만불↑",""))</f>
        <v/>
      </c>
      <c r="M33" s="531"/>
      <c r="N33" s="547" t="n">
        <f aca="false">IF('(1)예금승인내역'!H659="","",'(1)예금승인내역'!H659)</f>
        <v>45397</v>
      </c>
      <c r="O33" s="547" t="n">
        <f aca="false">IF('(1)예금승인내역'!G659="","",'(1)예금승인내역'!G659)</f>
        <v>45366</v>
      </c>
      <c r="P33" s="531" t="str">
        <f aca="false">IF('(1)예금승인내역'!F659="","",'(1)예금승인내역'!F659)</f>
        <v>오스템임플란트㈜</v>
      </c>
      <c r="Q33" s="531" t="str">
        <f aca="false">IF('(1)예금승인내역'!C659="","",'(1)예금승인내역'!C659)</f>
        <v>성남금융센터</v>
      </c>
      <c r="R33" s="531" t="str">
        <f aca="false">IF('(1)예금승인내역'!K659="","",'(1)예금승인내역'!K659)</f>
        <v>MMDA</v>
      </c>
      <c r="S33" s="548" t="n">
        <f aca="false">IF('(1)예금승인내역'!L659="","",'(1)예금승인내역'!L659)</f>
        <v>2</v>
      </c>
      <c r="T33" s="549" t="n">
        <f aca="false">IF('(1)예금승인내역'!AG659="","",'(1)예금승인내역'!AG659)</f>
        <v>0.0435</v>
      </c>
      <c r="U33" s="549" t="n">
        <f aca="false">IF('(1)예금승인내역'!X659="","",'(1)예금승인내역'!X659)</f>
        <v>0.008755</v>
      </c>
      <c r="V33" s="531" t="n">
        <f aca="false">IF(ISNUMBER(N33),N33-$B$2,"")</f>
        <v>-792</v>
      </c>
      <c r="W33" s="531" t="str">
        <f aca="false">IF(AND(ISNUMBER(N33),N33&gt;=$B$2,N33&lt;=$B$2+10),N33*100000+ROW(),"")</f>
        <v/>
      </c>
      <c r="X33" s="531" t="str">
        <f aca="false">IFERROR(SMALL($W$6:$W$1005,28),"")</f>
        <v/>
      </c>
      <c r="Y33" s="531" t="str">
        <f aca="false">IF(X33="","",MATCH(X33,$W$6:$W$1005,0))</f>
        <v/>
      </c>
      <c r="Z33" s="531"/>
      <c r="AA33" s="531"/>
      <c r="AB33" s="531"/>
      <c r="AC33" s="531"/>
      <c r="AD33" s="531"/>
      <c r="AE33" s="531"/>
      <c r="AF33" s="531"/>
      <c r="AG33" s="531"/>
      <c r="AH33" s="531"/>
      <c r="AI33" s="531"/>
      <c r="AJ33" s="531"/>
      <c r="AK33" s="531"/>
      <c r="AL33" s="531"/>
      <c r="AM33" s="531"/>
      <c r="AN33" s="531"/>
    </row>
    <row r="34" s="551" customFormat="true" ht="17.25" hidden="false" customHeight="true" outlineLevel="0" collapsed="false">
      <c r="A34" s="542" t="str">
        <f aca="false">IF($Y34="","",IF(INDEX($N$6:$N$1005,$Y34)=$B$2,"오늘","+"&amp;(INDEX($N$6:$N$1005,$Y34)-$B$2)&amp;"일"))</f>
        <v/>
      </c>
      <c r="B34" s="543" t="str">
        <f aca="false">IF($Y34="","",INDEX($N$6:$N$1005,$Y34))</f>
        <v/>
      </c>
      <c r="C34" s="542" t="str">
        <f aca="false">IF($Y34="","",CHOOSE(WEEKDAY(INDEX($N$6:$N$1005,$Y34)),"일","월","화","수","목","금","토"))</f>
        <v/>
      </c>
      <c r="D34" s="543" t="str">
        <f aca="false">IF($Y34="","",INDEX($O$6:$O$1005,$Y34))</f>
        <v/>
      </c>
      <c r="E34" s="544" t="str">
        <f aca="false">IF($Y34="","",INDEX($P$6:$P$1005,$Y34))</f>
        <v/>
      </c>
      <c r="F34" s="544" t="str">
        <f aca="false">IF($Y34="","",INDEX($Q$6:$Q$1005,$Y34))</f>
        <v/>
      </c>
      <c r="G34" s="542" t="str">
        <f aca="false">IF($Y34="","",INDEX($R$6:$R$1005,$Y34))</f>
        <v/>
      </c>
      <c r="H34" s="542" t="str">
        <f aca="false">IF($Y34="","","USD")</f>
        <v/>
      </c>
      <c r="I34" s="545" t="str">
        <f aca="false">IF($Y34="","",INDEX($S$6:$S$1005,$Y34))</f>
        <v/>
      </c>
      <c r="J34" s="546" t="str">
        <f aca="false">IF($Y34="","",INDEX($T$6:$T$1005,$Y34))</f>
        <v/>
      </c>
      <c r="K34" s="546" t="str">
        <f aca="false">IF($Y34="","",INDEX($U$6:$U$1005,$Y34))</f>
        <v/>
      </c>
      <c r="L34" s="542" t="str">
        <f aca="false">IF($Y34="","",IF(INDEX($S$6:$S$1005,$Y34)&gt;=10,"★ 10백만불↑",""))</f>
        <v/>
      </c>
      <c r="M34" s="531"/>
      <c r="N34" s="547" t="n">
        <f aca="false">IF('(1)예금승인내역'!H660="","",'(1)예금승인내역'!H660)</f>
        <v>45384</v>
      </c>
      <c r="O34" s="547" t="n">
        <f aca="false">IF('(1)예금승인내역'!G660="","",'(1)예금승인내역'!G660)</f>
        <v>45370</v>
      </c>
      <c r="P34" s="531" t="str">
        <f aca="false">IF('(1)예금승인내역'!F660="","",'(1)예금승인내역'!F660)</f>
        <v>한국석유공사</v>
      </c>
      <c r="Q34" s="531" t="str">
        <f aca="false">IF('(1)예금승인내역'!C660="","",'(1)예금승인내역'!C660)</f>
        <v>울산영업부</v>
      </c>
      <c r="R34" s="531" t="str">
        <f aca="false">IF('(1)예금승인내역'!K660="","",'(1)예금승인내역'!K660)</f>
        <v>정기예금</v>
      </c>
      <c r="S34" s="548" t="n">
        <f aca="false">IF('(1)예금승인내역'!L660="","",'(1)예금승인내역'!L660)</f>
        <v>10</v>
      </c>
      <c r="T34" s="549" t="n">
        <f aca="false">IF('(1)예금승인내역'!AG660="","",'(1)예금승인내역'!AG660)</f>
        <v>0.0523</v>
      </c>
      <c r="U34" s="549" t="n">
        <f aca="false">IF('(1)예금승인내역'!X660="","",'(1)예금승인내역'!X660)</f>
        <v>0.00091</v>
      </c>
      <c r="V34" s="531" t="n">
        <f aca="false">IF(ISNUMBER(N34),N34-$B$2,"")</f>
        <v>-805</v>
      </c>
      <c r="W34" s="531" t="str">
        <f aca="false">IF(AND(ISNUMBER(N34),N34&gt;=$B$2,N34&lt;=$B$2+10),N34*100000+ROW(),"")</f>
        <v/>
      </c>
      <c r="X34" s="531" t="str">
        <f aca="false">IFERROR(SMALL($W$6:$W$1005,29),"")</f>
        <v/>
      </c>
      <c r="Y34" s="531" t="str">
        <f aca="false">IF(X34="","",MATCH(X34,$W$6:$W$1005,0))</f>
        <v/>
      </c>
      <c r="Z34" s="531"/>
      <c r="AA34" s="531"/>
      <c r="AB34" s="531"/>
      <c r="AC34" s="531"/>
      <c r="AD34" s="531"/>
      <c r="AE34" s="531"/>
      <c r="AF34" s="531"/>
      <c r="AG34" s="531"/>
      <c r="AH34" s="531"/>
      <c r="AI34" s="531"/>
      <c r="AJ34" s="531"/>
      <c r="AK34" s="531"/>
      <c r="AL34" s="531"/>
      <c r="AM34" s="531"/>
      <c r="AN34" s="531"/>
    </row>
    <row r="35" s="551" customFormat="true" ht="17.25" hidden="false" customHeight="true" outlineLevel="0" collapsed="false">
      <c r="A35" s="542" t="str">
        <f aca="false">IF($Y35="","",IF(INDEX($N$6:$N$1005,$Y35)=$B$2,"오늘","+"&amp;(INDEX($N$6:$N$1005,$Y35)-$B$2)&amp;"일"))</f>
        <v/>
      </c>
      <c r="B35" s="543" t="str">
        <f aca="false">IF($Y35="","",INDEX($N$6:$N$1005,$Y35))</f>
        <v/>
      </c>
      <c r="C35" s="542" t="str">
        <f aca="false">IF($Y35="","",CHOOSE(WEEKDAY(INDEX($N$6:$N$1005,$Y35)),"일","월","화","수","목","금","토"))</f>
        <v/>
      </c>
      <c r="D35" s="543" t="str">
        <f aca="false">IF($Y35="","",INDEX($O$6:$O$1005,$Y35))</f>
        <v/>
      </c>
      <c r="E35" s="544" t="str">
        <f aca="false">IF($Y35="","",INDEX($P$6:$P$1005,$Y35))</f>
        <v/>
      </c>
      <c r="F35" s="544" t="str">
        <f aca="false">IF($Y35="","",INDEX($Q$6:$Q$1005,$Y35))</f>
        <v/>
      </c>
      <c r="G35" s="542" t="str">
        <f aca="false">IF($Y35="","",INDEX($R$6:$R$1005,$Y35))</f>
        <v/>
      </c>
      <c r="H35" s="542" t="str">
        <f aca="false">IF($Y35="","","USD")</f>
        <v/>
      </c>
      <c r="I35" s="545" t="str">
        <f aca="false">IF($Y35="","",INDEX($S$6:$S$1005,$Y35))</f>
        <v/>
      </c>
      <c r="J35" s="546" t="str">
        <f aca="false">IF($Y35="","",INDEX($T$6:$T$1005,$Y35))</f>
        <v/>
      </c>
      <c r="K35" s="546" t="str">
        <f aca="false">IF($Y35="","",INDEX($U$6:$U$1005,$Y35))</f>
        <v/>
      </c>
      <c r="L35" s="542" t="str">
        <f aca="false">IF($Y35="","",IF(INDEX($S$6:$S$1005,$Y35)&gt;=10,"★ 10백만불↑",""))</f>
        <v/>
      </c>
      <c r="M35" s="531"/>
      <c r="N35" s="547" t="n">
        <f aca="false">IF('(1)예금승인내역'!H661="","",'(1)예금승인내역'!H661)</f>
        <v>45408</v>
      </c>
      <c r="O35" s="547" t="n">
        <f aca="false">IF('(1)예금승인내역'!G661="","",'(1)예금승인내역'!G661)</f>
        <v>45377</v>
      </c>
      <c r="P35" s="531" t="str">
        <f aca="false">IF('(1)예금승인내역'!F661="","",'(1)예금승인내역'!F661)</f>
        <v>㈜와이투솔루션</v>
      </c>
      <c r="Q35" s="531" t="str">
        <f aca="false">IF('(1)예금승인내역'!C661="","",'(1)예금승인내역'!C661)</f>
        <v>화성금융센터</v>
      </c>
      <c r="R35" s="531" t="str">
        <f aca="false">IF('(1)예금승인내역'!K661="","",'(1)예금승인내역'!K661)</f>
        <v>정기예금</v>
      </c>
      <c r="S35" s="548" t="n">
        <f aca="false">IF('(1)예금승인내역'!L661="","",'(1)예금승인내역'!L661)</f>
        <v>8</v>
      </c>
      <c r="T35" s="549" t="n">
        <f aca="false">IF('(1)예금승인내역'!AG661="","",'(1)예금승인내역'!AG661)</f>
        <v>0.0523</v>
      </c>
      <c r="U35" s="549" t="n">
        <f aca="false">IF('(1)예금승인내역'!X661="","",'(1)예금승인내역'!X661)</f>
        <v>0.002134</v>
      </c>
      <c r="V35" s="531" t="n">
        <f aca="false">IF(ISNUMBER(N35),N35-$B$2,"")</f>
        <v>-781</v>
      </c>
      <c r="W35" s="531" t="str">
        <f aca="false">IF(AND(ISNUMBER(N35),N35&gt;=$B$2,N35&lt;=$B$2+10),N35*100000+ROW(),"")</f>
        <v/>
      </c>
      <c r="X35" s="531" t="str">
        <f aca="false">IFERROR(SMALL($W$6:$W$1005,30),"")</f>
        <v/>
      </c>
      <c r="Y35" s="531" t="str">
        <f aca="false">IF(X35="","",MATCH(X35,$W$6:$W$1005,0))</f>
        <v/>
      </c>
      <c r="Z35" s="531"/>
      <c r="AA35" s="531"/>
      <c r="AB35" s="531"/>
      <c r="AC35" s="531"/>
      <c r="AD35" s="531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</row>
    <row r="36" s="551" customFormat="true" ht="17.25" hidden="false" customHeight="true" outlineLevel="0" collapsed="false">
      <c r="A36" s="542" t="str">
        <f aca="false">IF($Y36="","",IF(INDEX($N$6:$N$1005,$Y36)=$B$2,"오늘","+"&amp;(INDEX($N$6:$N$1005,$Y36)-$B$2)&amp;"일"))</f>
        <v/>
      </c>
      <c r="B36" s="543" t="str">
        <f aca="false">IF($Y36="","",INDEX($N$6:$N$1005,$Y36))</f>
        <v/>
      </c>
      <c r="C36" s="542" t="str">
        <f aca="false">IF($Y36="","",CHOOSE(WEEKDAY(INDEX($N$6:$N$1005,$Y36)),"일","월","화","수","목","금","토"))</f>
        <v/>
      </c>
      <c r="D36" s="543" t="str">
        <f aca="false">IF($Y36="","",INDEX($O$6:$O$1005,$Y36))</f>
        <v/>
      </c>
      <c r="E36" s="544" t="str">
        <f aca="false">IF($Y36="","",INDEX($P$6:$P$1005,$Y36))</f>
        <v/>
      </c>
      <c r="F36" s="544" t="str">
        <f aca="false">IF($Y36="","",INDEX($Q$6:$Q$1005,$Y36))</f>
        <v/>
      </c>
      <c r="G36" s="542" t="str">
        <f aca="false">IF($Y36="","",INDEX($R$6:$R$1005,$Y36))</f>
        <v/>
      </c>
      <c r="H36" s="542" t="str">
        <f aca="false">IF($Y36="","","USD")</f>
        <v/>
      </c>
      <c r="I36" s="545" t="str">
        <f aca="false">IF($Y36="","",INDEX($S$6:$S$1005,$Y36))</f>
        <v/>
      </c>
      <c r="J36" s="546" t="str">
        <f aca="false">IF($Y36="","",INDEX($T$6:$T$1005,$Y36))</f>
        <v/>
      </c>
      <c r="K36" s="546" t="str">
        <f aca="false">IF($Y36="","",INDEX($U$6:$U$1005,$Y36))</f>
        <v/>
      </c>
      <c r="L36" s="542" t="str">
        <f aca="false">IF($Y36="","",IF(INDEX($S$6:$S$1005,$Y36)&gt;=10,"★ 10백만불↑",""))</f>
        <v/>
      </c>
      <c r="M36" s="531"/>
      <c r="N36" s="547" t="n">
        <f aca="false">IF('(1)예금승인내역'!H662="","",'(1)예금승인내역'!H662)</f>
        <v>45408</v>
      </c>
      <c r="O36" s="547" t="n">
        <f aca="false">IF('(1)예금승인내역'!G662="","",'(1)예금승인내역'!G662)</f>
        <v>45377</v>
      </c>
      <c r="P36" s="531" t="str">
        <f aca="false">IF('(1)예금승인내역'!F662="","",'(1)예금승인내역'!F662)</f>
        <v>㈜와이투솔루션</v>
      </c>
      <c r="Q36" s="531" t="str">
        <f aca="false">IF('(1)예금승인내역'!C662="","",'(1)예금승인내역'!C662)</f>
        <v>화성금융센터</v>
      </c>
      <c r="R36" s="531" t="str">
        <f aca="false">IF('(1)예금승인내역'!K662="","",'(1)예금승인내역'!K662)</f>
        <v>정기예금</v>
      </c>
      <c r="S36" s="548" t="n">
        <f aca="false">IF('(1)예금승인내역'!L662="","",'(1)예금승인내역'!L662)</f>
        <v>1</v>
      </c>
      <c r="T36" s="549" t="n">
        <f aca="false">IF('(1)예금승인내역'!AG662="","",'(1)예금승인내역'!AG662)</f>
        <v>0.0523</v>
      </c>
      <c r="U36" s="549" t="n">
        <f aca="false">IF('(1)예금승인내역'!X662="","",'(1)예금승인내역'!X662)</f>
        <v>0.002134</v>
      </c>
      <c r="V36" s="531" t="n">
        <f aca="false">IF(ISNUMBER(N36),N36-$B$2,"")</f>
        <v>-781</v>
      </c>
      <c r="W36" s="531" t="str">
        <f aca="false">IF(AND(ISNUMBER(N36),N36&gt;=$B$2,N36&lt;=$B$2+10),N36*100000+ROW(),"")</f>
        <v/>
      </c>
      <c r="X36" s="531" t="str">
        <f aca="false">IFERROR(SMALL($W$6:$W$1005,31),"")</f>
        <v/>
      </c>
      <c r="Y36" s="531" t="str">
        <f aca="false">IF(X36="","",MATCH(X36,$W$6:$W$1005,0))</f>
        <v/>
      </c>
      <c r="Z36" s="531"/>
      <c r="AA36" s="531"/>
      <c r="AB36" s="531"/>
      <c r="AC36" s="531"/>
      <c r="AD36" s="531"/>
      <c r="AE36" s="531"/>
      <c r="AF36" s="531"/>
      <c r="AG36" s="531"/>
      <c r="AH36" s="531"/>
      <c r="AI36" s="531"/>
      <c r="AJ36" s="531"/>
      <c r="AK36" s="531"/>
      <c r="AL36" s="531"/>
      <c r="AM36" s="531"/>
      <c r="AN36" s="531"/>
    </row>
    <row r="37" s="551" customFormat="true" ht="17.25" hidden="false" customHeight="true" outlineLevel="0" collapsed="false">
      <c r="A37" s="542" t="str">
        <f aca="false">IF($Y37="","",IF(INDEX($N$6:$N$1005,$Y37)=$B$2,"오늘","+"&amp;(INDEX($N$6:$N$1005,$Y37)-$B$2)&amp;"일"))</f>
        <v/>
      </c>
      <c r="B37" s="543" t="str">
        <f aca="false">IF($Y37="","",INDEX($N$6:$N$1005,$Y37))</f>
        <v/>
      </c>
      <c r="C37" s="542" t="str">
        <f aca="false">IF($Y37="","",CHOOSE(WEEKDAY(INDEX($N$6:$N$1005,$Y37)),"일","월","화","수","목","금","토"))</f>
        <v/>
      </c>
      <c r="D37" s="543" t="str">
        <f aca="false">IF($Y37="","",INDEX($O$6:$O$1005,$Y37))</f>
        <v/>
      </c>
      <c r="E37" s="544" t="str">
        <f aca="false">IF($Y37="","",INDEX($P$6:$P$1005,$Y37))</f>
        <v/>
      </c>
      <c r="F37" s="544" t="str">
        <f aca="false">IF($Y37="","",INDEX($Q$6:$Q$1005,$Y37))</f>
        <v/>
      </c>
      <c r="G37" s="542" t="str">
        <f aca="false">IF($Y37="","",INDEX($R$6:$R$1005,$Y37))</f>
        <v/>
      </c>
      <c r="H37" s="542" t="str">
        <f aca="false">IF($Y37="","","USD")</f>
        <v/>
      </c>
      <c r="I37" s="545" t="str">
        <f aca="false">IF($Y37="","",INDEX($S$6:$S$1005,$Y37))</f>
        <v/>
      </c>
      <c r="J37" s="546" t="str">
        <f aca="false">IF($Y37="","",INDEX($T$6:$T$1005,$Y37))</f>
        <v/>
      </c>
      <c r="K37" s="546" t="str">
        <f aca="false">IF($Y37="","",INDEX($U$6:$U$1005,$Y37))</f>
        <v/>
      </c>
      <c r="L37" s="542" t="str">
        <f aca="false">IF($Y37="","",IF(INDEX($S$6:$S$1005,$Y37)&gt;=10,"★ 10백만불↑",""))</f>
        <v/>
      </c>
      <c r="M37" s="531"/>
      <c r="N37" s="547" t="n">
        <f aca="false">IF('(1)예금승인내역'!H663="","",'(1)예금승인내역'!H663)</f>
        <v>45408</v>
      </c>
      <c r="O37" s="547" t="n">
        <f aca="false">IF('(1)예금승인내역'!G663="","",'(1)예금승인내역'!G663)</f>
        <v>45377</v>
      </c>
      <c r="P37" s="531" t="str">
        <f aca="false">IF('(1)예금승인내역'!F663="","",'(1)예금승인내역'!F663)</f>
        <v>㈜와이투솔루션</v>
      </c>
      <c r="Q37" s="531" t="str">
        <f aca="false">IF('(1)예금승인내역'!C663="","",'(1)예금승인내역'!C663)</f>
        <v>화성금융센터</v>
      </c>
      <c r="R37" s="531" t="str">
        <f aca="false">IF('(1)예금승인내역'!K663="","",'(1)예금승인내역'!K663)</f>
        <v>정기예금</v>
      </c>
      <c r="S37" s="548" t="n">
        <f aca="false">IF('(1)예금승인내역'!L663="","",'(1)예금승인내역'!L663)</f>
        <v>1</v>
      </c>
      <c r="T37" s="549" t="n">
        <f aca="false">IF('(1)예금승인내역'!AG663="","",'(1)예금승인내역'!AG663)</f>
        <v>0.0523</v>
      </c>
      <c r="U37" s="549" t="n">
        <f aca="false">IF('(1)예금승인내역'!X663="","",'(1)예금승인내역'!X663)</f>
        <v>0.002134</v>
      </c>
      <c r="V37" s="531" t="n">
        <f aca="false">IF(ISNUMBER(N37),N37-$B$2,"")</f>
        <v>-781</v>
      </c>
      <c r="W37" s="531" t="str">
        <f aca="false">IF(AND(ISNUMBER(N37),N37&gt;=$B$2,N37&lt;=$B$2+10),N37*100000+ROW(),"")</f>
        <v/>
      </c>
      <c r="X37" s="531" t="str">
        <f aca="false">IFERROR(SMALL($W$6:$W$1005,32),"")</f>
        <v/>
      </c>
      <c r="Y37" s="531" t="str">
        <f aca="false">IF(X37="","",MATCH(X37,$W$6:$W$1005,0))</f>
        <v/>
      </c>
      <c r="Z37" s="531"/>
      <c r="AA37" s="531"/>
      <c r="AB37" s="531"/>
      <c r="AC37" s="531"/>
      <c r="AD37" s="531"/>
      <c r="AE37" s="531"/>
      <c r="AF37" s="531"/>
      <c r="AG37" s="531"/>
      <c r="AH37" s="531"/>
      <c r="AI37" s="531"/>
      <c r="AJ37" s="531"/>
      <c r="AK37" s="531"/>
      <c r="AL37" s="531"/>
      <c r="AM37" s="531"/>
      <c r="AN37" s="531"/>
    </row>
    <row r="38" s="551" customFormat="true" ht="17.25" hidden="false" customHeight="true" outlineLevel="0" collapsed="false">
      <c r="A38" s="542" t="str">
        <f aca="false">IF($Y38="","",IF(INDEX($N$6:$N$1005,$Y38)=$B$2,"오늘","+"&amp;(INDEX($N$6:$N$1005,$Y38)-$B$2)&amp;"일"))</f>
        <v/>
      </c>
      <c r="B38" s="543" t="str">
        <f aca="false">IF($Y38="","",INDEX($N$6:$N$1005,$Y38))</f>
        <v/>
      </c>
      <c r="C38" s="542" t="str">
        <f aca="false">IF($Y38="","",CHOOSE(WEEKDAY(INDEX($N$6:$N$1005,$Y38)),"일","월","화","수","목","금","토"))</f>
        <v/>
      </c>
      <c r="D38" s="543" t="str">
        <f aca="false">IF($Y38="","",INDEX($O$6:$O$1005,$Y38))</f>
        <v/>
      </c>
      <c r="E38" s="544" t="str">
        <f aca="false">IF($Y38="","",INDEX($P$6:$P$1005,$Y38))</f>
        <v/>
      </c>
      <c r="F38" s="544" t="str">
        <f aca="false">IF($Y38="","",INDEX($Q$6:$Q$1005,$Y38))</f>
        <v/>
      </c>
      <c r="G38" s="542" t="str">
        <f aca="false">IF($Y38="","",INDEX($R$6:$R$1005,$Y38))</f>
        <v/>
      </c>
      <c r="H38" s="542" t="str">
        <f aca="false">IF($Y38="","","USD")</f>
        <v/>
      </c>
      <c r="I38" s="545" t="str">
        <f aca="false">IF($Y38="","",INDEX($S$6:$S$1005,$Y38))</f>
        <v/>
      </c>
      <c r="J38" s="546" t="str">
        <f aca="false">IF($Y38="","",INDEX($T$6:$T$1005,$Y38))</f>
        <v/>
      </c>
      <c r="K38" s="546" t="str">
        <f aca="false">IF($Y38="","",INDEX($U$6:$U$1005,$Y38))</f>
        <v/>
      </c>
      <c r="L38" s="542" t="str">
        <f aca="false">IF($Y38="","",IF(INDEX($S$6:$S$1005,$Y38)&gt;=10,"★ 10백만불↑",""))</f>
        <v/>
      </c>
      <c r="M38" s="531"/>
      <c r="N38" s="547" t="n">
        <f aca="false">IF('(1)예금승인내역'!H664="","",'(1)예금승인내역'!H664)</f>
        <v>45406</v>
      </c>
      <c r="O38" s="547" t="n">
        <f aca="false">IF('(1)예금승인내역'!G664="","",'(1)예금승인내역'!G664)</f>
        <v>45386</v>
      </c>
      <c r="P38" s="531" t="str">
        <f aca="false">IF('(1)예금승인내역'!F664="","",'(1)예금승인내역'!F664)</f>
        <v>한국석유공사</v>
      </c>
      <c r="Q38" s="531" t="str">
        <f aca="false">IF('(1)예금승인내역'!C664="","",'(1)예금승인내역'!C664)</f>
        <v>울산영업부</v>
      </c>
      <c r="R38" s="531" t="str">
        <f aca="false">IF('(1)예금승인내역'!K664="","",'(1)예금승인내역'!K664)</f>
        <v>정기예금</v>
      </c>
      <c r="S38" s="548" t="n">
        <f aca="false">IF('(1)예금승인내역'!L664="","",'(1)예금승인내역'!L664)</f>
        <v>100</v>
      </c>
      <c r="T38" s="549" t="n">
        <f aca="false">IF('(1)예금승인내역'!AG664="","",'(1)예금승인내역'!AG664)</f>
        <v>0.05</v>
      </c>
      <c r="U38" s="549" t="n">
        <f aca="false">IF('(1)예금승인내역'!X664="","",'(1)예금승인내역'!X664)</f>
        <v>0.003768</v>
      </c>
      <c r="V38" s="531" t="n">
        <f aca="false">IF(ISNUMBER(N38),N38-$B$2,"")</f>
        <v>-783</v>
      </c>
      <c r="W38" s="531" t="str">
        <f aca="false">IF(AND(ISNUMBER(N38),N38&gt;=$B$2,N38&lt;=$B$2+10),N38*100000+ROW(),"")</f>
        <v/>
      </c>
      <c r="X38" s="531" t="str">
        <f aca="false">IFERROR(SMALL($W$6:$W$1005,33),"")</f>
        <v/>
      </c>
      <c r="Y38" s="531" t="str">
        <f aca="false">IF(X38="","",MATCH(X38,$W$6:$W$1005,0))</f>
        <v/>
      </c>
      <c r="Z38" s="531"/>
      <c r="AA38" s="531"/>
      <c r="AB38" s="531"/>
      <c r="AC38" s="531"/>
      <c r="AD38" s="531"/>
      <c r="AE38" s="531"/>
      <c r="AF38" s="531"/>
      <c r="AG38" s="531"/>
      <c r="AH38" s="531"/>
      <c r="AI38" s="531"/>
      <c r="AJ38" s="531"/>
      <c r="AK38" s="531"/>
      <c r="AL38" s="531"/>
      <c r="AM38" s="531"/>
      <c r="AN38" s="531"/>
    </row>
    <row r="39" customFormat="false" ht="16.5" hidden="false" customHeight="true" outlineLevel="0" collapsed="false">
      <c r="A39" s="542" t="str">
        <f aca="false">IF($Y39="","",IF(INDEX($N$6:$N$1005,$Y39)=$B$2,"오늘","+"&amp;(INDEX($N$6:$N$1005,$Y39)-$B$2)&amp;"일"))</f>
        <v/>
      </c>
      <c r="B39" s="543" t="str">
        <f aca="false">IF($Y39="","",INDEX($N$6:$N$1005,$Y39))</f>
        <v/>
      </c>
      <c r="C39" s="542" t="str">
        <f aca="false">IF($Y39="","",CHOOSE(WEEKDAY(INDEX($N$6:$N$1005,$Y39)),"일","월","화","수","목","금","토"))</f>
        <v/>
      </c>
      <c r="D39" s="543" t="str">
        <f aca="false">IF($Y39="","",INDEX($O$6:$O$1005,$Y39))</f>
        <v/>
      </c>
      <c r="E39" s="544" t="str">
        <f aca="false">IF($Y39="","",INDEX($P$6:$P$1005,$Y39))</f>
        <v/>
      </c>
      <c r="F39" s="544" t="str">
        <f aca="false">IF($Y39="","",INDEX($Q$6:$Q$1005,$Y39))</f>
        <v/>
      </c>
      <c r="G39" s="542" t="str">
        <f aca="false">IF($Y39="","",INDEX($R$6:$R$1005,$Y39))</f>
        <v/>
      </c>
      <c r="H39" s="542" t="str">
        <f aca="false">IF($Y39="","","USD")</f>
        <v/>
      </c>
      <c r="I39" s="545" t="str">
        <f aca="false">IF($Y39="","",INDEX($S$6:$S$1005,$Y39))</f>
        <v/>
      </c>
      <c r="J39" s="546" t="str">
        <f aca="false">IF($Y39="","",INDEX($T$6:$T$1005,$Y39))</f>
        <v/>
      </c>
      <c r="K39" s="546" t="str">
        <f aca="false">IF($Y39="","",INDEX($U$6:$U$1005,$Y39))</f>
        <v/>
      </c>
      <c r="L39" s="542" t="str">
        <f aca="false">IF($Y39="","",IF(INDEX($S$6:$S$1005,$Y39)&gt;=10,"★ 10백만불↑",""))</f>
        <v/>
      </c>
      <c r="M39" s="531"/>
      <c r="N39" s="547" t="n">
        <f aca="false">IF('(1)예금승인내역'!H665="","",'(1)예금승인내역'!H665)</f>
        <v>45419</v>
      </c>
      <c r="O39" s="547" t="n">
        <f aca="false">IF('(1)예금승인내역'!G665="","",'(1)예금승인내역'!G665)</f>
        <v>45387</v>
      </c>
      <c r="P39" s="531" t="str">
        <f aca="false">IF('(1)예금승인내역'!F665="","",'(1)예금승인내역'!F665)</f>
        <v>한국비철㈜</v>
      </c>
      <c r="Q39" s="531" t="str">
        <f aca="false">IF('(1)예금승인내역'!C665="","",'(1)예금승인내역'!C665)</f>
        <v>달성공단영업부</v>
      </c>
      <c r="R39" s="531" t="str">
        <f aca="false">IF('(1)예금승인내역'!K665="","",'(1)예금승인내역'!K665)</f>
        <v>정기예금</v>
      </c>
      <c r="S39" s="548" t="n">
        <f aca="false">IF('(1)예금승인내역'!L665="","",'(1)예금승인내역'!L665)</f>
        <v>7</v>
      </c>
      <c r="T39" s="549" t="n">
        <f aca="false">IF('(1)예금승인내역'!AG665="","",'(1)예금승인내역'!AG665)</f>
        <v>0.052</v>
      </c>
      <c r="U39" s="549" t="n">
        <f aca="false">IF('(1)예금승인내역'!X665="","",'(1)예금승인내역'!X665)</f>
        <v>0.00172</v>
      </c>
      <c r="V39" s="531" t="n">
        <f aca="false">IF(ISNUMBER(N39),N39-$B$2,"")</f>
        <v>-770</v>
      </c>
      <c r="W39" s="531" t="str">
        <f aca="false">IF(AND(ISNUMBER(N39),N39&gt;=$B$2,N39&lt;=$B$2+10),N39*100000+ROW(),"")</f>
        <v/>
      </c>
      <c r="X39" s="531" t="str">
        <f aca="false">IFERROR(SMALL($W$6:$W$1005,34),"")</f>
        <v/>
      </c>
      <c r="Y39" s="531" t="str">
        <f aca="false">IF(X39="","",MATCH(X39,$W$6:$W$1005,0))</f>
        <v/>
      </c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</row>
    <row r="40" customFormat="false" ht="16.5" hidden="false" customHeight="true" outlineLevel="0" collapsed="false">
      <c r="A40" s="542" t="str">
        <f aca="false">IF($Y40="","",IF(INDEX($N$6:$N$1005,$Y40)=$B$2,"오늘","+"&amp;(INDEX($N$6:$N$1005,$Y40)-$B$2)&amp;"일"))</f>
        <v/>
      </c>
      <c r="B40" s="543" t="str">
        <f aca="false">IF($Y40="","",INDEX($N$6:$N$1005,$Y40))</f>
        <v/>
      </c>
      <c r="C40" s="542" t="str">
        <f aca="false">IF($Y40="","",CHOOSE(WEEKDAY(INDEX($N$6:$N$1005,$Y40)),"일","월","화","수","목","금","토"))</f>
        <v/>
      </c>
      <c r="D40" s="543" t="str">
        <f aca="false">IF($Y40="","",INDEX($O$6:$O$1005,$Y40))</f>
        <v/>
      </c>
      <c r="E40" s="544" t="str">
        <f aca="false">IF($Y40="","",INDEX($P$6:$P$1005,$Y40))</f>
        <v/>
      </c>
      <c r="F40" s="544" t="str">
        <f aca="false">IF($Y40="","",INDEX($Q$6:$Q$1005,$Y40))</f>
        <v/>
      </c>
      <c r="G40" s="542" t="str">
        <f aca="false">IF($Y40="","",INDEX($R$6:$R$1005,$Y40))</f>
        <v/>
      </c>
      <c r="H40" s="542" t="str">
        <f aca="false">IF($Y40="","","USD")</f>
        <v/>
      </c>
      <c r="I40" s="545" t="str">
        <f aca="false">IF($Y40="","",INDEX($S$6:$S$1005,$Y40))</f>
        <v/>
      </c>
      <c r="J40" s="546" t="str">
        <f aca="false">IF($Y40="","",INDEX($T$6:$T$1005,$Y40))</f>
        <v/>
      </c>
      <c r="K40" s="546" t="str">
        <f aca="false">IF($Y40="","",INDEX($U$6:$U$1005,$Y40))</f>
        <v/>
      </c>
      <c r="L40" s="542" t="str">
        <f aca="false">IF($Y40="","",IF(INDEX($S$6:$S$1005,$Y40)&gt;=10,"★ 10백만불↑",""))</f>
        <v/>
      </c>
      <c r="M40" s="531"/>
      <c r="N40" s="547" t="n">
        <f aca="false">IF('(1)예금승인내역'!H666="","",'(1)예금승인내역'!H666)</f>
        <v>45419</v>
      </c>
      <c r="O40" s="547" t="n">
        <f aca="false">IF('(1)예금승인내역'!G666="","",'(1)예금승인내역'!G666)</f>
        <v>45387</v>
      </c>
      <c r="P40" s="531" t="str">
        <f aca="false">IF('(1)예금승인내역'!F666="","",'(1)예금승인내역'!F666)</f>
        <v>한국비철㈜</v>
      </c>
      <c r="Q40" s="531" t="str">
        <f aca="false">IF('(1)예금승인내역'!C666="","",'(1)예금승인내역'!C666)</f>
        <v>달성공단영업부</v>
      </c>
      <c r="R40" s="531" t="str">
        <f aca="false">IF('(1)예금승인내역'!K666="","",'(1)예금승인내역'!K666)</f>
        <v>정기예금</v>
      </c>
      <c r="S40" s="548" t="n">
        <f aca="false">IF('(1)예금승인내역'!L666="","",'(1)예금승인내역'!L666)</f>
        <v>1</v>
      </c>
      <c r="T40" s="549" t="n">
        <f aca="false">IF('(1)예금승인내역'!AG666="","",'(1)예금승인내역'!AG666)</f>
        <v>0.052</v>
      </c>
      <c r="U40" s="549" t="n">
        <f aca="false">IF('(1)예금승인내역'!X666="","",'(1)예금승인내역'!X666)</f>
        <v>0.00172</v>
      </c>
      <c r="V40" s="531" t="n">
        <f aca="false">IF(ISNUMBER(N40),N40-$B$2,"")</f>
        <v>-770</v>
      </c>
      <c r="W40" s="531" t="str">
        <f aca="false">IF(AND(ISNUMBER(N40),N40&gt;=$B$2,N40&lt;=$B$2+10),N40*100000+ROW(),"")</f>
        <v/>
      </c>
      <c r="X40" s="531" t="str">
        <f aca="false">IFERROR(SMALL($W$6:$W$1005,35),"")</f>
        <v/>
      </c>
      <c r="Y40" s="531" t="str">
        <f aca="false">IF(X40="","",MATCH(X40,$W$6:$W$1005,0))</f>
        <v/>
      </c>
      <c r="Z40" s="531"/>
      <c r="AA40" s="531"/>
      <c r="AB40" s="531"/>
      <c r="AC40" s="531"/>
      <c r="AD40" s="531"/>
      <c r="AE40" s="531"/>
      <c r="AF40" s="531"/>
      <c r="AG40" s="531"/>
      <c r="AH40" s="531"/>
      <c r="AI40" s="531"/>
      <c r="AJ40" s="531"/>
      <c r="AK40" s="531"/>
      <c r="AL40" s="531"/>
      <c r="AM40" s="531"/>
      <c r="AN40" s="531"/>
    </row>
    <row r="41" customFormat="false" ht="16.5" hidden="false" customHeight="true" outlineLevel="0" collapsed="false">
      <c r="A41" s="542" t="str">
        <f aca="false">IF($Y41="","",IF(INDEX($N$6:$N$1005,$Y41)=$B$2,"오늘","+"&amp;(INDEX($N$6:$N$1005,$Y41)-$B$2)&amp;"일"))</f>
        <v/>
      </c>
      <c r="B41" s="543" t="str">
        <f aca="false">IF($Y41="","",INDEX($N$6:$N$1005,$Y41))</f>
        <v/>
      </c>
      <c r="C41" s="542" t="str">
        <f aca="false">IF($Y41="","",CHOOSE(WEEKDAY(INDEX($N$6:$N$1005,$Y41)),"일","월","화","수","목","금","토"))</f>
        <v/>
      </c>
      <c r="D41" s="543" t="str">
        <f aca="false">IF($Y41="","",INDEX($O$6:$O$1005,$Y41))</f>
        <v/>
      </c>
      <c r="E41" s="544" t="str">
        <f aca="false">IF($Y41="","",INDEX($P$6:$P$1005,$Y41))</f>
        <v/>
      </c>
      <c r="F41" s="544" t="str">
        <f aca="false">IF($Y41="","",INDEX($Q$6:$Q$1005,$Y41))</f>
        <v/>
      </c>
      <c r="G41" s="542" t="str">
        <f aca="false">IF($Y41="","",INDEX($R$6:$R$1005,$Y41))</f>
        <v/>
      </c>
      <c r="H41" s="542" t="str">
        <f aca="false">IF($Y41="","","USD")</f>
        <v/>
      </c>
      <c r="I41" s="545" t="str">
        <f aca="false">IF($Y41="","",INDEX($S$6:$S$1005,$Y41))</f>
        <v/>
      </c>
      <c r="J41" s="546" t="str">
        <f aca="false">IF($Y41="","",INDEX($T$6:$T$1005,$Y41))</f>
        <v/>
      </c>
      <c r="K41" s="546" t="str">
        <f aca="false">IF($Y41="","",INDEX($U$6:$U$1005,$Y41))</f>
        <v/>
      </c>
      <c r="L41" s="542" t="str">
        <f aca="false">IF($Y41="","",IF(INDEX($S$6:$S$1005,$Y41)&gt;=10,"★ 10백만불↑",""))</f>
        <v/>
      </c>
      <c r="M41" s="531"/>
      <c r="N41" s="547" t="n">
        <f aca="false">IF('(1)예금승인내역'!H667="","",'(1)예금승인내역'!H667)</f>
        <v>45426</v>
      </c>
      <c r="O41" s="547" t="n">
        <f aca="false">IF('(1)예금승인내역'!G667="","",'(1)예금승인내역'!G667)</f>
        <v>45397</v>
      </c>
      <c r="P41" s="531" t="str">
        <f aca="false">IF('(1)예금승인내역'!F667="","",'(1)예금승인내역'!F667)</f>
        <v>오스템임플란트㈜</v>
      </c>
      <c r="Q41" s="531" t="str">
        <f aca="false">IF('(1)예금승인내역'!C667="","",'(1)예금승인내역'!C667)</f>
        <v>성남금융센터</v>
      </c>
      <c r="R41" s="531" t="str">
        <f aca="false">IF('(1)예금승인내역'!K667="","",'(1)예금승인내역'!K667)</f>
        <v>MMDA</v>
      </c>
      <c r="S41" s="548" t="n">
        <f aca="false">IF('(1)예금승인내역'!L667="","",'(1)예금승인내역'!L667)</f>
        <v>2</v>
      </c>
      <c r="T41" s="549" t="n">
        <f aca="false">IF('(1)예금승인내역'!AG667="","",'(1)예금승인내역'!AG667)</f>
        <v>0.0435</v>
      </c>
      <c r="U41" s="549" t="n">
        <f aca="false">IF('(1)예금승인내역'!X667="","",'(1)예금승인내역'!X667)</f>
        <v>0.010192</v>
      </c>
      <c r="V41" s="531" t="n">
        <f aca="false">IF(ISNUMBER(N41),N41-$B$2,"")</f>
        <v>-763</v>
      </c>
      <c r="W41" s="531" t="str">
        <f aca="false">IF(AND(ISNUMBER(N41),N41&gt;=$B$2,N41&lt;=$B$2+10),N41*100000+ROW(),"")</f>
        <v/>
      </c>
      <c r="X41" s="531" t="str">
        <f aca="false">IFERROR(SMALL($W$6:$W$1005,36),"")</f>
        <v/>
      </c>
      <c r="Y41" s="531" t="str">
        <f aca="false">IF(X41="","",MATCH(X41,$W$6:$W$1005,0))</f>
        <v/>
      </c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</row>
    <row r="42" customFormat="false" ht="16.5" hidden="false" customHeight="true" outlineLevel="0" collapsed="false">
      <c r="A42" s="542" t="str">
        <f aca="false">IF($Y42="","",IF(INDEX($N$6:$N$1005,$Y42)=$B$2,"오늘","+"&amp;(INDEX($N$6:$N$1005,$Y42)-$B$2)&amp;"일"))</f>
        <v/>
      </c>
      <c r="B42" s="543" t="str">
        <f aca="false">IF($Y42="","",INDEX($N$6:$N$1005,$Y42))</f>
        <v/>
      </c>
      <c r="C42" s="542" t="str">
        <f aca="false">IF($Y42="","",CHOOSE(WEEKDAY(INDEX($N$6:$N$1005,$Y42)),"일","월","화","수","목","금","토"))</f>
        <v/>
      </c>
      <c r="D42" s="543" t="str">
        <f aca="false">IF($Y42="","",INDEX($O$6:$O$1005,$Y42))</f>
        <v/>
      </c>
      <c r="E42" s="544" t="str">
        <f aca="false">IF($Y42="","",INDEX($P$6:$P$1005,$Y42))</f>
        <v/>
      </c>
      <c r="F42" s="544" t="str">
        <f aca="false">IF($Y42="","",INDEX($Q$6:$Q$1005,$Y42))</f>
        <v/>
      </c>
      <c r="G42" s="542" t="str">
        <f aca="false">IF($Y42="","",INDEX($R$6:$R$1005,$Y42))</f>
        <v/>
      </c>
      <c r="H42" s="542" t="str">
        <f aca="false">IF($Y42="","","USD")</f>
        <v/>
      </c>
      <c r="I42" s="545" t="str">
        <f aca="false">IF($Y42="","",INDEX($S$6:$S$1005,$Y42))</f>
        <v/>
      </c>
      <c r="J42" s="546" t="str">
        <f aca="false">IF($Y42="","",INDEX($T$6:$T$1005,$Y42))</f>
        <v/>
      </c>
      <c r="K42" s="546" t="str">
        <f aca="false">IF($Y42="","",INDEX($U$6:$U$1005,$Y42))</f>
        <v/>
      </c>
      <c r="L42" s="542" t="str">
        <f aca="false">IF($Y42="","",IF(INDEX($S$6:$S$1005,$Y42)&gt;=10,"★ 10백만불↑",""))</f>
        <v/>
      </c>
      <c r="M42" s="531"/>
      <c r="N42" s="547" t="n">
        <f aca="false">IF('(1)예금승인내역'!H668="","",'(1)예금승인내역'!H668)</f>
        <v>45492</v>
      </c>
      <c r="O42" s="547" t="n">
        <f aca="false">IF('(1)예금승인내역'!G668="","",'(1)예금승인내역'!G668)</f>
        <v>45401</v>
      </c>
      <c r="P42" s="531" t="str">
        <f aca="false">IF('(1)예금승인내역'!F668="","",'(1)예금승인내역'!F668)</f>
        <v>에스엠상선㈜</v>
      </c>
      <c r="Q42" s="531" t="str">
        <f aca="false">IF('(1)예금승인내역'!C668="","",'(1)예금승인내역'!C668)</f>
        <v>강남영업부</v>
      </c>
      <c r="R42" s="531" t="str">
        <f aca="false">IF('(1)예금승인내역'!K668="","",'(1)예금승인내역'!K668)</f>
        <v>정기예금</v>
      </c>
      <c r="S42" s="548" t="n">
        <f aca="false">IF('(1)예금승인내역'!L668="","",'(1)예금승인내역'!L668)</f>
        <v>10</v>
      </c>
      <c r="T42" s="549" t="n">
        <f aca="false">IF('(1)예금승인내역'!AG668="","",'(1)예금승인내역'!AG668)</f>
        <v>0.0533</v>
      </c>
      <c r="U42" s="549" t="n">
        <f aca="false">IF('(1)예금승인내역'!X668="","",'(1)예금승인내역'!X668)</f>
        <v>0.002564</v>
      </c>
      <c r="V42" s="531" t="n">
        <f aca="false">IF(ISNUMBER(N42),N42-$B$2,"")</f>
        <v>-697</v>
      </c>
      <c r="W42" s="531" t="str">
        <f aca="false">IF(AND(ISNUMBER(N42),N42&gt;=$B$2,N42&lt;=$B$2+10),N42*100000+ROW(),"")</f>
        <v/>
      </c>
      <c r="X42" s="531" t="str">
        <f aca="false">IFERROR(SMALL($W$6:$W$1005,37),"")</f>
        <v/>
      </c>
      <c r="Y42" s="531" t="str">
        <f aca="false">IF(X42="","",MATCH(X42,$W$6:$W$1005,0))</f>
        <v/>
      </c>
      <c r="Z42" s="531"/>
      <c r="AA42" s="531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</row>
    <row r="43" customFormat="false" ht="16.5" hidden="false" customHeight="true" outlineLevel="0" collapsed="false">
      <c r="A43" s="542" t="str">
        <f aca="false">IF($Y43="","",IF(INDEX($N$6:$N$1005,$Y43)=$B$2,"오늘","+"&amp;(INDEX($N$6:$N$1005,$Y43)-$B$2)&amp;"일"))</f>
        <v/>
      </c>
      <c r="B43" s="543" t="str">
        <f aca="false">IF($Y43="","",INDEX($N$6:$N$1005,$Y43))</f>
        <v/>
      </c>
      <c r="C43" s="542" t="str">
        <f aca="false">IF($Y43="","",CHOOSE(WEEKDAY(INDEX($N$6:$N$1005,$Y43)),"일","월","화","수","목","금","토"))</f>
        <v/>
      </c>
      <c r="D43" s="543" t="str">
        <f aca="false">IF($Y43="","",INDEX($O$6:$O$1005,$Y43))</f>
        <v/>
      </c>
      <c r="E43" s="544" t="str">
        <f aca="false">IF($Y43="","",INDEX($P$6:$P$1005,$Y43))</f>
        <v/>
      </c>
      <c r="F43" s="544" t="str">
        <f aca="false">IF($Y43="","",INDEX($Q$6:$Q$1005,$Y43))</f>
        <v/>
      </c>
      <c r="G43" s="542" t="str">
        <f aca="false">IF($Y43="","",INDEX($R$6:$R$1005,$Y43))</f>
        <v/>
      </c>
      <c r="H43" s="542" t="str">
        <f aca="false">IF($Y43="","","USD")</f>
        <v/>
      </c>
      <c r="I43" s="545" t="str">
        <f aca="false">IF($Y43="","",INDEX($S$6:$S$1005,$Y43))</f>
        <v/>
      </c>
      <c r="J43" s="546" t="str">
        <f aca="false">IF($Y43="","",INDEX($T$6:$T$1005,$Y43))</f>
        <v/>
      </c>
      <c r="K43" s="546" t="str">
        <f aca="false">IF($Y43="","",INDEX($U$6:$U$1005,$Y43))</f>
        <v/>
      </c>
      <c r="L43" s="542" t="str">
        <f aca="false">IF($Y43="","",IF(INDEX($S$6:$S$1005,$Y43)&gt;=10,"★ 10백만불↑",""))</f>
        <v/>
      </c>
      <c r="M43" s="531"/>
      <c r="N43" s="547" t="n">
        <f aca="false">IF('(1)예금승인내역'!H669="","",'(1)예금승인내역'!H669)</f>
        <v>45450</v>
      </c>
      <c r="O43" s="547" t="n">
        <f aca="false">IF('(1)예금승인내역'!G669="","",'(1)예금승인내역'!G669)</f>
        <v>45419</v>
      </c>
      <c r="P43" s="531" t="str">
        <f aca="false">IF('(1)예금승인내역'!F669="","",'(1)예금승인내역'!F669)</f>
        <v>한국비철㈜</v>
      </c>
      <c r="Q43" s="531" t="str">
        <f aca="false">IF('(1)예금승인내역'!C669="","",'(1)예금승인내역'!C669)</f>
        <v>달성공단영업부</v>
      </c>
      <c r="R43" s="531" t="str">
        <f aca="false">IF('(1)예금승인내역'!K669="","",'(1)예금승인내역'!K669)</f>
        <v>정기예금</v>
      </c>
      <c r="S43" s="548" t="n">
        <f aca="false">IF('(1)예금승인내역'!L669="","",'(1)예금승인내역'!L669)</f>
        <v>7</v>
      </c>
      <c r="T43" s="549" t="n">
        <f aca="false">IF('(1)예금승인내역'!AG669="","",'(1)예금승인내역'!AG669)</f>
        <v>0.052</v>
      </c>
      <c r="U43" s="549" t="n">
        <f aca="false">IF('(1)예금승인내역'!X669="","",'(1)예금승인내역'!X669)</f>
        <v>0.002379</v>
      </c>
      <c r="V43" s="531" t="n">
        <f aca="false">IF(ISNUMBER(N43),N43-$B$2,"")</f>
        <v>-739</v>
      </c>
      <c r="W43" s="531" t="str">
        <f aca="false">IF(AND(ISNUMBER(N43),N43&gt;=$B$2,N43&lt;=$B$2+10),N43*100000+ROW(),"")</f>
        <v/>
      </c>
      <c r="X43" s="531" t="str">
        <f aca="false">IFERROR(SMALL($W$6:$W$1005,38),"")</f>
        <v/>
      </c>
      <c r="Y43" s="531" t="str">
        <f aca="false">IF(X43="","",MATCH(X43,$W$6:$W$1005,0))</f>
        <v/>
      </c>
      <c r="Z43" s="531"/>
      <c r="AA43" s="531"/>
      <c r="AB43" s="531"/>
      <c r="AC43" s="531"/>
      <c r="AD43" s="531"/>
      <c r="AE43" s="531"/>
      <c r="AF43" s="531"/>
      <c r="AG43" s="531"/>
      <c r="AH43" s="531"/>
      <c r="AI43" s="531"/>
      <c r="AJ43" s="531"/>
      <c r="AK43" s="531"/>
      <c r="AL43" s="531"/>
      <c r="AM43" s="531"/>
      <c r="AN43" s="531"/>
    </row>
    <row r="44" customFormat="false" ht="16.5" hidden="false" customHeight="true" outlineLevel="0" collapsed="false">
      <c r="A44" s="542" t="str">
        <f aca="false">IF($Y44="","",IF(INDEX($N$6:$N$1005,$Y44)=$B$2,"오늘","+"&amp;(INDEX($N$6:$N$1005,$Y44)-$B$2)&amp;"일"))</f>
        <v/>
      </c>
      <c r="B44" s="543" t="str">
        <f aca="false">IF($Y44="","",INDEX($N$6:$N$1005,$Y44))</f>
        <v/>
      </c>
      <c r="C44" s="542" t="str">
        <f aca="false">IF($Y44="","",CHOOSE(WEEKDAY(INDEX($N$6:$N$1005,$Y44)),"일","월","화","수","목","금","토"))</f>
        <v/>
      </c>
      <c r="D44" s="543" t="str">
        <f aca="false">IF($Y44="","",INDEX($O$6:$O$1005,$Y44))</f>
        <v/>
      </c>
      <c r="E44" s="544" t="str">
        <f aca="false">IF($Y44="","",INDEX($P$6:$P$1005,$Y44))</f>
        <v/>
      </c>
      <c r="F44" s="544" t="str">
        <f aca="false">IF($Y44="","",INDEX($Q$6:$Q$1005,$Y44))</f>
        <v/>
      </c>
      <c r="G44" s="542" t="str">
        <f aca="false">IF($Y44="","",INDEX($R$6:$R$1005,$Y44))</f>
        <v/>
      </c>
      <c r="H44" s="542" t="str">
        <f aca="false">IF($Y44="","","USD")</f>
        <v/>
      </c>
      <c r="I44" s="545" t="str">
        <f aca="false">IF($Y44="","",INDEX($S$6:$S$1005,$Y44))</f>
        <v/>
      </c>
      <c r="J44" s="546" t="str">
        <f aca="false">IF($Y44="","",INDEX($T$6:$T$1005,$Y44))</f>
        <v/>
      </c>
      <c r="K44" s="546" t="str">
        <f aca="false">IF($Y44="","",INDEX($U$6:$U$1005,$Y44))</f>
        <v/>
      </c>
      <c r="L44" s="542" t="str">
        <f aca="false">IF($Y44="","",IF(INDEX($S$6:$S$1005,$Y44)&gt;=10,"★ 10백만불↑",""))</f>
        <v/>
      </c>
      <c r="M44" s="531"/>
      <c r="N44" s="547" t="n">
        <f aca="false">IF('(1)예금승인내역'!H670="","",'(1)예금승인내역'!H670)</f>
        <v>45450</v>
      </c>
      <c r="O44" s="547" t="n">
        <f aca="false">IF('(1)예금승인내역'!G670="","",'(1)예금승인내역'!G670)</f>
        <v>45419</v>
      </c>
      <c r="P44" s="531" t="str">
        <f aca="false">IF('(1)예금승인내역'!F670="","",'(1)예금승인내역'!F670)</f>
        <v>한국비철㈜</v>
      </c>
      <c r="Q44" s="531" t="str">
        <f aca="false">IF('(1)예금승인내역'!C670="","",'(1)예금승인내역'!C670)</f>
        <v>달성공단영업부</v>
      </c>
      <c r="R44" s="531" t="str">
        <f aca="false">IF('(1)예금승인내역'!K670="","",'(1)예금승인내역'!K670)</f>
        <v>정기예금</v>
      </c>
      <c r="S44" s="548" t="n">
        <f aca="false">IF('(1)예금승인내역'!L670="","",'(1)예금승인내역'!L670)</f>
        <v>1</v>
      </c>
      <c r="T44" s="549" t="n">
        <f aca="false">IF('(1)예금승인내역'!AG670="","",'(1)예금승인내역'!AG670)</f>
        <v>0.052</v>
      </c>
      <c r="U44" s="549" t="n">
        <f aca="false">IF('(1)예금승인내역'!X670="","",'(1)예금승인내역'!X670)</f>
        <v>0.002379</v>
      </c>
      <c r="V44" s="531" t="n">
        <f aca="false">IF(ISNUMBER(N44),N44-$B$2,"")</f>
        <v>-739</v>
      </c>
      <c r="W44" s="531" t="str">
        <f aca="false">IF(AND(ISNUMBER(N44),N44&gt;=$B$2,N44&lt;=$B$2+10),N44*100000+ROW(),"")</f>
        <v/>
      </c>
      <c r="X44" s="531" t="str">
        <f aca="false">IFERROR(SMALL($W$6:$W$1005,39),"")</f>
        <v/>
      </c>
      <c r="Y44" s="531" t="str">
        <f aca="false">IF(X44="","",MATCH(X44,$W$6:$W$1005,0))</f>
        <v/>
      </c>
      <c r="Z44" s="531"/>
      <c r="AA44" s="531"/>
      <c r="AB44" s="531"/>
      <c r="AC44" s="531"/>
      <c r="AD44" s="531"/>
      <c r="AE44" s="531"/>
      <c r="AF44" s="531"/>
      <c r="AG44" s="531"/>
      <c r="AH44" s="531"/>
      <c r="AI44" s="531"/>
      <c r="AJ44" s="531"/>
      <c r="AK44" s="531"/>
      <c r="AL44" s="531"/>
      <c r="AM44" s="531"/>
      <c r="AN44" s="531"/>
    </row>
    <row r="45" customFormat="false" ht="16.5" hidden="false" customHeight="true" outlineLevel="0" collapsed="false">
      <c r="A45" s="542" t="str">
        <f aca="false">IF($Y45="","",IF(INDEX($N$6:$N$1005,$Y45)=$B$2,"오늘","+"&amp;(INDEX($N$6:$N$1005,$Y45)-$B$2)&amp;"일"))</f>
        <v/>
      </c>
      <c r="B45" s="543" t="str">
        <f aca="false">IF($Y45="","",INDEX($N$6:$N$1005,$Y45))</f>
        <v/>
      </c>
      <c r="C45" s="542" t="str">
        <f aca="false">IF($Y45="","",CHOOSE(WEEKDAY(INDEX($N$6:$N$1005,$Y45)),"일","월","화","수","목","금","토"))</f>
        <v/>
      </c>
      <c r="D45" s="543" t="str">
        <f aca="false">IF($Y45="","",INDEX($O$6:$O$1005,$Y45))</f>
        <v/>
      </c>
      <c r="E45" s="544" t="str">
        <f aca="false">IF($Y45="","",INDEX($P$6:$P$1005,$Y45))</f>
        <v/>
      </c>
      <c r="F45" s="544" t="str">
        <f aca="false">IF($Y45="","",INDEX($Q$6:$Q$1005,$Y45))</f>
        <v/>
      </c>
      <c r="G45" s="542" t="str">
        <f aca="false">IF($Y45="","",INDEX($R$6:$R$1005,$Y45))</f>
        <v/>
      </c>
      <c r="H45" s="542" t="str">
        <f aca="false">IF($Y45="","","USD")</f>
        <v/>
      </c>
      <c r="I45" s="545" t="str">
        <f aca="false">IF($Y45="","",INDEX($S$6:$S$1005,$Y45))</f>
        <v/>
      </c>
      <c r="J45" s="546" t="str">
        <f aca="false">IF($Y45="","",INDEX($T$6:$T$1005,$Y45))</f>
        <v/>
      </c>
      <c r="K45" s="546" t="str">
        <f aca="false">IF($Y45="","",INDEX($U$6:$U$1005,$Y45))</f>
        <v/>
      </c>
      <c r="L45" s="542" t="str">
        <f aca="false">IF($Y45="","",IF(INDEX($S$6:$S$1005,$Y45)&gt;=10,"★ 10백만불↑",""))</f>
        <v/>
      </c>
      <c r="M45" s="531"/>
      <c r="N45" s="547" t="n">
        <f aca="false">IF('(1)예금승인내역'!H671="","",'(1)예금승인내역'!H671)</f>
        <v>45450</v>
      </c>
      <c r="O45" s="547" t="n">
        <f aca="false">IF('(1)예금승인내역'!G671="","",'(1)예금승인내역'!G671)</f>
        <v>45420</v>
      </c>
      <c r="P45" s="531" t="str">
        <f aca="false">IF('(1)예금승인내역'!F671="","",'(1)예금승인내역'!F671)</f>
        <v>한국비철㈜</v>
      </c>
      <c r="Q45" s="531" t="str">
        <f aca="false">IF('(1)예금승인내역'!C671="","",'(1)예금승인내역'!C671)</f>
        <v>달성공단영업부</v>
      </c>
      <c r="R45" s="531" t="str">
        <f aca="false">IF('(1)예금승인내역'!K671="","",'(1)예금승인내역'!K671)</f>
        <v>MMDA</v>
      </c>
      <c r="S45" s="548" t="n">
        <f aca="false">IF('(1)예금승인내역'!L671="","",'(1)예금승인내역'!L671)</f>
        <v>2</v>
      </c>
      <c r="T45" s="549" t="n">
        <f aca="false">IF('(1)예금승인내역'!AG671="","",'(1)예금승인내역'!AG671)</f>
        <v>0.0535</v>
      </c>
      <c r="U45" s="549" t="n">
        <f aca="false">IF('(1)예금승인내역'!X671="","",'(1)예금승인내역'!X671)</f>
        <v>0.010229</v>
      </c>
      <c r="V45" s="531" t="n">
        <f aca="false">IF(ISNUMBER(N45),N45-$B$2,"")</f>
        <v>-739</v>
      </c>
      <c r="W45" s="531" t="str">
        <f aca="false">IF(AND(ISNUMBER(N45),N45&gt;=$B$2,N45&lt;=$B$2+10),N45*100000+ROW(),"")</f>
        <v/>
      </c>
      <c r="X45" s="531" t="str">
        <f aca="false">IFERROR(SMALL($W$6:$W$1005,40),"")</f>
        <v/>
      </c>
      <c r="Y45" s="531" t="str">
        <f aca="false">IF(X45="","",MATCH(X45,$W$6:$W$1005,0))</f>
        <v/>
      </c>
      <c r="Z45" s="531"/>
      <c r="AA45" s="531"/>
      <c r="AB45" s="531"/>
      <c r="AC45" s="531"/>
      <c r="AD45" s="531"/>
      <c r="AE45" s="531"/>
      <c r="AF45" s="531"/>
      <c r="AG45" s="531"/>
      <c r="AH45" s="531"/>
      <c r="AI45" s="531"/>
      <c r="AJ45" s="531"/>
      <c r="AK45" s="531"/>
      <c r="AL45" s="531"/>
      <c r="AM45" s="531"/>
      <c r="AN45" s="531"/>
    </row>
    <row r="46" customFormat="false" ht="17.25" hidden="false" customHeight="true" outlineLevel="0" collapsed="false">
      <c r="A46" s="542" t="str">
        <f aca="false">IF($Y46="","",IF(INDEX($N$6:$N$1005,$Y46)=$B$2,"오늘","+"&amp;(INDEX($N$6:$N$1005,$Y46)-$B$2)&amp;"일"))</f>
        <v/>
      </c>
      <c r="B46" s="543" t="str">
        <f aca="false">IF($Y46="","",INDEX($N$6:$N$1005,$Y46))</f>
        <v/>
      </c>
      <c r="C46" s="542" t="str">
        <f aca="false">IF($Y46="","",CHOOSE(WEEKDAY(INDEX($N$6:$N$1005,$Y46)),"일","월","화","수","목","금","토"))</f>
        <v/>
      </c>
      <c r="D46" s="543" t="str">
        <f aca="false">IF($Y46="","",INDEX($O$6:$O$1005,$Y46))</f>
        <v/>
      </c>
      <c r="E46" s="544" t="str">
        <f aca="false">IF($Y46="","",INDEX($P$6:$P$1005,$Y46))</f>
        <v/>
      </c>
      <c r="F46" s="544" t="str">
        <f aca="false">IF($Y46="","",INDEX($Q$6:$Q$1005,$Y46))</f>
        <v/>
      </c>
      <c r="G46" s="542" t="str">
        <f aca="false">IF($Y46="","",INDEX($R$6:$R$1005,$Y46))</f>
        <v/>
      </c>
      <c r="H46" s="542" t="str">
        <f aca="false">IF($Y46="","","USD")</f>
        <v/>
      </c>
      <c r="I46" s="545" t="str">
        <f aca="false">IF($Y46="","",INDEX($S$6:$S$1005,$Y46))</f>
        <v/>
      </c>
      <c r="J46" s="546" t="str">
        <f aca="false">IF($Y46="","",INDEX($T$6:$T$1005,$Y46))</f>
        <v/>
      </c>
      <c r="K46" s="546" t="str">
        <f aca="false">IF($Y46="","",INDEX($U$6:$U$1005,$Y46))</f>
        <v/>
      </c>
      <c r="L46" s="542" t="str">
        <f aca="false">IF($Y46="","",IF(INDEX($S$6:$S$1005,$Y46)&gt;=10,"★ 10백만불↑",""))</f>
        <v/>
      </c>
      <c r="M46" s="531"/>
      <c r="N46" s="547" t="n">
        <f aca="false">IF('(1)예금승인내역'!H672="","",'(1)예금승인내역'!H672)</f>
        <v>45457</v>
      </c>
      <c r="O46" s="547" t="n">
        <f aca="false">IF('(1)예금승인내역'!G672="","",'(1)예금승인내역'!G672)</f>
        <v>45426</v>
      </c>
      <c r="P46" s="531" t="str">
        <f aca="false">IF('(1)예금승인내역'!F672="","",'(1)예금승인내역'!F672)</f>
        <v>오스템임플란트㈜</v>
      </c>
      <c r="Q46" s="531" t="str">
        <f aca="false">IF('(1)예금승인내역'!C672="","",'(1)예금승인내역'!C672)</f>
        <v>성남금융센터</v>
      </c>
      <c r="R46" s="531" t="str">
        <f aca="false">IF('(1)예금승인내역'!K672="","",'(1)예금승인내역'!K672)</f>
        <v>MMDA</v>
      </c>
      <c r="S46" s="548" t="n">
        <f aca="false">IF('(1)예금승인내역'!L672="","",'(1)예금승인내역'!L672)</f>
        <v>2</v>
      </c>
      <c r="T46" s="549" t="n">
        <f aca="false">IF('(1)예금승인내역'!AG672="","",'(1)예금승인내역'!AG672)</f>
        <v>0.0435</v>
      </c>
      <c r="U46" s="549" t="n">
        <f aca="false">IF('(1)예금승인내역'!X672="","",'(1)예금승인내역'!X672)</f>
        <v>0.008696</v>
      </c>
      <c r="V46" s="531" t="n">
        <f aca="false">IF(ISNUMBER(N46),N46-$B$2,"")</f>
        <v>-732</v>
      </c>
      <c r="W46" s="531" t="str">
        <f aca="false">IF(AND(ISNUMBER(N46),N46&gt;=$B$2,N46&lt;=$B$2+10),N46*100000+ROW(),"")</f>
        <v/>
      </c>
      <c r="X46" s="531" t="str">
        <f aca="false">IFERROR(SMALL($W$6:$W$1005,41),"")</f>
        <v/>
      </c>
      <c r="Y46" s="531" t="str">
        <f aca="false">IF(X46="","",MATCH(X46,$W$6:$W$1005,0))</f>
        <v/>
      </c>
      <c r="Z46" s="531"/>
      <c r="AA46" s="531"/>
      <c r="AB46" s="531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</row>
    <row r="47" customFormat="false" ht="16.5" hidden="false" customHeight="true" outlineLevel="0" collapsed="false">
      <c r="A47" s="542" t="str">
        <f aca="false">IF($Y47="","",IF(INDEX($N$6:$N$1005,$Y47)=$B$2,"오늘","+"&amp;(INDEX($N$6:$N$1005,$Y47)-$B$2)&amp;"일"))</f>
        <v/>
      </c>
      <c r="B47" s="543" t="str">
        <f aca="false">IF($Y47="","",INDEX($N$6:$N$1005,$Y47))</f>
        <v/>
      </c>
      <c r="C47" s="542" t="str">
        <f aca="false">IF($Y47="","",CHOOSE(WEEKDAY(INDEX($N$6:$N$1005,$Y47)),"일","월","화","수","목","금","토"))</f>
        <v/>
      </c>
      <c r="D47" s="543" t="str">
        <f aca="false">IF($Y47="","",INDEX($O$6:$O$1005,$Y47))</f>
        <v/>
      </c>
      <c r="E47" s="544" t="str">
        <f aca="false">IF($Y47="","",INDEX($P$6:$P$1005,$Y47))</f>
        <v/>
      </c>
      <c r="F47" s="544" t="str">
        <f aca="false">IF($Y47="","",INDEX($Q$6:$Q$1005,$Y47))</f>
        <v/>
      </c>
      <c r="G47" s="542" t="str">
        <f aca="false">IF($Y47="","",INDEX($R$6:$R$1005,$Y47))</f>
        <v/>
      </c>
      <c r="H47" s="542" t="str">
        <f aca="false">IF($Y47="","","USD")</f>
        <v/>
      </c>
      <c r="I47" s="545" t="str">
        <f aca="false">IF($Y47="","",INDEX($S$6:$S$1005,$Y47))</f>
        <v/>
      </c>
      <c r="J47" s="546" t="str">
        <f aca="false">IF($Y47="","",INDEX($T$6:$T$1005,$Y47))</f>
        <v/>
      </c>
      <c r="K47" s="546" t="str">
        <f aca="false">IF($Y47="","",INDEX($U$6:$U$1005,$Y47))</f>
        <v/>
      </c>
      <c r="L47" s="542" t="str">
        <f aca="false">IF($Y47="","",IF(INDEX($S$6:$S$1005,$Y47)&gt;=10,"★ 10백만불↑",""))</f>
        <v/>
      </c>
      <c r="M47" s="531"/>
      <c r="N47" s="547" t="n">
        <f aca="false">IF('(1)예금승인내역'!H673="","",'(1)예금승인내역'!H673)</f>
        <v>45518</v>
      </c>
      <c r="O47" s="547" t="n">
        <f aca="false">IF('(1)예금승인내역'!G673="","",'(1)예금승인내역'!G673)</f>
        <v>45426</v>
      </c>
      <c r="P47" s="531" t="str">
        <f aca="false">IF('(1)예금승인내역'!F673="","",'(1)예금승인내역'!F673)</f>
        <v>대성산업㈜</v>
      </c>
      <c r="Q47" s="531" t="str">
        <f aca="false">IF('(1)예금승인내역'!C673="","",'(1)예금승인내역'!C673)</f>
        <v>강남영업부</v>
      </c>
      <c r="R47" s="531" t="str">
        <f aca="false">IF('(1)예금승인내역'!K673="","",'(1)예금승인내역'!K673)</f>
        <v>정기예금</v>
      </c>
      <c r="S47" s="548" t="n">
        <f aca="false">IF('(1)예금승인내역'!L673="","",'(1)예금승인내역'!L673)</f>
        <v>3.5</v>
      </c>
      <c r="T47" s="549" t="n">
        <f aca="false">IF('(1)예금승인내역'!AG673="","",'(1)예금승인내역'!AG673)</f>
        <v>0.0533</v>
      </c>
      <c r="U47" s="549" t="n">
        <f aca="false">IF('(1)예금승인내역'!X673="","",'(1)예금승인내역'!X673)</f>
        <v>0.002527</v>
      </c>
      <c r="V47" s="531" t="n">
        <f aca="false">IF(ISNUMBER(N47),N47-$B$2,"")</f>
        <v>-671</v>
      </c>
      <c r="W47" s="531" t="str">
        <f aca="false">IF(AND(ISNUMBER(N47),N47&gt;=$B$2,N47&lt;=$B$2+10),N47*100000+ROW(),"")</f>
        <v/>
      </c>
      <c r="X47" s="531" t="str">
        <f aca="false">IFERROR(SMALL($W$6:$W$1005,42),"")</f>
        <v/>
      </c>
      <c r="Y47" s="531" t="str">
        <f aca="false">IF(X47="","",MATCH(X47,$W$6:$W$1005,0))</f>
        <v/>
      </c>
      <c r="Z47" s="531"/>
      <c r="AA47" s="531"/>
      <c r="AB47" s="531"/>
      <c r="AC47" s="531"/>
      <c r="AD47" s="531"/>
      <c r="AE47" s="531"/>
      <c r="AF47" s="531"/>
      <c r="AG47" s="531"/>
      <c r="AH47" s="531"/>
      <c r="AI47" s="531"/>
      <c r="AJ47" s="531"/>
      <c r="AK47" s="531"/>
      <c r="AL47" s="531"/>
      <c r="AM47" s="531"/>
      <c r="AN47" s="531"/>
    </row>
    <row r="48" customFormat="false" ht="16.5" hidden="false" customHeight="true" outlineLevel="0" collapsed="false">
      <c r="A48" s="542" t="str">
        <f aca="false">IF($Y48="","",IF(INDEX($N$6:$N$1005,$Y48)=$B$2,"오늘","+"&amp;(INDEX($N$6:$N$1005,$Y48)-$B$2)&amp;"일"))</f>
        <v/>
      </c>
      <c r="B48" s="543" t="str">
        <f aca="false">IF($Y48="","",INDEX($N$6:$N$1005,$Y48))</f>
        <v/>
      </c>
      <c r="C48" s="542" t="str">
        <f aca="false">IF($Y48="","",CHOOSE(WEEKDAY(INDEX($N$6:$N$1005,$Y48)),"일","월","화","수","목","금","토"))</f>
        <v/>
      </c>
      <c r="D48" s="543" t="str">
        <f aca="false">IF($Y48="","",INDEX($O$6:$O$1005,$Y48))</f>
        <v/>
      </c>
      <c r="E48" s="544" t="str">
        <f aca="false">IF($Y48="","",INDEX($P$6:$P$1005,$Y48))</f>
        <v/>
      </c>
      <c r="F48" s="544" t="str">
        <f aca="false">IF($Y48="","",INDEX($Q$6:$Q$1005,$Y48))</f>
        <v/>
      </c>
      <c r="G48" s="542" t="str">
        <f aca="false">IF($Y48="","",INDEX($R$6:$R$1005,$Y48))</f>
        <v/>
      </c>
      <c r="H48" s="542" t="str">
        <f aca="false">IF($Y48="","","USD")</f>
        <v/>
      </c>
      <c r="I48" s="545" t="str">
        <f aca="false">IF($Y48="","",INDEX($S$6:$S$1005,$Y48))</f>
        <v/>
      </c>
      <c r="J48" s="546" t="str">
        <f aca="false">IF($Y48="","",INDEX($T$6:$T$1005,$Y48))</f>
        <v/>
      </c>
      <c r="K48" s="546" t="str">
        <f aca="false">IF($Y48="","",INDEX($U$6:$U$1005,$Y48))</f>
        <v/>
      </c>
      <c r="L48" s="542" t="str">
        <f aca="false">IF($Y48="","",IF(INDEX($S$6:$S$1005,$Y48)&gt;=10,"★ 10백만불↑",""))</f>
        <v/>
      </c>
      <c r="M48" s="531"/>
      <c r="N48" s="547" t="n">
        <f aca="false">IF('(1)예금승인내역'!H674="","",'(1)예금승인내역'!H674)</f>
        <v>45559</v>
      </c>
      <c r="O48" s="547" t="n">
        <f aca="false">IF('(1)예금승인내역'!G674="","",'(1)예금승인내역'!G674)</f>
        <v>45436</v>
      </c>
      <c r="P48" s="531" t="str">
        <f aca="false">IF('(1)예금승인내역'!F674="","",'(1)예금승인내역'!F674)</f>
        <v>일양약품㈜</v>
      </c>
      <c r="Q48" s="531" t="str">
        <f aca="false">IF('(1)예금승인내역'!C674="","",'(1)예금승인내역'!C674)</f>
        <v>화성금융센터</v>
      </c>
      <c r="R48" s="531" t="str">
        <f aca="false">IF('(1)예금승인내역'!K674="","",'(1)예금승인내역'!K674)</f>
        <v>정기예금</v>
      </c>
      <c r="S48" s="548" t="n">
        <f aca="false">IF('(1)예금승인내역'!L674="","",'(1)예금승인내역'!L674)</f>
        <v>3</v>
      </c>
      <c r="T48" s="549" t="n">
        <f aca="false">IF('(1)예금승인내역'!AG674="","",'(1)예금승인내역'!AG674)</f>
        <v>0.0535</v>
      </c>
      <c r="U48" s="549" t="n">
        <f aca="false">IF('(1)예금승인내역'!X674="","",'(1)예금승인내역'!X674)</f>
        <v>0.002457</v>
      </c>
      <c r="V48" s="531" t="n">
        <f aca="false">IF(ISNUMBER(N48),N48-$B$2,"")</f>
        <v>-630</v>
      </c>
      <c r="W48" s="531" t="str">
        <f aca="false">IF(AND(ISNUMBER(N48),N48&gt;=$B$2,N48&lt;=$B$2+10),N48*100000+ROW(),"")</f>
        <v/>
      </c>
      <c r="X48" s="531" t="str">
        <f aca="false">IFERROR(SMALL($W$6:$W$1005,43),"")</f>
        <v/>
      </c>
      <c r="Y48" s="531" t="str">
        <f aca="false">IF(X48="","",MATCH(X48,$W$6:$W$1005,0))</f>
        <v/>
      </c>
      <c r="Z48" s="531"/>
      <c r="AA48" s="531"/>
      <c r="AB48" s="531"/>
      <c r="AC48" s="531"/>
      <c r="AD48" s="531"/>
      <c r="AE48" s="531"/>
      <c r="AF48" s="531"/>
      <c r="AG48" s="531"/>
      <c r="AH48" s="531"/>
      <c r="AI48" s="531"/>
      <c r="AJ48" s="531"/>
      <c r="AK48" s="531"/>
      <c r="AL48" s="531"/>
      <c r="AM48" s="531"/>
      <c r="AN48" s="531"/>
    </row>
    <row r="49" customFormat="false" ht="16.5" hidden="false" customHeight="true" outlineLevel="0" collapsed="false">
      <c r="A49" s="542" t="str">
        <f aca="false">IF($Y49="","",IF(INDEX($N$6:$N$1005,$Y49)=$B$2,"오늘","+"&amp;(INDEX($N$6:$N$1005,$Y49)-$B$2)&amp;"일"))</f>
        <v/>
      </c>
      <c r="B49" s="543" t="str">
        <f aca="false">IF($Y49="","",INDEX($N$6:$N$1005,$Y49))</f>
        <v/>
      </c>
      <c r="C49" s="542" t="str">
        <f aca="false">IF($Y49="","",CHOOSE(WEEKDAY(INDEX($N$6:$N$1005,$Y49)),"일","월","화","수","목","금","토"))</f>
        <v/>
      </c>
      <c r="D49" s="543" t="str">
        <f aca="false">IF($Y49="","",INDEX($O$6:$O$1005,$Y49))</f>
        <v/>
      </c>
      <c r="E49" s="544" t="str">
        <f aca="false">IF($Y49="","",INDEX($P$6:$P$1005,$Y49))</f>
        <v/>
      </c>
      <c r="F49" s="544" t="str">
        <f aca="false">IF($Y49="","",INDEX($Q$6:$Q$1005,$Y49))</f>
        <v/>
      </c>
      <c r="G49" s="542" t="str">
        <f aca="false">IF($Y49="","",INDEX($R$6:$R$1005,$Y49))</f>
        <v/>
      </c>
      <c r="H49" s="542" t="str">
        <f aca="false">IF($Y49="","","USD")</f>
        <v/>
      </c>
      <c r="I49" s="545" t="str">
        <f aca="false">IF($Y49="","",INDEX($S$6:$S$1005,$Y49))</f>
        <v/>
      </c>
      <c r="J49" s="546" t="str">
        <f aca="false">IF($Y49="","",INDEX($T$6:$T$1005,$Y49))</f>
        <v/>
      </c>
      <c r="K49" s="546" t="str">
        <f aca="false">IF($Y49="","",INDEX($U$6:$U$1005,$Y49))</f>
        <v/>
      </c>
      <c r="L49" s="542" t="str">
        <f aca="false">IF($Y49="","",IF(INDEX($S$6:$S$1005,$Y49)&gt;=10,"★ 10백만불↑",""))</f>
        <v/>
      </c>
      <c r="M49" s="531"/>
      <c r="N49" s="547" t="n">
        <f aca="false">IF('(1)예금승인내역'!H675="","",'(1)예금승인내역'!H675)</f>
        <v>45503</v>
      </c>
      <c r="O49" s="547" t="n">
        <f aca="false">IF('(1)예금승인내역'!G675="","",'(1)예금승인내역'!G675)</f>
        <v>45439</v>
      </c>
      <c r="P49" s="531" t="str">
        <f aca="false">IF('(1)예금승인내역'!F675="","",'(1)예금승인내역'!F675)</f>
        <v>에스엠상선㈜</v>
      </c>
      <c r="Q49" s="531" t="str">
        <f aca="false">IF('(1)예금승인내역'!C675="","",'(1)예금승인내역'!C675)</f>
        <v>강남영업부</v>
      </c>
      <c r="R49" s="531" t="str">
        <f aca="false">IF('(1)예금승인내역'!K675="","",'(1)예금승인내역'!K675)</f>
        <v>정기예금</v>
      </c>
      <c r="S49" s="548" t="n">
        <f aca="false">IF('(1)예금승인내역'!L675="","",'(1)예금승인내역'!L675)</f>
        <v>10</v>
      </c>
      <c r="T49" s="549" t="n">
        <f aca="false">IF('(1)예금승인내역'!AG675="","",'(1)예금승인내역'!AG675)</f>
        <v>0.053</v>
      </c>
      <c r="U49" s="549" t="n">
        <f aca="false">IF('(1)예금승인내역'!X675="","",'(1)예금승인내역'!X675)</f>
        <v>0.002255</v>
      </c>
      <c r="V49" s="531" t="n">
        <f aca="false">IF(ISNUMBER(N49),N49-$B$2,"")</f>
        <v>-686</v>
      </c>
      <c r="W49" s="531" t="str">
        <f aca="false">IF(AND(ISNUMBER(N49),N49&gt;=$B$2,N49&lt;=$B$2+10),N49*100000+ROW(),"")</f>
        <v/>
      </c>
      <c r="X49" s="531" t="str">
        <f aca="false">IFERROR(SMALL($W$6:$W$1005,44),"")</f>
        <v/>
      </c>
      <c r="Y49" s="531" t="str">
        <f aca="false">IF(X49="","",MATCH(X49,$W$6:$W$1005,0))</f>
        <v/>
      </c>
      <c r="Z49" s="531"/>
      <c r="AA49" s="531"/>
      <c r="AB49" s="531"/>
      <c r="AC49" s="531"/>
      <c r="AD49" s="531"/>
      <c r="AE49" s="531"/>
      <c r="AF49" s="531"/>
      <c r="AG49" s="531"/>
      <c r="AH49" s="531"/>
      <c r="AI49" s="531"/>
      <c r="AJ49" s="531"/>
      <c r="AK49" s="531"/>
      <c r="AL49" s="531"/>
      <c r="AM49" s="531"/>
      <c r="AN49" s="531"/>
    </row>
    <row r="50" customFormat="false" ht="16.5" hidden="false" customHeight="true" outlineLevel="0" collapsed="false">
      <c r="A50" s="542" t="str">
        <f aca="false">IF($Y50="","",IF(INDEX($N$6:$N$1005,$Y50)=$B$2,"오늘","+"&amp;(INDEX($N$6:$N$1005,$Y50)-$B$2)&amp;"일"))</f>
        <v/>
      </c>
      <c r="B50" s="543" t="str">
        <f aca="false">IF($Y50="","",INDEX($N$6:$N$1005,$Y50))</f>
        <v/>
      </c>
      <c r="C50" s="542" t="str">
        <f aca="false">IF($Y50="","",CHOOSE(WEEKDAY(INDEX($N$6:$N$1005,$Y50)),"일","월","화","수","목","금","토"))</f>
        <v/>
      </c>
      <c r="D50" s="543" t="str">
        <f aca="false">IF($Y50="","",INDEX($O$6:$O$1005,$Y50))</f>
        <v/>
      </c>
      <c r="E50" s="544" t="str">
        <f aca="false">IF($Y50="","",INDEX($P$6:$P$1005,$Y50))</f>
        <v/>
      </c>
      <c r="F50" s="544" t="str">
        <f aca="false">IF($Y50="","",INDEX($Q$6:$Q$1005,$Y50))</f>
        <v/>
      </c>
      <c r="G50" s="542" t="str">
        <f aca="false">IF($Y50="","",INDEX($R$6:$R$1005,$Y50))</f>
        <v/>
      </c>
      <c r="H50" s="542" t="str">
        <f aca="false">IF($Y50="","","USD")</f>
        <v/>
      </c>
      <c r="I50" s="545" t="str">
        <f aca="false">IF($Y50="","",INDEX($S$6:$S$1005,$Y50))</f>
        <v/>
      </c>
      <c r="J50" s="546" t="str">
        <f aca="false">IF($Y50="","",INDEX($T$6:$T$1005,$Y50))</f>
        <v/>
      </c>
      <c r="K50" s="546" t="str">
        <f aca="false">IF($Y50="","",INDEX($U$6:$U$1005,$Y50))</f>
        <v/>
      </c>
      <c r="L50" s="542" t="str">
        <f aca="false">IF($Y50="","",IF(INDEX($S$6:$S$1005,$Y50)&gt;=10,"★ 10백만불↑",""))</f>
        <v/>
      </c>
      <c r="M50" s="531"/>
      <c r="N50" s="547" t="n">
        <f aca="false">IF('(1)예금승인내역'!H676="","",'(1)예금승인내역'!H676)</f>
        <v>45470</v>
      </c>
      <c r="O50" s="547" t="n">
        <f aca="false">IF('(1)예금승인내역'!G676="","",'(1)예금승인내역'!G676)</f>
        <v>45439</v>
      </c>
      <c r="P50" s="531" t="str">
        <f aca="false">IF('(1)예금승인내역'!F676="","",'(1)예금승인내역'!F676)</f>
        <v>㈜와이투솔루션</v>
      </c>
      <c r="Q50" s="531" t="str">
        <f aca="false">IF('(1)예금승인내역'!C676="","",'(1)예금승인내역'!C676)</f>
        <v>화성금융센터</v>
      </c>
      <c r="R50" s="531" t="str">
        <f aca="false">IF('(1)예금승인내역'!K676="","",'(1)예금승인내역'!K676)</f>
        <v>정기예금</v>
      </c>
      <c r="S50" s="548" t="n">
        <f aca="false">IF('(1)예금승인내역'!L676="","",'(1)예금승인내역'!L676)</f>
        <v>10</v>
      </c>
      <c r="T50" s="549" t="n">
        <f aca="false">IF('(1)예금승인내역'!AG676="","",'(1)예금승인내역'!AG676)</f>
        <v>0.0523</v>
      </c>
      <c r="U50" s="549" t="n">
        <f aca="false">IF('(1)예금승인내역'!X676="","",'(1)예금승인내역'!X676)</f>
        <v>0.002099</v>
      </c>
      <c r="V50" s="531" t="n">
        <f aca="false">IF(ISNUMBER(N50),N50-$B$2,"")</f>
        <v>-719</v>
      </c>
      <c r="W50" s="531" t="str">
        <f aca="false">IF(AND(ISNUMBER(N50),N50&gt;=$B$2,N50&lt;=$B$2+10),N50*100000+ROW(),"")</f>
        <v/>
      </c>
      <c r="X50" s="531" t="str">
        <f aca="false">IFERROR(SMALL($W$6:$W$1005,45),"")</f>
        <v/>
      </c>
      <c r="Y50" s="531" t="str">
        <f aca="false">IF(X50="","",MATCH(X50,$W$6:$W$1005,0))</f>
        <v/>
      </c>
      <c r="Z50" s="531"/>
      <c r="AA50" s="531"/>
      <c r="AB50" s="531"/>
      <c r="AC50" s="531"/>
      <c r="AD50" s="531"/>
      <c r="AE50" s="531"/>
      <c r="AF50" s="531"/>
      <c r="AG50" s="531"/>
      <c r="AH50" s="531"/>
      <c r="AI50" s="531"/>
      <c r="AJ50" s="531"/>
      <c r="AK50" s="531"/>
      <c r="AL50" s="531"/>
      <c r="AM50" s="531"/>
      <c r="AN50" s="531"/>
    </row>
    <row r="51" customFormat="false" ht="16.5" hidden="false" customHeight="true" outlineLevel="0" collapsed="false">
      <c r="A51" s="542" t="str">
        <f aca="false">IF($Y51="","",IF(INDEX($N$6:$N$1005,$Y51)=$B$2,"오늘","+"&amp;(INDEX($N$6:$N$1005,$Y51)-$B$2)&amp;"일"))</f>
        <v/>
      </c>
      <c r="B51" s="543" t="str">
        <f aca="false">IF($Y51="","",INDEX($N$6:$N$1005,$Y51))</f>
        <v/>
      </c>
      <c r="C51" s="542" t="str">
        <f aca="false">IF($Y51="","",CHOOSE(WEEKDAY(INDEX($N$6:$N$1005,$Y51)),"일","월","화","수","목","금","토"))</f>
        <v/>
      </c>
      <c r="D51" s="543" t="str">
        <f aca="false">IF($Y51="","",INDEX($O$6:$O$1005,$Y51))</f>
        <v/>
      </c>
      <c r="E51" s="544" t="str">
        <f aca="false">IF($Y51="","",INDEX($P$6:$P$1005,$Y51))</f>
        <v/>
      </c>
      <c r="F51" s="544" t="str">
        <f aca="false">IF($Y51="","",INDEX($Q$6:$Q$1005,$Y51))</f>
        <v/>
      </c>
      <c r="G51" s="542" t="str">
        <f aca="false">IF($Y51="","",INDEX($R$6:$R$1005,$Y51))</f>
        <v/>
      </c>
      <c r="H51" s="542" t="str">
        <f aca="false">IF($Y51="","","USD")</f>
        <v/>
      </c>
      <c r="I51" s="545" t="str">
        <f aca="false">IF($Y51="","",INDEX($S$6:$S$1005,$Y51))</f>
        <v/>
      </c>
      <c r="J51" s="546" t="str">
        <f aca="false">IF($Y51="","",INDEX($T$6:$T$1005,$Y51))</f>
        <v/>
      </c>
      <c r="K51" s="546" t="str">
        <f aca="false">IF($Y51="","",INDEX($U$6:$U$1005,$Y51))</f>
        <v/>
      </c>
      <c r="L51" s="542" t="str">
        <f aca="false">IF($Y51="","",IF(INDEX($S$6:$S$1005,$Y51)&gt;=10,"★ 10백만불↑",""))</f>
        <v/>
      </c>
      <c r="M51" s="531"/>
      <c r="N51" s="547" t="n">
        <f aca="false">IF('(1)예금승인내역'!H677="","",'(1)예금승인내역'!H677)</f>
        <v>45470</v>
      </c>
      <c r="O51" s="547" t="n">
        <f aca="false">IF('(1)예금승인내역'!G677="","",'(1)예금승인내역'!G677)</f>
        <v>45439</v>
      </c>
      <c r="P51" s="531" t="str">
        <f aca="false">IF('(1)예금승인내역'!F677="","",'(1)예금승인내역'!F677)</f>
        <v>㈜와이투솔루션</v>
      </c>
      <c r="Q51" s="531" t="str">
        <f aca="false">IF('(1)예금승인내역'!C677="","",'(1)예금승인내역'!C677)</f>
        <v>화성금융센터</v>
      </c>
      <c r="R51" s="531" t="str">
        <f aca="false">IF('(1)예금승인내역'!K677="","",'(1)예금승인내역'!K677)</f>
        <v>정기예금</v>
      </c>
      <c r="S51" s="548" t="n">
        <f aca="false">IF('(1)예금승인내역'!L677="","",'(1)예금승인내역'!L677)</f>
        <v>2</v>
      </c>
      <c r="T51" s="549" t="n">
        <f aca="false">IF('(1)예금승인내역'!AG677="","",'(1)예금승인내역'!AG677)</f>
        <v>0.0523</v>
      </c>
      <c r="U51" s="549" t="n">
        <f aca="false">IF('(1)예금승인내역'!X677="","",'(1)예금승인내역'!X677)</f>
        <v>0.002099</v>
      </c>
      <c r="V51" s="531" t="n">
        <f aca="false">IF(ISNUMBER(N51),N51-$B$2,"")</f>
        <v>-719</v>
      </c>
      <c r="W51" s="531" t="str">
        <f aca="false">IF(AND(ISNUMBER(N51),N51&gt;=$B$2,N51&lt;=$B$2+10),N51*100000+ROW(),"")</f>
        <v/>
      </c>
      <c r="X51" s="531" t="str">
        <f aca="false">IFERROR(SMALL($W$6:$W$1005,46),"")</f>
        <v/>
      </c>
      <c r="Y51" s="531" t="str">
        <f aca="false">IF(X51="","",MATCH(X51,$W$6:$W$1005,0))</f>
        <v/>
      </c>
      <c r="Z51" s="531"/>
      <c r="AA51" s="531"/>
      <c r="AB51" s="531"/>
      <c r="AC51" s="531"/>
      <c r="AD51" s="531"/>
      <c r="AE51" s="531"/>
      <c r="AF51" s="531"/>
      <c r="AG51" s="531"/>
      <c r="AH51" s="531"/>
      <c r="AI51" s="531"/>
      <c r="AJ51" s="531"/>
      <c r="AK51" s="531"/>
      <c r="AL51" s="531"/>
      <c r="AM51" s="531"/>
      <c r="AN51" s="531"/>
    </row>
    <row r="52" customFormat="false" ht="16.5" hidden="false" customHeight="true" outlineLevel="0" collapsed="false">
      <c r="A52" s="542" t="str">
        <f aca="false">IF($Y52="","",IF(INDEX($N$6:$N$1005,$Y52)=$B$2,"오늘","+"&amp;(INDEX($N$6:$N$1005,$Y52)-$B$2)&amp;"일"))</f>
        <v/>
      </c>
      <c r="B52" s="543" t="str">
        <f aca="false">IF($Y52="","",INDEX($N$6:$N$1005,$Y52))</f>
        <v/>
      </c>
      <c r="C52" s="542" t="str">
        <f aca="false">IF($Y52="","",CHOOSE(WEEKDAY(INDEX($N$6:$N$1005,$Y52)),"일","월","화","수","목","금","토"))</f>
        <v/>
      </c>
      <c r="D52" s="543" t="str">
        <f aca="false">IF($Y52="","",INDEX($O$6:$O$1005,$Y52))</f>
        <v/>
      </c>
      <c r="E52" s="544" t="str">
        <f aca="false">IF($Y52="","",INDEX($P$6:$P$1005,$Y52))</f>
        <v/>
      </c>
      <c r="F52" s="544" t="str">
        <f aca="false">IF($Y52="","",INDEX($Q$6:$Q$1005,$Y52))</f>
        <v/>
      </c>
      <c r="G52" s="542" t="str">
        <f aca="false">IF($Y52="","",INDEX($R$6:$R$1005,$Y52))</f>
        <v/>
      </c>
      <c r="H52" s="542" t="str">
        <f aca="false">IF($Y52="","","USD")</f>
        <v/>
      </c>
      <c r="I52" s="545" t="str">
        <f aca="false">IF($Y52="","",INDEX($S$6:$S$1005,$Y52))</f>
        <v/>
      </c>
      <c r="J52" s="546" t="str">
        <f aca="false">IF($Y52="","",INDEX($T$6:$T$1005,$Y52))</f>
        <v/>
      </c>
      <c r="K52" s="546" t="str">
        <f aca="false">IF($Y52="","",INDEX($U$6:$U$1005,$Y52))</f>
        <v/>
      </c>
      <c r="L52" s="542" t="str">
        <f aca="false">IF($Y52="","",IF(INDEX($S$6:$S$1005,$Y52)&gt;=10,"★ 10백만불↑",""))</f>
        <v/>
      </c>
      <c r="M52" s="531"/>
      <c r="N52" s="547" t="n">
        <f aca="false">IF('(1)예금승인내역'!H678="","",'(1)예금승인내역'!H678)</f>
        <v>45476</v>
      </c>
      <c r="O52" s="547" t="n">
        <f aca="false">IF('(1)예금승인내역'!G678="","",'(1)예금승인내역'!G678)</f>
        <v>45446</v>
      </c>
      <c r="P52" s="531" t="str">
        <f aca="false">IF('(1)예금승인내역'!F678="","",'(1)예금승인내역'!F678)</f>
        <v>㈜이수스페셜티케미컬</v>
      </c>
      <c r="Q52" s="531" t="str">
        <f aca="false">IF('(1)예금승인내역'!C678="","",'(1)예금승인내역'!C678)</f>
        <v>성남금융센터</v>
      </c>
      <c r="R52" s="531" t="str">
        <f aca="false">IF('(1)예금승인내역'!K678="","",'(1)예금승인내역'!K678)</f>
        <v>MMDA</v>
      </c>
      <c r="S52" s="548" t="n">
        <f aca="false">IF('(1)예금승인내역'!L678="","",'(1)예금승인내역'!L678)</f>
        <v>2</v>
      </c>
      <c r="T52" s="549" t="n">
        <f aca="false">IF('(1)예금승인내역'!AG678="","",'(1)예금승인내역'!AG678)</f>
        <v>0.054</v>
      </c>
      <c r="U52" s="549" t="n">
        <f aca="false">IF('(1)예금승인내역'!X678="","",'(1)예금승인내역'!X678)</f>
        <v>0.009793</v>
      </c>
      <c r="V52" s="531" t="n">
        <f aca="false">IF(ISNUMBER(N52),N52-$B$2,"")</f>
        <v>-713</v>
      </c>
      <c r="W52" s="531" t="str">
        <f aca="false">IF(AND(ISNUMBER(N52),N52&gt;=$B$2,N52&lt;=$B$2+10),N52*100000+ROW(),"")</f>
        <v/>
      </c>
      <c r="X52" s="531" t="str">
        <f aca="false">IFERROR(SMALL($W$6:$W$1005,47),"")</f>
        <v/>
      </c>
      <c r="Y52" s="531" t="str">
        <f aca="false">IF(X52="","",MATCH(X52,$W$6:$W$1005,0))</f>
        <v/>
      </c>
      <c r="Z52" s="531"/>
      <c r="AA52" s="531"/>
      <c r="AB52" s="531"/>
      <c r="AC52" s="531"/>
      <c r="AD52" s="531"/>
      <c r="AE52" s="531"/>
      <c r="AF52" s="531"/>
      <c r="AG52" s="531"/>
      <c r="AH52" s="531"/>
      <c r="AI52" s="531"/>
      <c r="AJ52" s="531"/>
      <c r="AK52" s="531"/>
      <c r="AL52" s="531"/>
      <c r="AM52" s="531"/>
      <c r="AN52" s="531"/>
    </row>
    <row r="53" customFormat="false" ht="16.5" hidden="false" customHeight="true" outlineLevel="0" collapsed="false">
      <c r="A53" s="542" t="str">
        <f aca="false">IF($Y53="","",IF(INDEX($N$6:$N$1005,$Y53)=$B$2,"오늘","+"&amp;(INDEX($N$6:$N$1005,$Y53)-$B$2)&amp;"일"))</f>
        <v/>
      </c>
      <c r="B53" s="543" t="str">
        <f aca="false">IF($Y53="","",INDEX($N$6:$N$1005,$Y53))</f>
        <v/>
      </c>
      <c r="C53" s="542" t="str">
        <f aca="false">IF($Y53="","",CHOOSE(WEEKDAY(INDEX($N$6:$N$1005,$Y53)),"일","월","화","수","목","금","토"))</f>
        <v/>
      </c>
      <c r="D53" s="543" t="str">
        <f aca="false">IF($Y53="","",INDEX($O$6:$O$1005,$Y53))</f>
        <v/>
      </c>
      <c r="E53" s="544" t="str">
        <f aca="false">IF($Y53="","",INDEX($P$6:$P$1005,$Y53))</f>
        <v/>
      </c>
      <c r="F53" s="544" t="str">
        <f aca="false">IF($Y53="","",INDEX($Q$6:$Q$1005,$Y53))</f>
        <v/>
      </c>
      <c r="G53" s="542" t="str">
        <f aca="false">IF($Y53="","",INDEX($R$6:$R$1005,$Y53))</f>
        <v/>
      </c>
      <c r="H53" s="542" t="str">
        <f aca="false">IF($Y53="","","USD")</f>
        <v/>
      </c>
      <c r="I53" s="545" t="str">
        <f aca="false">IF($Y53="","",INDEX($S$6:$S$1005,$Y53))</f>
        <v/>
      </c>
      <c r="J53" s="546" t="str">
        <f aca="false">IF($Y53="","",INDEX($T$6:$T$1005,$Y53))</f>
        <v/>
      </c>
      <c r="K53" s="546" t="str">
        <f aca="false">IF($Y53="","",INDEX($U$6:$U$1005,$Y53))</f>
        <v/>
      </c>
      <c r="L53" s="542" t="str">
        <f aca="false">IF($Y53="","",IF(INDEX($S$6:$S$1005,$Y53)&gt;=10,"★ 10백만불↑",""))</f>
        <v/>
      </c>
      <c r="M53" s="531"/>
      <c r="N53" s="547" t="n">
        <f aca="false">IF('(1)예금승인내역'!H679="","",'(1)예금승인내역'!H679)</f>
        <v>45481</v>
      </c>
      <c r="O53" s="547" t="n">
        <f aca="false">IF('(1)예금승인내역'!G679="","",'(1)예금승인내역'!G679)</f>
        <v>45450</v>
      </c>
      <c r="P53" s="531" t="str">
        <f aca="false">IF('(1)예금승인내역'!F679="","",'(1)예금승인내역'!F679)</f>
        <v>한국비철㈜</v>
      </c>
      <c r="Q53" s="531" t="str">
        <f aca="false">IF('(1)예금승인내역'!C679="","",'(1)예금승인내역'!C679)</f>
        <v>달성공단영업부</v>
      </c>
      <c r="R53" s="531" t="str">
        <f aca="false">IF('(1)예금승인내역'!K679="","",'(1)예금승인내역'!K679)</f>
        <v>정기예금</v>
      </c>
      <c r="S53" s="548" t="n">
        <f aca="false">IF('(1)예금승인내역'!L679="","",'(1)예금승인내역'!L679)</f>
        <v>7</v>
      </c>
      <c r="T53" s="549" t="n">
        <f aca="false">IF('(1)예금승인내역'!AG679="","",'(1)예금승인내역'!AG679)</f>
        <v>0.052</v>
      </c>
      <c r="U53" s="549" t="n">
        <f aca="false">IF('(1)예금승인내역'!X679="","",'(1)예금승인내역'!X679)</f>
        <v>0.002425</v>
      </c>
      <c r="V53" s="531" t="n">
        <f aca="false">IF(ISNUMBER(N53),N53-$B$2,"")</f>
        <v>-708</v>
      </c>
      <c r="W53" s="531" t="str">
        <f aca="false">IF(AND(ISNUMBER(N53),N53&gt;=$B$2,N53&lt;=$B$2+10),N53*100000+ROW(),"")</f>
        <v/>
      </c>
      <c r="X53" s="531" t="str">
        <f aca="false">IFERROR(SMALL($W$6:$W$1005,48),"")</f>
        <v/>
      </c>
      <c r="Y53" s="531" t="str">
        <f aca="false">IF(X53="","",MATCH(X53,$W$6:$W$1005,0))</f>
        <v/>
      </c>
      <c r="Z53" s="531"/>
      <c r="AA53" s="531"/>
      <c r="AB53" s="531"/>
      <c r="AC53" s="531"/>
      <c r="AD53" s="531"/>
      <c r="AE53" s="531"/>
      <c r="AF53" s="531"/>
      <c r="AG53" s="531"/>
      <c r="AH53" s="531"/>
      <c r="AI53" s="531"/>
      <c r="AJ53" s="531"/>
      <c r="AK53" s="531"/>
      <c r="AL53" s="531"/>
      <c r="AM53" s="531"/>
      <c r="AN53" s="531"/>
    </row>
    <row r="54" customFormat="false" ht="16.5" hidden="false" customHeight="true" outlineLevel="0" collapsed="false">
      <c r="A54" s="542" t="str">
        <f aca="false">IF($Y54="","",IF(INDEX($N$6:$N$1005,$Y54)=$B$2,"오늘","+"&amp;(INDEX($N$6:$N$1005,$Y54)-$B$2)&amp;"일"))</f>
        <v/>
      </c>
      <c r="B54" s="543" t="str">
        <f aca="false">IF($Y54="","",INDEX($N$6:$N$1005,$Y54))</f>
        <v/>
      </c>
      <c r="C54" s="542" t="str">
        <f aca="false">IF($Y54="","",CHOOSE(WEEKDAY(INDEX($N$6:$N$1005,$Y54)),"일","월","화","수","목","금","토"))</f>
        <v/>
      </c>
      <c r="D54" s="543" t="str">
        <f aca="false">IF($Y54="","",INDEX($O$6:$O$1005,$Y54))</f>
        <v/>
      </c>
      <c r="E54" s="544" t="str">
        <f aca="false">IF($Y54="","",INDEX($P$6:$P$1005,$Y54))</f>
        <v/>
      </c>
      <c r="F54" s="544" t="str">
        <f aca="false">IF($Y54="","",INDEX($Q$6:$Q$1005,$Y54))</f>
        <v/>
      </c>
      <c r="G54" s="542" t="str">
        <f aca="false">IF($Y54="","",INDEX($R$6:$R$1005,$Y54))</f>
        <v/>
      </c>
      <c r="H54" s="542" t="str">
        <f aca="false">IF($Y54="","","USD")</f>
        <v/>
      </c>
      <c r="I54" s="545" t="str">
        <f aca="false">IF($Y54="","",INDEX($S$6:$S$1005,$Y54))</f>
        <v/>
      </c>
      <c r="J54" s="546" t="str">
        <f aca="false">IF($Y54="","",INDEX($T$6:$T$1005,$Y54))</f>
        <v/>
      </c>
      <c r="K54" s="546" t="str">
        <f aca="false">IF($Y54="","",INDEX($U$6:$U$1005,$Y54))</f>
        <v/>
      </c>
      <c r="L54" s="542" t="str">
        <f aca="false">IF($Y54="","",IF(INDEX($S$6:$S$1005,$Y54)&gt;=10,"★ 10백만불↑",""))</f>
        <v/>
      </c>
      <c r="M54" s="531"/>
      <c r="N54" s="547" t="n">
        <f aca="false">IF('(1)예금승인내역'!H680="","",'(1)예금승인내역'!H680)</f>
        <v>45481</v>
      </c>
      <c r="O54" s="547" t="n">
        <f aca="false">IF('(1)예금승인내역'!G680="","",'(1)예금승인내역'!G680)</f>
        <v>45450</v>
      </c>
      <c r="P54" s="531" t="str">
        <f aca="false">IF('(1)예금승인내역'!F680="","",'(1)예금승인내역'!F680)</f>
        <v>한국비철㈜</v>
      </c>
      <c r="Q54" s="531" t="str">
        <f aca="false">IF('(1)예금승인내역'!C680="","",'(1)예금승인내역'!C680)</f>
        <v>달성공단영업부</v>
      </c>
      <c r="R54" s="531" t="str">
        <f aca="false">IF('(1)예금승인내역'!K680="","",'(1)예금승인내역'!K680)</f>
        <v>정기예금</v>
      </c>
      <c r="S54" s="548" t="n">
        <f aca="false">IF('(1)예금승인내역'!L680="","",'(1)예금승인내역'!L680)</f>
        <v>1</v>
      </c>
      <c r="T54" s="549" t="n">
        <f aca="false">IF('(1)예금승인내역'!AG680="","",'(1)예금승인내역'!AG680)</f>
        <v>0.052</v>
      </c>
      <c r="U54" s="549" t="n">
        <f aca="false">IF('(1)예금승인내역'!X680="","",'(1)예금승인내역'!X680)</f>
        <v>0.002425</v>
      </c>
      <c r="V54" s="531" t="n">
        <f aca="false">IF(ISNUMBER(N54),N54-$B$2,"")</f>
        <v>-708</v>
      </c>
      <c r="W54" s="531" t="str">
        <f aca="false">IF(AND(ISNUMBER(N54),N54&gt;=$B$2,N54&lt;=$B$2+10),N54*100000+ROW(),"")</f>
        <v/>
      </c>
      <c r="X54" s="531" t="str">
        <f aca="false">IFERROR(SMALL($W$6:$W$1005,49),"")</f>
        <v/>
      </c>
      <c r="Y54" s="531" t="str">
        <f aca="false">IF(X54="","",MATCH(X54,$W$6:$W$1005,0))</f>
        <v/>
      </c>
      <c r="Z54" s="531"/>
      <c r="AA54" s="531"/>
      <c r="AB54" s="531"/>
      <c r="AC54" s="531"/>
      <c r="AD54" s="531"/>
      <c r="AE54" s="531"/>
      <c r="AF54" s="531"/>
      <c r="AG54" s="531"/>
      <c r="AH54" s="531"/>
      <c r="AI54" s="531"/>
      <c r="AJ54" s="531"/>
      <c r="AK54" s="531"/>
      <c r="AL54" s="531"/>
      <c r="AM54" s="531"/>
      <c r="AN54" s="531"/>
    </row>
    <row r="55" customFormat="false" ht="16.5" hidden="false" customHeight="true" outlineLevel="0" collapsed="false">
      <c r="A55" s="542" t="str">
        <f aca="false">IF($Y55="","",IF(INDEX($N$6:$N$1005,$Y55)=$B$2,"오늘","+"&amp;(INDEX($N$6:$N$1005,$Y55)-$B$2)&amp;"일"))</f>
        <v/>
      </c>
      <c r="B55" s="543" t="str">
        <f aca="false">IF($Y55="","",INDEX($N$6:$N$1005,$Y55))</f>
        <v/>
      </c>
      <c r="C55" s="542" t="str">
        <f aca="false">IF($Y55="","",CHOOSE(WEEKDAY(INDEX($N$6:$N$1005,$Y55)),"일","월","화","수","목","금","토"))</f>
        <v/>
      </c>
      <c r="D55" s="543" t="str">
        <f aca="false">IF($Y55="","",INDEX($O$6:$O$1005,$Y55))</f>
        <v/>
      </c>
      <c r="E55" s="544" t="str">
        <f aca="false">IF($Y55="","",INDEX($P$6:$P$1005,$Y55))</f>
        <v/>
      </c>
      <c r="F55" s="544" t="str">
        <f aca="false">IF($Y55="","",INDEX($Q$6:$Q$1005,$Y55))</f>
        <v/>
      </c>
      <c r="G55" s="542" t="str">
        <f aca="false">IF($Y55="","",INDEX($R$6:$R$1005,$Y55))</f>
        <v/>
      </c>
      <c r="H55" s="542" t="str">
        <f aca="false">IF($Y55="","","USD")</f>
        <v/>
      </c>
      <c r="I55" s="545" t="str">
        <f aca="false">IF($Y55="","",INDEX($S$6:$S$1005,$Y55))</f>
        <v/>
      </c>
      <c r="J55" s="546" t="str">
        <f aca="false">IF($Y55="","",INDEX($T$6:$T$1005,$Y55))</f>
        <v/>
      </c>
      <c r="K55" s="546" t="str">
        <f aca="false">IF($Y55="","",INDEX($U$6:$U$1005,$Y55))</f>
        <v/>
      </c>
      <c r="L55" s="542" t="str">
        <f aca="false">IF($Y55="","",IF(INDEX($S$6:$S$1005,$Y55)&gt;=10,"★ 10백만불↑",""))</f>
        <v/>
      </c>
      <c r="M55" s="531"/>
      <c r="N55" s="547" t="n">
        <f aca="false">IF('(1)예금승인내역'!H681="","",'(1)예금승인내역'!H681)</f>
        <v>45468</v>
      </c>
      <c r="O55" s="547" t="n">
        <f aca="false">IF('(1)예금승인내역'!G681="","",'(1)예금승인내역'!G681)</f>
        <v>45457</v>
      </c>
      <c r="P55" s="531" t="str">
        <f aca="false">IF('(1)예금승인내역'!F681="","",'(1)예금승인내역'!F681)</f>
        <v>한국석유공사</v>
      </c>
      <c r="Q55" s="531" t="str">
        <f aca="false">IF('(1)예금승인내역'!C681="","",'(1)예금승인내역'!C681)</f>
        <v>울산영업부</v>
      </c>
      <c r="R55" s="531" t="str">
        <f aca="false">IF('(1)예금승인내역'!K681="","",'(1)예금승인내역'!K681)</f>
        <v>정기예금</v>
      </c>
      <c r="S55" s="548" t="n">
        <f aca="false">IF('(1)예금승인내역'!L681="","",'(1)예금승인내역'!L681)</f>
        <v>15</v>
      </c>
      <c r="T55" s="549" t="n">
        <f aca="false">IF('(1)예금승인내역'!AG681="","",'(1)예금승인내역'!AG681)</f>
        <v>0.05</v>
      </c>
      <c r="U55" s="549" t="n">
        <f aca="false">IF('(1)예금승인내역'!X681="","",'(1)예금승인내역'!X681)</f>
        <v>0.003071</v>
      </c>
      <c r="V55" s="531" t="n">
        <f aca="false">IF(ISNUMBER(N55),N55-$B$2,"")</f>
        <v>-721</v>
      </c>
      <c r="W55" s="531" t="str">
        <f aca="false">IF(AND(ISNUMBER(N55),N55&gt;=$B$2,N55&lt;=$B$2+10),N55*100000+ROW(),"")</f>
        <v/>
      </c>
      <c r="X55" s="531" t="str">
        <f aca="false">IFERROR(SMALL($W$6:$W$1005,50),"")</f>
        <v/>
      </c>
      <c r="Y55" s="531" t="str">
        <f aca="false">IF(X55="","",MATCH(X55,$W$6:$W$1005,0))</f>
        <v/>
      </c>
      <c r="Z55" s="531"/>
      <c r="AA55" s="531"/>
      <c r="AB55" s="531"/>
      <c r="AC55" s="531"/>
      <c r="AD55" s="531"/>
      <c r="AE55" s="531"/>
      <c r="AF55" s="531"/>
      <c r="AG55" s="531"/>
      <c r="AH55" s="531"/>
      <c r="AI55" s="531"/>
      <c r="AJ55" s="531"/>
      <c r="AK55" s="531"/>
      <c r="AL55" s="531"/>
      <c r="AM55" s="531"/>
      <c r="AN55" s="531"/>
    </row>
    <row r="56" customFormat="false" ht="16.5" hidden="false" customHeight="true" outlineLevel="0" collapsed="false">
      <c r="A56" s="542" t="str">
        <f aca="false">IF($Y56="","",IF(INDEX($N$6:$N$1005,$Y56)=$B$2,"오늘","+"&amp;(INDEX($N$6:$N$1005,$Y56)-$B$2)&amp;"일"))</f>
        <v/>
      </c>
      <c r="B56" s="543" t="str">
        <f aca="false">IF($Y56="","",INDEX($N$6:$N$1005,$Y56))</f>
        <v/>
      </c>
      <c r="C56" s="542" t="str">
        <f aca="false">IF($Y56="","",CHOOSE(WEEKDAY(INDEX($N$6:$N$1005,$Y56)),"일","월","화","수","목","금","토"))</f>
        <v/>
      </c>
      <c r="D56" s="543" t="str">
        <f aca="false">IF($Y56="","",INDEX($O$6:$O$1005,$Y56))</f>
        <v/>
      </c>
      <c r="E56" s="544" t="str">
        <f aca="false">IF($Y56="","",INDEX($P$6:$P$1005,$Y56))</f>
        <v/>
      </c>
      <c r="F56" s="544" t="str">
        <f aca="false">IF($Y56="","",INDEX($Q$6:$Q$1005,$Y56))</f>
        <v/>
      </c>
      <c r="G56" s="542" t="str">
        <f aca="false">IF($Y56="","",INDEX($R$6:$R$1005,$Y56))</f>
        <v/>
      </c>
      <c r="H56" s="542" t="str">
        <f aca="false">IF($Y56="","","USD")</f>
        <v/>
      </c>
      <c r="I56" s="545" t="str">
        <f aca="false">IF($Y56="","",INDEX($S$6:$S$1005,$Y56))</f>
        <v/>
      </c>
      <c r="J56" s="546" t="str">
        <f aca="false">IF($Y56="","",INDEX($T$6:$T$1005,$Y56))</f>
        <v/>
      </c>
      <c r="K56" s="546" t="str">
        <f aca="false">IF($Y56="","",INDEX($U$6:$U$1005,$Y56))</f>
        <v/>
      </c>
      <c r="L56" s="542" t="str">
        <f aca="false">IF($Y56="","",IF(INDEX($S$6:$S$1005,$Y56)&gt;=10,"★ 10백만불↑",""))</f>
        <v/>
      </c>
      <c r="M56" s="531"/>
      <c r="N56" s="547" t="n">
        <f aca="false">IF('(1)예금승인내역'!H682="","",'(1)예금승인내역'!H682)</f>
        <v>45502</v>
      </c>
      <c r="O56" s="547" t="n">
        <f aca="false">IF('(1)예금승인내역'!G682="","",'(1)예금승인내역'!G682)</f>
        <v>45470</v>
      </c>
      <c r="P56" s="531" t="str">
        <f aca="false">IF('(1)예금승인내역'!F682="","",'(1)예금승인내역'!F682)</f>
        <v>㈜와이투솔루션</v>
      </c>
      <c r="Q56" s="531" t="str">
        <f aca="false">IF('(1)예금승인내역'!C682="","",'(1)예금승인내역'!C682)</f>
        <v>화성금융센터</v>
      </c>
      <c r="R56" s="531" t="str">
        <f aca="false">IF('(1)예금승인내역'!K682="","",'(1)예금승인내역'!K682)</f>
        <v>정기예금</v>
      </c>
      <c r="S56" s="548" t="n">
        <f aca="false">IF('(1)예금승인내역'!L682="","",'(1)예금승인내역'!L682)</f>
        <v>10</v>
      </c>
      <c r="T56" s="549" t="n">
        <f aca="false">IF('(1)예금승인내역'!AG682="","",'(1)예금승인내역'!AG682)</f>
        <v>0.052</v>
      </c>
      <c r="U56" s="549" t="n">
        <f aca="false">IF('(1)예금승인내역'!X682="","",'(1)예금승인내역'!X682)</f>
        <v>0.002626</v>
      </c>
      <c r="V56" s="531" t="n">
        <f aca="false">IF(ISNUMBER(N56),N56-$B$2,"")</f>
        <v>-687</v>
      </c>
      <c r="W56" s="531" t="str">
        <f aca="false">IF(AND(ISNUMBER(N56),N56&gt;=$B$2,N56&lt;=$B$2+10),N56*100000+ROW(),"")</f>
        <v/>
      </c>
      <c r="X56" s="531" t="str">
        <f aca="false">IFERROR(SMALL($W$6:$W$1005,51),"")</f>
        <v/>
      </c>
      <c r="Y56" s="531" t="str">
        <f aca="false">IF(X56="","",MATCH(X56,$W$6:$W$1005,0))</f>
        <v/>
      </c>
      <c r="Z56" s="531"/>
      <c r="AA56" s="531"/>
      <c r="AB56" s="531"/>
      <c r="AC56" s="531"/>
      <c r="AD56" s="531"/>
      <c r="AE56" s="531"/>
      <c r="AF56" s="531"/>
      <c r="AG56" s="531"/>
      <c r="AH56" s="531"/>
      <c r="AI56" s="531"/>
      <c r="AJ56" s="531"/>
      <c r="AK56" s="531"/>
      <c r="AL56" s="531"/>
      <c r="AM56" s="531"/>
      <c r="AN56" s="531"/>
    </row>
    <row r="57" customFormat="false" ht="16.5" hidden="false" customHeight="true" outlineLevel="0" collapsed="false">
      <c r="A57" s="542" t="str">
        <f aca="false">IF($Y57="","",IF(INDEX($N$6:$N$1005,$Y57)=$B$2,"오늘","+"&amp;(INDEX($N$6:$N$1005,$Y57)-$B$2)&amp;"일"))</f>
        <v/>
      </c>
      <c r="B57" s="543" t="str">
        <f aca="false">IF($Y57="","",INDEX($N$6:$N$1005,$Y57))</f>
        <v/>
      </c>
      <c r="C57" s="542" t="str">
        <f aca="false">IF($Y57="","",CHOOSE(WEEKDAY(INDEX($N$6:$N$1005,$Y57)),"일","월","화","수","목","금","토"))</f>
        <v/>
      </c>
      <c r="D57" s="543" t="str">
        <f aca="false">IF($Y57="","",INDEX($O$6:$O$1005,$Y57))</f>
        <v/>
      </c>
      <c r="E57" s="544" t="str">
        <f aca="false">IF($Y57="","",INDEX($P$6:$P$1005,$Y57))</f>
        <v/>
      </c>
      <c r="F57" s="544" t="str">
        <f aca="false">IF($Y57="","",INDEX($Q$6:$Q$1005,$Y57))</f>
        <v/>
      </c>
      <c r="G57" s="542" t="str">
        <f aca="false">IF($Y57="","",INDEX($R$6:$R$1005,$Y57))</f>
        <v/>
      </c>
      <c r="H57" s="542" t="str">
        <f aca="false">IF($Y57="","","USD")</f>
        <v/>
      </c>
      <c r="I57" s="545" t="str">
        <f aca="false">IF($Y57="","",INDEX($S$6:$S$1005,$Y57))</f>
        <v/>
      </c>
      <c r="J57" s="546" t="str">
        <f aca="false">IF($Y57="","",INDEX($T$6:$T$1005,$Y57))</f>
        <v/>
      </c>
      <c r="K57" s="546" t="str">
        <f aca="false">IF($Y57="","",INDEX($U$6:$U$1005,$Y57))</f>
        <v/>
      </c>
      <c r="L57" s="542" t="str">
        <f aca="false">IF($Y57="","",IF(INDEX($S$6:$S$1005,$Y57)&gt;=10,"★ 10백만불↑",""))</f>
        <v/>
      </c>
      <c r="M57" s="531"/>
      <c r="N57" s="547" t="n">
        <f aca="false">IF('(1)예금승인내역'!H683="","",'(1)예금승인내역'!H683)</f>
        <v>45502</v>
      </c>
      <c r="O57" s="547" t="n">
        <f aca="false">IF('(1)예금승인내역'!G683="","",'(1)예금승인내역'!G683)</f>
        <v>45470</v>
      </c>
      <c r="P57" s="531" t="str">
        <f aca="false">IF('(1)예금승인내역'!F683="","",'(1)예금승인내역'!F683)</f>
        <v>㈜와이투솔루션</v>
      </c>
      <c r="Q57" s="531" t="str">
        <f aca="false">IF('(1)예금승인내역'!C683="","",'(1)예금승인내역'!C683)</f>
        <v>화성금융센터</v>
      </c>
      <c r="R57" s="531" t="str">
        <f aca="false">IF('(1)예금승인내역'!K683="","",'(1)예금승인내역'!K683)</f>
        <v>정기예금</v>
      </c>
      <c r="S57" s="548" t="n">
        <f aca="false">IF('(1)예금승인내역'!L683="","",'(1)예금승인내역'!L683)</f>
        <v>2</v>
      </c>
      <c r="T57" s="549" t="n">
        <f aca="false">IF('(1)예금승인내역'!AG683="","",'(1)예금승인내역'!AG683)</f>
        <v>0.052</v>
      </c>
      <c r="U57" s="549" t="n">
        <f aca="false">IF('(1)예금승인내역'!X683="","",'(1)예금승인내역'!X683)</f>
        <v>0.002626</v>
      </c>
      <c r="V57" s="531" t="n">
        <f aca="false">IF(ISNUMBER(N57),N57-$B$2,"")</f>
        <v>-687</v>
      </c>
      <c r="W57" s="531" t="str">
        <f aca="false">IF(AND(ISNUMBER(N57),N57&gt;=$B$2,N57&lt;=$B$2+10),N57*100000+ROW(),"")</f>
        <v/>
      </c>
      <c r="X57" s="531" t="str">
        <f aca="false">IFERROR(SMALL($W$6:$W$1005,52),"")</f>
        <v/>
      </c>
      <c r="Y57" s="531" t="str">
        <f aca="false">IF(X57="","",MATCH(X57,$W$6:$W$1005,0))</f>
        <v/>
      </c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</row>
    <row r="58" customFormat="false" ht="16.5" hidden="false" customHeight="true" outlineLevel="0" collapsed="false">
      <c r="A58" s="542" t="str">
        <f aca="false">IF($Y58="","",IF(INDEX($N$6:$N$1005,$Y58)=$B$2,"오늘","+"&amp;(INDEX($N$6:$N$1005,$Y58)-$B$2)&amp;"일"))</f>
        <v/>
      </c>
      <c r="B58" s="543" t="str">
        <f aca="false">IF($Y58="","",INDEX($N$6:$N$1005,$Y58))</f>
        <v/>
      </c>
      <c r="C58" s="542" t="str">
        <f aca="false">IF($Y58="","",CHOOSE(WEEKDAY(INDEX($N$6:$N$1005,$Y58)),"일","월","화","수","목","금","토"))</f>
        <v/>
      </c>
      <c r="D58" s="543" t="str">
        <f aca="false">IF($Y58="","",INDEX($O$6:$O$1005,$Y58))</f>
        <v/>
      </c>
      <c r="E58" s="544" t="str">
        <f aca="false">IF($Y58="","",INDEX($P$6:$P$1005,$Y58))</f>
        <v/>
      </c>
      <c r="F58" s="544" t="str">
        <f aca="false">IF($Y58="","",INDEX($Q$6:$Q$1005,$Y58))</f>
        <v/>
      </c>
      <c r="G58" s="542" t="str">
        <f aca="false">IF($Y58="","",INDEX($R$6:$R$1005,$Y58))</f>
        <v/>
      </c>
      <c r="H58" s="542" t="str">
        <f aca="false">IF($Y58="","","USD")</f>
        <v/>
      </c>
      <c r="I58" s="545" t="str">
        <f aca="false">IF($Y58="","",INDEX($S$6:$S$1005,$Y58))</f>
        <v/>
      </c>
      <c r="J58" s="546" t="str">
        <f aca="false">IF($Y58="","",INDEX($T$6:$T$1005,$Y58))</f>
        <v/>
      </c>
      <c r="K58" s="546" t="str">
        <f aca="false">IF($Y58="","",INDEX($U$6:$U$1005,$Y58))</f>
        <v/>
      </c>
      <c r="L58" s="542" t="str">
        <f aca="false">IF($Y58="","",IF(INDEX($S$6:$S$1005,$Y58)&gt;=10,"★ 10백만불↑",""))</f>
        <v/>
      </c>
      <c r="M58" s="531"/>
      <c r="N58" s="547" t="n">
        <f aca="false">IF('(1)예금승인내역'!H684="","",'(1)예금승인내역'!H684)</f>
        <v>45512</v>
      </c>
      <c r="O58" s="547" t="n">
        <f aca="false">IF('(1)예금승인내역'!G684="","",'(1)예금승인내역'!G684)</f>
        <v>45481</v>
      </c>
      <c r="P58" s="531" t="str">
        <f aca="false">IF('(1)예금승인내역'!F684="","",'(1)예금승인내역'!F684)</f>
        <v>한국비철㈜</v>
      </c>
      <c r="Q58" s="531" t="str">
        <f aca="false">IF('(1)예금승인내역'!C684="","",'(1)예금승인내역'!C684)</f>
        <v>달성공단영업부</v>
      </c>
      <c r="R58" s="531" t="str">
        <f aca="false">IF('(1)예금승인내역'!K684="","",'(1)예금승인내역'!K684)</f>
        <v>정기예금</v>
      </c>
      <c r="S58" s="548" t="n">
        <f aca="false">IF('(1)예금승인내역'!L684="","",'(1)예금승인내역'!L684)</f>
        <v>7</v>
      </c>
      <c r="T58" s="549" t="n">
        <f aca="false">IF('(1)예금승인내역'!AG684="","",'(1)예금승인내역'!AG684)</f>
        <v>0.052</v>
      </c>
      <c r="U58" s="549" t="n">
        <f aca="false">IF('(1)예금승인내역'!X684="","",'(1)예금승인내역'!X684)</f>
        <v>0.002467</v>
      </c>
      <c r="V58" s="531" t="n">
        <f aca="false">IF(ISNUMBER(N58),N58-$B$2,"")</f>
        <v>-677</v>
      </c>
      <c r="W58" s="531" t="str">
        <f aca="false">IF(AND(ISNUMBER(N58),N58&gt;=$B$2,N58&lt;=$B$2+10),N58*100000+ROW(),"")</f>
        <v/>
      </c>
      <c r="X58" s="531" t="str">
        <f aca="false">IFERROR(SMALL($W$6:$W$1005,53),"")</f>
        <v/>
      </c>
      <c r="Y58" s="531" t="str">
        <f aca="false">IF(X58="","",MATCH(X58,$W$6:$W$1005,0))</f>
        <v/>
      </c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</row>
    <row r="59" customFormat="false" ht="16.5" hidden="false" customHeight="true" outlineLevel="0" collapsed="false">
      <c r="A59" s="542" t="str">
        <f aca="false">IF($Y59="","",IF(INDEX($N$6:$N$1005,$Y59)=$B$2,"오늘","+"&amp;(INDEX($N$6:$N$1005,$Y59)-$B$2)&amp;"일"))</f>
        <v/>
      </c>
      <c r="B59" s="543" t="str">
        <f aca="false">IF($Y59="","",INDEX($N$6:$N$1005,$Y59))</f>
        <v/>
      </c>
      <c r="C59" s="542" t="str">
        <f aca="false">IF($Y59="","",CHOOSE(WEEKDAY(INDEX($N$6:$N$1005,$Y59)),"일","월","화","수","목","금","토"))</f>
        <v/>
      </c>
      <c r="D59" s="543" t="str">
        <f aca="false">IF($Y59="","",INDEX($O$6:$O$1005,$Y59))</f>
        <v/>
      </c>
      <c r="E59" s="544" t="str">
        <f aca="false">IF($Y59="","",INDEX($P$6:$P$1005,$Y59))</f>
        <v/>
      </c>
      <c r="F59" s="544" t="str">
        <f aca="false">IF($Y59="","",INDEX($Q$6:$Q$1005,$Y59))</f>
        <v/>
      </c>
      <c r="G59" s="542" t="str">
        <f aca="false">IF($Y59="","",INDEX($R$6:$R$1005,$Y59))</f>
        <v/>
      </c>
      <c r="H59" s="542" t="str">
        <f aca="false">IF($Y59="","","USD")</f>
        <v/>
      </c>
      <c r="I59" s="545" t="str">
        <f aca="false">IF($Y59="","",INDEX($S$6:$S$1005,$Y59))</f>
        <v/>
      </c>
      <c r="J59" s="546" t="str">
        <f aca="false">IF($Y59="","",INDEX($T$6:$T$1005,$Y59))</f>
        <v/>
      </c>
      <c r="K59" s="546" t="str">
        <f aca="false">IF($Y59="","",INDEX($U$6:$U$1005,$Y59))</f>
        <v/>
      </c>
      <c r="L59" s="542" t="str">
        <f aca="false">IF($Y59="","",IF(INDEX($S$6:$S$1005,$Y59)&gt;=10,"★ 10백만불↑",""))</f>
        <v/>
      </c>
      <c r="M59" s="531"/>
      <c r="N59" s="547" t="n">
        <f aca="false">IF('(1)예금승인내역'!H685="","",'(1)예금승인내역'!H685)</f>
        <v>45512</v>
      </c>
      <c r="O59" s="547" t="n">
        <f aca="false">IF('(1)예금승인내역'!G685="","",'(1)예금승인내역'!G685)</f>
        <v>45481</v>
      </c>
      <c r="P59" s="531" t="str">
        <f aca="false">IF('(1)예금승인내역'!F685="","",'(1)예금승인내역'!F685)</f>
        <v>한국비철㈜</v>
      </c>
      <c r="Q59" s="531" t="str">
        <f aca="false">IF('(1)예금승인내역'!C685="","",'(1)예금승인내역'!C685)</f>
        <v>달성공단영업부</v>
      </c>
      <c r="R59" s="531" t="str">
        <f aca="false">IF('(1)예금승인내역'!K685="","",'(1)예금승인내역'!K685)</f>
        <v>정기예금</v>
      </c>
      <c r="S59" s="548" t="n">
        <f aca="false">IF('(1)예금승인내역'!L685="","",'(1)예금승인내역'!L685)</f>
        <v>1</v>
      </c>
      <c r="T59" s="549" t="n">
        <f aca="false">IF('(1)예금승인내역'!AG685="","",'(1)예금승인내역'!AG685)</f>
        <v>0.052</v>
      </c>
      <c r="U59" s="549" t="n">
        <f aca="false">IF('(1)예금승인내역'!X685="","",'(1)예금승인내역'!X685)</f>
        <v>0.002467</v>
      </c>
      <c r="V59" s="531" t="n">
        <f aca="false">IF(ISNUMBER(N59),N59-$B$2,"")</f>
        <v>-677</v>
      </c>
      <c r="W59" s="531" t="str">
        <f aca="false">IF(AND(ISNUMBER(N59),N59&gt;=$B$2,N59&lt;=$B$2+10),N59*100000+ROW(),"")</f>
        <v/>
      </c>
      <c r="X59" s="531" t="str">
        <f aca="false">IFERROR(SMALL($W$6:$W$1005,54),"")</f>
        <v/>
      </c>
      <c r="Y59" s="531" t="str">
        <f aca="false">IF(X59="","",MATCH(X59,$W$6:$W$1005,0))</f>
        <v/>
      </c>
      <c r="Z59" s="531"/>
      <c r="AA59" s="531"/>
      <c r="AB59" s="531"/>
      <c r="AC59" s="531"/>
      <c r="AD59" s="531"/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</row>
    <row r="60" customFormat="false" ht="16.5" hidden="false" customHeight="true" outlineLevel="0" collapsed="false">
      <c r="A60" s="542" t="str">
        <f aca="false">IF($Y60="","",IF(INDEX($N$6:$N$1005,$Y60)=$B$2,"오늘","+"&amp;(INDEX($N$6:$N$1005,$Y60)-$B$2)&amp;"일"))</f>
        <v/>
      </c>
      <c r="B60" s="543" t="str">
        <f aca="false">IF($Y60="","",INDEX($N$6:$N$1005,$Y60))</f>
        <v/>
      </c>
      <c r="C60" s="542" t="str">
        <f aca="false">IF($Y60="","",CHOOSE(WEEKDAY(INDEX($N$6:$N$1005,$Y60)),"일","월","화","수","목","금","토"))</f>
        <v/>
      </c>
      <c r="D60" s="543" t="str">
        <f aca="false">IF($Y60="","",INDEX($O$6:$O$1005,$Y60))</f>
        <v/>
      </c>
      <c r="E60" s="544" t="str">
        <f aca="false">IF($Y60="","",INDEX($P$6:$P$1005,$Y60))</f>
        <v/>
      </c>
      <c r="F60" s="544" t="str">
        <f aca="false">IF($Y60="","",INDEX($Q$6:$Q$1005,$Y60))</f>
        <v/>
      </c>
      <c r="G60" s="542" t="str">
        <f aca="false">IF($Y60="","",INDEX($R$6:$R$1005,$Y60))</f>
        <v/>
      </c>
      <c r="H60" s="542" t="str">
        <f aca="false">IF($Y60="","","USD")</f>
        <v/>
      </c>
      <c r="I60" s="545" t="str">
        <f aca="false">IF($Y60="","",INDEX($S$6:$S$1005,$Y60))</f>
        <v/>
      </c>
      <c r="J60" s="546" t="str">
        <f aca="false">IF($Y60="","",INDEX($T$6:$T$1005,$Y60))</f>
        <v/>
      </c>
      <c r="K60" s="546" t="str">
        <f aca="false">IF($Y60="","",INDEX($U$6:$U$1005,$Y60))</f>
        <v/>
      </c>
      <c r="L60" s="542" t="str">
        <f aca="false">IF($Y60="","",IF(INDEX($S$6:$S$1005,$Y60)&gt;=10,"★ 10백만불↑",""))</f>
        <v/>
      </c>
      <c r="M60" s="531"/>
      <c r="N60" s="547" t="n">
        <f aca="false">IF('(1)예금승인내역'!H686="","",'(1)예금승인내역'!H686)</f>
        <v>45495</v>
      </c>
      <c r="O60" s="547" t="n">
        <f aca="false">IF('(1)예금승인내역'!G686="","",'(1)예금승인내역'!G686)</f>
        <v>45483</v>
      </c>
      <c r="P60" s="531" t="str">
        <f aca="false">IF('(1)예금승인내역'!F686="","",'(1)예금승인내역'!F686)</f>
        <v>한국석유공사</v>
      </c>
      <c r="Q60" s="531" t="str">
        <f aca="false">IF('(1)예금승인내역'!C686="","",'(1)예금승인내역'!C686)</f>
        <v>울산영업부</v>
      </c>
      <c r="R60" s="531" t="str">
        <f aca="false">IF('(1)예금승인내역'!K686="","",'(1)예금승인내역'!K686)</f>
        <v>정기예금</v>
      </c>
      <c r="S60" s="548" t="n">
        <f aca="false">IF('(1)예금승인내역'!L686="","",'(1)예금승인내역'!L686)</f>
        <v>20</v>
      </c>
      <c r="T60" s="549" t="n">
        <f aca="false">IF('(1)예금승인내역'!AG686="","",'(1)예금승인내역'!AG686)</f>
        <v>0.05</v>
      </c>
      <c r="U60" s="549" t="n">
        <f aca="false">IF('(1)예금승인내역'!X686="","",'(1)예금승인내역'!X686)</f>
        <v>0.003126</v>
      </c>
      <c r="V60" s="531" t="n">
        <f aca="false">IF(ISNUMBER(N60),N60-$B$2,"")</f>
        <v>-694</v>
      </c>
      <c r="W60" s="531" t="str">
        <f aca="false">IF(AND(ISNUMBER(N60),N60&gt;=$B$2,N60&lt;=$B$2+10),N60*100000+ROW(),"")</f>
        <v/>
      </c>
      <c r="X60" s="531" t="str">
        <f aca="false">IFERROR(SMALL($W$6:$W$1005,55),"")</f>
        <v/>
      </c>
      <c r="Y60" s="531" t="str">
        <f aca="false">IF(X60="","",MATCH(X60,$W$6:$W$1005,0))</f>
        <v/>
      </c>
      <c r="Z60" s="531"/>
      <c r="AA60" s="531"/>
      <c r="AB60" s="531"/>
      <c r="AC60" s="531"/>
      <c r="AD60" s="531"/>
      <c r="AE60" s="531"/>
      <c r="AF60" s="531"/>
      <c r="AG60" s="531"/>
      <c r="AH60" s="531"/>
      <c r="AI60" s="531"/>
      <c r="AJ60" s="531"/>
      <c r="AK60" s="531"/>
      <c r="AL60" s="531"/>
      <c r="AM60" s="531"/>
      <c r="AN60" s="531"/>
    </row>
    <row r="61" customFormat="false" ht="16.5" hidden="false" customHeight="true" outlineLevel="0" collapsed="false">
      <c r="A61" s="542" t="str">
        <f aca="false">IF($Y61="","",IF(INDEX($N$6:$N$1005,$Y61)=$B$2,"오늘","+"&amp;(INDEX($N$6:$N$1005,$Y61)-$B$2)&amp;"일"))</f>
        <v/>
      </c>
      <c r="B61" s="543" t="str">
        <f aca="false">IF($Y61="","",INDEX($N$6:$N$1005,$Y61))</f>
        <v/>
      </c>
      <c r="C61" s="542" t="str">
        <f aca="false">IF($Y61="","",CHOOSE(WEEKDAY(INDEX($N$6:$N$1005,$Y61)),"일","월","화","수","목","금","토"))</f>
        <v/>
      </c>
      <c r="D61" s="543" t="str">
        <f aca="false">IF($Y61="","",INDEX($O$6:$O$1005,$Y61))</f>
        <v/>
      </c>
      <c r="E61" s="544" t="str">
        <f aca="false">IF($Y61="","",INDEX($P$6:$P$1005,$Y61))</f>
        <v/>
      </c>
      <c r="F61" s="544" t="str">
        <f aca="false">IF($Y61="","",INDEX($Q$6:$Q$1005,$Y61))</f>
        <v/>
      </c>
      <c r="G61" s="542" t="str">
        <f aca="false">IF($Y61="","",INDEX($R$6:$R$1005,$Y61))</f>
        <v/>
      </c>
      <c r="H61" s="542" t="str">
        <f aca="false">IF($Y61="","","USD")</f>
        <v/>
      </c>
      <c r="I61" s="545" t="str">
        <f aca="false">IF($Y61="","",INDEX($S$6:$S$1005,$Y61))</f>
        <v/>
      </c>
      <c r="J61" s="546" t="str">
        <f aca="false">IF($Y61="","",INDEX($T$6:$T$1005,$Y61))</f>
        <v/>
      </c>
      <c r="K61" s="546" t="str">
        <f aca="false">IF($Y61="","",INDEX($U$6:$U$1005,$Y61))</f>
        <v/>
      </c>
      <c r="L61" s="542" t="str">
        <f aca="false">IF($Y61="","",IF(INDEX($S$6:$S$1005,$Y61)&gt;=10,"★ 10백만불↑",""))</f>
        <v/>
      </c>
      <c r="M61" s="531"/>
      <c r="N61" s="547" t="n">
        <f aca="false">IF('(1)예금승인내역'!H687="","",'(1)예금승인내역'!H687)</f>
        <v>45504</v>
      </c>
      <c r="O61" s="547" t="n">
        <f aca="false">IF('(1)예금승인내역'!G687="","",'(1)예금승인내역'!G687)</f>
        <v>45483</v>
      </c>
      <c r="P61" s="531" t="str">
        <f aca="false">IF('(1)예금승인내역'!F687="","",'(1)예금승인내역'!F687)</f>
        <v>한국석유공사</v>
      </c>
      <c r="Q61" s="531" t="str">
        <f aca="false">IF('(1)예금승인내역'!C687="","",'(1)예금승인내역'!C687)</f>
        <v>울산영업부</v>
      </c>
      <c r="R61" s="531" t="str">
        <f aca="false">IF('(1)예금승인내역'!K687="","",'(1)예금승인내역'!K687)</f>
        <v>정기예금</v>
      </c>
      <c r="S61" s="548" t="n">
        <f aca="false">IF('(1)예금승인내역'!L687="","",'(1)예금승인내역'!L687)</f>
        <v>8</v>
      </c>
      <c r="T61" s="549" t="n">
        <f aca="false">IF('(1)예금승인내역'!AG687="","",'(1)예금승인내역'!AG687)</f>
        <v>0.05</v>
      </c>
      <c r="U61" s="549" t="n">
        <f aca="false">IF('(1)예금승인내역'!X687="","",'(1)예금승인내역'!X687)</f>
        <v>0.003748</v>
      </c>
      <c r="V61" s="531" t="n">
        <f aca="false">IF(ISNUMBER(N61),N61-$B$2,"")</f>
        <v>-685</v>
      </c>
      <c r="W61" s="531" t="str">
        <f aca="false">IF(AND(ISNUMBER(N61),N61&gt;=$B$2,N61&lt;=$B$2+10),N61*100000+ROW(),"")</f>
        <v/>
      </c>
      <c r="X61" s="531" t="str">
        <f aca="false">IFERROR(SMALL($W$6:$W$1005,56),"")</f>
        <v/>
      </c>
      <c r="Y61" s="531" t="str">
        <f aca="false">IF(X61="","",MATCH(X61,$W$6:$W$1005,0))</f>
        <v/>
      </c>
      <c r="Z61" s="531"/>
      <c r="AA61" s="531"/>
      <c r="AB61" s="531"/>
      <c r="AC61" s="531"/>
      <c r="AD61" s="531"/>
      <c r="AE61" s="531"/>
      <c r="AF61" s="531"/>
      <c r="AG61" s="531"/>
      <c r="AH61" s="531"/>
      <c r="AI61" s="531"/>
      <c r="AJ61" s="531"/>
      <c r="AK61" s="531"/>
      <c r="AL61" s="531"/>
      <c r="AM61" s="531"/>
      <c r="AN61" s="531"/>
    </row>
    <row r="62" customFormat="false" ht="16.5" hidden="false" customHeight="true" outlineLevel="0" collapsed="false">
      <c r="A62" s="542" t="str">
        <f aca="false">IF($Y62="","",IF(INDEX($N$6:$N$1005,$Y62)=$B$2,"오늘","+"&amp;(INDEX($N$6:$N$1005,$Y62)-$B$2)&amp;"일"))</f>
        <v/>
      </c>
      <c r="B62" s="543" t="str">
        <f aca="false">IF($Y62="","",INDEX($N$6:$N$1005,$Y62))</f>
        <v/>
      </c>
      <c r="C62" s="542" t="str">
        <f aca="false">IF($Y62="","",CHOOSE(WEEKDAY(INDEX($N$6:$N$1005,$Y62)),"일","월","화","수","목","금","토"))</f>
        <v/>
      </c>
      <c r="D62" s="543" t="str">
        <f aca="false">IF($Y62="","",INDEX($O$6:$O$1005,$Y62))</f>
        <v/>
      </c>
      <c r="E62" s="544" t="str">
        <f aca="false">IF($Y62="","",INDEX($P$6:$P$1005,$Y62))</f>
        <v/>
      </c>
      <c r="F62" s="544" t="str">
        <f aca="false">IF($Y62="","",INDEX($Q$6:$Q$1005,$Y62))</f>
        <v/>
      </c>
      <c r="G62" s="542" t="str">
        <f aca="false">IF($Y62="","",INDEX($R$6:$R$1005,$Y62))</f>
        <v/>
      </c>
      <c r="H62" s="542" t="str">
        <f aca="false">IF($Y62="","","USD")</f>
        <v/>
      </c>
      <c r="I62" s="545" t="str">
        <f aca="false">IF($Y62="","",INDEX($S$6:$S$1005,$Y62))</f>
        <v/>
      </c>
      <c r="J62" s="546" t="str">
        <f aca="false">IF($Y62="","",INDEX($T$6:$T$1005,$Y62))</f>
        <v/>
      </c>
      <c r="K62" s="546" t="str">
        <f aca="false">IF($Y62="","",INDEX($U$6:$U$1005,$Y62))</f>
        <v/>
      </c>
      <c r="L62" s="542" t="str">
        <f aca="false">IF($Y62="","",IF(INDEX($S$6:$S$1005,$Y62)&gt;=10,"★ 10백만불↑",""))</f>
        <v/>
      </c>
      <c r="M62" s="531"/>
      <c r="N62" s="547" t="n">
        <f aca="false">IF('(1)예금승인내역'!H688="","",'(1)예금승인내역'!H688)</f>
        <v>45488</v>
      </c>
      <c r="O62" s="547" t="n">
        <f aca="false">IF('(1)예금승인내역'!G688="","",'(1)예금승인내역'!G688)</f>
        <v>45457</v>
      </c>
      <c r="P62" s="531" t="str">
        <f aca="false">IF('(1)예금승인내역'!F688="","",'(1)예금승인내역'!F688)</f>
        <v>오스템임플란트㈜</v>
      </c>
      <c r="Q62" s="531" t="str">
        <f aca="false">IF('(1)예금승인내역'!C688="","",'(1)예금승인내역'!C688)</f>
        <v>성남금융센터</v>
      </c>
      <c r="R62" s="531" t="str">
        <f aca="false">IF('(1)예금승인내역'!K688="","",'(1)예금승인내역'!K688)</f>
        <v>MMDA</v>
      </c>
      <c r="S62" s="548" t="n">
        <f aca="false">IF('(1)예금승인내역'!L688="","",'(1)예금승인내역'!L688)</f>
        <v>2</v>
      </c>
      <c r="T62" s="549" t="n">
        <f aca="false">IF('(1)예금승인내역'!AG688="","",'(1)예금승인내역'!AG688)</f>
        <v>0.0435</v>
      </c>
      <c r="U62" s="549" t="n">
        <f aca="false">IF('(1)예금승인내역'!X688="","",'(1)예금승인내역'!X688)</f>
        <v>0.008861</v>
      </c>
      <c r="V62" s="531" t="n">
        <f aca="false">IF(ISNUMBER(N62),N62-$B$2,"")</f>
        <v>-701</v>
      </c>
      <c r="W62" s="531" t="str">
        <f aca="false">IF(AND(ISNUMBER(N62),N62&gt;=$B$2,N62&lt;=$B$2+10),N62*100000+ROW(),"")</f>
        <v/>
      </c>
      <c r="X62" s="531" t="str">
        <f aca="false">IFERROR(SMALL($W$6:$W$1005,57),"")</f>
        <v/>
      </c>
      <c r="Y62" s="531" t="str">
        <f aca="false">IF(X62="","",MATCH(X62,$W$6:$W$1005,0))</f>
        <v/>
      </c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</row>
    <row r="63" customFormat="false" ht="16.5" hidden="false" customHeight="true" outlineLevel="0" collapsed="false">
      <c r="A63" s="542" t="str">
        <f aca="false">IF($Y63="","",IF(INDEX($N$6:$N$1005,$Y63)=$B$2,"오늘","+"&amp;(INDEX($N$6:$N$1005,$Y63)-$B$2)&amp;"일"))</f>
        <v/>
      </c>
      <c r="B63" s="543" t="str">
        <f aca="false">IF($Y63="","",INDEX($N$6:$N$1005,$Y63))</f>
        <v/>
      </c>
      <c r="C63" s="542" t="str">
        <f aca="false">IF($Y63="","",CHOOSE(WEEKDAY(INDEX($N$6:$N$1005,$Y63)),"일","월","화","수","목","금","토"))</f>
        <v/>
      </c>
      <c r="D63" s="543" t="str">
        <f aca="false">IF($Y63="","",INDEX($O$6:$O$1005,$Y63))</f>
        <v/>
      </c>
      <c r="E63" s="544" t="str">
        <f aca="false">IF($Y63="","",INDEX($P$6:$P$1005,$Y63))</f>
        <v/>
      </c>
      <c r="F63" s="544" t="str">
        <f aca="false">IF($Y63="","",INDEX($Q$6:$Q$1005,$Y63))</f>
        <v/>
      </c>
      <c r="G63" s="542" t="str">
        <f aca="false">IF($Y63="","",INDEX($R$6:$R$1005,$Y63))</f>
        <v/>
      </c>
      <c r="H63" s="542" t="str">
        <f aca="false">IF($Y63="","","USD")</f>
        <v/>
      </c>
      <c r="I63" s="545" t="str">
        <f aca="false">IF($Y63="","",INDEX($S$6:$S$1005,$Y63))</f>
        <v/>
      </c>
      <c r="J63" s="546" t="str">
        <f aca="false">IF($Y63="","",INDEX($T$6:$T$1005,$Y63))</f>
        <v/>
      </c>
      <c r="K63" s="546" t="str">
        <f aca="false">IF($Y63="","",INDEX($U$6:$U$1005,$Y63))</f>
        <v/>
      </c>
      <c r="L63" s="542" t="str">
        <f aca="false">IF($Y63="","",IF(INDEX($S$6:$S$1005,$Y63)&gt;=10,"★ 10백만불↑",""))</f>
        <v/>
      </c>
      <c r="M63" s="531"/>
      <c r="N63" s="547" t="n">
        <f aca="false">IF('(1)예금승인내역'!H689="","",'(1)예금승인내역'!H689)</f>
        <v>45509</v>
      </c>
      <c r="O63" s="547" t="n">
        <f aca="false">IF('(1)예금승인내역'!G689="","",'(1)예금승인내역'!G689)</f>
        <v>45476</v>
      </c>
      <c r="P63" s="531" t="str">
        <f aca="false">IF('(1)예금승인내역'!F689="","",'(1)예금승인내역'!F689)</f>
        <v>㈜이수스페셜티케미컬</v>
      </c>
      <c r="Q63" s="531" t="str">
        <f aca="false">IF('(1)예금승인내역'!C689="","",'(1)예금승인내역'!C689)</f>
        <v>성남금융센터</v>
      </c>
      <c r="R63" s="531" t="str">
        <f aca="false">IF('(1)예금승인내역'!K689="","",'(1)예금승인내역'!K689)</f>
        <v>MMDA</v>
      </c>
      <c r="S63" s="548" t="n">
        <f aca="false">IF('(1)예금승인내역'!L689="","",'(1)예금승인내역'!L689)</f>
        <v>2</v>
      </c>
      <c r="T63" s="549" t="n">
        <f aca="false">IF('(1)예금승인내역'!AG689="","",'(1)예금승인내역'!AG689)</f>
        <v>0.044</v>
      </c>
      <c r="U63" s="549" t="n">
        <f aca="false">IF('(1)예금승인내역'!X689="","",'(1)예금승인내역'!X689)</f>
        <v>0.008298</v>
      </c>
      <c r="V63" s="531" t="n">
        <f aca="false">IF(ISNUMBER(N63),N63-$B$2,"")</f>
        <v>-680</v>
      </c>
      <c r="W63" s="531" t="str">
        <f aca="false">IF(AND(ISNUMBER(N63),N63&gt;=$B$2,N63&lt;=$B$2+10),N63*100000+ROW(),"")</f>
        <v/>
      </c>
      <c r="X63" s="531" t="str">
        <f aca="false">IFERROR(SMALL($W$6:$W$1005,58),"")</f>
        <v/>
      </c>
      <c r="Y63" s="531" t="str">
        <f aca="false">IF(X63="","",MATCH(X63,$W$6:$W$1005,0))</f>
        <v/>
      </c>
      <c r="Z63" s="531"/>
      <c r="AA63" s="531"/>
      <c r="AB63" s="531"/>
      <c r="AC63" s="531"/>
      <c r="AD63" s="531"/>
      <c r="AE63" s="531"/>
      <c r="AF63" s="531"/>
      <c r="AG63" s="531"/>
      <c r="AH63" s="531"/>
      <c r="AI63" s="531"/>
      <c r="AJ63" s="531"/>
      <c r="AK63" s="531"/>
      <c r="AL63" s="531"/>
      <c r="AM63" s="531"/>
      <c r="AN63" s="531"/>
    </row>
    <row r="64" customFormat="false" ht="16.5" hidden="false" customHeight="true" outlineLevel="0" collapsed="false">
      <c r="A64" s="542" t="str">
        <f aca="false">IF($Y64="","",IF(INDEX($N$6:$N$1005,$Y64)=$B$2,"오늘","+"&amp;(INDEX($N$6:$N$1005,$Y64)-$B$2)&amp;"일"))</f>
        <v/>
      </c>
      <c r="B64" s="543" t="str">
        <f aca="false">IF($Y64="","",INDEX($N$6:$N$1005,$Y64))</f>
        <v/>
      </c>
      <c r="C64" s="542" t="str">
        <f aca="false">IF($Y64="","",CHOOSE(WEEKDAY(INDEX($N$6:$N$1005,$Y64)),"일","월","화","수","목","금","토"))</f>
        <v/>
      </c>
      <c r="D64" s="543" t="str">
        <f aca="false">IF($Y64="","",INDEX($O$6:$O$1005,$Y64))</f>
        <v/>
      </c>
      <c r="E64" s="544" t="str">
        <f aca="false">IF($Y64="","",INDEX($P$6:$P$1005,$Y64))</f>
        <v/>
      </c>
      <c r="F64" s="544" t="str">
        <f aca="false">IF($Y64="","",INDEX($Q$6:$Q$1005,$Y64))</f>
        <v/>
      </c>
      <c r="G64" s="542" t="str">
        <f aca="false">IF($Y64="","",INDEX($R$6:$R$1005,$Y64))</f>
        <v/>
      </c>
      <c r="H64" s="542" t="str">
        <f aca="false">IF($Y64="","","USD")</f>
        <v/>
      </c>
      <c r="I64" s="545" t="str">
        <f aca="false">IF($Y64="","",INDEX($S$6:$S$1005,$Y64))</f>
        <v/>
      </c>
      <c r="J64" s="546" t="str">
        <f aca="false">IF($Y64="","",INDEX($T$6:$T$1005,$Y64))</f>
        <v/>
      </c>
      <c r="K64" s="546" t="str">
        <f aca="false">IF($Y64="","",INDEX($U$6:$U$1005,$Y64))</f>
        <v/>
      </c>
      <c r="L64" s="542" t="str">
        <f aca="false">IF($Y64="","",IF(INDEX($S$6:$S$1005,$Y64)&gt;=10,"★ 10백만불↑",""))</f>
        <v/>
      </c>
      <c r="M64" s="531"/>
      <c r="N64" s="547" t="n">
        <f aca="false">IF('(1)예금승인내역'!H690="","",'(1)예금승인내역'!H690)</f>
        <v>45520</v>
      </c>
      <c r="O64" s="547" t="n">
        <f aca="false">IF('(1)예금승인내역'!G690="","",'(1)예금승인내역'!G690)</f>
        <v>45488</v>
      </c>
      <c r="P64" s="531" t="str">
        <f aca="false">IF('(1)예금승인내역'!F690="","",'(1)예금승인내역'!F690)</f>
        <v>오스템임플란트㈜</v>
      </c>
      <c r="Q64" s="531" t="str">
        <f aca="false">IF('(1)예금승인내역'!C690="","",'(1)예금승인내역'!C690)</f>
        <v>성남금융센터</v>
      </c>
      <c r="R64" s="531" t="str">
        <f aca="false">IF('(1)예금승인내역'!K690="","",'(1)예금승인내역'!K690)</f>
        <v>MMDA</v>
      </c>
      <c r="S64" s="548" t="n">
        <f aca="false">IF('(1)예금승인내역'!L690="","",'(1)예금승인내역'!L690)</f>
        <v>2</v>
      </c>
      <c r="T64" s="549" t="n">
        <f aca="false">IF('(1)예금승인내역'!AG690="","",'(1)예금승인내역'!AG690)</f>
        <v>0.0435</v>
      </c>
      <c r="U64" s="549" t="n">
        <f aca="false">IF('(1)예금승인내역'!X690="","",'(1)예금승인내역'!X690)</f>
        <v>0.008639</v>
      </c>
      <c r="V64" s="531" t="n">
        <f aca="false">IF(ISNUMBER(N64),N64-$B$2,"")</f>
        <v>-669</v>
      </c>
      <c r="W64" s="531" t="str">
        <f aca="false">IF(AND(ISNUMBER(N64),N64&gt;=$B$2,N64&lt;=$B$2+10),N64*100000+ROW(),"")</f>
        <v/>
      </c>
      <c r="X64" s="531" t="str">
        <f aca="false">IFERROR(SMALL($W$6:$W$1005,59),"")</f>
        <v/>
      </c>
      <c r="Y64" s="531" t="str">
        <f aca="false">IF(X64="","",MATCH(X64,$W$6:$W$1005,0))</f>
        <v/>
      </c>
      <c r="Z64" s="531"/>
      <c r="AA64" s="531"/>
      <c r="AB64" s="531"/>
      <c r="AC64" s="531"/>
      <c r="AD64" s="531"/>
      <c r="AE64" s="531"/>
      <c r="AF64" s="531"/>
      <c r="AG64" s="531"/>
      <c r="AH64" s="531"/>
      <c r="AI64" s="531"/>
      <c r="AJ64" s="531"/>
      <c r="AK64" s="531"/>
      <c r="AL64" s="531"/>
      <c r="AM64" s="531"/>
      <c r="AN64" s="531"/>
    </row>
    <row r="65" customFormat="false" ht="16.5" hidden="false" customHeight="true" outlineLevel="0" collapsed="false">
      <c r="A65" s="542" t="str">
        <f aca="false">IF($Y65="","",IF(INDEX($N$6:$N$1005,$Y65)=$B$2,"오늘","+"&amp;(INDEX($N$6:$N$1005,$Y65)-$B$2)&amp;"일"))</f>
        <v/>
      </c>
      <c r="B65" s="543" t="str">
        <f aca="false">IF($Y65="","",INDEX($N$6:$N$1005,$Y65))</f>
        <v/>
      </c>
      <c r="C65" s="542" t="str">
        <f aca="false">IF($Y65="","",CHOOSE(WEEKDAY(INDEX($N$6:$N$1005,$Y65)),"일","월","화","수","목","금","토"))</f>
        <v/>
      </c>
      <c r="D65" s="543" t="str">
        <f aca="false">IF($Y65="","",INDEX($O$6:$O$1005,$Y65))</f>
        <v/>
      </c>
      <c r="E65" s="544" t="str">
        <f aca="false">IF($Y65="","",INDEX($P$6:$P$1005,$Y65))</f>
        <v/>
      </c>
      <c r="F65" s="544" t="str">
        <f aca="false">IF($Y65="","",INDEX($Q$6:$Q$1005,$Y65))</f>
        <v/>
      </c>
      <c r="G65" s="542" t="str">
        <f aca="false">IF($Y65="","",INDEX($R$6:$R$1005,$Y65))</f>
        <v/>
      </c>
      <c r="H65" s="542" t="str">
        <f aca="false">IF($Y65="","","USD")</f>
        <v/>
      </c>
      <c r="I65" s="545" t="str">
        <f aca="false">IF($Y65="","",INDEX($S$6:$S$1005,$Y65))</f>
        <v/>
      </c>
      <c r="J65" s="546" t="str">
        <f aca="false">IF($Y65="","",INDEX($T$6:$T$1005,$Y65))</f>
        <v/>
      </c>
      <c r="K65" s="546" t="str">
        <f aca="false">IF($Y65="","",INDEX($U$6:$U$1005,$Y65))</f>
        <v/>
      </c>
      <c r="L65" s="542" t="str">
        <f aca="false">IF($Y65="","",IF(INDEX($S$6:$S$1005,$Y65)&gt;=10,"★ 10백만불↑",""))</f>
        <v/>
      </c>
      <c r="M65" s="531"/>
      <c r="N65" s="547" t="n">
        <f aca="false">IF('(1)예금승인내역'!H691="","",'(1)예금승인내역'!H691)</f>
        <v>45530</v>
      </c>
      <c r="O65" s="547" t="n">
        <f aca="false">IF('(1)예금승인내역'!G691="","",'(1)예금승인내역'!G691)</f>
        <v>45492</v>
      </c>
      <c r="P65" s="531" t="str">
        <f aca="false">IF('(1)예금승인내역'!F691="","",'(1)예금승인내역'!F691)</f>
        <v>에스엠상선㈜</v>
      </c>
      <c r="Q65" s="531" t="str">
        <f aca="false">IF('(1)예금승인내역'!C691="","",'(1)예금승인내역'!C691)</f>
        <v>강남영업부</v>
      </c>
      <c r="R65" s="531" t="str">
        <f aca="false">IF('(1)예금승인내역'!K691="","",'(1)예금승인내역'!K691)</f>
        <v>정기예금</v>
      </c>
      <c r="S65" s="548" t="n">
        <f aca="false">IF('(1)예금승인내역'!L691="","",'(1)예금승인내역'!L691)</f>
        <v>10</v>
      </c>
      <c r="T65" s="549" t="n">
        <f aca="false">IF('(1)예금승인내역'!AG691="","",'(1)예금승인내역'!AG691)</f>
        <v>0.0522</v>
      </c>
      <c r="U65" s="549" t="n">
        <f aca="false">IF('(1)예금승인내역'!X691="","",'(1)예금승인내역'!X691)</f>
        <v>0.002452</v>
      </c>
      <c r="V65" s="531" t="n">
        <f aca="false">IF(ISNUMBER(N65),N65-$B$2,"")</f>
        <v>-659</v>
      </c>
      <c r="W65" s="531" t="str">
        <f aca="false">IF(AND(ISNUMBER(N65),N65&gt;=$B$2,N65&lt;=$B$2+10),N65*100000+ROW(),"")</f>
        <v/>
      </c>
      <c r="X65" s="531" t="str">
        <f aca="false">IFERROR(SMALL($W$6:$W$1005,60),"")</f>
        <v/>
      </c>
      <c r="Y65" s="531" t="str">
        <f aca="false">IF(X65="","",MATCH(X65,$W$6:$W$1005,0))</f>
        <v/>
      </c>
      <c r="Z65" s="531"/>
      <c r="AA65" s="531"/>
      <c r="AB65" s="531"/>
      <c r="AC65" s="531"/>
      <c r="AD65" s="531"/>
      <c r="AE65" s="531"/>
      <c r="AF65" s="531"/>
      <c r="AG65" s="531"/>
      <c r="AH65" s="531"/>
      <c r="AI65" s="531"/>
      <c r="AJ65" s="531"/>
      <c r="AK65" s="531"/>
      <c r="AL65" s="531"/>
      <c r="AM65" s="531"/>
      <c r="AN65" s="531"/>
    </row>
    <row r="66" customFormat="false" ht="16.5" hidden="false" customHeight="true" outlineLevel="0" collapsed="false">
      <c r="A66" s="542" t="str">
        <f aca="false">IF($Y66="","",IF(INDEX($N$6:$N$1005,$Y66)=$B$2,"오늘","+"&amp;(INDEX($N$6:$N$1005,$Y66)-$B$2)&amp;"일"))</f>
        <v/>
      </c>
      <c r="B66" s="543" t="str">
        <f aca="false">IF($Y66="","",INDEX($N$6:$N$1005,$Y66))</f>
        <v/>
      </c>
      <c r="C66" s="542" t="str">
        <f aca="false">IF($Y66="","",CHOOSE(WEEKDAY(INDEX($N$6:$N$1005,$Y66)),"일","월","화","수","목","금","토"))</f>
        <v/>
      </c>
      <c r="D66" s="543" t="str">
        <f aca="false">IF($Y66="","",INDEX($O$6:$O$1005,$Y66))</f>
        <v/>
      </c>
      <c r="E66" s="544" t="str">
        <f aca="false">IF($Y66="","",INDEX($P$6:$P$1005,$Y66))</f>
        <v/>
      </c>
      <c r="F66" s="544" t="str">
        <f aca="false">IF($Y66="","",INDEX($Q$6:$Q$1005,$Y66))</f>
        <v/>
      </c>
      <c r="G66" s="542" t="str">
        <f aca="false">IF($Y66="","",INDEX($R$6:$R$1005,$Y66))</f>
        <v/>
      </c>
      <c r="H66" s="542" t="str">
        <f aca="false">IF($Y66="","","USD")</f>
        <v/>
      </c>
      <c r="I66" s="545" t="str">
        <f aca="false">IF($Y66="","",INDEX($S$6:$S$1005,$Y66))</f>
        <v/>
      </c>
      <c r="J66" s="546" t="str">
        <f aca="false">IF($Y66="","",INDEX($T$6:$T$1005,$Y66))</f>
        <v/>
      </c>
      <c r="K66" s="546" t="str">
        <f aca="false">IF($Y66="","",INDEX($U$6:$U$1005,$Y66))</f>
        <v/>
      </c>
      <c r="L66" s="542" t="str">
        <f aca="false">IF($Y66="","",IF(INDEX($S$6:$S$1005,$Y66)&gt;=10,"★ 10백만불↑",""))</f>
        <v/>
      </c>
      <c r="M66" s="531"/>
      <c r="N66" s="547" t="n">
        <f aca="false">IF('(1)예금승인내역'!H692="","",'(1)예금승인내역'!H692)</f>
        <v>45532</v>
      </c>
      <c r="O66" s="547" t="n">
        <f aca="false">IF('(1)예금승인내역'!G692="","",'(1)예금승인내역'!G692)</f>
        <v>45495</v>
      </c>
      <c r="P66" s="531" t="str">
        <f aca="false">IF('(1)예금승인내역'!F692="","",'(1)예금승인내역'!F692)</f>
        <v>에스엠상선㈜</v>
      </c>
      <c r="Q66" s="531" t="str">
        <f aca="false">IF('(1)예금승인내역'!C692="","",'(1)예금승인내역'!C692)</f>
        <v>강남영업부</v>
      </c>
      <c r="R66" s="531" t="str">
        <f aca="false">IF('(1)예금승인내역'!K692="","",'(1)예금승인내역'!K692)</f>
        <v>정기예금</v>
      </c>
      <c r="S66" s="548" t="n">
        <f aca="false">IF('(1)예금승인내역'!L692="","",'(1)예금승인내역'!L692)</f>
        <v>10</v>
      </c>
      <c r="T66" s="549" t="n">
        <f aca="false">IF('(1)예금승인내역'!AG692="","",'(1)예금승인내역'!AG692)</f>
        <v>0.0517</v>
      </c>
      <c r="U66" s="549" t="n">
        <f aca="false">IF('(1)예금승인내역'!X692="","",'(1)예금승인내역'!X692)</f>
        <v>0.002974</v>
      </c>
      <c r="V66" s="531" t="n">
        <f aca="false">IF(ISNUMBER(N66),N66-$B$2,"")</f>
        <v>-657</v>
      </c>
      <c r="W66" s="531" t="str">
        <f aca="false">IF(AND(ISNUMBER(N66),N66&gt;=$B$2,N66&lt;=$B$2+10),N66*100000+ROW(),"")</f>
        <v/>
      </c>
      <c r="X66" s="531" t="str">
        <f aca="false">IFERROR(SMALL($W$6:$W$1005,61),"")</f>
        <v/>
      </c>
      <c r="Y66" s="531" t="str">
        <f aca="false">IF(X66="","",MATCH(X66,$W$6:$W$1005,0))</f>
        <v/>
      </c>
      <c r="Z66" s="531"/>
      <c r="AA66" s="531"/>
      <c r="AB66" s="531"/>
      <c r="AC66" s="531"/>
      <c r="AD66" s="531"/>
      <c r="AE66" s="531"/>
      <c r="AF66" s="531"/>
      <c r="AG66" s="531"/>
      <c r="AH66" s="531"/>
      <c r="AI66" s="531"/>
      <c r="AJ66" s="531"/>
      <c r="AK66" s="531"/>
      <c r="AL66" s="531"/>
      <c r="AM66" s="531"/>
      <c r="AN66" s="531"/>
    </row>
    <row r="67" customFormat="false" ht="16.5" hidden="false" customHeight="true" outlineLevel="0" collapsed="false">
      <c r="A67" s="542" t="str">
        <f aca="false">IF($Y67="","",IF(INDEX($N$6:$N$1005,$Y67)=$B$2,"오늘","+"&amp;(INDEX($N$6:$N$1005,$Y67)-$B$2)&amp;"일"))</f>
        <v/>
      </c>
      <c r="B67" s="543" t="str">
        <f aca="false">IF($Y67="","",INDEX($N$6:$N$1005,$Y67))</f>
        <v/>
      </c>
      <c r="C67" s="542" t="str">
        <f aca="false">IF($Y67="","",CHOOSE(WEEKDAY(INDEX($N$6:$N$1005,$Y67)),"일","월","화","수","목","금","토"))</f>
        <v/>
      </c>
      <c r="D67" s="543" t="str">
        <f aca="false">IF($Y67="","",INDEX($O$6:$O$1005,$Y67))</f>
        <v/>
      </c>
      <c r="E67" s="544" t="str">
        <f aca="false">IF($Y67="","",INDEX($P$6:$P$1005,$Y67))</f>
        <v/>
      </c>
      <c r="F67" s="544" t="str">
        <f aca="false">IF($Y67="","",INDEX($Q$6:$Q$1005,$Y67))</f>
        <v/>
      </c>
      <c r="G67" s="542" t="str">
        <f aca="false">IF($Y67="","",INDEX($R$6:$R$1005,$Y67))</f>
        <v/>
      </c>
      <c r="H67" s="542" t="str">
        <f aca="false">IF($Y67="","","USD")</f>
        <v/>
      </c>
      <c r="I67" s="545" t="str">
        <f aca="false">IF($Y67="","",INDEX($S$6:$S$1005,$Y67))</f>
        <v/>
      </c>
      <c r="J67" s="546" t="str">
        <f aca="false">IF($Y67="","",INDEX($T$6:$T$1005,$Y67))</f>
        <v/>
      </c>
      <c r="K67" s="546" t="str">
        <f aca="false">IF($Y67="","",INDEX($U$6:$U$1005,$Y67))</f>
        <v/>
      </c>
      <c r="L67" s="542" t="str">
        <f aca="false">IF($Y67="","",IF(INDEX($S$6:$S$1005,$Y67)&gt;=10,"★ 10백만불↑",""))</f>
        <v/>
      </c>
      <c r="M67" s="531"/>
      <c r="N67" s="547" t="n">
        <f aca="false">IF('(1)예금승인내역'!H693="","",'(1)예금승인내역'!H693)</f>
        <v>45526</v>
      </c>
      <c r="O67" s="547" t="n">
        <f aca="false">IF('(1)예금승인내역'!G693="","",'(1)예금승인내역'!G693)</f>
        <v>45495</v>
      </c>
      <c r="P67" s="531" t="str">
        <f aca="false">IF('(1)예금승인내역'!F693="","",'(1)예금승인내역'!F693)</f>
        <v>㈜와이투솔루션</v>
      </c>
      <c r="Q67" s="531" t="str">
        <f aca="false">IF('(1)예금승인내역'!C693="","",'(1)예금승인내역'!C693)</f>
        <v>화성금융센터</v>
      </c>
      <c r="R67" s="531" t="str">
        <f aca="false">IF('(1)예금승인내역'!K693="","",'(1)예금승인내역'!K693)</f>
        <v>MMDA</v>
      </c>
      <c r="S67" s="548" t="n">
        <f aca="false">IF('(1)예금승인내역'!L693="","",'(1)예금승인내역'!L693)</f>
        <v>4</v>
      </c>
      <c r="T67" s="549" t="n">
        <f aca="false">IF('(1)예금승인내역'!AG693="","",'(1)예금승인내역'!AG693)</f>
        <v>0.0435</v>
      </c>
      <c r="U67" s="549" t="n">
        <f aca="false">IF('(1)예금승인내역'!X693="","",'(1)예금승인내역'!X693)</f>
        <v>0.008621</v>
      </c>
      <c r="V67" s="531" t="n">
        <f aca="false">IF(ISNUMBER(N67),N67-$B$2,"")</f>
        <v>-663</v>
      </c>
      <c r="W67" s="531" t="str">
        <f aca="false">IF(AND(ISNUMBER(N67),N67&gt;=$B$2,N67&lt;=$B$2+10),N67*100000+ROW(),"")</f>
        <v/>
      </c>
      <c r="X67" s="531" t="str">
        <f aca="false">IFERROR(SMALL($W$6:$W$1005,62),"")</f>
        <v/>
      </c>
      <c r="Y67" s="531" t="str">
        <f aca="false">IF(X67="","",MATCH(X67,$W$6:$W$1005,0))</f>
        <v/>
      </c>
      <c r="Z67" s="531"/>
      <c r="AA67" s="531"/>
      <c r="AB67" s="531"/>
      <c r="AC67" s="531"/>
      <c r="AD67" s="531"/>
      <c r="AE67" s="531"/>
      <c r="AF67" s="531"/>
      <c r="AG67" s="531"/>
      <c r="AH67" s="531"/>
      <c r="AI67" s="531"/>
      <c r="AJ67" s="531"/>
      <c r="AK67" s="531"/>
      <c r="AL67" s="531"/>
      <c r="AM67" s="531"/>
      <c r="AN67" s="531"/>
    </row>
    <row r="68" customFormat="false" ht="16.5" hidden="false" customHeight="true" outlineLevel="0" collapsed="false">
      <c r="A68" s="542" t="str">
        <f aca="false">IF($Y68="","",IF(INDEX($N$6:$N$1005,$Y68)=$B$2,"오늘","+"&amp;(INDEX($N$6:$N$1005,$Y68)-$B$2)&amp;"일"))</f>
        <v/>
      </c>
      <c r="B68" s="543" t="str">
        <f aca="false">IF($Y68="","",INDEX($N$6:$N$1005,$Y68))</f>
        <v/>
      </c>
      <c r="C68" s="542" t="str">
        <f aca="false">IF($Y68="","",CHOOSE(WEEKDAY(INDEX($N$6:$N$1005,$Y68)),"일","월","화","수","목","금","토"))</f>
        <v/>
      </c>
      <c r="D68" s="543" t="str">
        <f aca="false">IF($Y68="","",INDEX($O$6:$O$1005,$Y68))</f>
        <v/>
      </c>
      <c r="E68" s="544" t="str">
        <f aca="false">IF($Y68="","",INDEX($P$6:$P$1005,$Y68))</f>
        <v/>
      </c>
      <c r="F68" s="544" t="str">
        <f aca="false">IF($Y68="","",INDEX($Q$6:$Q$1005,$Y68))</f>
        <v/>
      </c>
      <c r="G68" s="542" t="str">
        <f aca="false">IF($Y68="","",INDEX($R$6:$R$1005,$Y68))</f>
        <v/>
      </c>
      <c r="H68" s="542" t="str">
        <f aca="false">IF($Y68="","","USD")</f>
        <v/>
      </c>
      <c r="I68" s="545" t="str">
        <f aca="false">IF($Y68="","",INDEX($S$6:$S$1005,$Y68))</f>
        <v/>
      </c>
      <c r="J68" s="546" t="str">
        <f aca="false">IF($Y68="","",INDEX($T$6:$T$1005,$Y68))</f>
        <v/>
      </c>
      <c r="K68" s="546" t="str">
        <f aca="false">IF($Y68="","",INDEX($U$6:$U$1005,$Y68))</f>
        <v/>
      </c>
      <c r="L68" s="542" t="str">
        <f aca="false">IF($Y68="","",IF(INDEX($S$6:$S$1005,$Y68)&gt;=10,"★ 10백만불↑",""))</f>
        <v/>
      </c>
      <c r="M68" s="531"/>
      <c r="N68" s="547" t="n">
        <f aca="false">IF('(1)예금승인내역'!H694="","",'(1)예금승인내역'!H694)</f>
        <v>45688</v>
      </c>
      <c r="O68" s="547" t="n">
        <f aca="false">IF('(1)예금승인내역'!G694="","",'(1)예금승인내역'!G694)</f>
        <v>45502</v>
      </c>
      <c r="P68" s="531" t="str">
        <f aca="false">IF('(1)예금승인내역'!F694="","",'(1)예금승인내역'!F694)</f>
        <v>㈜와이투솔루션</v>
      </c>
      <c r="Q68" s="531" t="str">
        <f aca="false">IF('(1)예금승인내역'!C694="","",'(1)예금승인내역'!C694)</f>
        <v>화성금융센터</v>
      </c>
      <c r="R68" s="531" t="str">
        <f aca="false">IF('(1)예금승인내역'!K694="","",'(1)예금승인내역'!K694)</f>
        <v>정기예금</v>
      </c>
      <c r="S68" s="548" t="n">
        <f aca="false">IF('(1)예금승인내역'!L694="","",'(1)예금승인내역'!L694)</f>
        <v>5</v>
      </c>
      <c r="T68" s="549" t="n">
        <f aca="false">IF('(1)예금승인내역'!AG694="","",'(1)예금승인내역'!AG694)</f>
        <v>0.05</v>
      </c>
      <c r="U68" s="549" t="n">
        <f aca="false">IF('(1)예금승인내역'!X694="","",'(1)예금승인내역'!X694)</f>
        <v>0.004226</v>
      </c>
      <c r="V68" s="531" t="n">
        <f aca="false">IF(ISNUMBER(N68),N68-$B$2,"")</f>
        <v>-501</v>
      </c>
      <c r="W68" s="531" t="str">
        <f aca="false">IF(AND(ISNUMBER(N68),N68&gt;=$B$2,N68&lt;=$B$2+10),N68*100000+ROW(),"")</f>
        <v/>
      </c>
      <c r="X68" s="531" t="str">
        <f aca="false">IFERROR(SMALL($W$6:$W$1005,63),"")</f>
        <v/>
      </c>
      <c r="Y68" s="531" t="str">
        <f aca="false">IF(X68="","",MATCH(X68,$W$6:$W$1005,0))</f>
        <v/>
      </c>
      <c r="Z68" s="531"/>
      <c r="AA68" s="531"/>
      <c r="AB68" s="531"/>
      <c r="AC68" s="531"/>
      <c r="AD68" s="531"/>
      <c r="AE68" s="531"/>
      <c r="AF68" s="531"/>
      <c r="AG68" s="531"/>
      <c r="AH68" s="531"/>
      <c r="AI68" s="531"/>
      <c r="AJ68" s="531"/>
      <c r="AK68" s="531"/>
      <c r="AL68" s="531"/>
      <c r="AM68" s="531"/>
      <c r="AN68" s="531"/>
    </row>
    <row r="69" customFormat="false" ht="16.5" hidden="false" customHeight="true" outlineLevel="0" collapsed="false">
      <c r="A69" s="542" t="str">
        <f aca="false">IF($Y69="","",IF(INDEX($N$6:$N$1005,$Y69)=$B$2,"오늘","+"&amp;(INDEX($N$6:$N$1005,$Y69)-$B$2)&amp;"일"))</f>
        <v/>
      </c>
      <c r="B69" s="543" t="str">
        <f aca="false">IF($Y69="","",INDEX($N$6:$N$1005,$Y69))</f>
        <v/>
      </c>
      <c r="C69" s="542" t="str">
        <f aca="false">IF($Y69="","",CHOOSE(WEEKDAY(INDEX($N$6:$N$1005,$Y69)),"일","월","화","수","목","금","토"))</f>
        <v/>
      </c>
      <c r="D69" s="543" t="str">
        <f aca="false">IF($Y69="","",INDEX($O$6:$O$1005,$Y69))</f>
        <v/>
      </c>
      <c r="E69" s="544" t="str">
        <f aca="false">IF($Y69="","",INDEX($P$6:$P$1005,$Y69))</f>
        <v/>
      </c>
      <c r="F69" s="544" t="str">
        <f aca="false">IF($Y69="","",INDEX($Q$6:$Q$1005,$Y69))</f>
        <v/>
      </c>
      <c r="G69" s="542" t="str">
        <f aca="false">IF($Y69="","",INDEX($R$6:$R$1005,$Y69))</f>
        <v/>
      </c>
      <c r="H69" s="542" t="str">
        <f aca="false">IF($Y69="","","USD")</f>
        <v/>
      </c>
      <c r="I69" s="545" t="str">
        <f aca="false">IF($Y69="","",INDEX($S$6:$S$1005,$Y69))</f>
        <v/>
      </c>
      <c r="J69" s="546" t="str">
        <f aca="false">IF($Y69="","",INDEX($T$6:$T$1005,$Y69))</f>
        <v/>
      </c>
      <c r="K69" s="546" t="str">
        <f aca="false">IF($Y69="","",INDEX($U$6:$U$1005,$Y69))</f>
        <v/>
      </c>
      <c r="L69" s="542" t="str">
        <f aca="false">IF($Y69="","",IF(INDEX($S$6:$S$1005,$Y69)&gt;=10,"★ 10백만불↑",""))</f>
        <v/>
      </c>
      <c r="M69" s="531"/>
      <c r="N69" s="547" t="n">
        <f aca="false">IF('(1)예금승인내역'!H695="","",'(1)예금승인내역'!H695)</f>
        <v>45688</v>
      </c>
      <c r="O69" s="547" t="n">
        <f aca="false">IF('(1)예금승인내역'!G695="","",'(1)예금승인내역'!G695)</f>
        <v>45502</v>
      </c>
      <c r="P69" s="531" t="str">
        <f aca="false">IF('(1)예금승인내역'!F695="","",'(1)예금승인내역'!F695)</f>
        <v>㈜와이투솔루션</v>
      </c>
      <c r="Q69" s="531" t="str">
        <f aca="false">IF('(1)예금승인내역'!C695="","",'(1)예금승인내역'!C695)</f>
        <v>화성금융센터</v>
      </c>
      <c r="R69" s="531" t="str">
        <f aca="false">IF('(1)예금승인내역'!K695="","",'(1)예금승인내역'!K695)</f>
        <v>정기예금</v>
      </c>
      <c r="S69" s="548" t="n">
        <f aca="false">IF('(1)예금승인내역'!L695="","",'(1)예금승인내역'!L695)</f>
        <v>3</v>
      </c>
      <c r="T69" s="549" t="n">
        <f aca="false">IF('(1)예금승인내역'!AG695="","",'(1)예금승인내역'!AG695)</f>
        <v>0.05</v>
      </c>
      <c r="U69" s="549" t="n">
        <f aca="false">IF('(1)예금승인내역'!X695="","",'(1)예금승인내역'!X695)</f>
        <v>0.004226</v>
      </c>
      <c r="V69" s="531" t="n">
        <f aca="false">IF(ISNUMBER(N69),N69-$B$2,"")</f>
        <v>-501</v>
      </c>
      <c r="W69" s="531" t="str">
        <f aca="false">IF(AND(ISNUMBER(N69),N69&gt;=$B$2,N69&lt;=$B$2+10),N69*100000+ROW(),"")</f>
        <v/>
      </c>
      <c r="X69" s="531" t="str">
        <f aca="false">IFERROR(SMALL($W$6:$W$1005,64),"")</f>
        <v/>
      </c>
      <c r="Y69" s="531" t="str">
        <f aca="false">IF(X69="","",MATCH(X69,$W$6:$W$1005,0))</f>
        <v/>
      </c>
      <c r="Z69" s="531"/>
      <c r="AA69" s="531"/>
      <c r="AB69" s="531"/>
      <c r="AC69" s="531"/>
      <c r="AD69" s="531"/>
      <c r="AE69" s="531"/>
      <c r="AF69" s="531"/>
      <c r="AG69" s="531"/>
      <c r="AH69" s="531"/>
      <c r="AI69" s="531"/>
      <c r="AJ69" s="531"/>
      <c r="AK69" s="531"/>
      <c r="AL69" s="531"/>
      <c r="AM69" s="531"/>
      <c r="AN69" s="531"/>
    </row>
    <row r="70" customFormat="false" ht="16.5" hidden="false" customHeight="true" outlineLevel="0" collapsed="false">
      <c r="A70" s="542" t="str">
        <f aca="false">IF($Y70="","",IF(INDEX($N$6:$N$1005,$Y70)=$B$2,"오늘","+"&amp;(INDEX($N$6:$N$1005,$Y70)-$B$2)&amp;"일"))</f>
        <v/>
      </c>
      <c r="B70" s="543" t="str">
        <f aca="false">IF($Y70="","",INDEX($N$6:$N$1005,$Y70))</f>
        <v/>
      </c>
      <c r="C70" s="542" t="str">
        <f aca="false">IF($Y70="","",CHOOSE(WEEKDAY(INDEX($N$6:$N$1005,$Y70)),"일","월","화","수","목","금","토"))</f>
        <v/>
      </c>
      <c r="D70" s="543" t="str">
        <f aca="false">IF($Y70="","",INDEX($O$6:$O$1005,$Y70))</f>
        <v/>
      </c>
      <c r="E70" s="544" t="str">
        <f aca="false">IF($Y70="","",INDEX($P$6:$P$1005,$Y70))</f>
        <v/>
      </c>
      <c r="F70" s="544" t="str">
        <f aca="false">IF($Y70="","",INDEX($Q$6:$Q$1005,$Y70))</f>
        <v/>
      </c>
      <c r="G70" s="542" t="str">
        <f aca="false">IF($Y70="","",INDEX($R$6:$R$1005,$Y70))</f>
        <v/>
      </c>
      <c r="H70" s="542" t="str">
        <f aca="false">IF($Y70="","","USD")</f>
        <v/>
      </c>
      <c r="I70" s="545" t="str">
        <f aca="false">IF($Y70="","",INDEX($S$6:$S$1005,$Y70))</f>
        <v/>
      </c>
      <c r="J70" s="546" t="str">
        <f aca="false">IF($Y70="","",INDEX($T$6:$T$1005,$Y70))</f>
        <v/>
      </c>
      <c r="K70" s="546" t="str">
        <f aca="false">IF($Y70="","",INDEX($U$6:$U$1005,$Y70))</f>
        <v/>
      </c>
      <c r="L70" s="542" t="str">
        <f aca="false">IF($Y70="","",IF(INDEX($S$6:$S$1005,$Y70)&gt;=10,"★ 10백만불↑",""))</f>
        <v/>
      </c>
      <c r="M70" s="531"/>
      <c r="N70" s="547" t="n">
        <f aca="false">IF('(1)예금승인내역'!H696="","",'(1)예금승인내역'!H696)</f>
        <v>45688</v>
      </c>
      <c r="O70" s="547" t="n">
        <f aca="false">IF('(1)예금승인내역'!G696="","",'(1)예금승인내역'!G696)</f>
        <v>45502</v>
      </c>
      <c r="P70" s="531" t="str">
        <f aca="false">IF('(1)예금승인내역'!F696="","",'(1)예금승인내역'!F696)</f>
        <v>㈜와이투솔루션</v>
      </c>
      <c r="Q70" s="531" t="str">
        <f aca="false">IF('(1)예금승인내역'!C696="","",'(1)예금승인내역'!C696)</f>
        <v>화성금융센터</v>
      </c>
      <c r="R70" s="531" t="str">
        <f aca="false">IF('(1)예금승인내역'!K696="","",'(1)예금승인내역'!K696)</f>
        <v>정기예금</v>
      </c>
      <c r="S70" s="548" t="n">
        <f aca="false">IF('(1)예금승인내역'!L696="","",'(1)예금승인내역'!L696)</f>
        <v>1</v>
      </c>
      <c r="T70" s="549" t="n">
        <f aca="false">IF('(1)예금승인내역'!AG696="","",'(1)예금승인내역'!AG696)</f>
        <v>0.05</v>
      </c>
      <c r="U70" s="549" t="n">
        <f aca="false">IF('(1)예금승인내역'!X696="","",'(1)예금승인내역'!X696)</f>
        <v>0.004226</v>
      </c>
      <c r="V70" s="531" t="n">
        <f aca="false">IF(ISNUMBER(N70),N70-$B$2,"")</f>
        <v>-501</v>
      </c>
      <c r="W70" s="531" t="str">
        <f aca="false">IF(AND(ISNUMBER(N70),N70&gt;=$B$2,N70&lt;=$B$2+10),N70*100000+ROW(),"")</f>
        <v/>
      </c>
      <c r="X70" s="531" t="str">
        <f aca="false">IFERROR(SMALL($W$6:$W$1005,65),"")</f>
        <v/>
      </c>
      <c r="Y70" s="531" t="str">
        <f aca="false">IF(X70="","",MATCH(X70,$W$6:$W$1005,0))</f>
        <v/>
      </c>
      <c r="Z70" s="531"/>
      <c r="AA70" s="531"/>
      <c r="AB70" s="531"/>
      <c r="AC70" s="531"/>
      <c r="AD70" s="531"/>
      <c r="AE70" s="531"/>
      <c r="AF70" s="531"/>
      <c r="AG70" s="531"/>
      <c r="AH70" s="531"/>
      <c r="AI70" s="531"/>
      <c r="AJ70" s="531"/>
      <c r="AK70" s="531"/>
      <c r="AL70" s="531"/>
      <c r="AM70" s="531"/>
      <c r="AN70" s="531"/>
    </row>
    <row r="71" customFormat="false" ht="16.5" hidden="false" customHeight="true" outlineLevel="0" collapsed="false">
      <c r="A71" s="542" t="str">
        <f aca="false">IF($Y71="","",IF(INDEX($N$6:$N$1005,$Y71)=$B$2,"오늘","+"&amp;(INDEX($N$6:$N$1005,$Y71)-$B$2)&amp;"일"))</f>
        <v/>
      </c>
      <c r="B71" s="543" t="str">
        <f aca="false">IF($Y71="","",INDEX($N$6:$N$1005,$Y71))</f>
        <v/>
      </c>
      <c r="C71" s="542" t="str">
        <f aca="false">IF($Y71="","",CHOOSE(WEEKDAY(INDEX($N$6:$N$1005,$Y71)),"일","월","화","수","목","금","토"))</f>
        <v/>
      </c>
      <c r="D71" s="543" t="str">
        <f aca="false">IF($Y71="","",INDEX($O$6:$O$1005,$Y71))</f>
        <v/>
      </c>
      <c r="E71" s="544" t="str">
        <f aca="false">IF($Y71="","",INDEX($P$6:$P$1005,$Y71))</f>
        <v/>
      </c>
      <c r="F71" s="544" t="str">
        <f aca="false">IF($Y71="","",INDEX($Q$6:$Q$1005,$Y71))</f>
        <v/>
      </c>
      <c r="G71" s="542" t="str">
        <f aca="false">IF($Y71="","",INDEX($R$6:$R$1005,$Y71))</f>
        <v/>
      </c>
      <c r="H71" s="542" t="str">
        <f aca="false">IF($Y71="","","USD")</f>
        <v/>
      </c>
      <c r="I71" s="545" t="str">
        <f aca="false">IF($Y71="","",INDEX($S$6:$S$1005,$Y71))</f>
        <v/>
      </c>
      <c r="J71" s="546" t="str">
        <f aca="false">IF($Y71="","",INDEX($T$6:$T$1005,$Y71))</f>
        <v/>
      </c>
      <c r="K71" s="546" t="str">
        <f aca="false">IF($Y71="","",INDEX($U$6:$U$1005,$Y71))</f>
        <v/>
      </c>
      <c r="L71" s="542" t="str">
        <f aca="false">IF($Y71="","",IF(INDEX($S$6:$S$1005,$Y71)&gt;=10,"★ 10백만불↑",""))</f>
        <v/>
      </c>
      <c r="M71" s="531"/>
      <c r="N71" s="547" t="n">
        <f aca="false">IF('(1)예금승인내역'!H697="","",'(1)예금승인내역'!H697)</f>
        <v>45688</v>
      </c>
      <c r="O71" s="547" t="n">
        <f aca="false">IF('(1)예금승인내역'!G697="","",'(1)예금승인내역'!G697)</f>
        <v>45502</v>
      </c>
      <c r="P71" s="531" t="str">
        <f aca="false">IF('(1)예금승인내역'!F697="","",'(1)예금승인내역'!F697)</f>
        <v>㈜와이투솔루션</v>
      </c>
      <c r="Q71" s="531" t="str">
        <f aca="false">IF('(1)예금승인내역'!C697="","",'(1)예금승인내역'!C697)</f>
        <v>화성금융센터</v>
      </c>
      <c r="R71" s="531" t="str">
        <f aca="false">IF('(1)예금승인내역'!K697="","",'(1)예금승인내역'!K697)</f>
        <v>정기예금</v>
      </c>
      <c r="S71" s="548" t="n">
        <f aca="false">IF('(1)예금승인내역'!L697="","",'(1)예금승인내역'!L697)</f>
        <v>1</v>
      </c>
      <c r="T71" s="549" t="n">
        <f aca="false">IF('(1)예금승인내역'!AG697="","",'(1)예금승인내역'!AG697)</f>
        <v>0.05</v>
      </c>
      <c r="U71" s="549" t="n">
        <f aca="false">IF('(1)예금승인내역'!X697="","",'(1)예금승인내역'!X697)</f>
        <v>0.004226</v>
      </c>
      <c r="V71" s="531" t="n">
        <f aca="false">IF(ISNUMBER(N71),N71-$B$2,"")</f>
        <v>-501</v>
      </c>
      <c r="W71" s="531" t="str">
        <f aca="false">IF(AND(ISNUMBER(N71),N71&gt;=$B$2,N71&lt;=$B$2+10),N71*100000+ROW(),"")</f>
        <v/>
      </c>
      <c r="X71" s="531" t="str">
        <f aca="false">IFERROR(SMALL($W$6:$W$1005,66),"")</f>
        <v/>
      </c>
      <c r="Y71" s="531" t="str">
        <f aca="false">IF(X71="","",MATCH(X71,$W$6:$W$1005,0))</f>
        <v/>
      </c>
      <c r="Z71" s="531"/>
      <c r="AA71" s="531"/>
      <c r="AB71" s="531"/>
      <c r="AC71" s="531"/>
      <c r="AD71" s="531"/>
      <c r="AE71" s="531"/>
      <c r="AF71" s="531"/>
      <c r="AG71" s="531"/>
      <c r="AH71" s="531"/>
      <c r="AI71" s="531"/>
      <c r="AJ71" s="531"/>
      <c r="AK71" s="531"/>
      <c r="AL71" s="531"/>
      <c r="AM71" s="531"/>
      <c r="AN71" s="531"/>
    </row>
    <row r="72" customFormat="false" ht="16.5" hidden="false" customHeight="true" outlineLevel="0" collapsed="false">
      <c r="A72" s="542" t="str">
        <f aca="false">IF($Y72="","",IF(INDEX($N$6:$N$1005,$Y72)=$B$2,"오늘","+"&amp;(INDEX($N$6:$N$1005,$Y72)-$B$2)&amp;"일"))</f>
        <v/>
      </c>
      <c r="B72" s="543" t="str">
        <f aca="false">IF($Y72="","",INDEX($N$6:$N$1005,$Y72))</f>
        <v/>
      </c>
      <c r="C72" s="542" t="str">
        <f aca="false">IF($Y72="","",CHOOSE(WEEKDAY(INDEX($N$6:$N$1005,$Y72)),"일","월","화","수","목","금","토"))</f>
        <v/>
      </c>
      <c r="D72" s="543" t="str">
        <f aca="false">IF($Y72="","",INDEX($O$6:$O$1005,$Y72))</f>
        <v/>
      </c>
      <c r="E72" s="544" t="str">
        <f aca="false">IF($Y72="","",INDEX($P$6:$P$1005,$Y72))</f>
        <v/>
      </c>
      <c r="F72" s="544" t="str">
        <f aca="false">IF($Y72="","",INDEX($Q$6:$Q$1005,$Y72))</f>
        <v/>
      </c>
      <c r="G72" s="542" t="str">
        <f aca="false">IF($Y72="","",INDEX($R$6:$R$1005,$Y72))</f>
        <v/>
      </c>
      <c r="H72" s="542" t="str">
        <f aca="false">IF($Y72="","","USD")</f>
        <v/>
      </c>
      <c r="I72" s="545" t="str">
        <f aca="false">IF($Y72="","",INDEX($S$6:$S$1005,$Y72))</f>
        <v/>
      </c>
      <c r="J72" s="546" t="str">
        <f aca="false">IF($Y72="","",INDEX($T$6:$T$1005,$Y72))</f>
        <v/>
      </c>
      <c r="K72" s="546" t="str">
        <f aca="false">IF($Y72="","",INDEX($U$6:$U$1005,$Y72))</f>
        <v/>
      </c>
      <c r="L72" s="542" t="str">
        <f aca="false">IF($Y72="","",IF(INDEX($S$6:$S$1005,$Y72)&gt;=10,"★ 10백만불↑",""))</f>
        <v/>
      </c>
      <c r="M72" s="531"/>
      <c r="N72" s="547" t="n">
        <f aca="false">IF('(1)예금승인내역'!H698="","",'(1)예금승인내역'!H698)</f>
        <v>45538</v>
      </c>
      <c r="O72" s="547" t="n">
        <f aca="false">IF('(1)예금승인내역'!G698="","",'(1)예금승인내역'!G698)</f>
        <v>45503</v>
      </c>
      <c r="P72" s="531" t="str">
        <f aca="false">IF('(1)예금승인내역'!F698="","",'(1)예금승인내역'!F698)</f>
        <v>에스엠상선㈜</v>
      </c>
      <c r="Q72" s="531" t="str">
        <f aca="false">IF('(1)예금승인내역'!C698="","",'(1)예금승인내역'!C698)</f>
        <v>강남영업부</v>
      </c>
      <c r="R72" s="531" t="str">
        <f aca="false">IF('(1)예금승인내역'!K698="","",'(1)예금승인내역'!K698)</f>
        <v>정기예금</v>
      </c>
      <c r="S72" s="548" t="n">
        <f aca="false">IF('(1)예금승인내역'!L698="","",'(1)예금승인내역'!L698)</f>
        <v>10</v>
      </c>
      <c r="T72" s="549" t="n">
        <f aca="false">IF('(1)예금승인내역'!AG698="","",'(1)예금승인내역'!AG698)</f>
        <v>0.05</v>
      </c>
      <c r="U72" s="549" t="n">
        <f aca="false">IF('(1)예금승인내역'!X698="","",'(1)예금승인내역'!X698)</f>
        <v>0.004603</v>
      </c>
      <c r="V72" s="531" t="n">
        <f aca="false">IF(ISNUMBER(N72),N72-$B$2,"")</f>
        <v>-651</v>
      </c>
      <c r="W72" s="531" t="str">
        <f aca="false">IF(AND(ISNUMBER(N72),N72&gt;=$B$2,N72&lt;=$B$2+10),N72*100000+ROW(),"")</f>
        <v/>
      </c>
      <c r="X72" s="531" t="str">
        <f aca="false">IFERROR(SMALL($W$6:$W$1005,67),"")</f>
        <v/>
      </c>
      <c r="Y72" s="531" t="str">
        <f aca="false">IF(X72="","",MATCH(X72,$W$6:$W$1005,0))</f>
        <v/>
      </c>
      <c r="Z72" s="531"/>
      <c r="AA72" s="531"/>
      <c r="AB72" s="531"/>
      <c r="AC72" s="531"/>
      <c r="AD72" s="531"/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</row>
    <row r="73" customFormat="false" ht="16.5" hidden="false" customHeight="true" outlineLevel="0" collapsed="false">
      <c r="A73" s="542" t="str">
        <f aca="false">IF($Y73="","",IF(INDEX($N$6:$N$1005,$Y73)=$B$2,"오늘","+"&amp;(INDEX($N$6:$N$1005,$Y73)-$B$2)&amp;"일"))</f>
        <v/>
      </c>
      <c r="B73" s="543" t="str">
        <f aca="false">IF($Y73="","",INDEX($N$6:$N$1005,$Y73))</f>
        <v/>
      </c>
      <c r="C73" s="542" t="str">
        <f aca="false">IF($Y73="","",CHOOSE(WEEKDAY(INDEX($N$6:$N$1005,$Y73)),"일","월","화","수","목","금","토"))</f>
        <v/>
      </c>
      <c r="D73" s="543" t="str">
        <f aca="false">IF($Y73="","",INDEX($O$6:$O$1005,$Y73))</f>
        <v/>
      </c>
      <c r="E73" s="544" t="str">
        <f aca="false">IF($Y73="","",INDEX($P$6:$P$1005,$Y73))</f>
        <v/>
      </c>
      <c r="F73" s="544" t="str">
        <f aca="false">IF($Y73="","",INDEX($Q$6:$Q$1005,$Y73))</f>
        <v/>
      </c>
      <c r="G73" s="542" t="str">
        <f aca="false">IF($Y73="","",INDEX($R$6:$R$1005,$Y73))</f>
        <v/>
      </c>
      <c r="H73" s="542" t="str">
        <f aca="false">IF($Y73="","","USD")</f>
        <v/>
      </c>
      <c r="I73" s="545" t="str">
        <f aca="false">IF($Y73="","",INDEX($S$6:$S$1005,$Y73))</f>
        <v/>
      </c>
      <c r="J73" s="546" t="str">
        <f aca="false">IF($Y73="","",INDEX($T$6:$T$1005,$Y73))</f>
        <v/>
      </c>
      <c r="K73" s="546" t="str">
        <f aca="false">IF($Y73="","",INDEX($U$6:$U$1005,$Y73))</f>
        <v/>
      </c>
      <c r="L73" s="542" t="str">
        <f aca="false">IF($Y73="","",IF(INDEX($S$6:$S$1005,$Y73)&gt;=10,"★ 10백만불↑",""))</f>
        <v/>
      </c>
      <c r="M73" s="531"/>
      <c r="N73" s="547" t="n">
        <f aca="false">IF('(1)예금승인내역'!H699="","",'(1)예금승인내역'!H699)</f>
        <v>45512</v>
      </c>
      <c r="O73" s="547" t="n">
        <f aca="false">IF('(1)예금승인내역'!G699="","",'(1)예금승인내역'!G699)</f>
        <v>45505</v>
      </c>
      <c r="P73" s="531" t="str">
        <f aca="false">IF('(1)예금승인내역'!F699="","",'(1)예금승인내역'!F699)</f>
        <v>한국석유공사</v>
      </c>
      <c r="Q73" s="531" t="str">
        <f aca="false">IF('(1)예금승인내역'!C699="","",'(1)예금승인내역'!C699)</f>
        <v>울산영업부</v>
      </c>
      <c r="R73" s="531" t="str">
        <f aca="false">IF('(1)예금승인내역'!K699="","",'(1)예금승인내역'!K699)</f>
        <v>정기예금</v>
      </c>
      <c r="S73" s="548" t="n">
        <f aca="false">IF('(1)예금승인내역'!L699="","",'(1)예금승인내역'!L699)</f>
        <v>19</v>
      </c>
      <c r="T73" s="549" t="n">
        <f aca="false">IF('(1)예금승인내역'!AG699="","",'(1)예금승인내역'!AG699)</f>
        <v>0.05</v>
      </c>
      <c r="U73" s="549" t="n">
        <f aca="false">IF('(1)예금승인내역'!X699="","",'(1)예금승인내역'!X699)</f>
        <v>0.002891</v>
      </c>
      <c r="V73" s="531" t="n">
        <f aca="false">IF(ISNUMBER(N73),N73-$B$2,"")</f>
        <v>-677</v>
      </c>
      <c r="W73" s="531" t="str">
        <f aca="false">IF(AND(ISNUMBER(N73),N73&gt;=$B$2,N73&lt;=$B$2+10),N73*100000+ROW(),"")</f>
        <v/>
      </c>
      <c r="X73" s="531" t="str">
        <f aca="false">IFERROR(SMALL($W$6:$W$1005,68),"")</f>
        <v/>
      </c>
      <c r="Y73" s="531" t="str">
        <f aca="false">IF(X73="","",MATCH(X73,$W$6:$W$1005,0))</f>
        <v/>
      </c>
      <c r="Z73" s="531"/>
      <c r="AA73" s="531"/>
      <c r="AB73" s="531"/>
      <c r="AC73" s="531"/>
      <c r="AD73" s="531"/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</row>
    <row r="74" customFormat="false" ht="16.5" hidden="false" customHeight="true" outlineLevel="0" collapsed="false">
      <c r="A74" s="542" t="str">
        <f aca="false">IF($Y74="","",IF(INDEX($N$6:$N$1005,$Y74)=$B$2,"오늘","+"&amp;(INDEX($N$6:$N$1005,$Y74)-$B$2)&amp;"일"))</f>
        <v/>
      </c>
      <c r="B74" s="543" t="str">
        <f aca="false">IF($Y74="","",INDEX($N$6:$N$1005,$Y74))</f>
        <v/>
      </c>
      <c r="C74" s="542" t="str">
        <f aca="false">IF($Y74="","",CHOOSE(WEEKDAY(INDEX($N$6:$N$1005,$Y74)),"일","월","화","수","목","금","토"))</f>
        <v/>
      </c>
      <c r="D74" s="543" t="str">
        <f aca="false">IF($Y74="","",INDEX($O$6:$O$1005,$Y74))</f>
        <v/>
      </c>
      <c r="E74" s="544" t="str">
        <f aca="false">IF($Y74="","",INDEX($P$6:$P$1005,$Y74))</f>
        <v/>
      </c>
      <c r="F74" s="544" t="str">
        <f aca="false">IF($Y74="","",INDEX($Q$6:$Q$1005,$Y74))</f>
        <v/>
      </c>
      <c r="G74" s="542" t="str">
        <f aca="false">IF($Y74="","",INDEX($R$6:$R$1005,$Y74))</f>
        <v/>
      </c>
      <c r="H74" s="542" t="str">
        <f aca="false">IF($Y74="","","USD")</f>
        <v/>
      </c>
      <c r="I74" s="545" t="str">
        <f aca="false">IF($Y74="","",INDEX($S$6:$S$1005,$Y74))</f>
        <v/>
      </c>
      <c r="J74" s="546" t="str">
        <f aca="false">IF($Y74="","",INDEX($T$6:$T$1005,$Y74))</f>
        <v/>
      </c>
      <c r="K74" s="546" t="str">
        <f aca="false">IF($Y74="","",INDEX($U$6:$U$1005,$Y74))</f>
        <v/>
      </c>
      <c r="L74" s="542" t="str">
        <f aca="false">IF($Y74="","",IF(INDEX($S$6:$S$1005,$Y74)&gt;=10,"★ 10백만불↑",""))</f>
        <v/>
      </c>
      <c r="M74" s="531"/>
      <c r="N74" s="547" t="n">
        <f aca="false">IF('(1)예금승인내역'!H700="","",'(1)예금승인내역'!H700)</f>
        <v>45540</v>
      </c>
      <c r="O74" s="547" t="n">
        <f aca="false">IF('(1)예금승인내역'!G700="","",'(1)예금승인내역'!G700)</f>
        <v>45509</v>
      </c>
      <c r="P74" s="531" t="str">
        <f aca="false">IF('(1)예금승인내역'!F700="","",'(1)예금승인내역'!F700)</f>
        <v>㈜이수스페셜티케미컬</v>
      </c>
      <c r="Q74" s="531" t="str">
        <f aca="false">IF('(1)예금승인내역'!C700="","",'(1)예금승인내역'!C700)</f>
        <v>성남금융센터</v>
      </c>
      <c r="R74" s="531" t="str">
        <f aca="false">IF('(1)예금승인내역'!K700="","",'(1)예금승인내역'!K700)</f>
        <v>MMDA</v>
      </c>
      <c r="S74" s="548" t="n">
        <f aca="false">IF('(1)예금승인내역'!L700="","",'(1)예금승인내역'!L700)</f>
        <v>2</v>
      </c>
      <c r="T74" s="549" t="n">
        <f aca="false">IF('(1)예금승인내역'!AG700="","",'(1)예금승인내역'!AG700)</f>
        <v>0.044</v>
      </c>
      <c r="U74" s="549" t="n">
        <f aca="false">IF('(1)예금승인내역'!X700="","",'(1)예금승인내역'!X700)</f>
        <v>0.008956</v>
      </c>
      <c r="V74" s="531" t="n">
        <f aca="false">IF(ISNUMBER(N74),N74-$B$2,"")</f>
        <v>-649</v>
      </c>
      <c r="W74" s="531" t="str">
        <f aca="false">IF(AND(ISNUMBER(N74),N74&gt;=$B$2,N74&lt;=$B$2+10),N74*100000+ROW(),"")</f>
        <v/>
      </c>
      <c r="X74" s="531" t="str">
        <f aca="false">IFERROR(SMALL($W$6:$W$1005,69),"")</f>
        <v/>
      </c>
      <c r="Y74" s="531" t="str">
        <f aca="false">IF(X74="","",MATCH(X74,$W$6:$W$1005,0))</f>
        <v/>
      </c>
      <c r="Z74" s="531"/>
      <c r="AA74" s="531"/>
      <c r="AB74" s="531"/>
      <c r="AC74" s="531"/>
      <c r="AD74" s="531"/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</row>
    <row r="75" customFormat="false" ht="16.5" hidden="false" customHeight="true" outlineLevel="0" collapsed="false">
      <c r="A75" s="542" t="str">
        <f aca="false">IF($Y75="","",IF(INDEX($N$6:$N$1005,$Y75)=$B$2,"오늘","+"&amp;(INDEX($N$6:$N$1005,$Y75)-$B$2)&amp;"일"))</f>
        <v/>
      </c>
      <c r="B75" s="543" t="str">
        <f aca="false">IF($Y75="","",INDEX($N$6:$N$1005,$Y75))</f>
        <v/>
      </c>
      <c r="C75" s="542" t="str">
        <f aca="false">IF($Y75="","",CHOOSE(WEEKDAY(INDEX($N$6:$N$1005,$Y75)),"일","월","화","수","목","금","토"))</f>
        <v/>
      </c>
      <c r="D75" s="543" t="str">
        <f aca="false">IF($Y75="","",INDEX($O$6:$O$1005,$Y75))</f>
        <v/>
      </c>
      <c r="E75" s="544" t="str">
        <f aca="false">IF($Y75="","",INDEX($P$6:$P$1005,$Y75))</f>
        <v/>
      </c>
      <c r="F75" s="544" t="str">
        <f aca="false">IF($Y75="","",INDEX($Q$6:$Q$1005,$Y75))</f>
        <v/>
      </c>
      <c r="G75" s="542" t="str">
        <f aca="false">IF($Y75="","",INDEX($R$6:$R$1005,$Y75))</f>
        <v/>
      </c>
      <c r="H75" s="542" t="str">
        <f aca="false">IF($Y75="","","USD")</f>
        <v/>
      </c>
      <c r="I75" s="545" t="str">
        <f aca="false">IF($Y75="","",INDEX($S$6:$S$1005,$Y75))</f>
        <v/>
      </c>
      <c r="J75" s="546" t="str">
        <f aca="false">IF($Y75="","",INDEX($T$6:$T$1005,$Y75))</f>
        <v/>
      </c>
      <c r="K75" s="546" t="str">
        <f aca="false">IF($Y75="","",INDEX($U$6:$U$1005,$Y75))</f>
        <v/>
      </c>
      <c r="L75" s="542" t="str">
        <f aca="false">IF($Y75="","",IF(INDEX($S$6:$S$1005,$Y75)&gt;=10,"★ 10백만불↑",""))</f>
        <v/>
      </c>
      <c r="M75" s="531"/>
      <c r="N75" s="547" t="n">
        <f aca="false">IF('(1)예금승인내역'!H701="","",'(1)예금승인내역'!H701)</f>
        <v>45543</v>
      </c>
      <c r="O75" s="547" t="n">
        <f aca="false">IF('(1)예금승인내역'!G701="","",'(1)예금승인내역'!G701)</f>
        <v>45512</v>
      </c>
      <c r="P75" s="531" t="str">
        <f aca="false">IF('(1)예금승인내역'!F701="","",'(1)예금승인내역'!F701)</f>
        <v>한국비철㈜</v>
      </c>
      <c r="Q75" s="531" t="str">
        <f aca="false">IF('(1)예금승인내역'!C701="","",'(1)예금승인내역'!C701)</f>
        <v>달성공단영업부</v>
      </c>
      <c r="R75" s="531" t="str">
        <f aca="false">IF('(1)예금승인내역'!K701="","",'(1)예금승인내역'!K701)</f>
        <v>정기예금</v>
      </c>
      <c r="S75" s="548" t="n">
        <f aca="false">IF('(1)예금승인내역'!L701="","",'(1)예금승인내역'!L701)</f>
        <v>7</v>
      </c>
      <c r="T75" s="549" t="n">
        <f aca="false">IF('(1)예금승인내역'!AG701="","",'(1)예금승인내역'!AG701)</f>
        <v>0.051</v>
      </c>
      <c r="U75" s="549" t="n">
        <f aca="false">IF('(1)예금승인내역'!X701="","",'(1)예금승인내역'!X701)</f>
        <v>0.003029</v>
      </c>
      <c r="V75" s="531" t="n">
        <f aca="false">IF(ISNUMBER(N75),N75-$B$2,"")</f>
        <v>-646</v>
      </c>
      <c r="W75" s="531" t="str">
        <f aca="false">IF(AND(ISNUMBER(N75),N75&gt;=$B$2,N75&lt;=$B$2+10),N75*100000+ROW(),"")</f>
        <v/>
      </c>
      <c r="X75" s="531" t="str">
        <f aca="false">IFERROR(SMALL($W$6:$W$1005,70),"")</f>
        <v/>
      </c>
      <c r="Y75" s="531" t="str">
        <f aca="false">IF(X75="","",MATCH(X75,$W$6:$W$1005,0))</f>
        <v/>
      </c>
      <c r="Z75" s="531"/>
      <c r="AA75" s="531"/>
      <c r="AB75" s="531"/>
      <c r="AC75" s="531"/>
      <c r="AD75" s="531"/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</row>
    <row r="76" customFormat="false" ht="16.5" hidden="false" customHeight="true" outlineLevel="0" collapsed="false">
      <c r="A76" s="542" t="str">
        <f aca="false">IF($Y76="","",IF(INDEX($N$6:$N$1005,$Y76)=$B$2,"오늘","+"&amp;(INDEX($N$6:$N$1005,$Y76)-$B$2)&amp;"일"))</f>
        <v/>
      </c>
      <c r="B76" s="543" t="str">
        <f aca="false">IF($Y76="","",INDEX($N$6:$N$1005,$Y76))</f>
        <v/>
      </c>
      <c r="C76" s="542" t="str">
        <f aca="false">IF($Y76="","",CHOOSE(WEEKDAY(INDEX($N$6:$N$1005,$Y76)),"일","월","화","수","목","금","토"))</f>
        <v/>
      </c>
      <c r="D76" s="543" t="str">
        <f aca="false">IF($Y76="","",INDEX($O$6:$O$1005,$Y76))</f>
        <v/>
      </c>
      <c r="E76" s="544" t="str">
        <f aca="false">IF($Y76="","",INDEX($P$6:$P$1005,$Y76))</f>
        <v/>
      </c>
      <c r="F76" s="544" t="str">
        <f aca="false">IF($Y76="","",INDEX($Q$6:$Q$1005,$Y76))</f>
        <v/>
      </c>
      <c r="G76" s="542" t="str">
        <f aca="false">IF($Y76="","",INDEX($R$6:$R$1005,$Y76))</f>
        <v/>
      </c>
      <c r="H76" s="542" t="str">
        <f aca="false">IF($Y76="","","USD")</f>
        <v/>
      </c>
      <c r="I76" s="545" t="str">
        <f aca="false">IF($Y76="","",INDEX($S$6:$S$1005,$Y76))</f>
        <v/>
      </c>
      <c r="J76" s="546" t="str">
        <f aca="false">IF($Y76="","",INDEX($T$6:$T$1005,$Y76))</f>
        <v/>
      </c>
      <c r="K76" s="546" t="str">
        <f aca="false">IF($Y76="","",INDEX($U$6:$U$1005,$Y76))</f>
        <v/>
      </c>
      <c r="L76" s="542" t="str">
        <f aca="false">IF($Y76="","",IF(INDEX($S$6:$S$1005,$Y76)&gt;=10,"★ 10백만불↑",""))</f>
        <v/>
      </c>
      <c r="M76" s="531"/>
      <c r="N76" s="547" t="n">
        <f aca="false">IF('(1)예금승인내역'!H702="","",'(1)예금승인내역'!H702)</f>
        <v>45543</v>
      </c>
      <c r="O76" s="547" t="n">
        <f aca="false">IF('(1)예금승인내역'!G702="","",'(1)예금승인내역'!G702)</f>
        <v>45512</v>
      </c>
      <c r="P76" s="531" t="str">
        <f aca="false">IF('(1)예금승인내역'!F702="","",'(1)예금승인내역'!F702)</f>
        <v>한국비철㈜</v>
      </c>
      <c r="Q76" s="531" t="str">
        <f aca="false">IF('(1)예금승인내역'!C702="","",'(1)예금승인내역'!C702)</f>
        <v>달성공단영업부</v>
      </c>
      <c r="R76" s="531" t="str">
        <f aca="false">IF('(1)예금승인내역'!K702="","",'(1)예금승인내역'!K702)</f>
        <v>정기예금</v>
      </c>
      <c r="S76" s="548" t="n">
        <f aca="false">IF('(1)예금승인내역'!L702="","",'(1)예금승인내역'!L702)</f>
        <v>1</v>
      </c>
      <c r="T76" s="549" t="n">
        <f aca="false">IF('(1)예금승인내역'!AG702="","",'(1)예금승인내역'!AG702)</f>
        <v>0.051</v>
      </c>
      <c r="U76" s="549" t="n">
        <f aca="false">IF('(1)예금승인내역'!X702="","",'(1)예금승인내역'!X702)</f>
        <v>0.003029</v>
      </c>
      <c r="V76" s="531" t="n">
        <f aca="false">IF(ISNUMBER(N76),N76-$B$2,"")</f>
        <v>-646</v>
      </c>
      <c r="W76" s="531" t="str">
        <f aca="false">IF(AND(ISNUMBER(N76),N76&gt;=$B$2,N76&lt;=$B$2+10),N76*100000+ROW(),"")</f>
        <v/>
      </c>
      <c r="X76" s="531" t="str">
        <f aca="false">IFERROR(SMALL($W$6:$W$1005,71),"")</f>
        <v/>
      </c>
      <c r="Y76" s="531" t="str">
        <f aca="false">IF(X76="","",MATCH(X76,$W$6:$W$1005,0))</f>
        <v/>
      </c>
      <c r="Z76" s="531"/>
      <c r="AA76" s="531"/>
      <c r="AB76" s="531"/>
      <c r="AC76" s="531"/>
      <c r="AD76" s="531"/>
      <c r="AE76" s="531"/>
      <c r="AF76" s="531"/>
      <c r="AG76" s="531"/>
      <c r="AH76" s="531"/>
      <c r="AI76" s="531"/>
      <c r="AJ76" s="531"/>
      <c r="AK76" s="531"/>
      <c r="AL76" s="531"/>
      <c r="AM76" s="531"/>
      <c r="AN76" s="531"/>
    </row>
    <row r="77" customFormat="false" ht="16.5" hidden="false" customHeight="true" outlineLevel="0" collapsed="false">
      <c r="A77" s="542" t="str">
        <f aca="false">IF($Y77="","",IF(INDEX($N$6:$N$1005,$Y77)=$B$2,"오늘","+"&amp;(INDEX($N$6:$N$1005,$Y77)-$B$2)&amp;"일"))</f>
        <v/>
      </c>
      <c r="B77" s="543" t="str">
        <f aca="false">IF($Y77="","",INDEX($N$6:$N$1005,$Y77))</f>
        <v/>
      </c>
      <c r="C77" s="542" t="str">
        <f aca="false">IF($Y77="","",CHOOSE(WEEKDAY(INDEX($N$6:$N$1005,$Y77)),"일","월","화","수","목","금","토"))</f>
        <v/>
      </c>
      <c r="D77" s="543" t="str">
        <f aca="false">IF($Y77="","",INDEX($O$6:$O$1005,$Y77))</f>
        <v/>
      </c>
      <c r="E77" s="544" t="str">
        <f aca="false">IF($Y77="","",INDEX($P$6:$P$1005,$Y77))</f>
        <v/>
      </c>
      <c r="F77" s="544" t="str">
        <f aca="false">IF($Y77="","",INDEX($Q$6:$Q$1005,$Y77))</f>
        <v/>
      </c>
      <c r="G77" s="542" t="str">
        <f aca="false">IF($Y77="","",INDEX($R$6:$R$1005,$Y77))</f>
        <v/>
      </c>
      <c r="H77" s="542" t="str">
        <f aca="false">IF($Y77="","","USD")</f>
        <v/>
      </c>
      <c r="I77" s="545" t="str">
        <f aca="false">IF($Y77="","",INDEX($S$6:$S$1005,$Y77))</f>
        <v/>
      </c>
      <c r="J77" s="546" t="str">
        <f aca="false">IF($Y77="","",INDEX($T$6:$T$1005,$Y77))</f>
        <v/>
      </c>
      <c r="K77" s="546" t="str">
        <f aca="false">IF($Y77="","",INDEX($U$6:$U$1005,$Y77))</f>
        <v/>
      </c>
      <c r="L77" s="542" t="str">
        <f aca="false">IF($Y77="","",IF(INDEX($S$6:$S$1005,$Y77)&gt;=10,"★ 10백만불↑",""))</f>
        <v/>
      </c>
      <c r="M77" s="531"/>
      <c r="N77" s="547" t="n">
        <f aca="false">IF('(1)예금승인내역'!H703="","",'(1)예금승인내역'!H703)</f>
        <v>45538</v>
      </c>
      <c r="O77" s="547" t="n">
        <f aca="false">IF('(1)예금승인내역'!G703="","",'(1)예금승인내역'!G703)</f>
        <v>45513</v>
      </c>
      <c r="P77" s="531" t="str">
        <f aca="false">IF('(1)예금승인내역'!F703="","",'(1)예금승인내역'!F703)</f>
        <v>한국석유공사</v>
      </c>
      <c r="Q77" s="531" t="str">
        <f aca="false">IF('(1)예금승인내역'!C703="","",'(1)예금승인내역'!C703)</f>
        <v>울산영업부</v>
      </c>
      <c r="R77" s="531" t="str">
        <f aca="false">IF('(1)예금승인내역'!K703="","",'(1)예금승인내역'!K703)</f>
        <v>정기예금</v>
      </c>
      <c r="S77" s="548" t="n">
        <f aca="false">IF('(1)예금승인내역'!L703="","",'(1)예금승인내역'!L703)</f>
        <v>25</v>
      </c>
      <c r="T77" s="549" t="n">
        <f aca="false">IF('(1)예금승인내역'!AG703="","",'(1)예금승인내역'!AG703)</f>
        <v>0.05</v>
      </c>
      <c r="U77" s="549" t="n">
        <f aca="false">IF('(1)예금승인내역'!X703="","",'(1)예금승인내역'!X703)</f>
        <v>0.004031</v>
      </c>
      <c r="V77" s="531" t="n">
        <f aca="false">IF(ISNUMBER(N77),N77-$B$2,"")</f>
        <v>-651</v>
      </c>
      <c r="W77" s="531" t="str">
        <f aca="false">IF(AND(ISNUMBER(N77),N77&gt;=$B$2,N77&lt;=$B$2+10),N77*100000+ROW(),"")</f>
        <v/>
      </c>
      <c r="X77" s="531" t="str">
        <f aca="false">IFERROR(SMALL($W$6:$W$1005,72),"")</f>
        <v/>
      </c>
      <c r="Y77" s="531" t="str">
        <f aca="false">IF(X77="","",MATCH(X77,$W$6:$W$1005,0))</f>
        <v/>
      </c>
      <c r="Z77" s="531"/>
      <c r="AA77" s="531"/>
      <c r="AB77" s="531"/>
      <c r="AC77" s="531"/>
      <c r="AD77" s="531"/>
      <c r="AE77" s="531"/>
      <c r="AF77" s="531"/>
      <c r="AG77" s="531"/>
      <c r="AH77" s="531"/>
      <c r="AI77" s="531"/>
      <c r="AJ77" s="531"/>
      <c r="AK77" s="531"/>
      <c r="AL77" s="531"/>
      <c r="AM77" s="531"/>
      <c r="AN77" s="531"/>
    </row>
    <row r="78" customFormat="false" ht="16.5" hidden="false" customHeight="true" outlineLevel="0" collapsed="false">
      <c r="A78" s="542" t="str">
        <f aca="false">IF($Y78="","",IF(INDEX($N$6:$N$1005,$Y78)=$B$2,"오늘","+"&amp;(INDEX($N$6:$N$1005,$Y78)-$B$2)&amp;"일"))</f>
        <v/>
      </c>
      <c r="B78" s="543" t="str">
        <f aca="false">IF($Y78="","",INDEX($N$6:$N$1005,$Y78))</f>
        <v/>
      </c>
      <c r="C78" s="542" t="str">
        <f aca="false">IF($Y78="","",CHOOSE(WEEKDAY(INDEX($N$6:$N$1005,$Y78)),"일","월","화","수","목","금","토"))</f>
        <v/>
      </c>
      <c r="D78" s="543" t="str">
        <f aca="false">IF($Y78="","",INDEX($O$6:$O$1005,$Y78))</f>
        <v/>
      </c>
      <c r="E78" s="544" t="str">
        <f aca="false">IF($Y78="","",INDEX($P$6:$P$1005,$Y78))</f>
        <v/>
      </c>
      <c r="F78" s="544" t="str">
        <f aca="false">IF($Y78="","",INDEX($Q$6:$Q$1005,$Y78))</f>
        <v/>
      </c>
      <c r="G78" s="542" t="str">
        <f aca="false">IF($Y78="","",INDEX($R$6:$R$1005,$Y78))</f>
        <v/>
      </c>
      <c r="H78" s="542" t="str">
        <f aca="false">IF($Y78="","","USD")</f>
        <v/>
      </c>
      <c r="I78" s="545" t="str">
        <f aca="false">IF($Y78="","",INDEX($S$6:$S$1005,$Y78))</f>
        <v/>
      </c>
      <c r="J78" s="546" t="str">
        <f aca="false">IF($Y78="","",INDEX($T$6:$T$1005,$Y78))</f>
        <v/>
      </c>
      <c r="K78" s="546" t="str">
        <f aca="false">IF($Y78="","",INDEX($U$6:$U$1005,$Y78))</f>
        <v/>
      </c>
      <c r="L78" s="542" t="str">
        <f aca="false">IF($Y78="","",IF(INDEX($S$6:$S$1005,$Y78)&gt;=10,"★ 10백만불↑",""))</f>
        <v/>
      </c>
      <c r="M78" s="531"/>
      <c r="N78" s="547" t="n">
        <f aca="false">IF('(1)예금승인내역'!H704="","",'(1)예금승인내역'!H704)</f>
        <v>45609</v>
      </c>
      <c r="O78" s="547" t="n">
        <f aca="false">IF('(1)예금승인내역'!G704="","",'(1)예금승인내역'!G704)</f>
        <v>45517</v>
      </c>
      <c r="P78" s="531" t="str">
        <f aca="false">IF('(1)예금승인내역'!F704="","",'(1)예금승인내역'!F704)</f>
        <v>㈜에스앤에스텍</v>
      </c>
      <c r="Q78" s="531" t="str">
        <f aca="false">IF('(1)예금승인내역'!C704="","",'(1)예금승인내역'!C704)</f>
        <v>성서3단지영업부</v>
      </c>
      <c r="R78" s="531" t="str">
        <f aca="false">IF('(1)예금승인내역'!K704="","",'(1)예금승인내역'!K704)</f>
        <v>정기예금</v>
      </c>
      <c r="S78" s="548" t="n">
        <f aca="false">IF('(1)예금승인내역'!L704="","",'(1)예금승인내역'!L704)</f>
        <v>2</v>
      </c>
      <c r="T78" s="549" t="n">
        <f aca="false">IF('(1)예금승인내역'!AG704="","",'(1)예금승인내역'!AG704)</f>
        <v>0.0505</v>
      </c>
      <c r="U78" s="549" t="n">
        <f aca="false">IF('(1)예금승인내역'!X704="","",'(1)예금승인내역'!X704)</f>
        <v>0.003254</v>
      </c>
      <c r="V78" s="531" t="n">
        <f aca="false">IF(ISNUMBER(N78),N78-$B$2,"")</f>
        <v>-580</v>
      </c>
      <c r="W78" s="531" t="str">
        <f aca="false">IF(AND(ISNUMBER(N78),N78&gt;=$B$2,N78&lt;=$B$2+10),N78*100000+ROW(),"")</f>
        <v/>
      </c>
      <c r="X78" s="531" t="str">
        <f aca="false">IFERROR(SMALL($W$6:$W$1005,73),"")</f>
        <v/>
      </c>
      <c r="Y78" s="531" t="str">
        <f aca="false">IF(X78="","",MATCH(X78,$W$6:$W$1005,0))</f>
        <v/>
      </c>
      <c r="Z78" s="531"/>
      <c r="AA78" s="531"/>
      <c r="AB78" s="531"/>
      <c r="AC78" s="531"/>
      <c r="AD78" s="531"/>
      <c r="AE78" s="531"/>
      <c r="AF78" s="531"/>
      <c r="AG78" s="531"/>
      <c r="AH78" s="531"/>
      <c r="AI78" s="531"/>
      <c r="AJ78" s="531"/>
      <c r="AK78" s="531"/>
      <c r="AL78" s="531"/>
      <c r="AM78" s="531"/>
      <c r="AN78" s="531"/>
    </row>
    <row r="79" customFormat="false" ht="16.5" hidden="false" customHeight="true" outlineLevel="0" collapsed="false">
      <c r="A79" s="542" t="str">
        <f aca="false">IF($Y79="","",IF(INDEX($N$6:$N$1005,$Y79)=$B$2,"오늘","+"&amp;(INDEX($N$6:$N$1005,$Y79)-$B$2)&amp;"일"))</f>
        <v/>
      </c>
      <c r="B79" s="543" t="str">
        <f aca="false">IF($Y79="","",INDEX($N$6:$N$1005,$Y79))</f>
        <v/>
      </c>
      <c r="C79" s="542" t="str">
        <f aca="false">IF($Y79="","",CHOOSE(WEEKDAY(INDEX($N$6:$N$1005,$Y79)),"일","월","화","수","목","금","토"))</f>
        <v/>
      </c>
      <c r="D79" s="543" t="str">
        <f aca="false">IF($Y79="","",INDEX($O$6:$O$1005,$Y79))</f>
        <v/>
      </c>
      <c r="E79" s="544" t="str">
        <f aca="false">IF($Y79="","",INDEX($P$6:$P$1005,$Y79))</f>
        <v/>
      </c>
      <c r="F79" s="544" t="str">
        <f aca="false">IF($Y79="","",INDEX($Q$6:$Q$1005,$Y79))</f>
        <v/>
      </c>
      <c r="G79" s="542" t="str">
        <f aca="false">IF($Y79="","",INDEX($R$6:$R$1005,$Y79))</f>
        <v/>
      </c>
      <c r="H79" s="542" t="str">
        <f aca="false">IF($Y79="","","USD")</f>
        <v/>
      </c>
      <c r="I79" s="545" t="str">
        <f aca="false">IF($Y79="","",INDEX($S$6:$S$1005,$Y79))</f>
        <v/>
      </c>
      <c r="J79" s="546" t="str">
        <f aca="false">IF($Y79="","",INDEX($T$6:$T$1005,$Y79))</f>
        <v/>
      </c>
      <c r="K79" s="546" t="str">
        <f aca="false">IF($Y79="","",INDEX($U$6:$U$1005,$Y79))</f>
        <v/>
      </c>
      <c r="L79" s="542" t="str">
        <f aca="false">IF($Y79="","",IF(INDEX($S$6:$S$1005,$Y79)&gt;=10,"★ 10백만불↑",""))</f>
        <v/>
      </c>
      <c r="M79" s="531"/>
      <c r="N79" s="547" t="n">
        <f aca="false">IF('(1)예금승인내역'!H705="","",'(1)예금승인내역'!H705)</f>
        <v>45610</v>
      </c>
      <c r="O79" s="547" t="n">
        <f aca="false">IF('(1)예금승인내역'!G705="","",'(1)예금승인내역'!G705)</f>
        <v>45518</v>
      </c>
      <c r="P79" s="531" t="str">
        <f aca="false">IF('(1)예금승인내역'!F705="","",'(1)예금승인내역'!F705)</f>
        <v>대성산업㈜</v>
      </c>
      <c r="Q79" s="531" t="str">
        <f aca="false">IF('(1)예금승인내역'!C705="","",'(1)예금승인내역'!C705)</f>
        <v>강남영업부</v>
      </c>
      <c r="R79" s="531" t="str">
        <f aca="false">IF('(1)예금승인내역'!K705="","",'(1)예금승인내역'!K705)</f>
        <v>정기예금</v>
      </c>
      <c r="S79" s="548" t="n">
        <f aca="false">IF('(1)예금승인내역'!L705="","",'(1)예금승인내역'!L705)</f>
        <v>3.5</v>
      </c>
      <c r="T79" s="549" t="n">
        <f aca="false">IF('(1)예금승인내역'!AG705="","",'(1)예금승인내역'!AG705)</f>
        <v>0.0505</v>
      </c>
      <c r="U79" s="549" t="n">
        <f aca="false">IF('(1)예금승인내역'!X705="","",'(1)예금승인내역'!X705)</f>
        <v>0.003286</v>
      </c>
      <c r="V79" s="531" t="n">
        <f aca="false">IF(ISNUMBER(N79),N79-$B$2,"")</f>
        <v>-579</v>
      </c>
      <c r="W79" s="531" t="str">
        <f aca="false">IF(AND(ISNUMBER(N79),N79&gt;=$B$2,N79&lt;=$B$2+10),N79*100000+ROW(),"")</f>
        <v/>
      </c>
      <c r="X79" s="531" t="str">
        <f aca="false">IFERROR(SMALL($W$6:$W$1005,74),"")</f>
        <v/>
      </c>
      <c r="Y79" s="531" t="str">
        <f aca="false">IF(X79="","",MATCH(X79,$W$6:$W$1005,0))</f>
        <v/>
      </c>
      <c r="Z79" s="531"/>
      <c r="AA79" s="531"/>
      <c r="AB79" s="531"/>
      <c r="AC79" s="531"/>
      <c r="AD79" s="531"/>
      <c r="AE79" s="531"/>
      <c r="AF79" s="531"/>
      <c r="AG79" s="531"/>
      <c r="AH79" s="531"/>
      <c r="AI79" s="531"/>
      <c r="AJ79" s="531"/>
      <c r="AK79" s="531"/>
      <c r="AL79" s="531"/>
      <c r="AM79" s="531"/>
      <c r="AN79" s="531"/>
    </row>
    <row r="80" customFormat="false" ht="16.5" hidden="false" customHeight="true" outlineLevel="0" collapsed="false">
      <c r="A80" s="542" t="str">
        <f aca="false">IF($Y80="","",IF(INDEX($N$6:$N$1005,$Y80)=$B$2,"오늘","+"&amp;(INDEX($N$6:$N$1005,$Y80)-$B$2)&amp;"일"))</f>
        <v/>
      </c>
      <c r="B80" s="543" t="str">
        <f aca="false">IF($Y80="","",INDEX($N$6:$N$1005,$Y80))</f>
        <v/>
      </c>
      <c r="C80" s="542" t="str">
        <f aca="false">IF($Y80="","",CHOOSE(WEEKDAY(INDEX($N$6:$N$1005,$Y80)),"일","월","화","수","목","금","토"))</f>
        <v/>
      </c>
      <c r="D80" s="543" t="str">
        <f aca="false">IF($Y80="","",INDEX($O$6:$O$1005,$Y80))</f>
        <v/>
      </c>
      <c r="E80" s="544" t="str">
        <f aca="false">IF($Y80="","",INDEX($P$6:$P$1005,$Y80))</f>
        <v/>
      </c>
      <c r="F80" s="544" t="str">
        <f aca="false">IF($Y80="","",INDEX($Q$6:$Q$1005,$Y80))</f>
        <v/>
      </c>
      <c r="G80" s="542" t="str">
        <f aca="false">IF($Y80="","",INDEX($R$6:$R$1005,$Y80))</f>
        <v/>
      </c>
      <c r="H80" s="542" t="str">
        <f aca="false">IF($Y80="","","USD")</f>
        <v/>
      </c>
      <c r="I80" s="545" t="str">
        <f aca="false">IF($Y80="","",INDEX($S$6:$S$1005,$Y80))</f>
        <v/>
      </c>
      <c r="J80" s="546" t="str">
        <f aca="false">IF($Y80="","",INDEX($T$6:$T$1005,$Y80))</f>
        <v/>
      </c>
      <c r="K80" s="546" t="str">
        <f aca="false">IF($Y80="","",INDEX($U$6:$U$1005,$Y80))</f>
        <v/>
      </c>
      <c r="L80" s="542" t="str">
        <f aca="false">IF($Y80="","",IF(INDEX($S$6:$S$1005,$Y80)&gt;=10,"★ 10백만불↑",""))</f>
        <v/>
      </c>
      <c r="M80" s="531"/>
      <c r="N80" s="547" t="n">
        <f aca="false">IF('(1)예금승인내역'!H706="","",'(1)예금승인내역'!H706)</f>
        <v>45614</v>
      </c>
      <c r="O80" s="547" t="n">
        <f aca="false">IF('(1)예금승인내역'!G706="","",'(1)예금승인내역'!G706)</f>
        <v>45520</v>
      </c>
      <c r="P80" s="531" t="str">
        <f aca="false">IF('(1)예금승인내역'!F706="","",'(1)예금승인내역'!F706)</f>
        <v>㈜세도캠핑</v>
      </c>
      <c r="Q80" s="531" t="str">
        <f aca="false">IF('(1)예금승인내역'!C706="","",'(1)예금승인내역'!C706)</f>
        <v>강남영업부</v>
      </c>
      <c r="R80" s="531" t="str">
        <f aca="false">IF('(1)예금승인내역'!K706="","",'(1)예금승인내역'!K706)</f>
        <v>정기예금</v>
      </c>
      <c r="S80" s="548" t="n">
        <f aca="false">IF('(1)예금승인내역'!L706="","",'(1)예금승인내역'!L706)</f>
        <v>2</v>
      </c>
      <c r="T80" s="549" t="n">
        <f aca="false">IF('(1)예금승인내역'!AG706="","",'(1)예금승인내역'!AG706)</f>
        <v>0.05</v>
      </c>
      <c r="U80" s="549" t="n">
        <f aca="false">IF('(1)예금승인내역'!X706="","",'(1)예금승인내역'!X706)</f>
        <v>0.003806</v>
      </c>
      <c r="V80" s="531" t="n">
        <f aca="false">IF(ISNUMBER(N80),N80-$B$2,"")</f>
        <v>-575</v>
      </c>
      <c r="W80" s="531" t="str">
        <f aca="false">IF(AND(ISNUMBER(N80),N80&gt;=$B$2,N80&lt;=$B$2+10),N80*100000+ROW(),"")</f>
        <v/>
      </c>
      <c r="X80" s="531" t="str">
        <f aca="false">IFERROR(SMALL($W$6:$W$1005,75),"")</f>
        <v/>
      </c>
      <c r="Y80" s="531" t="str">
        <f aca="false">IF(X80="","",MATCH(X80,$W$6:$W$1005,0))</f>
        <v/>
      </c>
      <c r="Z80" s="531"/>
      <c r="AA80" s="531"/>
      <c r="AB80" s="531"/>
      <c r="AC80" s="531"/>
      <c r="AD80" s="531"/>
      <c r="AE80" s="531"/>
      <c r="AF80" s="531"/>
      <c r="AG80" s="531"/>
      <c r="AH80" s="531"/>
      <c r="AI80" s="531"/>
      <c r="AJ80" s="531"/>
      <c r="AK80" s="531"/>
      <c r="AL80" s="531"/>
      <c r="AM80" s="531"/>
      <c r="AN80" s="531"/>
    </row>
    <row r="81" customFormat="false" ht="16.5" hidden="false" customHeight="true" outlineLevel="0" collapsed="false">
      <c r="A81" s="542" t="str">
        <f aca="false">IF($Y81="","",IF(INDEX($N$6:$N$1005,$Y81)=$B$2,"오늘","+"&amp;(INDEX($N$6:$N$1005,$Y81)-$B$2)&amp;"일"))</f>
        <v/>
      </c>
      <c r="B81" s="543" t="str">
        <f aca="false">IF($Y81="","",INDEX($N$6:$N$1005,$Y81))</f>
        <v/>
      </c>
      <c r="C81" s="542" t="str">
        <f aca="false">IF($Y81="","",CHOOSE(WEEKDAY(INDEX($N$6:$N$1005,$Y81)),"일","월","화","수","목","금","토"))</f>
        <v/>
      </c>
      <c r="D81" s="543" t="str">
        <f aca="false">IF($Y81="","",INDEX($O$6:$O$1005,$Y81))</f>
        <v/>
      </c>
      <c r="E81" s="544" t="str">
        <f aca="false">IF($Y81="","",INDEX($P$6:$P$1005,$Y81))</f>
        <v/>
      </c>
      <c r="F81" s="544" t="str">
        <f aca="false">IF($Y81="","",INDEX($Q$6:$Q$1005,$Y81))</f>
        <v/>
      </c>
      <c r="G81" s="542" t="str">
        <f aca="false">IF($Y81="","",INDEX($R$6:$R$1005,$Y81))</f>
        <v/>
      </c>
      <c r="H81" s="542" t="str">
        <f aca="false">IF($Y81="","","USD")</f>
        <v/>
      </c>
      <c r="I81" s="545" t="str">
        <f aca="false">IF($Y81="","",INDEX($S$6:$S$1005,$Y81))</f>
        <v/>
      </c>
      <c r="J81" s="546" t="str">
        <f aca="false">IF($Y81="","",INDEX($T$6:$T$1005,$Y81))</f>
        <v/>
      </c>
      <c r="K81" s="546" t="str">
        <f aca="false">IF($Y81="","",INDEX($U$6:$U$1005,$Y81))</f>
        <v/>
      </c>
      <c r="L81" s="542" t="str">
        <f aca="false">IF($Y81="","",IF(INDEX($S$6:$S$1005,$Y81)&gt;=10,"★ 10백만불↑",""))</f>
        <v/>
      </c>
      <c r="M81" s="531"/>
      <c r="N81" s="547" t="n">
        <f aca="false">IF('(1)예금승인내역'!H707="","",'(1)예금승인내역'!H707)</f>
        <v>45617</v>
      </c>
      <c r="O81" s="547" t="n">
        <f aca="false">IF('(1)예금승인내역'!G707="","",'(1)예금승인내역'!G707)</f>
        <v>45525</v>
      </c>
      <c r="P81" s="531" t="str">
        <f aca="false">IF('(1)예금승인내역'!F707="","",'(1)예금승인내역'!F707)</f>
        <v>㈜세도캠핑</v>
      </c>
      <c r="Q81" s="531" t="str">
        <f aca="false">IF('(1)예금승인내역'!C707="","",'(1)예금승인내역'!C707)</f>
        <v>강남영업부</v>
      </c>
      <c r="R81" s="531" t="str">
        <f aca="false">IF('(1)예금승인내역'!K707="","",'(1)예금승인내역'!K707)</f>
        <v>정기예금</v>
      </c>
      <c r="S81" s="548" t="n">
        <f aca="false">IF('(1)예금승인내역'!L707="","",'(1)예금승인내역'!L707)</f>
        <v>3</v>
      </c>
      <c r="T81" s="549" t="n">
        <f aca="false">IF('(1)예금승인내역'!AG707="","",'(1)예금승인내역'!AG707)</f>
        <v>0.0485</v>
      </c>
      <c r="U81" s="549" t="n">
        <f aca="false">IF('(1)예금승인내역'!X707="","",'(1)예금승인내역'!X707)</f>
        <v>0.005387</v>
      </c>
      <c r="V81" s="531" t="n">
        <f aca="false">IF(ISNUMBER(N81),N81-$B$2,"")</f>
        <v>-572</v>
      </c>
      <c r="W81" s="531" t="str">
        <f aca="false">IF(AND(ISNUMBER(N81),N81&gt;=$B$2,N81&lt;=$B$2+10),N81*100000+ROW(),"")</f>
        <v/>
      </c>
      <c r="X81" s="531" t="str">
        <f aca="false">IFERROR(SMALL($W$6:$W$1005,76),"")</f>
        <v/>
      </c>
      <c r="Y81" s="531" t="str">
        <f aca="false">IF(X81="","",MATCH(X81,$W$6:$W$1005,0))</f>
        <v/>
      </c>
      <c r="Z81" s="531"/>
      <c r="AA81" s="531"/>
      <c r="AB81" s="531"/>
      <c r="AC81" s="531"/>
      <c r="AD81" s="531"/>
      <c r="AE81" s="531"/>
      <c r="AF81" s="531"/>
      <c r="AG81" s="531"/>
      <c r="AH81" s="531"/>
      <c r="AI81" s="531"/>
      <c r="AJ81" s="531"/>
      <c r="AK81" s="531"/>
      <c r="AL81" s="531"/>
      <c r="AM81" s="531"/>
      <c r="AN81" s="531"/>
    </row>
    <row r="82" customFormat="false" ht="16.5" hidden="false" customHeight="true" outlineLevel="0" collapsed="false">
      <c r="A82" s="542" t="str">
        <f aca="false">IF($Y82="","",IF(INDEX($N$6:$N$1005,$Y82)=$B$2,"오늘","+"&amp;(INDEX($N$6:$N$1005,$Y82)-$B$2)&amp;"일"))</f>
        <v/>
      </c>
      <c r="B82" s="543" t="str">
        <f aca="false">IF($Y82="","",INDEX($N$6:$N$1005,$Y82))</f>
        <v/>
      </c>
      <c r="C82" s="542" t="str">
        <f aca="false">IF($Y82="","",CHOOSE(WEEKDAY(INDEX($N$6:$N$1005,$Y82)),"일","월","화","수","목","금","토"))</f>
        <v/>
      </c>
      <c r="D82" s="543" t="str">
        <f aca="false">IF($Y82="","",INDEX($O$6:$O$1005,$Y82))</f>
        <v/>
      </c>
      <c r="E82" s="544" t="str">
        <f aca="false">IF($Y82="","",INDEX($P$6:$P$1005,$Y82))</f>
        <v/>
      </c>
      <c r="F82" s="544" t="str">
        <f aca="false">IF($Y82="","",INDEX($Q$6:$Q$1005,$Y82))</f>
        <v/>
      </c>
      <c r="G82" s="542" t="str">
        <f aca="false">IF($Y82="","",INDEX($R$6:$R$1005,$Y82))</f>
        <v/>
      </c>
      <c r="H82" s="542" t="str">
        <f aca="false">IF($Y82="","","USD")</f>
        <v/>
      </c>
      <c r="I82" s="545" t="str">
        <f aca="false">IF($Y82="","",INDEX($S$6:$S$1005,$Y82))</f>
        <v/>
      </c>
      <c r="J82" s="546" t="str">
        <f aca="false">IF($Y82="","",INDEX($T$6:$T$1005,$Y82))</f>
        <v/>
      </c>
      <c r="K82" s="546" t="str">
        <f aca="false">IF($Y82="","",INDEX($U$6:$U$1005,$Y82))</f>
        <v/>
      </c>
      <c r="L82" s="542" t="str">
        <f aca="false">IF($Y82="","",IF(INDEX($S$6:$S$1005,$Y82)&gt;=10,"★ 10백만불↑",""))</f>
        <v/>
      </c>
      <c r="M82" s="531"/>
      <c r="N82" s="547" t="n">
        <f aca="false">IF('(1)예금승인내역'!H708="","",'(1)예금승인내역'!H708)</f>
        <v>45561</v>
      </c>
      <c r="O82" s="547" t="n">
        <f aca="false">IF('(1)예금승인내역'!G708="","",'(1)예금승인내역'!G708)</f>
        <v>45530</v>
      </c>
      <c r="P82" s="531" t="str">
        <f aca="false">IF('(1)예금승인내역'!F708="","",'(1)예금승인내역'!F708)</f>
        <v>에스엠상선㈜</v>
      </c>
      <c r="Q82" s="531" t="str">
        <f aca="false">IF('(1)예금승인내역'!C708="","",'(1)예금승인내역'!C708)</f>
        <v>강남영업부</v>
      </c>
      <c r="R82" s="531" t="str">
        <f aca="false">IF('(1)예금승인내역'!K708="","",'(1)예금승인내역'!K708)</f>
        <v>정기예금</v>
      </c>
      <c r="S82" s="548" t="n">
        <f aca="false">IF('(1)예금승인내역'!L708="","",'(1)예금승인내역'!L708)</f>
        <v>10</v>
      </c>
      <c r="T82" s="549" t="n">
        <f aca="false">IF('(1)예금승인내역'!AG708="","",'(1)예금승인내역'!AG708)</f>
        <v>0.05</v>
      </c>
      <c r="U82" s="549" t="n">
        <f aca="false">IF('(1)예금승인내역'!X708="","",'(1)예금승인내역'!X708)</f>
        <v>0.003919</v>
      </c>
      <c r="V82" s="531" t="n">
        <f aca="false">IF(ISNUMBER(N82),N82-$B$2,"")</f>
        <v>-628</v>
      </c>
      <c r="W82" s="531" t="str">
        <f aca="false">IF(AND(ISNUMBER(N82),N82&gt;=$B$2,N82&lt;=$B$2+10),N82*100000+ROW(),"")</f>
        <v/>
      </c>
      <c r="X82" s="531" t="str">
        <f aca="false">IFERROR(SMALL($W$6:$W$1005,77),"")</f>
        <v/>
      </c>
      <c r="Y82" s="531" t="str">
        <f aca="false">IF(X82="","",MATCH(X82,$W$6:$W$1005,0))</f>
        <v/>
      </c>
      <c r="Z82" s="531"/>
      <c r="AA82" s="531"/>
      <c r="AB82" s="531"/>
      <c r="AC82" s="531"/>
      <c r="AD82" s="531"/>
      <c r="AE82" s="531"/>
      <c r="AF82" s="531"/>
      <c r="AG82" s="531"/>
      <c r="AH82" s="531"/>
      <c r="AI82" s="531"/>
      <c r="AJ82" s="531"/>
      <c r="AK82" s="531"/>
      <c r="AL82" s="531"/>
      <c r="AM82" s="531"/>
      <c r="AN82" s="531"/>
    </row>
    <row r="83" customFormat="false" ht="16.5" hidden="false" customHeight="true" outlineLevel="0" collapsed="false">
      <c r="A83" s="542" t="str">
        <f aca="false">IF($Y83="","",IF(INDEX($N$6:$N$1005,$Y83)=$B$2,"오늘","+"&amp;(INDEX($N$6:$N$1005,$Y83)-$B$2)&amp;"일"))</f>
        <v/>
      </c>
      <c r="B83" s="543" t="str">
        <f aca="false">IF($Y83="","",INDEX($N$6:$N$1005,$Y83))</f>
        <v/>
      </c>
      <c r="C83" s="542" t="str">
        <f aca="false">IF($Y83="","",CHOOSE(WEEKDAY(INDEX($N$6:$N$1005,$Y83)),"일","월","화","수","목","금","토"))</f>
        <v/>
      </c>
      <c r="D83" s="543" t="str">
        <f aca="false">IF($Y83="","",INDEX($O$6:$O$1005,$Y83))</f>
        <v/>
      </c>
      <c r="E83" s="544" t="str">
        <f aca="false">IF($Y83="","",INDEX($P$6:$P$1005,$Y83))</f>
        <v/>
      </c>
      <c r="F83" s="544" t="str">
        <f aca="false">IF($Y83="","",INDEX($Q$6:$Q$1005,$Y83))</f>
        <v/>
      </c>
      <c r="G83" s="542" t="str">
        <f aca="false">IF($Y83="","",INDEX($R$6:$R$1005,$Y83))</f>
        <v/>
      </c>
      <c r="H83" s="542" t="str">
        <f aca="false">IF($Y83="","","USD")</f>
        <v/>
      </c>
      <c r="I83" s="545" t="str">
        <f aca="false">IF($Y83="","",INDEX($S$6:$S$1005,$Y83))</f>
        <v/>
      </c>
      <c r="J83" s="546" t="str">
        <f aca="false">IF($Y83="","",INDEX($T$6:$T$1005,$Y83))</f>
        <v/>
      </c>
      <c r="K83" s="546" t="str">
        <f aca="false">IF($Y83="","",INDEX($U$6:$U$1005,$Y83))</f>
        <v/>
      </c>
      <c r="L83" s="542" t="str">
        <f aca="false">IF($Y83="","",IF(INDEX($S$6:$S$1005,$Y83)&gt;=10,"★ 10백만불↑",""))</f>
        <v/>
      </c>
      <c r="M83" s="531"/>
      <c r="N83" s="547" t="n">
        <f aca="false">IF('(1)예금승인내역'!H709="","",'(1)예금승인내역'!H709)</f>
        <v>45895</v>
      </c>
      <c r="O83" s="547" t="n">
        <f aca="false">IF('(1)예금승인내역'!G709="","",'(1)예금승인내역'!G709)</f>
        <v>45530</v>
      </c>
      <c r="P83" s="531" t="str">
        <f aca="false">IF('(1)예금승인내역'!F709="","",'(1)예금승인내역'!F709)</f>
        <v>신라인코리아 </v>
      </c>
      <c r="Q83" s="531" t="str">
        <f aca="false">IF('(1)예금승인내역'!C709="","",'(1)예금승인내역'!C709)</f>
        <v>문경지점</v>
      </c>
      <c r="R83" s="531" t="str">
        <f aca="false">IF('(1)예금승인내역'!K709="","",'(1)예금승인내역'!K709)</f>
        <v>정기예금</v>
      </c>
      <c r="S83" s="548" t="n">
        <f aca="false">IF('(1)예금승인내역'!L709="","",'(1)예금승인내역'!L709)</f>
        <v>4</v>
      </c>
      <c r="T83" s="549" t="n">
        <f aca="false">IF('(1)예금승인내역'!AG709="","",'(1)예금승인내역'!AG709)</f>
        <v>0.0445</v>
      </c>
      <c r="U83" s="549" t="n">
        <f aca="false">IF('(1)예금승인내역'!X709="","",'(1)예금승인내역'!X709)</f>
        <v>0.006343</v>
      </c>
      <c r="V83" s="531" t="n">
        <f aca="false">IF(ISNUMBER(N83),N83-$B$2,"")</f>
        <v>-294</v>
      </c>
      <c r="W83" s="531" t="str">
        <f aca="false">IF(AND(ISNUMBER(N83),N83&gt;=$B$2,N83&lt;=$B$2+10),N83*100000+ROW(),"")</f>
        <v/>
      </c>
      <c r="X83" s="531" t="str">
        <f aca="false">IFERROR(SMALL($W$6:$W$1005,78),"")</f>
        <v/>
      </c>
      <c r="Y83" s="531" t="str">
        <f aca="false">IF(X83="","",MATCH(X83,$W$6:$W$1005,0))</f>
        <v/>
      </c>
      <c r="Z83" s="531"/>
      <c r="AA83" s="531"/>
      <c r="AB83" s="531"/>
      <c r="AC83" s="531"/>
      <c r="AD83" s="531"/>
      <c r="AE83" s="531"/>
      <c r="AF83" s="531"/>
      <c r="AG83" s="531"/>
      <c r="AH83" s="531"/>
      <c r="AI83" s="531"/>
      <c r="AJ83" s="531"/>
      <c r="AK83" s="531"/>
      <c r="AL83" s="531"/>
      <c r="AM83" s="531"/>
      <c r="AN83" s="531"/>
    </row>
    <row r="84" customFormat="false" ht="16.5" hidden="false" customHeight="true" outlineLevel="0" collapsed="false">
      <c r="A84" s="542" t="str">
        <f aca="false">IF($Y84="","",IF(INDEX($N$6:$N$1005,$Y84)=$B$2,"오늘","+"&amp;(INDEX($N$6:$N$1005,$Y84)-$B$2)&amp;"일"))</f>
        <v/>
      </c>
      <c r="B84" s="543" t="str">
        <f aca="false">IF($Y84="","",INDEX($N$6:$N$1005,$Y84))</f>
        <v/>
      </c>
      <c r="C84" s="542" t="str">
        <f aca="false">IF($Y84="","",CHOOSE(WEEKDAY(INDEX($N$6:$N$1005,$Y84)),"일","월","화","수","목","금","토"))</f>
        <v/>
      </c>
      <c r="D84" s="543" t="str">
        <f aca="false">IF($Y84="","",INDEX($O$6:$O$1005,$Y84))</f>
        <v/>
      </c>
      <c r="E84" s="544" t="str">
        <f aca="false">IF($Y84="","",INDEX($P$6:$P$1005,$Y84))</f>
        <v/>
      </c>
      <c r="F84" s="544" t="str">
        <f aca="false">IF($Y84="","",INDEX($Q$6:$Q$1005,$Y84))</f>
        <v/>
      </c>
      <c r="G84" s="542" t="str">
        <f aca="false">IF($Y84="","",INDEX($R$6:$R$1005,$Y84))</f>
        <v/>
      </c>
      <c r="H84" s="542" t="str">
        <f aca="false">IF($Y84="","","USD")</f>
        <v/>
      </c>
      <c r="I84" s="545" t="str">
        <f aca="false">IF($Y84="","",INDEX($S$6:$S$1005,$Y84))</f>
        <v/>
      </c>
      <c r="J84" s="546" t="str">
        <f aca="false">IF($Y84="","",INDEX($T$6:$T$1005,$Y84))</f>
        <v/>
      </c>
      <c r="K84" s="546" t="str">
        <f aca="false">IF($Y84="","",INDEX($U$6:$U$1005,$Y84))</f>
        <v/>
      </c>
      <c r="L84" s="542" t="str">
        <f aca="false">IF($Y84="","",IF(INDEX($S$6:$S$1005,$Y84)&gt;=10,"★ 10백만불↑",""))</f>
        <v/>
      </c>
      <c r="M84" s="531"/>
      <c r="N84" s="547" t="n">
        <f aca="false">IF('(1)예금승인내역'!H710="","",'(1)예금승인내역'!H710)</f>
        <v>45565</v>
      </c>
      <c r="O84" s="547" t="n">
        <f aca="false">IF('(1)예금승인내역'!G710="","",'(1)예금승인내역'!G710)</f>
        <v>45532</v>
      </c>
      <c r="P84" s="531" t="str">
        <f aca="false">IF('(1)예금승인내역'!F710="","",'(1)예금승인내역'!F710)</f>
        <v>에스엠상선㈜</v>
      </c>
      <c r="Q84" s="531" t="str">
        <f aca="false">IF('(1)예금승인내역'!C710="","",'(1)예금승인내역'!C710)</f>
        <v>강남영업부</v>
      </c>
      <c r="R84" s="531" t="str">
        <f aca="false">IF('(1)예금승인내역'!K710="","",'(1)예금승인내역'!K710)</f>
        <v>정기예금</v>
      </c>
      <c r="S84" s="548" t="n">
        <f aca="false">IF('(1)예금승인내역'!L710="","",'(1)예금승인내역'!L710)</f>
        <v>10</v>
      </c>
      <c r="T84" s="549" t="n">
        <f aca="false">IF('(1)예금승인내역'!AG710="","",'(1)예금승인내역'!AG710)</f>
        <v>0.05</v>
      </c>
      <c r="U84" s="549" t="n">
        <f aca="false">IF('(1)예금승인내역'!X710="","",'(1)예금승인내역'!X710)</f>
        <v>0.003662</v>
      </c>
      <c r="V84" s="531" t="n">
        <f aca="false">IF(ISNUMBER(N84),N84-$B$2,"")</f>
        <v>-624</v>
      </c>
      <c r="W84" s="531" t="str">
        <f aca="false">IF(AND(ISNUMBER(N84),N84&gt;=$B$2,N84&lt;=$B$2+10),N84*100000+ROW(),"")</f>
        <v/>
      </c>
      <c r="X84" s="531" t="str">
        <f aca="false">IFERROR(SMALL($W$6:$W$1005,79),"")</f>
        <v/>
      </c>
      <c r="Y84" s="531" t="str">
        <f aca="false">IF(X84="","",MATCH(X84,$W$6:$W$1005,0))</f>
        <v/>
      </c>
      <c r="Z84" s="531"/>
      <c r="AA84" s="531"/>
      <c r="AB84" s="531"/>
      <c r="AC84" s="531"/>
      <c r="AD84" s="531"/>
      <c r="AE84" s="531"/>
      <c r="AF84" s="531"/>
      <c r="AG84" s="531"/>
      <c r="AH84" s="531"/>
      <c r="AI84" s="531"/>
      <c r="AJ84" s="531"/>
      <c r="AK84" s="531"/>
      <c r="AL84" s="531"/>
      <c r="AM84" s="531"/>
      <c r="AN84" s="531"/>
    </row>
    <row r="85" customFormat="false" ht="16.5" hidden="false" customHeight="true" outlineLevel="0" collapsed="false">
      <c r="A85" s="542" t="str">
        <f aca="false">IF($Y85="","",IF(INDEX($N$6:$N$1005,$Y85)=$B$2,"오늘","+"&amp;(INDEX($N$6:$N$1005,$Y85)-$B$2)&amp;"일"))</f>
        <v/>
      </c>
      <c r="B85" s="543" t="str">
        <f aca="false">IF($Y85="","",INDEX($N$6:$N$1005,$Y85))</f>
        <v/>
      </c>
      <c r="C85" s="542" t="str">
        <f aca="false">IF($Y85="","",CHOOSE(WEEKDAY(INDEX($N$6:$N$1005,$Y85)),"일","월","화","수","목","금","토"))</f>
        <v/>
      </c>
      <c r="D85" s="543" t="str">
        <f aca="false">IF($Y85="","",INDEX($O$6:$O$1005,$Y85))</f>
        <v/>
      </c>
      <c r="E85" s="544" t="str">
        <f aca="false">IF($Y85="","",INDEX($P$6:$P$1005,$Y85))</f>
        <v/>
      </c>
      <c r="F85" s="544" t="str">
        <f aca="false">IF($Y85="","",INDEX($Q$6:$Q$1005,$Y85))</f>
        <v/>
      </c>
      <c r="G85" s="542" t="str">
        <f aca="false">IF($Y85="","",INDEX($R$6:$R$1005,$Y85))</f>
        <v/>
      </c>
      <c r="H85" s="542" t="str">
        <f aca="false">IF($Y85="","","USD")</f>
        <v/>
      </c>
      <c r="I85" s="545" t="str">
        <f aca="false">IF($Y85="","",INDEX($S$6:$S$1005,$Y85))</f>
        <v/>
      </c>
      <c r="J85" s="546" t="str">
        <f aca="false">IF($Y85="","",INDEX($T$6:$T$1005,$Y85))</f>
        <v/>
      </c>
      <c r="K85" s="546" t="str">
        <f aca="false">IF($Y85="","",INDEX($U$6:$U$1005,$Y85))</f>
        <v/>
      </c>
      <c r="L85" s="542" t="str">
        <f aca="false">IF($Y85="","",IF(INDEX($S$6:$S$1005,$Y85)&gt;=10,"★ 10백만불↑",""))</f>
        <v/>
      </c>
      <c r="M85" s="531"/>
      <c r="N85" s="547" t="n">
        <f aca="false">IF('(1)예금승인내역'!H711="","",'(1)예금승인내역'!H711)</f>
        <v>45565</v>
      </c>
      <c r="O85" s="547" t="n">
        <f aca="false">IF('(1)예금승인내역'!G711="","",'(1)예금승인내역'!G711)</f>
        <v>45532</v>
      </c>
      <c r="P85" s="531" t="str">
        <f aca="false">IF('(1)예금승인내역'!F711="","",'(1)예금승인내역'!F711)</f>
        <v>거림테크주식회사</v>
      </c>
      <c r="Q85" s="531" t="str">
        <f aca="false">IF('(1)예금승인내역'!C711="","",'(1)예금승인내역'!C711)</f>
        <v>죽전지점 </v>
      </c>
      <c r="R85" s="531" t="str">
        <f aca="false">IF('(1)예금승인내역'!K711="","",'(1)예금승인내역'!K711)</f>
        <v>정기예금</v>
      </c>
      <c r="S85" s="548" t="n">
        <f aca="false">IF('(1)예금승인내역'!L711="","",'(1)예금승인내역'!L711)</f>
        <v>1</v>
      </c>
      <c r="T85" s="549" t="n">
        <f aca="false">IF('(1)예금승인내역'!AG711="","",'(1)예금승인내역'!AG711)</f>
        <v>0.05</v>
      </c>
      <c r="U85" s="549" t="n">
        <f aca="false">IF('(1)예금승인내역'!X711="","",'(1)예금승인내역'!X711)</f>
        <v>0.003662</v>
      </c>
      <c r="V85" s="531" t="n">
        <f aca="false">IF(ISNUMBER(N85),N85-$B$2,"")</f>
        <v>-624</v>
      </c>
      <c r="W85" s="531" t="str">
        <f aca="false">IF(AND(ISNUMBER(N85),N85&gt;=$B$2,N85&lt;=$B$2+10),N85*100000+ROW(),"")</f>
        <v/>
      </c>
      <c r="X85" s="531" t="str">
        <f aca="false">IFERROR(SMALL($W$6:$W$1005,80),"")</f>
        <v/>
      </c>
      <c r="Y85" s="531" t="str">
        <f aca="false">IF(X85="","",MATCH(X85,$W$6:$W$1005,0))</f>
        <v/>
      </c>
      <c r="Z85" s="531"/>
      <c r="AA85" s="531"/>
      <c r="AB85" s="531"/>
      <c r="AC85" s="531"/>
      <c r="AD85" s="531"/>
      <c r="AE85" s="531"/>
      <c r="AF85" s="531"/>
      <c r="AG85" s="531"/>
      <c r="AH85" s="531"/>
      <c r="AI85" s="531"/>
      <c r="AJ85" s="531"/>
      <c r="AK85" s="531"/>
      <c r="AL85" s="531"/>
      <c r="AM85" s="531"/>
      <c r="AN85" s="531"/>
    </row>
    <row r="86" customFormat="false" ht="16.5" hidden="false" customHeight="true" outlineLevel="0" collapsed="false">
      <c r="A86" s="531"/>
      <c r="B86" s="531"/>
      <c r="C86" s="531"/>
      <c r="D86" s="531"/>
      <c r="E86" s="531"/>
      <c r="F86" s="531"/>
      <c r="G86" s="531"/>
      <c r="H86" s="531"/>
      <c r="I86" s="531"/>
      <c r="J86" s="531"/>
      <c r="K86" s="531"/>
      <c r="L86" s="531"/>
      <c r="M86" s="531"/>
      <c r="N86" s="547" t="n">
        <f aca="false">IF('(1)예금승인내역'!H712="","",'(1)예금승인내역'!H712)</f>
        <v>45562</v>
      </c>
      <c r="O86" s="547" t="n">
        <f aca="false">IF('(1)예금승인내역'!G712="","",'(1)예금승인내역'!G712)</f>
        <v>45532</v>
      </c>
      <c r="P86" s="531" t="str">
        <f aca="false">IF('(1)예금승인내역'!F712="","",'(1)예금승인내역'!F712)</f>
        <v>㈜ 약진통상 </v>
      </c>
      <c r="Q86" s="531" t="str">
        <f aca="false">IF('(1)예금승인내역'!C712="","",'(1)예금승인내역'!C712)</f>
        <v>반월공단지점</v>
      </c>
      <c r="R86" s="531" t="str">
        <f aca="false">IF('(1)예금승인내역'!K712="","",'(1)예금승인내역'!K712)</f>
        <v>MMDA</v>
      </c>
      <c r="S86" s="548" t="n">
        <f aca="false">IF('(1)예금승인내역'!L712="","",'(1)예금승인내역'!L712)</f>
        <v>3</v>
      </c>
      <c r="T86" s="549" t="n">
        <f aca="false">IF('(1)예금승인내역'!AG712="","",'(1)예금승인내역'!AG712)</f>
        <v>0.046</v>
      </c>
      <c r="U86" s="549" t="n">
        <f aca="false">IF('(1)예금승인내역'!X712="","",'(1)예금승인내역'!X712)</f>
        <v>0.004648</v>
      </c>
      <c r="V86" s="531" t="n">
        <f aca="false">IF(ISNUMBER(N86),N86-$B$2,"")</f>
        <v>-627</v>
      </c>
      <c r="W86" s="531" t="str">
        <f aca="false">IF(AND(ISNUMBER(N86),N86&gt;=$B$2,N86&lt;=$B$2+10),N86*100000+ROW(),"")</f>
        <v/>
      </c>
      <c r="X86" s="531"/>
      <c r="Y86" s="531"/>
      <c r="Z86" s="531"/>
      <c r="AA86" s="531"/>
      <c r="AB86" s="531"/>
      <c r="AC86" s="531"/>
      <c r="AD86" s="531"/>
      <c r="AE86" s="531"/>
      <c r="AF86" s="531"/>
      <c r="AG86" s="531"/>
      <c r="AH86" s="531"/>
      <c r="AI86" s="531"/>
      <c r="AJ86" s="531"/>
      <c r="AK86" s="531"/>
      <c r="AL86" s="531"/>
      <c r="AM86" s="531"/>
      <c r="AN86" s="531"/>
    </row>
    <row r="87" customFormat="false" ht="16.5" hidden="false" customHeight="true" outlineLevel="0" collapsed="false">
      <c r="A87" s="531"/>
      <c r="B87" s="531"/>
      <c r="C87" s="531"/>
      <c r="D87" s="531"/>
      <c r="E87" s="531"/>
      <c r="F87" s="531"/>
      <c r="G87" s="531"/>
      <c r="H87" s="531"/>
      <c r="I87" s="531"/>
      <c r="J87" s="531"/>
      <c r="K87" s="531"/>
      <c r="L87" s="531"/>
      <c r="M87" s="531"/>
      <c r="N87" s="547" t="n">
        <f aca="false">IF('(1)예금승인내역'!H713="","",'(1)예금승인내역'!H713)</f>
        <v>45562</v>
      </c>
      <c r="O87" s="547" t="n">
        <f aca="false">IF('(1)예금승인내역'!G713="","",'(1)예금승인내역'!G713)</f>
        <v>45531</v>
      </c>
      <c r="P87" s="531" t="str">
        <f aca="false">IF('(1)예금승인내역'!F713="","",'(1)예금승인내역'!F713)</f>
        <v>㈜성우하이텍</v>
      </c>
      <c r="Q87" s="531" t="str">
        <f aca="false">IF('(1)예금승인내역'!C713="","",'(1)예금승인내역'!C713)</f>
        <v>서울영업부</v>
      </c>
      <c r="R87" s="531" t="str">
        <f aca="false">IF('(1)예금승인내역'!K713="","",'(1)예금승인내역'!K713)</f>
        <v>MMDA</v>
      </c>
      <c r="S87" s="548" t="n">
        <f aca="false">IF('(1)예금승인내역'!L713="","",'(1)예금승인내역'!L713)</f>
        <v>7.2</v>
      </c>
      <c r="T87" s="549" t="n">
        <f aca="false">IF('(1)예금승인내역'!AG713="","",'(1)예금승인내역'!AG713)</f>
        <v>0.046</v>
      </c>
      <c r="U87" s="549" t="n">
        <f aca="false">IF('(1)예금승인내역'!X713="","",'(1)예금승인내역'!X713)</f>
        <v>0.004852</v>
      </c>
      <c r="V87" s="531" t="n">
        <f aca="false">IF(ISNUMBER(N87),N87-$B$2,"")</f>
        <v>-627</v>
      </c>
      <c r="W87" s="531" t="str">
        <f aca="false">IF(AND(ISNUMBER(N87),N87&gt;=$B$2,N87&lt;=$B$2+10),N87*100000+ROW(),"")</f>
        <v/>
      </c>
      <c r="X87" s="531"/>
      <c r="Y87" s="531"/>
      <c r="Z87" s="531"/>
      <c r="AA87" s="531"/>
      <c r="AB87" s="531"/>
      <c r="AC87" s="531"/>
      <c r="AD87" s="531"/>
      <c r="AE87" s="531"/>
      <c r="AF87" s="531"/>
      <c r="AG87" s="531"/>
      <c r="AH87" s="531"/>
      <c r="AI87" s="531"/>
      <c r="AJ87" s="531"/>
      <c r="AK87" s="531"/>
      <c r="AL87" s="531"/>
      <c r="AM87" s="531"/>
      <c r="AN87" s="531"/>
    </row>
    <row r="88" customFormat="false" ht="16.5" hidden="false" customHeight="true" outlineLevel="0" collapsed="false">
      <c r="A88" s="531"/>
      <c r="B88" s="531"/>
      <c r="C88" s="531"/>
      <c r="D88" s="531"/>
      <c r="E88" s="531"/>
      <c r="F88" s="531"/>
      <c r="G88" s="531"/>
      <c r="H88" s="531"/>
      <c r="I88" s="531"/>
      <c r="J88" s="531"/>
      <c r="K88" s="531"/>
      <c r="L88" s="531"/>
      <c r="M88" s="531"/>
      <c r="N88" s="547" t="n">
        <f aca="false">IF('(1)예금승인내역'!H714="","",'(1)예금승인내역'!H714)</f>
        <v>45630</v>
      </c>
      <c r="O88" s="547" t="n">
        <f aca="false">IF('(1)예금승인내역'!G714="","",'(1)예금승인내역'!G714)</f>
        <v>45539</v>
      </c>
      <c r="P88" s="531" t="str">
        <f aca="false">IF('(1)예금승인내역'!F714="","",'(1)예금승인내역'!F714)</f>
        <v>거림테크주식회사</v>
      </c>
      <c r="Q88" s="531" t="str">
        <f aca="false">IF('(1)예금승인내역'!C714="","",'(1)예금승인내역'!C714)</f>
        <v>죽전지점 </v>
      </c>
      <c r="R88" s="531" t="str">
        <f aca="false">IF('(1)예금승인내역'!K714="","",'(1)예금승인내역'!K714)</f>
        <v>정기예금</v>
      </c>
      <c r="S88" s="548" t="n">
        <f aca="false">IF('(1)예금승인내역'!L714="","",'(1)예금승인내역'!L714)</f>
        <v>2</v>
      </c>
      <c r="T88" s="549" t="n">
        <f aca="false">IF('(1)예금승인내역'!AG714="","",'(1)예금승인내역'!AG714)</f>
        <v>0.0485</v>
      </c>
      <c r="U88" s="549" t="n">
        <f aca="false">IF('(1)예금승인내역'!X714="","",'(1)예금승인내역'!X714)</f>
        <v>0.003844</v>
      </c>
      <c r="V88" s="531" t="n">
        <f aca="false">IF(ISNUMBER(N88),N88-$B$2,"")</f>
        <v>-559</v>
      </c>
      <c r="W88" s="531" t="str">
        <f aca="false">IF(AND(ISNUMBER(N88),N88&gt;=$B$2,N88&lt;=$B$2+10),N88*100000+ROW(),"")</f>
        <v/>
      </c>
      <c r="X88" s="531"/>
      <c r="Y88" s="531"/>
      <c r="Z88" s="531"/>
      <c r="AA88" s="531"/>
      <c r="AB88" s="531"/>
      <c r="AC88" s="531"/>
      <c r="AD88" s="531"/>
      <c r="AE88" s="531"/>
      <c r="AF88" s="531"/>
      <c r="AG88" s="531"/>
      <c r="AH88" s="531"/>
      <c r="AI88" s="531"/>
      <c r="AJ88" s="531"/>
      <c r="AK88" s="531"/>
      <c r="AL88" s="531"/>
      <c r="AM88" s="531"/>
      <c r="AN88" s="531"/>
    </row>
    <row r="89" customFormat="false" ht="16.5" hidden="false" customHeight="true" outlineLevel="0" collapsed="false">
      <c r="A89" s="531"/>
      <c r="B89" s="531"/>
      <c r="C89" s="531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47" t="n">
        <f aca="false">IF('(1)예금승인내역'!H715="","",'(1)예금승인내역'!H715)</f>
        <v>45570</v>
      </c>
      <c r="O89" s="547" t="n">
        <f aca="false">IF('(1)예금승인내역'!G715="","",'(1)예금승인내역'!G715)</f>
        <v>45540</v>
      </c>
      <c r="P89" s="531" t="str">
        <f aca="false">IF('(1)예금승인내역'!F715="","",'(1)예금승인내역'!F715)</f>
        <v>㈜이수스페셜티케미컬</v>
      </c>
      <c r="Q89" s="531" t="str">
        <f aca="false">IF('(1)예금승인내역'!C715="","",'(1)예금승인내역'!C715)</f>
        <v>성남금융센터</v>
      </c>
      <c r="R89" s="531" t="str">
        <f aca="false">IF('(1)예금승인내역'!K715="","",'(1)예금승인내역'!K715)</f>
        <v>MMDA</v>
      </c>
      <c r="S89" s="548" t="n">
        <f aca="false">IF('(1)예금승인내역'!L715="","",'(1)예금승인내역'!L715)</f>
        <v>1</v>
      </c>
      <c r="T89" s="549" t="n">
        <f aca="false">IF('(1)예금승인내역'!AG715="","",'(1)예금승인내역'!AG715)</f>
        <v>0.044</v>
      </c>
      <c r="U89" s="549" t="n">
        <f aca="false">IF('(1)예금승인내역'!X715="","",'(1)예금승인내역'!X715)</f>
        <v>0.005633</v>
      </c>
      <c r="V89" s="531" t="n">
        <f aca="false">IF(ISNUMBER(N89),N89-$B$2,"")</f>
        <v>-619</v>
      </c>
      <c r="W89" s="531" t="str">
        <f aca="false">IF(AND(ISNUMBER(N89),N89&gt;=$B$2,N89&lt;=$B$2+10),N89*100000+ROW(),"")</f>
        <v/>
      </c>
      <c r="X89" s="531"/>
      <c r="Y89" s="531"/>
      <c r="Z89" s="531"/>
      <c r="AA89" s="531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</row>
    <row r="90" customFormat="false" ht="16.5" hidden="false" customHeight="true" outlineLevel="0" collapsed="false">
      <c r="A90" s="531"/>
      <c r="B90" s="531"/>
      <c r="C90" s="531"/>
      <c r="D90" s="531"/>
      <c r="E90" s="531"/>
      <c r="F90" s="531"/>
      <c r="G90" s="531"/>
      <c r="H90" s="531"/>
      <c r="I90" s="531"/>
      <c r="J90" s="531"/>
      <c r="K90" s="531"/>
      <c r="L90" s="531"/>
      <c r="M90" s="531"/>
      <c r="N90" s="547" t="n">
        <f aca="false">IF('(1)예금승인내역'!H716="","",'(1)예금승인내역'!H716)</f>
        <v>45646</v>
      </c>
      <c r="O90" s="547" t="n">
        <f aca="false">IF('(1)예금승인내역'!G716="","",'(1)예금승인내역'!G716)</f>
        <v>45555</v>
      </c>
      <c r="P90" s="531" t="str">
        <f aca="false">IF('(1)예금승인내역'!F716="","",'(1)예금승인내역'!F716)</f>
        <v>㈜에스앤에스텍</v>
      </c>
      <c r="Q90" s="531" t="str">
        <f aca="false">IF('(1)예금승인내역'!C716="","",'(1)예금승인내역'!C716)</f>
        <v>성서3단지영업부</v>
      </c>
      <c r="R90" s="531" t="str">
        <f aca="false">IF('(1)예금승인내역'!K716="","",'(1)예금승인내역'!K716)</f>
        <v>정기예금</v>
      </c>
      <c r="S90" s="548" t="n">
        <f aca="false">IF('(1)예금승인내역'!L716="","",'(1)예금승인내역'!L716)</f>
        <v>1</v>
      </c>
      <c r="T90" s="549" t="n">
        <f aca="false">IF('(1)예금승인내역'!AG716="","",'(1)예금승인내역'!AG716)</f>
        <v>0.0465</v>
      </c>
      <c r="U90" s="549" t="n">
        <f aca="false">IF('(1)예금승인내역'!X716="","",'(1)예금승인내역'!X716)</f>
        <v>0.003852</v>
      </c>
      <c r="V90" s="531" t="n">
        <f aca="false">IF(ISNUMBER(N90),N90-$B$2,"")</f>
        <v>-543</v>
      </c>
      <c r="W90" s="531" t="str">
        <f aca="false">IF(AND(ISNUMBER(N90),N90&gt;=$B$2,N90&lt;=$B$2+10),N90*100000+ROW(),"")</f>
        <v/>
      </c>
      <c r="X90" s="531"/>
      <c r="Y90" s="531"/>
      <c r="Z90" s="531"/>
      <c r="AA90" s="531"/>
      <c r="AB90" s="531"/>
      <c r="AC90" s="531"/>
      <c r="AD90" s="531"/>
      <c r="AE90" s="531"/>
      <c r="AF90" s="531"/>
      <c r="AG90" s="531"/>
      <c r="AH90" s="531"/>
      <c r="AI90" s="531"/>
      <c r="AJ90" s="531"/>
      <c r="AK90" s="531"/>
      <c r="AL90" s="531"/>
      <c r="AM90" s="531"/>
      <c r="AN90" s="531"/>
    </row>
    <row r="91" customFormat="false" ht="16.5" hidden="false" customHeight="true" outlineLevel="0" collapsed="false">
      <c r="A91" s="531"/>
      <c r="B91" s="531"/>
      <c r="C91" s="531"/>
      <c r="D91" s="531"/>
      <c r="E91" s="531"/>
      <c r="F91" s="531"/>
      <c r="G91" s="531"/>
      <c r="H91" s="531"/>
      <c r="I91" s="531"/>
      <c r="J91" s="531"/>
      <c r="K91" s="531"/>
      <c r="L91" s="531"/>
      <c r="M91" s="531"/>
      <c r="N91" s="547" t="n">
        <f aca="false">IF('(1)예금승인내역'!H717="","",'(1)예금승인내역'!H717)</f>
        <v>45590</v>
      </c>
      <c r="O91" s="547" t="n">
        <f aca="false">IF('(1)예금승인내역'!G717="","",'(1)예금승인내역'!G717)</f>
        <v>45563</v>
      </c>
      <c r="P91" s="531" t="str">
        <f aca="false">IF('(1)예금승인내역'!F717="","",'(1)예금승인내역'!F717)</f>
        <v>㈜ 약진통상 </v>
      </c>
      <c r="Q91" s="531" t="str">
        <f aca="false">IF('(1)예금승인내역'!C717="","",'(1)예금승인내역'!C717)</f>
        <v>반월공단지점</v>
      </c>
      <c r="R91" s="531" t="str">
        <f aca="false">IF('(1)예금승인내역'!K717="","",'(1)예금승인내역'!K717)</f>
        <v>MMDA</v>
      </c>
      <c r="S91" s="548" t="n">
        <f aca="false">IF('(1)예금승인내역'!L717="","",'(1)예금승인내역'!L717)</f>
        <v>4</v>
      </c>
      <c r="T91" s="549" t="n">
        <f aca="false">IF('(1)예금승인내역'!AG717="","",'(1)예금승인내역'!AG717)</f>
        <v>0.042</v>
      </c>
      <c r="U91" s="549" t="n">
        <f aca="false">IF('(1)예금승인내역'!X717="","",'(1)예금승인내역'!X717)</f>
        <v>0.005742</v>
      </c>
      <c r="V91" s="531" t="n">
        <f aca="false">IF(ISNUMBER(N91),N91-$B$2,"")</f>
        <v>-599</v>
      </c>
      <c r="W91" s="531" t="str">
        <f aca="false">IF(AND(ISNUMBER(N91),N91&gt;=$B$2,N91&lt;=$B$2+10),N91*100000+ROW(),"")</f>
        <v/>
      </c>
      <c r="X91" s="531"/>
      <c r="Y91" s="531"/>
      <c r="Z91" s="531"/>
      <c r="AA91" s="531"/>
      <c r="AB91" s="531"/>
      <c r="AC91" s="531"/>
      <c r="AD91" s="531"/>
      <c r="AE91" s="531"/>
      <c r="AF91" s="531"/>
      <c r="AG91" s="531"/>
      <c r="AH91" s="531"/>
      <c r="AI91" s="531"/>
      <c r="AJ91" s="531"/>
      <c r="AK91" s="531"/>
      <c r="AL91" s="531"/>
      <c r="AM91" s="531"/>
      <c r="AN91" s="531"/>
    </row>
    <row r="92" customFormat="false" ht="16.5" hidden="false" customHeight="true" outlineLevel="0" collapsed="false">
      <c r="A92" s="531"/>
      <c r="B92" s="531"/>
      <c r="C92" s="531"/>
      <c r="D92" s="531"/>
      <c r="E92" s="531"/>
      <c r="F92" s="531"/>
      <c r="G92" s="531"/>
      <c r="H92" s="531"/>
      <c r="I92" s="531"/>
      <c r="J92" s="531"/>
      <c r="K92" s="531"/>
      <c r="L92" s="531"/>
      <c r="M92" s="531"/>
      <c r="N92" s="547" t="n">
        <f aca="false">IF('(1)예금승인내역'!H718="","",'(1)예금승인내역'!H718)</f>
        <v>45593</v>
      </c>
      <c r="O92" s="547" t="n">
        <f aca="false">IF('(1)예금승인내역'!G718="","",'(1)예금승인내역'!G718)</f>
        <v>45562</v>
      </c>
      <c r="P92" s="531" t="str">
        <f aca="false">IF('(1)예금승인내역'!F718="","",'(1)예금승인내역'!F718)</f>
        <v>㈜ 한국비엔씨</v>
      </c>
      <c r="Q92" s="531" t="str">
        <f aca="false">IF('(1)예금승인내역'!C718="","",'(1)예금승인내역'!C718)</f>
        <v>유통단지영업부</v>
      </c>
      <c r="R92" s="531" t="str">
        <f aca="false">IF('(1)예금승인내역'!K718="","",'(1)예금승인내역'!K718)</f>
        <v>정기예금</v>
      </c>
      <c r="S92" s="548" t="n">
        <f aca="false">IF('(1)예금승인내역'!L718="","",'(1)예금승인내역'!L718)</f>
        <v>4</v>
      </c>
      <c r="T92" s="549" t="n">
        <f aca="false">IF('(1)예금승인내역'!AG718="","",'(1)예금승인내역'!AG718)</f>
        <v>0.0465</v>
      </c>
      <c r="U92" s="549" t="n">
        <f aca="false">IF('(1)예금승인내역'!X718="","",'(1)예금승인내역'!X718)</f>
        <v>0.002518</v>
      </c>
      <c r="V92" s="531" t="n">
        <f aca="false">IF(ISNUMBER(N92),N92-$B$2,"")</f>
        <v>-596</v>
      </c>
      <c r="W92" s="531" t="str">
        <f aca="false">IF(AND(ISNUMBER(N92),N92&gt;=$B$2,N92&lt;=$B$2+10),N92*100000+ROW(),"")</f>
        <v/>
      </c>
      <c r="X92" s="531"/>
      <c r="Y92" s="531"/>
      <c r="Z92" s="531"/>
      <c r="AA92" s="531"/>
      <c r="AB92" s="531"/>
      <c r="AC92" s="531"/>
      <c r="AD92" s="531"/>
      <c r="AE92" s="531"/>
      <c r="AF92" s="531"/>
      <c r="AG92" s="531"/>
      <c r="AH92" s="531"/>
      <c r="AI92" s="531"/>
      <c r="AJ92" s="531"/>
      <c r="AK92" s="531"/>
      <c r="AL92" s="531"/>
      <c r="AM92" s="531"/>
      <c r="AN92" s="531"/>
    </row>
    <row r="93" customFormat="false" ht="16.5" hidden="false" customHeight="true" outlineLevel="0" collapsed="false">
      <c r="A93" s="531"/>
      <c r="B93" s="531"/>
      <c r="C93" s="531"/>
      <c r="D93" s="531"/>
      <c r="E93" s="531"/>
      <c r="F93" s="531"/>
      <c r="G93" s="531"/>
      <c r="H93" s="531"/>
      <c r="I93" s="531"/>
      <c r="J93" s="531"/>
      <c r="K93" s="531"/>
      <c r="L93" s="531"/>
      <c r="M93" s="531"/>
      <c r="N93" s="547" t="n">
        <f aca="false">IF('(1)예금승인내역'!H719="","",'(1)예금승인내역'!H719)</f>
        <v>45595</v>
      </c>
      <c r="O93" s="547" t="n">
        <f aca="false">IF('(1)예금승인내역'!G719="","",'(1)예금승인내역'!G719)</f>
        <v>45565</v>
      </c>
      <c r="P93" s="531" t="str">
        <f aca="false">IF('(1)예금승인내역'!F719="","",'(1)예금승인내역'!F719)</f>
        <v>거림테크주식회사</v>
      </c>
      <c r="Q93" s="531" t="str">
        <f aca="false">IF('(1)예금승인내역'!C719="","",'(1)예금승인내역'!C719)</f>
        <v>죽전지점 </v>
      </c>
      <c r="R93" s="531" t="str">
        <f aca="false">IF('(1)예금승인내역'!K719="","",'(1)예금승인내역'!K719)</f>
        <v>정기예금</v>
      </c>
      <c r="S93" s="548" t="n">
        <f aca="false">IF('(1)예금승인내역'!L719="","",'(1)예금승인내역'!L719)</f>
        <v>1</v>
      </c>
      <c r="T93" s="549" t="n">
        <f aca="false">IF('(1)예금승인내역'!AG719="","",'(1)예금승인내역'!AG719)</f>
        <v>0.046</v>
      </c>
      <c r="U93" s="549" t="n">
        <f aca="false">IF('(1)예금승인내역'!X719="","",'(1)예금승인내역'!X719)</f>
        <v>0.003174</v>
      </c>
      <c r="V93" s="531" t="n">
        <f aca="false">IF(ISNUMBER(N93),N93-$B$2,"")</f>
        <v>-594</v>
      </c>
      <c r="W93" s="531" t="str">
        <f aca="false">IF(AND(ISNUMBER(N93),N93&gt;=$B$2,N93&lt;=$B$2+10),N93*100000+ROW(),"")</f>
        <v/>
      </c>
      <c r="X93" s="531"/>
      <c r="Y93" s="531"/>
      <c r="Z93" s="531"/>
      <c r="AA93" s="531"/>
      <c r="AB93" s="531"/>
      <c r="AC93" s="531"/>
      <c r="AD93" s="531"/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</row>
    <row r="94" customFormat="false" ht="16.5" hidden="false" customHeight="true" outlineLevel="0" collapsed="false">
      <c r="A94" s="531"/>
      <c r="B94" s="531"/>
      <c r="C94" s="531"/>
      <c r="D94" s="531"/>
      <c r="E94" s="531"/>
      <c r="F94" s="531"/>
      <c r="G94" s="531"/>
      <c r="H94" s="531"/>
      <c r="I94" s="531"/>
      <c r="J94" s="531"/>
      <c r="K94" s="531"/>
      <c r="L94" s="531"/>
      <c r="M94" s="531"/>
      <c r="N94" s="547" t="n">
        <f aca="false">IF('(1)예금승인내역'!H720="","",'(1)예금승인내역'!H720)</f>
        <v>45581</v>
      </c>
      <c r="O94" s="547" t="n">
        <f aca="false">IF('(1)예금승인내역'!G720="","",'(1)예금승인내역'!G720)</f>
        <v>45567</v>
      </c>
      <c r="P94" s="531" t="str">
        <f aca="false">IF('(1)예금승인내역'!F720="","",'(1)예금승인내역'!F720)</f>
        <v>한국석유공사</v>
      </c>
      <c r="Q94" s="531" t="str">
        <f aca="false">IF('(1)예금승인내역'!C720="","",'(1)예금승인내역'!C720)</f>
        <v>울산영업부</v>
      </c>
      <c r="R94" s="531" t="str">
        <f aca="false">IF('(1)예금승인내역'!K720="","",'(1)예금승인내역'!K720)</f>
        <v>정기예금</v>
      </c>
      <c r="S94" s="548" t="n">
        <f aca="false">IF('(1)예금승인내역'!L720="","",'(1)예금승인내역'!L720)</f>
        <v>80</v>
      </c>
      <c r="T94" s="549" t="n">
        <f aca="false">IF('(1)예금승인내역'!AG720="","",'(1)예금승인내역'!AG720)</f>
        <v>0.0465</v>
      </c>
      <c r="U94" s="549" t="n">
        <f aca="false">IF('(1)예금승인내역'!X720="","",'(1)예금승인내역'!X720)</f>
        <v>0.00172</v>
      </c>
      <c r="V94" s="531" t="n">
        <f aca="false">IF(ISNUMBER(N94),N94-$B$2,"")</f>
        <v>-608</v>
      </c>
      <c r="W94" s="531" t="str">
        <f aca="false">IF(AND(ISNUMBER(N94),N94&gt;=$B$2,N94&lt;=$B$2+10),N94*100000+ROW(),"")</f>
        <v/>
      </c>
      <c r="X94" s="531"/>
      <c r="Y94" s="531"/>
      <c r="Z94" s="531"/>
      <c r="AA94" s="531"/>
      <c r="AB94" s="531"/>
      <c r="AC94" s="531"/>
      <c r="AD94" s="531"/>
      <c r="AE94" s="531"/>
      <c r="AF94" s="531"/>
      <c r="AG94" s="531"/>
      <c r="AH94" s="531"/>
      <c r="AI94" s="531"/>
      <c r="AJ94" s="531"/>
      <c r="AK94" s="531"/>
      <c r="AL94" s="531"/>
      <c r="AM94" s="531"/>
      <c r="AN94" s="531"/>
    </row>
    <row r="95" customFormat="false" ht="16.5" hidden="false" customHeight="true" outlineLevel="0" collapsed="false">
      <c r="A95" s="531"/>
      <c r="B95" s="531"/>
      <c r="C95" s="531"/>
      <c r="D95" s="531"/>
      <c r="E95" s="531"/>
      <c r="F95" s="531"/>
      <c r="G95" s="531"/>
      <c r="H95" s="531"/>
      <c r="I95" s="531"/>
      <c r="J95" s="531"/>
      <c r="K95" s="531"/>
      <c r="L95" s="531"/>
      <c r="M95" s="531"/>
      <c r="N95" s="547" t="n">
        <f aca="false">IF('(1)예금승인내역'!H721="","",'(1)예금승인내역'!H721)</f>
        <v>45603</v>
      </c>
      <c r="O95" s="547" t="n">
        <f aca="false">IF('(1)예금승인내역'!G721="","",'(1)예금승인내역'!G721)</f>
        <v>45572</v>
      </c>
      <c r="P95" s="531" t="str">
        <f aca="false">IF('(1)예금승인내역'!F721="","",'(1)예금승인내역'!F721)</f>
        <v>㈜이수스페셜티케미컬</v>
      </c>
      <c r="Q95" s="531" t="str">
        <f aca="false">IF('(1)예금승인내역'!C721="","",'(1)예금승인내역'!C721)</f>
        <v>성남금융센터</v>
      </c>
      <c r="R95" s="531" t="str">
        <f aca="false">IF('(1)예금승인내역'!K721="","",'(1)예금승인내역'!K721)</f>
        <v>MMDA</v>
      </c>
      <c r="S95" s="548" t="n">
        <f aca="false">IF('(1)예금승인내역'!L721="","",'(1)예금승인내역'!L721)</f>
        <v>1</v>
      </c>
      <c r="T95" s="549" t="n">
        <f aca="false">IF('(1)예금승인내역'!AG721="","",'(1)예금승인내역'!AG721)</f>
        <v>0.041</v>
      </c>
      <c r="U95" s="549" t="n">
        <f aca="false">IF('(1)예금승인내역'!X721="","",'(1)예금승인내역'!X721)</f>
        <v>0.004191</v>
      </c>
      <c r="V95" s="531" t="n">
        <f aca="false">IF(ISNUMBER(N95),N95-$B$2,"")</f>
        <v>-586</v>
      </c>
      <c r="W95" s="531" t="str">
        <f aca="false">IF(AND(ISNUMBER(N95),N95&gt;=$B$2,N95&lt;=$B$2+10),N95*100000+ROW(),"")</f>
        <v/>
      </c>
      <c r="X95" s="531"/>
      <c r="Y95" s="531"/>
      <c r="Z95" s="531"/>
      <c r="AA95" s="531"/>
      <c r="AB95" s="531"/>
      <c r="AC95" s="531"/>
      <c r="AD95" s="531"/>
      <c r="AE95" s="531"/>
      <c r="AF95" s="531"/>
      <c r="AG95" s="531"/>
      <c r="AH95" s="531"/>
      <c r="AI95" s="531"/>
      <c r="AJ95" s="531"/>
      <c r="AK95" s="531"/>
      <c r="AL95" s="531"/>
      <c r="AM95" s="531"/>
      <c r="AN95" s="531"/>
    </row>
    <row r="96" customFormat="false" ht="16.5" hidden="false" customHeight="true" outlineLevel="0" collapsed="false">
      <c r="A96" s="531"/>
      <c r="B96" s="531"/>
      <c r="C96" s="531"/>
      <c r="D96" s="531"/>
      <c r="E96" s="531"/>
      <c r="F96" s="531"/>
      <c r="G96" s="531"/>
      <c r="H96" s="531"/>
      <c r="I96" s="531"/>
      <c r="J96" s="531"/>
      <c r="K96" s="531"/>
      <c r="L96" s="531"/>
      <c r="M96" s="531"/>
      <c r="N96" s="547" t="n">
        <f aca="false">IF('(1)예금승인내역'!H722="","",'(1)예금승인내역'!H722)</f>
        <v>45607</v>
      </c>
      <c r="O96" s="547" t="n">
        <f aca="false">IF('(1)예금승인내역'!G722="","",'(1)예금승인내역'!G722)</f>
        <v>45575</v>
      </c>
      <c r="P96" s="531" t="str">
        <f aca="false">IF('(1)예금승인내역'!F722="","",'(1)예금승인내역'!F722)</f>
        <v>오스템임플란트㈜</v>
      </c>
      <c r="Q96" s="531" t="str">
        <f aca="false">IF('(1)예금승인내역'!C722="","",'(1)예금승인내역'!C722)</f>
        <v>성남금융센터</v>
      </c>
      <c r="R96" s="531" t="str">
        <f aca="false">IF('(1)예금승인내역'!K722="","",'(1)예금승인내역'!K722)</f>
        <v>MMDA</v>
      </c>
      <c r="S96" s="548" t="n">
        <f aca="false">IF('(1)예금승인내역'!L722="","",'(1)예금승인내역'!L722)</f>
        <v>5</v>
      </c>
      <c r="T96" s="549" t="n">
        <f aca="false">IF('(1)예금승인내역'!AG722="","",'(1)예금승인내역'!AG722)</f>
        <v>0.042</v>
      </c>
      <c r="U96" s="549" t="n">
        <f aca="false">IF('(1)예금승인내역'!X722="","",'(1)예금승인내역'!X722)</f>
        <v>0.003266</v>
      </c>
      <c r="V96" s="531" t="n">
        <f aca="false">IF(ISNUMBER(N96),N96-$B$2,"")</f>
        <v>-582</v>
      </c>
      <c r="W96" s="531" t="str">
        <f aca="false">IF(AND(ISNUMBER(N96),N96&gt;=$B$2,N96&lt;=$B$2+10),N96*100000+ROW(),"")</f>
        <v/>
      </c>
      <c r="X96" s="531"/>
      <c r="Y96" s="531"/>
      <c r="Z96" s="531"/>
      <c r="AA96" s="531"/>
      <c r="AB96" s="531"/>
      <c r="AC96" s="531"/>
      <c r="AD96" s="531"/>
      <c r="AE96" s="531"/>
      <c r="AF96" s="531"/>
      <c r="AG96" s="531"/>
      <c r="AH96" s="531"/>
      <c r="AI96" s="531"/>
      <c r="AJ96" s="531"/>
      <c r="AK96" s="531"/>
      <c r="AL96" s="531"/>
      <c r="AM96" s="531"/>
      <c r="AN96" s="531"/>
    </row>
    <row r="97" customFormat="false" ht="16.5" hidden="false" customHeight="true" outlineLevel="0" collapsed="false">
      <c r="A97" s="531"/>
      <c r="B97" s="531"/>
      <c r="C97" s="531"/>
      <c r="D97" s="531"/>
      <c r="E97" s="531"/>
      <c r="F97" s="531"/>
      <c r="G97" s="531"/>
      <c r="H97" s="531"/>
      <c r="I97" s="531"/>
      <c r="J97" s="531"/>
      <c r="K97" s="531"/>
      <c r="L97" s="531"/>
      <c r="M97" s="531"/>
      <c r="N97" s="547" t="n">
        <f aca="false">IF('(1)예금승인내역'!H723="","",'(1)예금승인내역'!H723)</f>
        <v>45743</v>
      </c>
      <c r="O97" s="547" t="n">
        <f aca="false">IF('(1)예금승인내역'!G723="","",'(1)예금승인내역'!G723)</f>
        <v>45579</v>
      </c>
      <c r="P97" s="531" t="str">
        <f aca="false">IF('(1)예금승인내역'!F723="","",'(1)예금승인내역'!F723)</f>
        <v>케이와이글로벌셀앤진사모투자</v>
      </c>
      <c r="Q97" s="531" t="str">
        <f aca="false">IF('(1)예금승인내역'!C723="","",'(1)예금승인내역'!C723)</f>
        <v>평택금융센터</v>
      </c>
      <c r="R97" s="531" t="str">
        <f aca="false">IF('(1)예금승인내역'!K723="","",'(1)예금승인내역'!K723)</f>
        <v>정기예금</v>
      </c>
      <c r="S97" s="548" t="n">
        <f aca="false">IF('(1)예금승인내역'!L723="","",'(1)예금승인내역'!L723)</f>
        <v>2.48</v>
      </c>
      <c r="T97" s="549" t="n">
        <f aca="false">IF('(1)예금승인내역'!AG723="","",'(1)예금승인내역'!AG723)</f>
        <v>0.044</v>
      </c>
      <c r="U97" s="549" t="n">
        <f aca="false">IF('(1)예금승인내역'!X723="","",'(1)예금승인내역'!X723)</f>
        <v>0.0026</v>
      </c>
      <c r="V97" s="531" t="n">
        <f aca="false">IF(ISNUMBER(N97),N97-$B$2,"")</f>
        <v>-446</v>
      </c>
      <c r="W97" s="531" t="str">
        <f aca="false">IF(AND(ISNUMBER(N97),N97&gt;=$B$2,N97&lt;=$B$2+10),N97*100000+ROW(),"")</f>
        <v/>
      </c>
      <c r="X97" s="531"/>
      <c r="Y97" s="531"/>
      <c r="Z97" s="531"/>
      <c r="AA97" s="531"/>
      <c r="AB97" s="531"/>
      <c r="AC97" s="531"/>
      <c r="AD97" s="531"/>
      <c r="AE97" s="531"/>
      <c r="AF97" s="531"/>
      <c r="AG97" s="531"/>
      <c r="AH97" s="531"/>
      <c r="AI97" s="531"/>
      <c r="AJ97" s="531"/>
      <c r="AK97" s="531"/>
      <c r="AL97" s="531"/>
      <c r="AM97" s="531"/>
      <c r="AN97" s="531"/>
    </row>
    <row r="98" customFormat="false" ht="16.5" hidden="false" customHeight="true" outlineLevel="0" collapsed="false">
      <c r="A98" s="531"/>
      <c r="B98" s="531"/>
      <c r="C98" s="531"/>
      <c r="D98" s="531"/>
      <c r="E98" s="531"/>
      <c r="F98" s="531"/>
      <c r="G98" s="531"/>
      <c r="H98" s="531"/>
      <c r="I98" s="531"/>
      <c r="J98" s="531"/>
      <c r="K98" s="531"/>
      <c r="L98" s="531"/>
      <c r="M98" s="531"/>
      <c r="N98" s="547" t="n">
        <f aca="false">IF('(1)예금승인내역'!H724="","",'(1)예금승인내역'!H724)</f>
        <v>45611</v>
      </c>
      <c r="O98" s="547" t="n">
        <f aca="false">IF('(1)예금승인내역'!G724="","",'(1)예금승인내역'!G724)</f>
        <v>45580</v>
      </c>
      <c r="P98" s="531" t="str">
        <f aca="false">IF('(1)예금승인내역'!F724="","",'(1)예금승인내역'!F724)</f>
        <v>㈜와이투솔루션</v>
      </c>
      <c r="Q98" s="531" t="str">
        <f aca="false">IF('(1)예금승인내역'!C724="","",'(1)예금승인내역'!C724)</f>
        <v>화성금융센터</v>
      </c>
      <c r="R98" s="531" t="str">
        <f aca="false">IF('(1)예금승인내역'!K724="","",'(1)예금승인내역'!K724)</f>
        <v>MMDA</v>
      </c>
      <c r="S98" s="548" t="n">
        <f aca="false">IF('(1)예금승인내역'!L724="","",'(1)예금승인내역'!L724)</f>
        <v>1</v>
      </c>
      <c r="T98" s="549" t="n">
        <f aca="false">IF('(1)예금승인내역'!AG724="","",'(1)예금승인내역'!AG724)</f>
        <v>0.041</v>
      </c>
      <c r="U98" s="549" t="n">
        <f aca="false">IF('(1)예금승인내역'!X724="","",'(1)예금승인내역'!X724)</f>
        <v>0.004168</v>
      </c>
      <c r="V98" s="531" t="n">
        <f aca="false">IF(ISNUMBER(N98),N98-$B$2,"")</f>
        <v>-578</v>
      </c>
      <c r="W98" s="531" t="str">
        <f aca="false">IF(AND(ISNUMBER(N98),N98&gt;=$B$2,N98&lt;=$B$2+10),N98*100000+ROW(),"")</f>
        <v/>
      </c>
      <c r="X98" s="531"/>
      <c r="Y98" s="531"/>
      <c r="Z98" s="531"/>
      <c r="AA98" s="531"/>
      <c r="AB98" s="531"/>
      <c r="AC98" s="531"/>
      <c r="AD98" s="531"/>
      <c r="AE98" s="531"/>
      <c r="AF98" s="531"/>
      <c r="AG98" s="531"/>
      <c r="AH98" s="531"/>
      <c r="AI98" s="531"/>
      <c r="AJ98" s="531"/>
      <c r="AK98" s="531"/>
      <c r="AL98" s="531"/>
      <c r="AM98" s="531"/>
      <c r="AN98" s="531"/>
    </row>
    <row r="99" customFormat="false" ht="16.5" hidden="false" customHeight="true" outlineLevel="0" collapsed="false">
      <c r="A99" s="531"/>
      <c r="B99" s="531"/>
      <c r="C99" s="531"/>
      <c r="D99" s="531"/>
      <c r="E99" s="531"/>
      <c r="F99" s="531"/>
      <c r="G99" s="531"/>
      <c r="H99" s="531"/>
      <c r="I99" s="531"/>
      <c r="J99" s="531"/>
      <c r="K99" s="531"/>
      <c r="L99" s="531"/>
      <c r="M99" s="531"/>
      <c r="N99" s="547" t="n">
        <f aca="false">IF('(1)예금승인내역'!H725="","",'(1)예금승인내역'!H725)</f>
        <v>45611</v>
      </c>
      <c r="O99" s="547" t="n">
        <f aca="false">IF('(1)예금승인내역'!G725="","",'(1)예금승인내역'!G725)</f>
        <v>45581</v>
      </c>
      <c r="P99" s="531" t="str">
        <f aca="false">IF('(1)예금승인내역'!F725="","",'(1)예금승인내역'!F725)</f>
        <v>한국비철㈜</v>
      </c>
      <c r="Q99" s="531" t="str">
        <f aca="false">IF('(1)예금승인내역'!C725="","",'(1)예금승인내역'!C725)</f>
        <v>달성공단영업부</v>
      </c>
      <c r="R99" s="531" t="str">
        <f aca="false">IF('(1)예금승인내역'!K725="","",'(1)예금승인내역'!K725)</f>
        <v>MMDA</v>
      </c>
      <c r="S99" s="548" t="n">
        <f aca="false">IF('(1)예금승인내역'!L725="","",'(1)예금승인내역'!L725)</f>
        <v>7</v>
      </c>
      <c r="T99" s="549" t="n">
        <f aca="false">IF('(1)예금승인내역'!AG725="","",'(1)예금승인내역'!AG725)</f>
        <v>0.04</v>
      </c>
      <c r="U99" s="549" t="n">
        <f aca="false">IF('(1)예금승인내역'!X725="","",'(1)예금승인내역'!X725)</f>
        <v>0.005168</v>
      </c>
      <c r="V99" s="531" t="n">
        <f aca="false">IF(ISNUMBER(N99),N99-$B$2,"")</f>
        <v>-578</v>
      </c>
      <c r="W99" s="531" t="str">
        <f aca="false">IF(AND(ISNUMBER(N99),N99&gt;=$B$2,N99&lt;=$B$2+10),N99*100000+ROW(),"")</f>
        <v/>
      </c>
      <c r="X99" s="531"/>
      <c r="Y99" s="531"/>
      <c r="Z99" s="531"/>
      <c r="AA99" s="531"/>
      <c r="AB99" s="531"/>
      <c r="AC99" s="531"/>
      <c r="AD99" s="531"/>
      <c r="AE99" s="531"/>
      <c r="AF99" s="531"/>
      <c r="AG99" s="531"/>
      <c r="AH99" s="531"/>
      <c r="AI99" s="531"/>
      <c r="AJ99" s="531"/>
      <c r="AK99" s="531"/>
      <c r="AL99" s="531"/>
      <c r="AM99" s="531"/>
      <c r="AN99" s="531"/>
    </row>
    <row r="100" customFormat="false" ht="16.5" hidden="false" customHeight="true" outlineLevel="0" collapsed="false">
      <c r="A100" s="531"/>
      <c r="B100" s="531"/>
      <c r="C100" s="531"/>
      <c r="D100" s="531"/>
      <c r="E100" s="531"/>
      <c r="F100" s="531"/>
      <c r="G100" s="531"/>
      <c r="H100" s="531"/>
      <c r="I100" s="531"/>
      <c r="J100" s="531"/>
      <c r="K100" s="531"/>
      <c r="L100" s="531"/>
      <c r="M100" s="531"/>
      <c r="N100" s="547" t="n">
        <f aca="false">IF('(1)예금승인내역'!H726="","",'(1)예금승인내역'!H726)</f>
        <v>45618</v>
      </c>
      <c r="O100" s="547" t="n">
        <f aca="false">IF('(1)예금승인내역'!G726="","",'(1)예금승인내역'!G726)</f>
        <v>45587</v>
      </c>
      <c r="P100" s="531" t="str">
        <f aca="false">IF('(1)예금승인내역'!F726="","",'(1)예금승인내역'!F726)</f>
        <v>에스엠상선㈜</v>
      </c>
      <c r="Q100" s="531" t="str">
        <f aca="false">IF('(1)예금승인내역'!C726="","",'(1)예금승인내역'!C726)</f>
        <v>강남영업부</v>
      </c>
      <c r="R100" s="531" t="str">
        <f aca="false">IF('(1)예금승인내역'!K726="","",'(1)예금승인내역'!K726)</f>
        <v>MMDA</v>
      </c>
      <c r="S100" s="548" t="n">
        <f aca="false">IF('(1)예금승인내역'!L726="","",'(1)예금승인내역'!L726)</f>
        <v>10</v>
      </c>
      <c r="T100" s="549" t="n">
        <f aca="false">IF('(1)예금승인내역'!AG726="","",'(1)예금승인내역'!AG726)</f>
        <v>0.041</v>
      </c>
      <c r="U100" s="549" t="n">
        <f aca="false">IF('(1)예금승인내역'!X726="","",'(1)예금승인내역'!X726)</f>
        <v>0.003971</v>
      </c>
      <c r="V100" s="531" t="n">
        <f aca="false">IF(ISNUMBER(N100),N100-$B$2,"")</f>
        <v>-571</v>
      </c>
      <c r="W100" s="531" t="str">
        <f aca="false">IF(AND(ISNUMBER(N100),N100&gt;=$B$2,N100&lt;=$B$2+10),N100*100000+ROW(),"")</f>
        <v/>
      </c>
      <c r="X100" s="531"/>
      <c r="Y100" s="531"/>
      <c r="Z100" s="531"/>
      <c r="AA100" s="531"/>
      <c r="AB100" s="531"/>
      <c r="AC100" s="531"/>
      <c r="AD100" s="531"/>
      <c r="AE100" s="531"/>
      <c r="AF100" s="531"/>
      <c r="AG100" s="531"/>
      <c r="AH100" s="531"/>
      <c r="AI100" s="531"/>
      <c r="AJ100" s="531"/>
      <c r="AK100" s="531"/>
      <c r="AL100" s="531"/>
      <c r="AM100" s="531"/>
      <c r="AN100" s="531"/>
    </row>
    <row r="101" customFormat="false" ht="16.5" hidden="false" customHeight="true" outlineLevel="0" collapsed="false">
      <c r="A101" s="531"/>
      <c r="B101" s="531"/>
      <c r="C101" s="531"/>
      <c r="D101" s="531"/>
      <c r="E101" s="531"/>
      <c r="F101" s="531"/>
      <c r="G101" s="531"/>
      <c r="H101" s="531"/>
      <c r="I101" s="531"/>
      <c r="J101" s="531"/>
      <c r="K101" s="531"/>
      <c r="L101" s="531"/>
      <c r="M101" s="531"/>
      <c r="N101" s="547" t="n">
        <f aca="false">IF('(1)예금승인내역'!H727="","",'(1)예금승인내역'!H727)</f>
        <v>45618</v>
      </c>
      <c r="O101" s="547" t="n">
        <f aca="false">IF('(1)예금승인내역'!G727="","",'(1)예금승인내역'!G727)</f>
        <v>45589</v>
      </c>
      <c r="P101" s="531" t="str">
        <f aca="false">IF('(1)예금승인내역'!F727="","",'(1)예금승인내역'!F727)</f>
        <v>케이씨에이치에너지㈜</v>
      </c>
      <c r="Q101" s="531" t="str">
        <f aca="false">IF('(1)예금승인내역'!C727="","",'(1)예금승인내역'!C727)</f>
        <v>강남영업부</v>
      </c>
      <c r="R101" s="531" t="str">
        <f aca="false">IF('(1)예금승인내역'!K727="","",'(1)예금승인내역'!K727)</f>
        <v>MMDA</v>
      </c>
      <c r="S101" s="548" t="n">
        <f aca="false">IF('(1)예금승인내역'!L727="","",'(1)예금승인내역'!L727)</f>
        <v>4</v>
      </c>
      <c r="T101" s="549" t="n">
        <f aca="false">IF('(1)예금승인내역'!AG727="","",'(1)예금승인내역'!AG727)</f>
        <v>0.041</v>
      </c>
      <c r="U101" s="549" t="n">
        <f aca="false">IF('(1)예금승인내역'!X727="","",'(1)예금승인내역'!X727)</f>
        <v>0.004428</v>
      </c>
      <c r="V101" s="531" t="n">
        <f aca="false">IF(ISNUMBER(N101),N101-$B$2,"")</f>
        <v>-571</v>
      </c>
      <c r="W101" s="531" t="str">
        <f aca="false">IF(AND(ISNUMBER(N101),N101&gt;=$B$2,N101&lt;=$B$2+10),N101*100000+ROW(),"")</f>
        <v/>
      </c>
      <c r="X101" s="531"/>
      <c r="Y101" s="531"/>
      <c r="Z101" s="531"/>
      <c r="AA101" s="531"/>
      <c r="AB101" s="531"/>
      <c r="AC101" s="531"/>
      <c r="AD101" s="531"/>
      <c r="AE101" s="531"/>
      <c r="AF101" s="531"/>
      <c r="AG101" s="531"/>
      <c r="AH101" s="531"/>
      <c r="AI101" s="531"/>
      <c r="AJ101" s="531"/>
      <c r="AK101" s="531"/>
      <c r="AL101" s="531"/>
      <c r="AM101" s="531"/>
      <c r="AN101" s="531"/>
    </row>
    <row r="102" customFormat="false" ht="16.5" hidden="false" customHeight="true" outlineLevel="0" collapsed="false">
      <c r="A102" s="531"/>
      <c r="B102" s="531"/>
      <c r="C102" s="531"/>
      <c r="D102" s="531"/>
      <c r="E102" s="531"/>
      <c r="F102" s="531"/>
      <c r="G102" s="531"/>
      <c r="H102" s="531"/>
      <c r="I102" s="531"/>
      <c r="J102" s="531"/>
      <c r="K102" s="531"/>
      <c r="L102" s="531"/>
      <c r="M102" s="531"/>
      <c r="N102" s="547" t="n">
        <f aca="false">IF('(1)예금승인내역'!H728="","",'(1)예금승인내역'!H728)</f>
        <v>45621</v>
      </c>
      <c r="O102" s="547" t="n">
        <f aca="false">IF('(1)예금승인내역'!G728="","",'(1)예금승인내역'!G728)</f>
        <v>45590</v>
      </c>
      <c r="P102" s="531" t="str">
        <f aca="false">IF('(1)예금승인내역'!F728="","",'(1)예금승인내역'!F728)</f>
        <v>㈜ 약진통상 </v>
      </c>
      <c r="Q102" s="531" t="str">
        <f aca="false">IF('(1)예금승인내역'!C728="","",'(1)예금승인내역'!C728)</f>
        <v>반월공단지점</v>
      </c>
      <c r="R102" s="531" t="str">
        <f aca="false">IF('(1)예금승인내역'!K728="","",'(1)예금승인내역'!K728)</f>
        <v>MMDA</v>
      </c>
      <c r="S102" s="548" t="n">
        <f aca="false">IF('(1)예금승인내역'!L728="","",'(1)예금승인내역'!L728)</f>
        <v>7.8</v>
      </c>
      <c r="T102" s="549" t="n">
        <f aca="false">IF('(1)예금승인내역'!AG728="","",'(1)예금승인내역'!AG728)</f>
        <v>0.042</v>
      </c>
      <c r="U102" s="549" t="n">
        <f aca="false">IF('(1)예금승인내역'!X728="","",'(1)예금승인내역'!X728)</f>
        <v>0.002846</v>
      </c>
      <c r="V102" s="531" t="n">
        <f aca="false">IF(ISNUMBER(N102),N102-$B$2,"")</f>
        <v>-568</v>
      </c>
      <c r="W102" s="531" t="str">
        <f aca="false">IF(AND(ISNUMBER(N102),N102&gt;=$B$2,N102&lt;=$B$2+10),N102*100000+ROW(),"")</f>
        <v/>
      </c>
      <c r="X102" s="531"/>
      <c r="Y102" s="531"/>
      <c r="Z102" s="531"/>
      <c r="AA102" s="531"/>
      <c r="AB102" s="531"/>
      <c r="AC102" s="531"/>
      <c r="AD102" s="531"/>
      <c r="AE102" s="531"/>
      <c r="AF102" s="531"/>
      <c r="AG102" s="531"/>
      <c r="AH102" s="531"/>
      <c r="AI102" s="531"/>
      <c r="AJ102" s="531"/>
      <c r="AK102" s="531"/>
      <c r="AL102" s="531"/>
      <c r="AM102" s="531"/>
      <c r="AN102" s="531"/>
    </row>
    <row r="103" customFormat="false" ht="16.5" hidden="false" customHeight="true" outlineLevel="0" collapsed="false">
      <c r="A103" s="531"/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1"/>
      <c r="N103" s="547" t="n">
        <f aca="false">IF('(1)예금승인내역'!H729="","",'(1)예금승인내역'!H729)</f>
        <v>45688</v>
      </c>
      <c r="O103" s="547" t="n">
        <f aca="false">IF('(1)예금승인내역'!G729="","",'(1)예금승인내역'!G729)</f>
        <v>45595</v>
      </c>
      <c r="P103" s="531" t="str">
        <f aca="false">IF('(1)예금승인내역'!F729="","",'(1)예금승인내역'!F729)</f>
        <v>거림테크주식회사</v>
      </c>
      <c r="Q103" s="531" t="str">
        <f aca="false">IF('(1)예금승인내역'!C729="","",'(1)예금승인내역'!C729)</f>
        <v>죽전지점 </v>
      </c>
      <c r="R103" s="531" t="str">
        <f aca="false">IF('(1)예금승인내역'!K729="","",'(1)예금승인내역'!K729)</f>
        <v>정기예금</v>
      </c>
      <c r="S103" s="548" t="n">
        <f aca="false">IF('(1)예금승인내역'!L729="","",'(1)예금승인내역'!L729)</f>
        <v>1</v>
      </c>
      <c r="T103" s="549" t="n">
        <f aca="false">IF('(1)예금승인내역'!AG729="","",'(1)예금승인내역'!AG729)</f>
        <v>0.045</v>
      </c>
      <c r="U103" s="549" t="n">
        <f aca="false">IF('(1)예금승인내역'!X729="","",'(1)예금승인내역'!X729)</f>
        <v>0.002164</v>
      </c>
      <c r="V103" s="531" t="n">
        <f aca="false">IF(ISNUMBER(N103),N103-$B$2,"")</f>
        <v>-501</v>
      </c>
      <c r="W103" s="531" t="str">
        <f aca="false">IF(AND(ISNUMBER(N103),N103&gt;=$B$2,N103&lt;=$B$2+10),N103*100000+ROW(),"")</f>
        <v/>
      </c>
      <c r="X103" s="531"/>
      <c r="Y103" s="531"/>
      <c r="Z103" s="531"/>
      <c r="AA103" s="531"/>
      <c r="AB103" s="531"/>
      <c r="AC103" s="531"/>
      <c r="AD103" s="531"/>
      <c r="AE103" s="531"/>
      <c r="AF103" s="531"/>
      <c r="AG103" s="531"/>
      <c r="AH103" s="531"/>
      <c r="AI103" s="531"/>
      <c r="AJ103" s="531"/>
      <c r="AK103" s="531"/>
      <c r="AL103" s="531"/>
      <c r="AM103" s="531"/>
      <c r="AN103" s="531"/>
    </row>
    <row r="104" customFormat="false" ht="16.5" hidden="false" customHeight="true" outlineLevel="0" collapsed="false">
      <c r="A104" s="531"/>
      <c r="B104" s="531"/>
      <c r="C104" s="531"/>
      <c r="D104" s="531"/>
      <c r="E104" s="531"/>
      <c r="F104" s="531"/>
      <c r="G104" s="531"/>
      <c r="H104" s="531"/>
      <c r="I104" s="531"/>
      <c r="J104" s="531"/>
      <c r="K104" s="531"/>
      <c r="L104" s="531"/>
      <c r="M104" s="531"/>
      <c r="N104" s="547" t="n">
        <f aca="false">IF('(1)예금승인내역'!H730="","",'(1)예금승인내역'!H730)</f>
        <v>45628</v>
      </c>
      <c r="O104" s="547" t="n">
        <f aca="false">IF('(1)예금승인내역'!G730="","",'(1)예금승인내역'!G730)</f>
        <v>45597</v>
      </c>
      <c r="P104" s="531" t="str">
        <f aca="false">IF('(1)예금승인내역'!F730="","",'(1)예금승인내역'!F730)</f>
        <v>㈜ 한국비엔씨</v>
      </c>
      <c r="Q104" s="531" t="str">
        <f aca="false">IF('(1)예금승인내역'!C730="","",'(1)예금승인내역'!C730)</f>
        <v>유통단지영업부</v>
      </c>
      <c r="R104" s="531" t="str">
        <f aca="false">IF('(1)예금승인내역'!K730="","",'(1)예금승인내역'!K730)</f>
        <v>정기예금</v>
      </c>
      <c r="S104" s="548" t="n">
        <f aca="false">IF('(1)예금승인내역'!L730="","",'(1)예금승인내역'!L730)</f>
        <v>4</v>
      </c>
      <c r="T104" s="549" t="n">
        <f aca="false">IF('(1)예금승인내역'!AG730="","",'(1)예금승인내역'!AG730)</f>
        <v>0.046</v>
      </c>
      <c r="U104" s="549" t="n">
        <f aca="false">IF('(1)예금승인내역'!X730="","",'(1)예금승인내역'!X730)</f>
        <v>0.002518</v>
      </c>
      <c r="V104" s="531" t="n">
        <f aca="false">IF(ISNUMBER(N104),N104-$B$2,"")</f>
        <v>-561</v>
      </c>
      <c r="W104" s="531" t="str">
        <f aca="false">IF(AND(ISNUMBER(N104),N104&gt;=$B$2,N104&lt;=$B$2+10),N104*100000+ROW(),"")</f>
        <v/>
      </c>
      <c r="X104" s="531"/>
      <c r="Y104" s="531"/>
      <c r="Z104" s="531"/>
      <c r="AA104" s="531"/>
      <c r="AB104" s="531"/>
      <c r="AC104" s="531"/>
      <c r="AD104" s="531"/>
      <c r="AE104" s="531"/>
      <c r="AF104" s="531"/>
      <c r="AG104" s="531"/>
      <c r="AH104" s="531"/>
      <c r="AI104" s="531"/>
      <c r="AJ104" s="531"/>
      <c r="AK104" s="531"/>
      <c r="AL104" s="531"/>
      <c r="AM104" s="531"/>
      <c r="AN104" s="531"/>
    </row>
    <row r="105" customFormat="false" ht="16.5" hidden="false" customHeight="true" outlineLevel="0" collapsed="false">
      <c r="A105" s="531"/>
      <c r="B105" s="531"/>
      <c r="C105" s="531"/>
      <c r="D105" s="531"/>
      <c r="E105" s="531"/>
      <c r="F105" s="531"/>
      <c r="G105" s="531"/>
      <c r="H105" s="531"/>
      <c r="I105" s="531"/>
      <c r="J105" s="531"/>
      <c r="K105" s="531"/>
      <c r="L105" s="531"/>
      <c r="M105" s="531"/>
      <c r="N105" s="547" t="n">
        <f aca="false">IF('(1)예금승인내역'!H731="","",'(1)예금승인내역'!H731)</f>
        <v>45603</v>
      </c>
      <c r="O105" s="547" t="n">
        <f aca="false">IF('(1)예금승인내역'!G731="","",'(1)예금승인내역'!G731)</f>
        <v>45597</v>
      </c>
      <c r="P105" s="531" t="str">
        <f aca="false">IF('(1)예금승인내역'!F731="","",'(1)예금승인내역'!F731)</f>
        <v>한국석유공사</v>
      </c>
      <c r="Q105" s="531" t="str">
        <f aca="false">IF('(1)예금승인내역'!C731="","",'(1)예금승인내역'!C731)</f>
        <v>울산영업부</v>
      </c>
      <c r="R105" s="531" t="str">
        <f aca="false">IF('(1)예금승인내역'!K731="","",'(1)예금승인내역'!K731)</f>
        <v>정기예금</v>
      </c>
      <c r="S105" s="548" t="n">
        <f aca="false">IF('(1)예금승인내역'!L731="","",'(1)예금승인내역'!L731)</f>
        <v>30</v>
      </c>
      <c r="T105" s="549" t="n">
        <f aca="false">IF('(1)예금승인내역'!AG731="","",'(1)예금승인내역'!AG731)</f>
        <v>0.045</v>
      </c>
      <c r="U105" s="549" t="n">
        <f aca="false">IF('(1)예금승인내역'!X731="","",'(1)예금승인내역'!X731)</f>
        <v>0.00172</v>
      </c>
      <c r="V105" s="531" t="n">
        <f aca="false">IF(ISNUMBER(N105),N105-$B$2,"")</f>
        <v>-586</v>
      </c>
      <c r="W105" s="531" t="str">
        <f aca="false">IF(AND(ISNUMBER(N105),N105&gt;=$B$2,N105&lt;=$B$2+10),N105*100000+ROW(),"")</f>
        <v/>
      </c>
      <c r="X105" s="531"/>
      <c r="Y105" s="531"/>
      <c r="Z105" s="531"/>
      <c r="AA105" s="531"/>
      <c r="AB105" s="531"/>
      <c r="AC105" s="531"/>
      <c r="AD105" s="531"/>
      <c r="AE105" s="531"/>
      <c r="AF105" s="531"/>
      <c r="AG105" s="531"/>
      <c r="AH105" s="531"/>
      <c r="AI105" s="531"/>
      <c r="AJ105" s="531"/>
      <c r="AK105" s="531"/>
      <c r="AL105" s="531"/>
      <c r="AM105" s="531"/>
      <c r="AN105" s="531"/>
    </row>
    <row r="106" customFormat="false" ht="16.5" hidden="false" customHeight="true" outlineLevel="0" collapsed="false">
      <c r="A106" s="531"/>
      <c r="B106" s="531"/>
      <c r="C106" s="531"/>
      <c r="D106" s="531"/>
      <c r="E106" s="531"/>
      <c r="F106" s="531"/>
      <c r="G106" s="531"/>
      <c r="H106" s="531"/>
      <c r="I106" s="531"/>
      <c r="J106" s="531"/>
      <c r="K106" s="531"/>
      <c r="L106" s="531"/>
      <c r="M106" s="531"/>
      <c r="N106" s="547" t="n">
        <f aca="false">IF('(1)예금승인내역'!H732="","",'(1)예금승인내역'!H732)</f>
        <v>45631</v>
      </c>
      <c r="O106" s="547" t="n">
        <f aca="false">IF('(1)예금승인내역'!G732="","",'(1)예금승인내역'!G732)</f>
        <v>45601</v>
      </c>
      <c r="P106" s="531" t="str">
        <f aca="false">IF('(1)예금승인내역'!F732="","",'(1)예금승인내역'!F732)</f>
        <v>㈜이수스페셜티케미컬</v>
      </c>
      <c r="Q106" s="531" t="str">
        <f aca="false">IF('(1)예금승인내역'!C732="","",'(1)예금승인내역'!C732)</f>
        <v>성남금융센터</v>
      </c>
      <c r="R106" s="531" t="str">
        <f aca="false">IF('(1)예금승인내역'!K732="","",'(1)예금승인내역'!K732)</f>
        <v>MMDA</v>
      </c>
      <c r="S106" s="548" t="n">
        <f aca="false">IF('(1)예금승인내역'!L732="","",'(1)예금승인내역'!L732)</f>
        <v>1</v>
      </c>
      <c r="T106" s="549" t="n">
        <f aca="false">IF('(1)예금승인내역'!AG732="","",'(1)예금승인내역'!AG732)</f>
        <v>0.04</v>
      </c>
      <c r="U106" s="549" t="n">
        <f aca="false">IF('(1)예금승인내역'!X732="","",'(1)예금승인내역'!X732)</f>
        <v>0.003411</v>
      </c>
      <c r="V106" s="531" t="n">
        <f aca="false">IF(ISNUMBER(N106),N106-$B$2,"")</f>
        <v>-558</v>
      </c>
      <c r="W106" s="531" t="str">
        <f aca="false">IF(AND(ISNUMBER(N106),N106&gt;=$B$2,N106&lt;=$B$2+10),N106*100000+ROW(),"")</f>
        <v/>
      </c>
      <c r="X106" s="531"/>
      <c r="Y106" s="531"/>
      <c r="Z106" s="531"/>
      <c r="AA106" s="531"/>
      <c r="AB106" s="531"/>
      <c r="AC106" s="531"/>
      <c r="AD106" s="531"/>
      <c r="AE106" s="531"/>
      <c r="AF106" s="531"/>
      <c r="AG106" s="531"/>
      <c r="AH106" s="531"/>
      <c r="AI106" s="531"/>
      <c r="AJ106" s="531"/>
      <c r="AK106" s="531"/>
      <c r="AL106" s="531"/>
      <c r="AM106" s="531"/>
      <c r="AN106" s="531"/>
    </row>
    <row r="107" customFormat="false" ht="16.5" hidden="false" customHeight="true" outlineLevel="0" collapsed="false">
      <c r="A107" s="531"/>
      <c r="B107" s="531"/>
      <c r="C107" s="531"/>
      <c r="D107" s="531"/>
      <c r="E107" s="531"/>
      <c r="F107" s="531"/>
      <c r="G107" s="531"/>
      <c r="H107" s="531"/>
      <c r="I107" s="531"/>
      <c r="J107" s="531"/>
      <c r="K107" s="531"/>
      <c r="L107" s="531"/>
      <c r="M107" s="531"/>
      <c r="N107" s="547" t="n">
        <f aca="false">IF('(1)예금승인내역'!H733="","",'(1)예금승인내역'!H733)</f>
        <v>45968</v>
      </c>
      <c r="O107" s="547" t="n">
        <f aca="false">IF('(1)예금승인내역'!G733="","",'(1)예금승인내역'!G733)</f>
        <v>45603</v>
      </c>
      <c r="P107" s="531" t="str">
        <f aca="false">IF('(1)예금승인내역'!F733="","",'(1)예금승인내역'!F733)</f>
        <v>㈜화신</v>
      </c>
      <c r="Q107" s="531" t="str">
        <f aca="false">IF('(1)예금승인내역'!C733="","",'(1)예금승인내역'!C733)</f>
        <v>성서공단영업부</v>
      </c>
      <c r="R107" s="531" t="str">
        <f aca="false">IF('(1)예금승인내역'!K733="","",'(1)예금승인내역'!K733)</f>
        <v>정기예금</v>
      </c>
      <c r="S107" s="548" t="n">
        <f aca="false">IF('(1)예금승인내역'!L733="","",'(1)예금승인내역'!L733)</f>
        <v>2</v>
      </c>
      <c r="T107" s="549" t="n">
        <f aca="false">IF('(1)예금승인내역'!AG733="","",'(1)예금승인내역'!AG733)</f>
        <v>0.0411</v>
      </c>
      <c r="U107" s="549" t="n">
        <f aca="false">IF('(1)예금승인내역'!X733="","",'(1)예금승인내역'!X733)</f>
        <v>0.004722</v>
      </c>
      <c r="V107" s="531" t="n">
        <f aca="false">IF(ISNUMBER(N107),N107-$B$2,"")</f>
        <v>-221</v>
      </c>
      <c r="W107" s="531" t="str">
        <f aca="false">IF(AND(ISNUMBER(N107),N107&gt;=$B$2,N107&lt;=$B$2+10),N107*100000+ROW(),"")</f>
        <v/>
      </c>
      <c r="X107" s="531"/>
      <c r="Y107" s="531"/>
      <c r="Z107" s="531"/>
      <c r="AA107" s="531"/>
      <c r="AB107" s="531"/>
      <c r="AC107" s="531"/>
      <c r="AD107" s="531"/>
      <c r="AE107" s="531"/>
      <c r="AF107" s="531"/>
      <c r="AG107" s="531"/>
      <c r="AH107" s="531"/>
      <c r="AI107" s="531"/>
      <c r="AJ107" s="531"/>
      <c r="AK107" s="531"/>
      <c r="AL107" s="531"/>
      <c r="AM107" s="531"/>
      <c r="AN107" s="531"/>
    </row>
    <row r="108" customFormat="false" ht="16.5" hidden="false" customHeight="true" outlineLevel="0" collapsed="false">
      <c r="A108" s="531"/>
      <c r="B108" s="531"/>
      <c r="C108" s="531"/>
      <c r="D108" s="531"/>
      <c r="E108" s="531"/>
      <c r="F108" s="531"/>
      <c r="G108" s="531"/>
      <c r="H108" s="531"/>
      <c r="I108" s="531"/>
      <c r="J108" s="531"/>
      <c r="K108" s="531"/>
      <c r="L108" s="531"/>
      <c r="M108" s="531"/>
      <c r="N108" s="547" t="n">
        <f aca="false">IF('(1)예금승인내역'!H734="","",'(1)예금승인내역'!H734)</f>
        <v>45638</v>
      </c>
      <c r="O108" s="547" t="n">
        <f aca="false">IF('(1)예금승인내역'!G734="","",'(1)예금승인내역'!G734)</f>
        <v>45608</v>
      </c>
      <c r="P108" s="531" t="str">
        <f aca="false">IF('(1)예금승인내역'!F734="","",'(1)예금승인내역'!F734)</f>
        <v>오스템임플란트㈜</v>
      </c>
      <c r="Q108" s="531" t="str">
        <f aca="false">IF('(1)예금승인내역'!C734="","",'(1)예금승인내역'!C734)</f>
        <v>성남금융센터</v>
      </c>
      <c r="R108" s="531" t="str">
        <f aca="false">IF('(1)예금승인내역'!K734="","",'(1)예금승인내역'!K734)</f>
        <v>MMDA</v>
      </c>
      <c r="S108" s="548" t="n">
        <f aca="false">IF('(1)예금승인내역'!L734="","",'(1)예금승인내역'!L734)</f>
        <v>5</v>
      </c>
      <c r="T108" s="549" t="n">
        <f aca="false">IF('(1)예금승인내역'!AG734="","",'(1)예금승인내역'!AG734)</f>
        <v>0.04</v>
      </c>
      <c r="U108" s="549" t="n">
        <f aca="false">IF('(1)예금승인내역'!X734="","",'(1)예금승인내역'!X734)</f>
        <v>0.003266</v>
      </c>
      <c r="V108" s="531" t="n">
        <f aca="false">IF(ISNUMBER(N108),N108-$B$2,"")</f>
        <v>-551</v>
      </c>
      <c r="W108" s="531" t="str">
        <f aca="false">IF(AND(ISNUMBER(N108),N108&gt;=$B$2,N108&lt;=$B$2+10),N108*100000+ROW(),"")</f>
        <v/>
      </c>
      <c r="X108" s="531"/>
      <c r="Y108" s="531"/>
      <c r="Z108" s="531"/>
      <c r="AA108" s="531"/>
      <c r="AB108" s="531"/>
      <c r="AC108" s="531"/>
      <c r="AD108" s="531"/>
      <c r="AE108" s="531"/>
      <c r="AF108" s="531"/>
      <c r="AG108" s="531"/>
      <c r="AH108" s="531"/>
      <c r="AI108" s="531"/>
      <c r="AJ108" s="531"/>
      <c r="AK108" s="531"/>
      <c r="AL108" s="531"/>
      <c r="AM108" s="531"/>
      <c r="AN108" s="531"/>
    </row>
    <row r="109" customFormat="false" ht="16.5" hidden="false" customHeight="true" outlineLevel="0" collapsed="false">
      <c r="A109" s="531"/>
      <c r="B109" s="531"/>
      <c r="C109" s="531"/>
      <c r="D109" s="531"/>
      <c r="E109" s="531"/>
      <c r="F109" s="531"/>
      <c r="G109" s="531"/>
      <c r="H109" s="531"/>
      <c r="I109" s="531"/>
      <c r="J109" s="531"/>
      <c r="K109" s="531"/>
      <c r="L109" s="531"/>
      <c r="M109" s="531"/>
      <c r="N109" s="547" t="n">
        <f aca="false">IF('(1)예금승인내역'!H735="","",'(1)예금승인내역'!H735)</f>
        <v>45701</v>
      </c>
      <c r="O109" s="547" t="n">
        <f aca="false">IF('(1)예금승인내역'!G735="","",'(1)예금승인내역'!G735)</f>
        <v>45609</v>
      </c>
      <c r="P109" s="531" t="str">
        <f aca="false">IF('(1)예금승인내역'!F735="","",'(1)예금승인내역'!F735)</f>
        <v>㈜에스앤에스텍</v>
      </c>
      <c r="Q109" s="531" t="str">
        <f aca="false">IF('(1)예금승인내역'!C735="","",'(1)예금승인내역'!C735)</f>
        <v>성서3단지영업부</v>
      </c>
      <c r="R109" s="531" t="str">
        <f aca="false">IF('(1)예금승인내역'!K735="","",'(1)예금승인내역'!K735)</f>
        <v>정기예금</v>
      </c>
      <c r="S109" s="548" t="n">
        <f aca="false">IF('(1)예금승인내역'!L735="","",'(1)예금승인내역'!L735)</f>
        <v>2</v>
      </c>
      <c r="T109" s="549" t="n">
        <f aca="false">IF('(1)예금승인내역'!AG735="","",'(1)예금승인내역'!AG735)</f>
        <v>0.044</v>
      </c>
      <c r="U109" s="549" t="n">
        <f aca="false">IF('(1)예금승인내역'!X735="","",'(1)예금승인내역'!X735)</f>
        <v>0.002453</v>
      </c>
      <c r="V109" s="531" t="n">
        <f aca="false">IF(ISNUMBER(N109),N109-$B$2,"")</f>
        <v>-488</v>
      </c>
      <c r="W109" s="531" t="str">
        <f aca="false">IF(AND(ISNUMBER(N109),N109&gt;=$B$2,N109&lt;=$B$2+10),N109*100000+ROW(),"")</f>
        <v/>
      </c>
      <c r="X109" s="531"/>
      <c r="Y109" s="531"/>
      <c r="Z109" s="531"/>
      <c r="AA109" s="531"/>
      <c r="AB109" s="531"/>
      <c r="AC109" s="531"/>
      <c r="AD109" s="531"/>
      <c r="AE109" s="531"/>
      <c r="AF109" s="531"/>
      <c r="AG109" s="531"/>
      <c r="AH109" s="531"/>
      <c r="AI109" s="531"/>
      <c r="AJ109" s="531"/>
      <c r="AK109" s="531"/>
      <c r="AL109" s="531"/>
      <c r="AM109" s="531"/>
      <c r="AN109" s="531"/>
    </row>
    <row r="110" customFormat="false" ht="16.5" hidden="false" customHeight="true" outlineLevel="0" collapsed="false">
      <c r="A110" s="531"/>
      <c r="B110" s="531"/>
      <c r="C110" s="531"/>
      <c r="D110" s="531"/>
      <c r="E110" s="531"/>
      <c r="F110" s="531"/>
      <c r="G110" s="531"/>
      <c r="H110" s="531"/>
      <c r="I110" s="531"/>
      <c r="J110" s="531"/>
      <c r="K110" s="531"/>
      <c r="L110" s="531"/>
      <c r="M110" s="531"/>
      <c r="N110" s="547" t="n">
        <f aca="false">IF('(1)예금승인내역'!H736="","",'(1)예금승인내역'!H736)</f>
        <v>45702</v>
      </c>
      <c r="O110" s="547" t="n">
        <f aca="false">IF('(1)예금승인내역'!G736="","",'(1)예금승인내역'!G736)</f>
        <v>45610</v>
      </c>
      <c r="P110" s="531" t="str">
        <f aca="false">IF('(1)예금승인내역'!F736="","",'(1)예금승인내역'!F736)</f>
        <v>대성산업㈜</v>
      </c>
      <c r="Q110" s="531" t="str">
        <f aca="false">IF('(1)예금승인내역'!C736="","",'(1)예금승인내역'!C736)</f>
        <v>강남영업부</v>
      </c>
      <c r="R110" s="531" t="str">
        <f aca="false">IF('(1)예금승인내역'!K736="","",'(1)예금승인내역'!K736)</f>
        <v>정기예금</v>
      </c>
      <c r="S110" s="548" t="n">
        <f aca="false">IF('(1)예금승인내역'!L736="","",'(1)예금승인내역'!L736)</f>
        <v>3.5</v>
      </c>
      <c r="T110" s="549" t="n">
        <f aca="false">IF('(1)예금승인내역'!AG736="","",'(1)예금승인내역'!AG736)</f>
        <v>0.044</v>
      </c>
      <c r="U110" s="549" t="n">
        <f aca="false">IF('(1)예금승인내역'!X736="","",'(1)예금승인내역'!X736)</f>
        <v>0.00246</v>
      </c>
      <c r="V110" s="531" t="n">
        <f aca="false">IF(ISNUMBER(N110),N110-$B$2,"")</f>
        <v>-487</v>
      </c>
      <c r="W110" s="531" t="str">
        <f aca="false">IF(AND(ISNUMBER(N110),N110&gt;=$B$2,N110&lt;=$B$2+10),N110*100000+ROW(),"")</f>
        <v/>
      </c>
      <c r="X110" s="531"/>
      <c r="Y110" s="531"/>
      <c r="Z110" s="531"/>
      <c r="AA110" s="531"/>
      <c r="AB110" s="531"/>
      <c r="AC110" s="531"/>
      <c r="AD110" s="531"/>
      <c r="AE110" s="531"/>
      <c r="AF110" s="531"/>
      <c r="AG110" s="531"/>
      <c r="AH110" s="531"/>
      <c r="AI110" s="531"/>
      <c r="AJ110" s="531"/>
      <c r="AK110" s="531"/>
      <c r="AL110" s="531"/>
      <c r="AM110" s="531"/>
      <c r="AN110" s="531"/>
    </row>
    <row r="111" customFormat="false" ht="16.5" hidden="false" customHeight="true" outlineLevel="0" collapsed="false">
      <c r="A111" s="531"/>
      <c r="B111" s="531"/>
      <c r="C111" s="531"/>
      <c r="D111" s="531"/>
      <c r="E111" s="531"/>
      <c r="F111" s="531"/>
      <c r="G111" s="531"/>
      <c r="H111" s="531"/>
      <c r="I111" s="531"/>
      <c r="J111" s="531"/>
      <c r="K111" s="531"/>
      <c r="L111" s="531"/>
      <c r="M111" s="531"/>
      <c r="N111" s="547" t="n">
        <f aca="false">IF('(1)예금승인내역'!H737="","",'(1)예금승인내역'!H737)</f>
        <v>45706</v>
      </c>
      <c r="O111" s="547" t="n">
        <f aca="false">IF('(1)예금승인내역'!G737="","",'(1)예금승인내역'!G737)</f>
        <v>45614</v>
      </c>
      <c r="P111" s="531" t="str">
        <f aca="false">IF('(1)예금승인내역'!F737="","",'(1)예금승인내역'!F737)</f>
        <v>㈜세도캠핑</v>
      </c>
      <c r="Q111" s="531" t="str">
        <f aca="false">IF('(1)예금승인내역'!C737="","",'(1)예금승인내역'!C737)</f>
        <v>강남영업부</v>
      </c>
      <c r="R111" s="531" t="str">
        <f aca="false">IF('(1)예금승인내역'!K737="","",'(1)예금승인내역'!K737)</f>
        <v>정기예금</v>
      </c>
      <c r="S111" s="548" t="n">
        <f aca="false">IF('(1)예금승인내역'!L737="","",'(1)예금승인내역'!L737)</f>
        <v>2</v>
      </c>
      <c r="T111" s="549" t="n">
        <f aca="false">IF('(1)예금승인내역'!AG737="","",'(1)예금승인내역'!AG737)</f>
        <v>0.044</v>
      </c>
      <c r="U111" s="549" t="n">
        <f aca="false">IF('(1)예금승인내역'!X737="","",'(1)예금승인내역'!X737)</f>
        <v>0.002153</v>
      </c>
      <c r="V111" s="531" t="n">
        <f aca="false">IF(ISNUMBER(N111),N111-$B$2,"")</f>
        <v>-483</v>
      </c>
      <c r="W111" s="531" t="str">
        <f aca="false">IF(AND(ISNUMBER(N111),N111&gt;=$B$2,N111&lt;=$B$2+10),N111*100000+ROW(),"")</f>
        <v/>
      </c>
      <c r="X111" s="531"/>
      <c r="Y111" s="531"/>
      <c r="Z111" s="531"/>
      <c r="AA111" s="531"/>
      <c r="AB111" s="531"/>
      <c r="AC111" s="531"/>
      <c r="AD111" s="531"/>
      <c r="AE111" s="531"/>
      <c r="AF111" s="531"/>
      <c r="AG111" s="531"/>
      <c r="AH111" s="531"/>
      <c r="AI111" s="531"/>
      <c r="AJ111" s="531"/>
      <c r="AK111" s="531"/>
      <c r="AL111" s="531"/>
      <c r="AM111" s="531"/>
      <c r="AN111" s="531"/>
    </row>
    <row r="112" customFormat="false" ht="16.5" hidden="false" customHeight="true" outlineLevel="0" collapsed="false">
      <c r="A112" s="531"/>
      <c r="B112" s="531"/>
      <c r="C112" s="531"/>
      <c r="D112" s="531"/>
      <c r="E112" s="531"/>
      <c r="F112" s="531"/>
      <c r="G112" s="531"/>
      <c r="H112" s="531"/>
      <c r="I112" s="531"/>
      <c r="J112" s="531"/>
      <c r="K112" s="531"/>
      <c r="L112" s="531"/>
      <c r="M112" s="531"/>
      <c r="N112" s="547" t="n">
        <f aca="false">IF('(1)예금승인내역'!H738="","",'(1)예금승인내역'!H738)</f>
        <v>45650</v>
      </c>
      <c r="O112" s="547" t="n">
        <f aca="false">IF('(1)예금승인내역'!G738="","",'(1)예금승인내역'!G738)</f>
        <v>45621</v>
      </c>
      <c r="P112" s="531" t="str">
        <f aca="false">IF('(1)예금승인내역'!F738="","",'(1)예금승인내역'!F738)</f>
        <v>㈜ 약진통상 </v>
      </c>
      <c r="Q112" s="531" t="str">
        <f aca="false">IF('(1)예금승인내역'!C738="","",'(1)예금승인내역'!C738)</f>
        <v>반월공단지점</v>
      </c>
      <c r="R112" s="531" t="str">
        <f aca="false">IF('(1)예금승인내역'!K738="","",'(1)예금승인내역'!K738)</f>
        <v>MMDA</v>
      </c>
      <c r="S112" s="548" t="n">
        <f aca="false">IF('(1)예금승인내역'!L738="","",'(1)예금승인내역'!L738)</f>
        <v>10.16</v>
      </c>
      <c r="T112" s="549" t="n">
        <f aca="false">IF('(1)예금승인내역'!AG738="","",'(1)예금승인내역'!AG738)</f>
        <v>0.0395</v>
      </c>
      <c r="U112" s="549" t="n">
        <f aca="false">IF('(1)예금승인내역'!X738="","",'(1)예금승인내역'!X738)</f>
        <v>0.005454</v>
      </c>
      <c r="V112" s="531" t="n">
        <f aca="false">IF(ISNUMBER(N112),N112-$B$2,"")</f>
        <v>-539</v>
      </c>
      <c r="W112" s="531" t="str">
        <f aca="false">IF(AND(ISNUMBER(N112),N112&gt;=$B$2,N112&lt;=$B$2+10),N112*100000+ROW(),"")</f>
        <v/>
      </c>
      <c r="X112" s="531"/>
      <c r="Y112" s="531"/>
      <c r="Z112" s="531"/>
      <c r="AA112" s="531"/>
      <c r="AB112" s="531"/>
      <c r="AC112" s="531"/>
      <c r="AD112" s="531"/>
      <c r="AE112" s="531"/>
      <c r="AF112" s="531"/>
      <c r="AG112" s="531"/>
      <c r="AH112" s="531"/>
      <c r="AI112" s="531"/>
      <c r="AJ112" s="531"/>
      <c r="AK112" s="531"/>
      <c r="AL112" s="531"/>
      <c r="AM112" s="531"/>
      <c r="AN112" s="531"/>
    </row>
    <row r="113" customFormat="false" ht="16.5" hidden="false" customHeight="true" outlineLevel="0" collapsed="false">
      <c r="A113" s="531"/>
      <c r="B113" s="531"/>
      <c r="C113" s="531"/>
      <c r="D113" s="531"/>
      <c r="E113" s="531"/>
      <c r="F113" s="531"/>
      <c r="G113" s="531"/>
      <c r="H113" s="531"/>
      <c r="I113" s="531"/>
      <c r="J113" s="531"/>
      <c r="K113" s="531"/>
      <c r="L113" s="531"/>
      <c r="M113" s="531"/>
      <c r="N113" s="547" t="n">
        <f aca="false">IF('(1)예금승인내역'!H739="","",'(1)예금승인내역'!H739)</f>
        <v>45652</v>
      </c>
      <c r="O113" s="547" t="n">
        <f aca="false">IF('(1)예금승인내역'!G739="","",'(1)예금승인내역'!G739)</f>
        <v>45622</v>
      </c>
      <c r="P113" s="531" t="str">
        <f aca="false">IF('(1)예금승인내역'!F739="","",'(1)예금승인내역'!F739)</f>
        <v>㈜ 문영</v>
      </c>
      <c r="Q113" s="531" t="str">
        <f aca="false">IF('(1)예금승인내역'!C739="","",'(1)예금승인내역'!C739)</f>
        <v>사상공단영업부</v>
      </c>
      <c r="R113" s="531" t="str">
        <f aca="false">IF('(1)예금승인내역'!K739="","",'(1)예금승인내역'!K739)</f>
        <v>MMDA</v>
      </c>
      <c r="S113" s="548" t="n">
        <f aca="false">IF('(1)예금승인내역'!L739="","",'(1)예금승인내역'!L739)</f>
        <v>4.5</v>
      </c>
      <c r="T113" s="549" t="n">
        <f aca="false">IF('(1)예금승인내역'!AG739="","",'(1)예금승인내역'!AG739)</f>
        <v>0.036</v>
      </c>
      <c r="U113" s="549" t="n">
        <f aca="false">IF('(1)예금승인내역'!X739="","",'(1)예금승인내역'!X739)</f>
        <v>0.008892</v>
      </c>
      <c r="V113" s="531" t="n">
        <f aca="false">IF(ISNUMBER(N113),N113-$B$2,"")</f>
        <v>-537</v>
      </c>
      <c r="W113" s="531" t="str">
        <f aca="false">IF(AND(ISNUMBER(N113),N113&gt;=$B$2,N113&lt;=$B$2+10),N113*100000+ROW(),"")</f>
        <v/>
      </c>
      <c r="X113" s="531"/>
      <c r="Y113" s="531"/>
      <c r="Z113" s="531"/>
      <c r="AA113" s="531"/>
      <c r="AB113" s="531"/>
      <c r="AC113" s="531"/>
      <c r="AD113" s="531"/>
      <c r="AE113" s="531"/>
      <c r="AF113" s="531"/>
      <c r="AG113" s="531"/>
      <c r="AH113" s="531"/>
      <c r="AI113" s="531"/>
      <c r="AJ113" s="531"/>
      <c r="AK113" s="531"/>
      <c r="AL113" s="531"/>
      <c r="AM113" s="531"/>
      <c r="AN113" s="531"/>
    </row>
    <row r="114" customFormat="false" ht="16.5" hidden="false" customHeight="true" outlineLevel="0" collapsed="false">
      <c r="A114" s="531"/>
      <c r="B114" s="531"/>
      <c r="C114" s="531"/>
      <c r="D114" s="531"/>
      <c r="E114" s="531"/>
      <c r="F114" s="531"/>
      <c r="G114" s="531"/>
      <c r="H114" s="531"/>
      <c r="I114" s="531"/>
      <c r="J114" s="531"/>
      <c r="K114" s="531"/>
      <c r="L114" s="531"/>
      <c r="M114" s="531"/>
      <c r="N114" s="547" t="n">
        <f aca="false">IF('(1)예금승인내역'!H740="","",'(1)예금승인내역'!H740)</f>
        <v>45988</v>
      </c>
      <c r="O114" s="547" t="n">
        <f aca="false">IF('(1)예금승인내역'!G740="","",'(1)예금승인내역'!G740)</f>
        <v>45623</v>
      </c>
      <c r="P114" s="531" t="str">
        <f aca="false">IF('(1)예금승인내역'!F740="","",'(1)예금승인내역'!F740)</f>
        <v>영안건설㈜</v>
      </c>
      <c r="Q114" s="531" t="str">
        <f aca="false">IF('(1)예금승인내역'!C740="","",'(1)예금승인내역'!C740)</f>
        <v>중산지점</v>
      </c>
      <c r="R114" s="531" t="str">
        <f aca="false">IF('(1)예금승인내역'!K740="","",'(1)예금승인내역'!K740)</f>
        <v>정기예금</v>
      </c>
      <c r="S114" s="548" t="n">
        <f aca="false">IF('(1)예금승인내역'!L740="","",'(1)예금승인내역'!L740)</f>
        <v>1.8</v>
      </c>
      <c r="T114" s="549" t="n">
        <f aca="false">IF('(1)예금승인내역'!AG740="","",'(1)예금승인내역'!AG740)</f>
        <v>0.0432</v>
      </c>
      <c r="U114" s="549" t="n">
        <f aca="false">IF('(1)예금승인내역'!X740="","",'(1)예금승인내역'!X740)</f>
        <v>0.004333</v>
      </c>
      <c r="V114" s="531" t="n">
        <f aca="false">IF(ISNUMBER(N114),N114-$B$2,"")</f>
        <v>-201</v>
      </c>
      <c r="W114" s="531" t="str">
        <f aca="false">IF(AND(ISNUMBER(N114),N114&gt;=$B$2,N114&lt;=$B$2+10),N114*100000+ROW(),"")</f>
        <v/>
      </c>
      <c r="X114" s="531"/>
      <c r="Y114" s="531"/>
      <c r="Z114" s="531"/>
      <c r="AA114" s="531"/>
      <c r="AB114" s="531"/>
      <c r="AC114" s="531"/>
      <c r="AD114" s="531"/>
      <c r="AE114" s="531"/>
      <c r="AF114" s="531"/>
      <c r="AG114" s="531"/>
      <c r="AH114" s="531"/>
      <c r="AI114" s="531"/>
      <c r="AJ114" s="531"/>
      <c r="AK114" s="531"/>
      <c r="AL114" s="531"/>
      <c r="AM114" s="531"/>
      <c r="AN114" s="531"/>
    </row>
    <row r="115" customFormat="false" ht="16.5" hidden="false" customHeight="true" outlineLevel="0" collapsed="false">
      <c r="A115" s="531"/>
      <c r="B115" s="531"/>
      <c r="C115" s="531"/>
      <c r="D115" s="531"/>
      <c r="E115" s="531"/>
      <c r="F115" s="531"/>
      <c r="G115" s="531"/>
      <c r="H115" s="531"/>
      <c r="I115" s="531"/>
      <c r="J115" s="531"/>
      <c r="K115" s="531"/>
      <c r="L115" s="531"/>
      <c r="M115" s="531"/>
      <c r="N115" s="547" t="n">
        <f aca="false">IF('(1)예금승인내역'!H741="","",'(1)예금승인내역'!H741)</f>
        <v>45988</v>
      </c>
      <c r="O115" s="547" t="n">
        <f aca="false">IF('(1)예금승인내역'!G741="","",'(1)예금승인내역'!G741)</f>
        <v>45623</v>
      </c>
      <c r="P115" s="531" t="str">
        <f aca="false">IF('(1)예금승인내역'!F741="","",'(1)예금승인내역'!F741)</f>
        <v>영안건설㈜</v>
      </c>
      <c r="Q115" s="531" t="str">
        <f aca="false">IF('(1)예금승인내역'!C741="","",'(1)예금승인내역'!C741)</f>
        <v>중산지점</v>
      </c>
      <c r="R115" s="531" t="str">
        <f aca="false">IF('(1)예금승인내역'!K741="","",'(1)예금승인내역'!K741)</f>
        <v>정기예금</v>
      </c>
      <c r="S115" s="548" t="n">
        <f aca="false">IF('(1)예금승인내역'!L741="","",'(1)예금승인내역'!L741)</f>
        <v>2.07</v>
      </c>
      <c r="T115" s="549" t="n">
        <f aca="false">IF('(1)예금승인내역'!AG741="","",'(1)예금승인내역'!AG741)</f>
        <v>0.0432</v>
      </c>
      <c r="U115" s="549" t="n">
        <f aca="false">IF('(1)예금승인내역'!X741="","",'(1)예금승인내역'!X741)</f>
        <v>0.004333</v>
      </c>
      <c r="V115" s="531" t="n">
        <f aca="false">IF(ISNUMBER(N115),N115-$B$2,"")</f>
        <v>-201</v>
      </c>
      <c r="W115" s="531" t="str">
        <f aca="false">IF(AND(ISNUMBER(N115),N115&gt;=$B$2,N115&lt;=$B$2+10),N115*100000+ROW(),"")</f>
        <v/>
      </c>
      <c r="X115" s="531"/>
      <c r="Y115" s="531"/>
      <c r="Z115" s="531"/>
      <c r="AA115" s="531"/>
      <c r="AB115" s="531"/>
      <c r="AC115" s="531"/>
      <c r="AD115" s="531"/>
      <c r="AE115" s="531"/>
      <c r="AF115" s="531"/>
      <c r="AG115" s="531"/>
      <c r="AH115" s="531"/>
      <c r="AI115" s="531"/>
      <c r="AJ115" s="531"/>
      <c r="AK115" s="531"/>
      <c r="AL115" s="531"/>
      <c r="AM115" s="531"/>
      <c r="AN115" s="531"/>
    </row>
    <row r="116" customFormat="false" ht="16.5" hidden="false" customHeight="true" outlineLevel="0" collapsed="false">
      <c r="A116" s="531"/>
      <c r="B116" s="531"/>
      <c r="C116" s="531"/>
      <c r="D116" s="531"/>
      <c r="E116" s="531"/>
      <c r="F116" s="531"/>
      <c r="G116" s="531"/>
      <c r="H116" s="531"/>
      <c r="I116" s="531"/>
      <c r="J116" s="531"/>
      <c r="K116" s="531"/>
      <c r="L116" s="531"/>
      <c r="M116" s="531"/>
      <c r="N116" s="547" t="n">
        <f aca="false">IF('(1)예금승인내역'!H742="","",'(1)예금승인내역'!H742)</f>
        <v>45660</v>
      </c>
      <c r="O116" s="547" t="n">
        <f aca="false">IF('(1)예금승인내역'!G742="","",'(1)예금승인내역'!G742)</f>
        <v>45629</v>
      </c>
      <c r="P116" s="531" t="str">
        <f aca="false">IF('(1)예금승인내역'!F742="","",'(1)예금승인내역'!F742)</f>
        <v>㈜ 한국비엔씨</v>
      </c>
      <c r="Q116" s="531" t="str">
        <f aca="false">IF('(1)예금승인내역'!C742="","",'(1)예금승인내역'!C742)</f>
        <v>유통단지영업부</v>
      </c>
      <c r="R116" s="531" t="str">
        <f aca="false">IF('(1)예금승인내역'!K742="","",'(1)예금승인내역'!K742)</f>
        <v>정기예금</v>
      </c>
      <c r="S116" s="548" t="n">
        <f aca="false">IF('(1)예금승인내역'!L742="","",'(1)예금승인내역'!L742)</f>
        <v>2</v>
      </c>
      <c r="T116" s="549" t="n">
        <f aca="false">IF('(1)예금승인내역'!AG742="","",'(1)예금승인내역'!AG742)</f>
        <v>0.0435</v>
      </c>
      <c r="U116" s="549" t="n">
        <f aca="false">IF('(1)예금승인내역'!X742="","",'(1)예금승인내역'!X742)</f>
        <v>0.001641</v>
      </c>
      <c r="V116" s="531" t="n">
        <f aca="false">IF(ISNUMBER(N116),N116-$B$2,"")</f>
        <v>-529</v>
      </c>
      <c r="W116" s="531" t="str">
        <f aca="false">IF(AND(ISNUMBER(N116),N116&gt;=$B$2,N116&lt;=$B$2+10),N116*100000+ROW(),"")</f>
        <v/>
      </c>
      <c r="X116" s="531"/>
      <c r="Y116" s="531"/>
      <c r="Z116" s="531"/>
      <c r="AA116" s="531"/>
      <c r="AB116" s="531"/>
      <c r="AC116" s="531"/>
      <c r="AD116" s="531"/>
      <c r="AE116" s="531"/>
      <c r="AF116" s="531"/>
      <c r="AG116" s="531"/>
      <c r="AH116" s="531"/>
      <c r="AI116" s="531"/>
      <c r="AJ116" s="531"/>
      <c r="AK116" s="531"/>
      <c r="AL116" s="531"/>
      <c r="AM116" s="531"/>
      <c r="AN116" s="531"/>
    </row>
    <row r="117" customFormat="false" ht="16.5" hidden="false" customHeight="true" outlineLevel="0" collapsed="false">
      <c r="A117" s="531"/>
      <c r="B117" s="531"/>
      <c r="C117" s="531"/>
      <c r="D117" s="531"/>
      <c r="E117" s="531"/>
      <c r="F117" s="531"/>
      <c r="G117" s="531"/>
      <c r="H117" s="531"/>
      <c r="I117" s="531"/>
      <c r="J117" s="531"/>
      <c r="K117" s="531"/>
      <c r="L117" s="531"/>
      <c r="M117" s="531"/>
      <c r="N117" s="547" t="n">
        <f aca="false">IF('(1)예금승인내역'!H743="","",'(1)예금승인내역'!H743)</f>
        <v>45660</v>
      </c>
      <c r="O117" s="547" t="n">
        <f aca="false">IF('(1)예금승인내역'!G743="","",'(1)예금승인내역'!G743)</f>
        <v>45629</v>
      </c>
      <c r="P117" s="531" t="str">
        <f aca="false">IF('(1)예금승인내역'!F743="","",'(1)예금승인내역'!F743)</f>
        <v>㈜ 한국비엔씨</v>
      </c>
      <c r="Q117" s="531" t="str">
        <f aca="false">IF('(1)예금승인내역'!C743="","",'(1)예금승인내역'!C743)</f>
        <v>유통단지영업부</v>
      </c>
      <c r="R117" s="531" t="str">
        <f aca="false">IF('(1)예금승인내역'!K743="","",'(1)예금승인내역'!K743)</f>
        <v>정기예금</v>
      </c>
      <c r="S117" s="548" t="n">
        <f aca="false">IF('(1)예금승인내역'!L743="","",'(1)예금승인내역'!L743)</f>
        <v>2</v>
      </c>
      <c r="T117" s="549" t="n">
        <f aca="false">IF('(1)예금승인내역'!AG743="","",'(1)예금승인내역'!AG743)</f>
        <v>0.0435</v>
      </c>
      <c r="U117" s="549" t="n">
        <f aca="false">IF('(1)예금승인내역'!X743="","",'(1)예금승인내역'!X743)</f>
        <v>0.001641</v>
      </c>
      <c r="V117" s="531" t="n">
        <f aca="false">IF(ISNUMBER(N117),N117-$B$2,"")</f>
        <v>-529</v>
      </c>
      <c r="W117" s="531" t="str">
        <f aca="false">IF(AND(ISNUMBER(N117),N117&gt;=$B$2,N117&lt;=$B$2+10),N117*100000+ROW(),"")</f>
        <v/>
      </c>
      <c r="X117" s="531"/>
      <c r="Y117" s="531"/>
      <c r="Z117" s="531"/>
      <c r="AA117" s="531"/>
      <c r="AB117" s="531"/>
      <c r="AC117" s="531"/>
      <c r="AD117" s="531"/>
      <c r="AE117" s="531"/>
      <c r="AF117" s="531"/>
      <c r="AG117" s="531"/>
      <c r="AH117" s="531"/>
      <c r="AI117" s="531"/>
      <c r="AJ117" s="531"/>
      <c r="AK117" s="531"/>
      <c r="AL117" s="531"/>
      <c r="AM117" s="531"/>
      <c r="AN117" s="531"/>
    </row>
    <row r="118" customFormat="false" ht="16.5" hidden="false" customHeight="true" outlineLevel="0" collapsed="false">
      <c r="A118" s="531"/>
      <c r="B118" s="531"/>
      <c r="C118" s="531"/>
      <c r="D118" s="531"/>
      <c r="E118" s="531"/>
      <c r="F118" s="531"/>
      <c r="G118" s="531"/>
      <c r="H118" s="531"/>
      <c r="I118" s="531"/>
      <c r="J118" s="531"/>
      <c r="K118" s="531"/>
      <c r="L118" s="531"/>
      <c r="M118" s="531"/>
      <c r="N118" s="547" t="n">
        <f aca="false">IF('(1)예금승인내역'!H744="","",'(1)예금승인내역'!H744)</f>
        <v>45637</v>
      </c>
      <c r="O118" s="547" t="n">
        <f aca="false">IF('(1)예금승인내역'!G744="","",'(1)예금승인내역'!G744)</f>
        <v>45630</v>
      </c>
      <c r="P118" s="531" t="str">
        <f aca="false">IF('(1)예금승인내역'!F744="","",'(1)예금승인내역'!F744)</f>
        <v>㈜ 일지테크</v>
      </c>
      <c r="Q118" s="531" t="str">
        <f aca="false">IF('(1)예금승인내역'!C744="","",'(1)예금승인내역'!C744)</f>
        <v>경산공단영업부</v>
      </c>
      <c r="R118" s="531" t="str">
        <f aca="false">IF('(1)예금승인내역'!K744="","",'(1)예금승인내역'!K744)</f>
        <v>정기예금</v>
      </c>
      <c r="S118" s="548" t="n">
        <f aca="false">IF('(1)예금승인내역'!L744="","",'(1)예금승인내역'!L744)</f>
        <v>6.6</v>
      </c>
      <c r="T118" s="549" t="n">
        <f aca="false">IF('(1)예금승인내역'!AG744="","",'(1)예금승인내역'!AG744)</f>
        <v>0.0405</v>
      </c>
      <c r="U118" s="549" t="n">
        <f aca="false">IF('(1)예금승인내역'!X744="","",'(1)예금승인내역'!X744)</f>
        <v>0.003869</v>
      </c>
      <c r="V118" s="531" t="n">
        <f aca="false">IF(ISNUMBER(N118),N118-$B$2,"")</f>
        <v>-552</v>
      </c>
      <c r="W118" s="531" t="str">
        <f aca="false">IF(AND(ISNUMBER(N118),N118&gt;=$B$2,N118&lt;=$B$2+10),N118*100000+ROW(),"")</f>
        <v/>
      </c>
      <c r="X118" s="531"/>
      <c r="Y118" s="531"/>
      <c r="Z118" s="531"/>
      <c r="AA118" s="531"/>
      <c r="AB118" s="531"/>
      <c r="AC118" s="531"/>
      <c r="AD118" s="531"/>
      <c r="AE118" s="531"/>
      <c r="AF118" s="531"/>
      <c r="AG118" s="531"/>
      <c r="AH118" s="531"/>
      <c r="AI118" s="531"/>
      <c r="AJ118" s="531"/>
      <c r="AK118" s="531"/>
      <c r="AL118" s="531"/>
      <c r="AM118" s="531"/>
      <c r="AN118" s="531"/>
    </row>
    <row r="119" customFormat="false" ht="16.5" hidden="false" customHeight="true" outlineLevel="0" collapsed="false">
      <c r="A119" s="531"/>
      <c r="B119" s="531"/>
      <c r="C119" s="531"/>
      <c r="D119" s="531"/>
      <c r="E119" s="531"/>
      <c r="F119" s="531"/>
      <c r="G119" s="531"/>
      <c r="H119" s="531"/>
      <c r="I119" s="531"/>
      <c r="J119" s="531"/>
      <c r="K119" s="531"/>
      <c r="L119" s="531"/>
      <c r="M119" s="531"/>
      <c r="N119" s="547" t="n">
        <f aca="false">IF('(1)예금승인내역'!H745="","",'(1)예금승인내역'!H745)</f>
        <v>45720</v>
      </c>
      <c r="O119" s="547" t="n">
        <f aca="false">IF('(1)예금승인내역'!G745="","",'(1)예금승인내역'!G745)</f>
        <v>45630</v>
      </c>
      <c r="P119" s="531" t="str">
        <f aca="false">IF('(1)예금승인내역'!F745="","",'(1)예금승인내역'!F745)</f>
        <v>거림테크주식회사</v>
      </c>
      <c r="Q119" s="531" t="str">
        <f aca="false">IF('(1)예금승인내역'!C745="","",'(1)예금승인내역'!C745)</f>
        <v>죽전지점 </v>
      </c>
      <c r="R119" s="531" t="str">
        <f aca="false">IF('(1)예금승인내역'!K745="","",'(1)예금승인내역'!K745)</f>
        <v>정기예금</v>
      </c>
      <c r="S119" s="548" t="n">
        <f aca="false">IF('(1)예금승인내역'!L745="","",'(1)예금승인내역'!L745)</f>
        <v>2</v>
      </c>
      <c r="T119" s="549" t="n">
        <f aca="false">IF('(1)예금승인내역'!AG745="","",'(1)예금승인내역'!AG745)</f>
        <v>0.0442</v>
      </c>
      <c r="U119" s="549" t="n">
        <f aca="false">IF('(1)예금승인내역'!X745="","",'(1)예금승인내역'!X745)</f>
        <v>0.00172</v>
      </c>
      <c r="V119" s="531" t="n">
        <f aca="false">IF(ISNUMBER(N119),N119-$B$2,"")</f>
        <v>-469</v>
      </c>
      <c r="W119" s="531" t="str">
        <f aca="false">IF(AND(ISNUMBER(N119),N119&gt;=$B$2,N119&lt;=$B$2+10),N119*100000+ROW(),"")</f>
        <v/>
      </c>
      <c r="X119" s="531"/>
      <c r="Y119" s="531"/>
      <c r="Z119" s="531"/>
      <c r="AA119" s="531"/>
      <c r="AB119" s="531"/>
      <c r="AC119" s="531"/>
      <c r="AD119" s="531"/>
      <c r="AE119" s="531"/>
      <c r="AF119" s="531"/>
      <c r="AG119" s="531"/>
      <c r="AH119" s="531"/>
      <c r="AI119" s="531"/>
      <c r="AJ119" s="531"/>
      <c r="AK119" s="531"/>
      <c r="AL119" s="531"/>
      <c r="AM119" s="531"/>
      <c r="AN119" s="531"/>
    </row>
    <row r="120" customFormat="false" ht="16.5" hidden="false" customHeight="true" outlineLevel="0" collapsed="false">
      <c r="A120" s="531"/>
      <c r="B120" s="531"/>
      <c r="C120" s="531"/>
      <c r="D120" s="531"/>
      <c r="E120" s="531"/>
      <c r="F120" s="531"/>
      <c r="G120" s="531"/>
      <c r="H120" s="531"/>
      <c r="I120" s="531"/>
      <c r="J120" s="531"/>
      <c r="K120" s="531"/>
      <c r="L120" s="531"/>
      <c r="M120" s="531"/>
      <c r="N120" s="547" t="n">
        <f aca="false">IF('(1)예금승인내역'!H746="","",'(1)예금승인내역'!H746)</f>
        <v>45660</v>
      </c>
      <c r="O120" s="547" t="n">
        <f aca="false">IF('(1)예금승인내역'!G746="","",'(1)예금승인내역'!G746)</f>
        <v>45630</v>
      </c>
      <c r="P120" s="531" t="str">
        <f aca="false">IF('(1)예금승인내역'!F746="","",'(1)예금승인내역'!F746)</f>
        <v>한국비철㈜</v>
      </c>
      <c r="Q120" s="531" t="str">
        <f aca="false">IF('(1)예금승인내역'!C746="","",'(1)예금승인내역'!C746)</f>
        <v>달성공단영업부</v>
      </c>
      <c r="R120" s="531" t="str">
        <f aca="false">IF('(1)예금승인내역'!K746="","",'(1)예금승인내역'!K746)</f>
        <v>MMDA</v>
      </c>
      <c r="S120" s="548" t="n">
        <f aca="false">IF('(1)예금승인내역'!L746="","",'(1)예금승인내역'!L746)</f>
        <v>7.15</v>
      </c>
      <c r="T120" s="549" t="n">
        <f aca="false">IF('(1)예금승인내역'!AG746="","",'(1)예금승인내역'!AG746)</f>
        <v>0.0395</v>
      </c>
      <c r="U120" s="549" t="n">
        <f aca="false">IF('(1)예금승인내역'!X746="","",'(1)예금승인내역'!X746)</f>
        <v>0.00172</v>
      </c>
      <c r="V120" s="531" t="n">
        <f aca="false">IF(ISNUMBER(N120),N120-$B$2,"")</f>
        <v>-529</v>
      </c>
      <c r="W120" s="531" t="str">
        <f aca="false">IF(AND(ISNUMBER(N120),N120&gt;=$B$2,N120&lt;=$B$2+10),N120*100000+ROW(),"")</f>
        <v/>
      </c>
      <c r="X120" s="531"/>
      <c r="Y120" s="531"/>
      <c r="Z120" s="531"/>
      <c r="AA120" s="531"/>
      <c r="AB120" s="531"/>
      <c r="AC120" s="531"/>
      <c r="AD120" s="531"/>
      <c r="AE120" s="531"/>
      <c r="AF120" s="531"/>
      <c r="AG120" s="531"/>
      <c r="AH120" s="531"/>
      <c r="AI120" s="531"/>
      <c r="AJ120" s="531"/>
      <c r="AK120" s="531"/>
      <c r="AL120" s="531"/>
      <c r="AM120" s="531"/>
      <c r="AN120" s="531"/>
    </row>
    <row r="121" customFormat="false" ht="16.5" hidden="false" customHeight="true" outlineLevel="0" collapsed="false">
      <c r="A121" s="531"/>
      <c r="B121" s="531"/>
      <c r="C121" s="531"/>
      <c r="D121" s="531"/>
      <c r="E121" s="531"/>
      <c r="F121" s="531"/>
      <c r="G121" s="531"/>
      <c r="H121" s="531"/>
      <c r="I121" s="531"/>
      <c r="J121" s="531"/>
      <c r="K121" s="531"/>
      <c r="L121" s="531"/>
      <c r="M121" s="531"/>
      <c r="N121" s="547" t="n">
        <f aca="false">IF('(1)예금승인내역'!H747="","",'(1)예금승인내역'!H747)</f>
        <v>45663</v>
      </c>
      <c r="O121" s="547" t="n">
        <f aca="false">IF('(1)예금승인내역'!G747="","",'(1)예금승인내역'!G747)</f>
        <v>45632</v>
      </c>
      <c r="P121" s="531" t="str">
        <f aca="false">IF('(1)예금승인내역'!F747="","",'(1)예금승인내역'!F747)</f>
        <v>㈜이수스페셜티케미컬</v>
      </c>
      <c r="Q121" s="531" t="str">
        <f aca="false">IF('(1)예금승인내역'!C747="","",'(1)예금승인내역'!C747)</f>
        <v>성남금융센터</v>
      </c>
      <c r="R121" s="531" t="str">
        <f aca="false">IF('(1)예금승인내역'!K747="","",'(1)예금승인내역'!K747)</f>
        <v>MMDA</v>
      </c>
      <c r="S121" s="548" t="n">
        <f aca="false">IF('(1)예금승인내역'!L747="","",'(1)예금승인내역'!L747)</f>
        <v>1</v>
      </c>
      <c r="T121" s="549" t="n">
        <f aca="false">IF('(1)예금승인내역'!AG747="","",'(1)예금승인내역'!AG747)</f>
        <v>0.0395</v>
      </c>
      <c r="U121" s="549" t="n">
        <f aca="false">IF('(1)예금승인내역'!X747="","",'(1)예금승인내역'!X747)</f>
        <v>0.003427</v>
      </c>
      <c r="V121" s="531" t="n">
        <f aca="false">IF(ISNUMBER(N121),N121-$B$2,"")</f>
        <v>-526</v>
      </c>
      <c r="W121" s="531" t="str">
        <f aca="false">IF(AND(ISNUMBER(N121),N121&gt;=$B$2,N121&lt;=$B$2+10),N121*100000+ROW(),"")</f>
        <v/>
      </c>
      <c r="X121" s="531"/>
      <c r="Y121" s="531"/>
      <c r="Z121" s="531"/>
      <c r="AA121" s="531"/>
      <c r="AB121" s="531"/>
      <c r="AC121" s="531"/>
      <c r="AD121" s="531"/>
      <c r="AE121" s="531"/>
      <c r="AF121" s="531"/>
      <c r="AG121" s="531"/>
      <c r="AH121" s="531"/>
      <c r="AI121" s="531"/>
      <c r="AJ121" s="531"/>
      <c r="AK121" s="531"/>
      <c r="AL121" s="531"/>
      <c r="AM121" s="531"/>
      <c r="AN121" s="531"/>
    </row>
    <row r="122" customFormat="false" ht="16.5" hidden="false" customHeight="true" outlineLevel="0" collapsed="false">
      <c r="A122" s="531"/>
      <c r="B122" s="531"/>
      <c r="C122" s="531"/>
      <c r="D122" s="531"/>
      <c r="E122" s="531"/>
      <c r="F122" s="531"/>
      <c r="G122" s="531"/>
      <c r="H122" s="531"/>
      <c r="I122" s="531"/>
      <c r="J122" s="531"/>
      <c r="K122" s="531"/>
      <c r="L122" s="531"/>
      <c r="M122" s="531"/>
      <c r="N122" s="547" t="n">
        <f aca="false">IF('(1)예금승인내역'!H748="","",'(1)예금승인내역'!H748)</f>
        <v>45663</v>
      </c>
      <c r="O122" s="547" t="n">
        <f aca="false">IF('(1)예금승인내역'!G748="","",'(1)예금승인내역'!G748)</f>
        <v>45632</v>
      </c>
      <c r="P122" s="531" t="str">
        <f aca="false">IF('(1)예금승인내역'!F748="","",'(1)예금승인내역'!F748)</f>
        <v>케이씨에이치에너지㈜</v>
      </c>
      <c r="Q122" s="531" t="str">
        <f aca="false">IF('(1)예금승인내역'!C748="","",'(1)예금승인내역'!C748)</f>
        <v>강남영업부</v>
      </c>
      <c r="R122" s="531" t="str">
        <f aca="false">IF('(1)예금승인내역'!K748="","",'(1)예금승인내역'!K748)</f>
        <v>MMDA</v>
      </c>
      <c r="S122" s="548" t="n">
        <f aca="false">IF('(1)예금승인내역'!L748="","",'(1)예금승인내역'!L748)</f>
        <v>10</v>
      </c>
      <c r="T122" s="549" t="n">
        <f aca="false">IF('(1)예금승인내역'!AG748="","",'(1)예금승인내역'!AG748)</f>
        <v>0.039</v>
      </c>
      <c r="U122" s="549" t="n">
        <f aca="false">IF('(1)예금승인내역'!X748="","",'(1)예금승인내역'!X748)</f>
        <v>0.003927</v>
      </c>
      <c r="V122" s="531" t="n">
        <f aca="false">IF(ISNUMBER(N122),N122-$B$2,"")</f>
        <v>-526</v>
      </c>
      <c r="W122" s="531" t="str">
        <f aca="false">IF(AND(ISNUMBER(N122),N122&gt;=$B$2,N122&lt;=$B$2+10),N122*100000+ROW(),"")</f>
        <v/>
      </c>
      <c r="X122" s="531"/>
      <c r="Y122" s="531"/>
      <c r="Z122" s="531"/>
      <c r="AA122" s="531"/>
      <c r="AB122" s="531"/>
      <c r="AC122" s="531"/>
      <c r="AD122" s="531"/>
      <c r="AE122" s="531"/>
      <c r="AF122" s="531"/>
      <c r="AG122" s="531"/>
      <c r="AH122" s="531"/>
      <c r="AI122" s="531"/>
      <c r="AJ122" s="531"/>
      <c r="AK122" s="531"/>
      <c r="AL122" s="531"/>
      <c r="AM122" s="531"/>
      <c r="AN122" s="531"/>
    </row>
    <row r="123" customFormat="false" ht="16.5" hidden="false" customHeight="true" outlineLevel="0" collapsed="false">
      <c r="A123" s="531"/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1"/>
      <c r="N123" s="547" t="n">
        <f aca="false">IF('(1)예금승인내역'!H749="","",'(1)예금승인내역'!H749)</f>
        <v>45666</v>
      </c>
      <c r="O123" s="547" t="n">
        <f aca="false">IF('(1)예금승인내역'!G749="","",'(1)예금승인내역'!G749)</f>
        <v>45635</v>
      </c>
      <c r="P123" s="531" t="str">
        <f aca="false">IF('(1)예금승인내역'!F749="","",'(1)예금승인내역'!F749)</f>
        <v>한국비철㈜</v>
      </c>
      <c r="Q123" s="531" t="str">
        <f aca="false">IF('(1)예금승인내역'!C749="","",'(1)예금승인내역'!C749)</f>
        <v>달성공단영업부</v>
      </c>
      <c r="R123" s="531" t="str">
        <f aca="false">IF('(1)예금승인내역'!K749="","",'(1)예금승인내역'!K749)</f>
        <v>정기예금</v>
      </c>
      <c r="S123" s="548" t="n">
        <f aca="false">IF('(1)예금승인내역'!L749="","",'(1)예금승인내역'!L749)</f>
        <v>8</v>
      </c>
      <c r="T123" s="549" t="n">
        <f aca="false">IF('(1)예금승인내역'!AG749="","",'(1)예금승인내역'!AG749)</f>
        <v>0.0427</v>
      </c>
      <c r="U123" s="549" t="n">
        <f aca="false">IF('(1)예금승인내역'!X749="","",'(1)예금승인내역'!X749)</f>
        <v>0.00172</v>
      </c>
      <c r="V123" s="531" t="n">
        <f aca="false">IF(ISNUMBER(N123),N123-$B$2,"")</f>
        <v>-523</v>
      </c>
      <c r="W123" s="531" t="str">
        <f aca="false">IF(AND(ISNUMBER(N123),N123&gt;=$B$2,N123&lt;=$B$2+10),N123*100000+ROW(),"")</f>
        <v/>
      </c>
      <c r="X123" s="531"/>
      <c r="Y123" s="531"/>
      <c r="Z123" s="531"/>
      <c r="AA123" s="531"/>
      <c r="AB123" s="531"/>
      <c r="AC123" s="531"/>
      <c r="AD123" s="531"/>
      <c r="AE123" s="531"/>
      <c r="AF123" s="531"/>
      <c r="AG123" s="531"/>
      <c r="AH123" s="531"/>
      <c r="AI123" s="531"/>
      <c r="AJ123" s="531"/>
      <c r="AK123" s="531"/>
      <c r="AL123" s="531"/>
      <c r="AM123" s="531"/>
      <c r="AN123" s="531"/>
    </row>
    <row r="124" customFormat="false" ht="16.5" hidden="false" customHeight="true" outlineLevel="0" collapsed="false">
      <c r="A124" s="531"/>
      <c r="B124" s="531"/>
      <c r="C124" s="531"/>
      <c r="D124" s="531"/>
      <c r="E124" s="531"/>
      <c r="F124" s="531"/>
      <c r="G124" s="531"/>
      <c r="H124" s="531"/>
      <c r="I124" s="531"/>
      <c r="J124" s="531"/>
      <c r="K124" s="531"/>
      <c r="L124" s="531"/>
      <c r="M124" s="531"/>
      <c r="N124" s="547" t="n">
        <f aca="false">IF('(1)예금승인내역'!H750="","",'(1)예금승인내역'!H750)</f>
        <v>45644</v>
      </c>
      <c r="O124" s="547" t="n">
        <f aca="false">IF('(1)예금승인내역'!G750="","",'(1)예금승인내역'!G750)</f>
        <v>45637</v>
      </c>
      <c r="P124" s="531" t="str">
        <f aca="false">IF('(1)예금승인내역'!F750="","",'(1)예금승인내역'!F750)</f>
        <v>㈜ 일지테크</v>
      </c>
      <c r="Q124" s="531" t="str">
        <f aca="false">IF('(1)예금승인내역'!C750="","",'(1)예금승인내역'!C750)</f>
        <v>경산공단영업부</v>
      </c>
      <c r="R124" s="531" t="str">
        <f aca="false">IF('(1)예금승인내역'!K750="","",'(1)예금승인내역'!K750)</f>
        <v>정기예금</v>
      </c>
      <c r="S124" s="548" t="n">
        <f aca="false">IF('(1)예금승인내역'!L750="","",'(1)예금승인내역'!L750)</f>
        <v>14.9</v>
      </c>
      <c r="T124" s="549" t="n">
        <f aca="false">IF('(1)예금승인내역'!AG750="","",'(1)예금승인내역'!AG750)</f>
        <v>0.0405</v>
      </c>
      <c r="U124" s="549" t="n">
        <f aca="false">IF('(1)예금승인내역'!X750="","",'(1)예금승인내역'!X750)</f>
        <v>0.003869</v>
      </c>
      <c r="V124" s="531" t="n">
        <f aca="false">IF(ISNUMBER(N124),N124-$B$2,"")</f>
        <v>-545</v>
      </c>
      <c r="W124" s="531" t="str">
        <f aca="false">IF(AND(ISNUMBER(N124),N124&gt;=$B$2,N124&lt;=$B$2+10),N124*100000+ROW(),"")</f>
        <v/>
      </c>
      <c r="X124" s="531"/>
      <c r="Y124" s="531"/>
      <c r="Z124" s="531"/>
      <c r="AA124" s="531"/>
      <c r="AB124" s="531"/>
      <c r="AC124" s="531"/>
      <c r="AD124" s="531"/>
      <c r="AE124" s="531"/>
      <c r="AF124" s="531"/>
      <c r="AG124" s="531"/>
      <c r="AH124" s="531"/>
      <c r="AI124" s="531"/>
      <c r="AJ124" s="531"/>
      <c r="AK124" s="531"/>
      <c r="AL124" s="531"/>
      <c r="AM124" s="531"/>
      <c r="AN124" s="531"/>
    </row>
    <row r="125" customFormat="false" ht="16.5" hidden="false" customHeight="true" outlineLevel="0" collapsed="false">
      <c r="A125" s="531"/>
      <c r="B125" s="531"/>
      <c r="C125" s="531"/>
      <c r="D125" s="531"/>
      <c r="E125" s="531"/>
      <c r="F125" s="531"/>
      <c r="G125" s="531"/>
      <c r="H125" s="531"/>
      <c r="I125" s="531"/>
      <c r="J125" s="531"/>
      <c r="K125" s="531"/>
      <c r="L125" s="531"/>
      <c r="M125" s="531"/>
      <c r="N125" s="547" t="n">
        <f aca="false">IF('(1)예금승인내역'!H751="","",'(1)예금승인내역'!H751)</f>
        <v>45670</v>
      </c>
      <c r="O125" s="547" t="n">
        <f aca="false">IF('(1)예금승인내역'!G751="","",'(1)예금승인내역'!G751)</f>
        <v>45638</v>
      </c>
      <c r="P125" s="531" t="str">
        <f aca="false">IF('(1)예금승인내역'!F751="","",'(1)예금승인내역'!F751)</f>
        <v>오스템임플란트㈜</v>
      </c>
      <c r="Q125" s="531" t="str">
        <f aca="false">IF('(1)예금승인내역'!C751="","",'(1)예금승인내역'!C751)</f>
        <v>성남금융센터</v>
      </c>
      <c r="R125" s="531" t="str">
        <f aca="false">IF('(1)예금승인내역'!K751="","",'(1)예금승인내역'!K751)</f>
        <v>MMDA</v>
      </c>
      <c r="S125" s="548" t="n">
        <f aca="false">IF('(1)예금승인내역'!L751="","",'(1)예금승인내역'!L751)</f>
        <v>5.6</v>
      </c>
      <c r="T125" s="549" t="n">
        <f aca="false">IF('(1)예금승인내역'!AG751="","",'(1)예금승인내역'!AG751)</f>
        <v>0.0395</v>
      </c>
      <c r="U125" s="549" t="n">
        <f aca="false">IF('(1)예금승인내역'!X751="","",'(1)예금승인내역'!X751)</f>
        <v>0.002926</v>
      </c>
      <c r="V125" s="531" t="n">
        <f aca="false">IF(ISNUMBER(N125),N125-$B$2,"")</f>
        <v>-519</v>
      </c>
      <c r="W125" s="531" t="str">
        <f aca="false">IF(AND(ISNUMBER(N125),N125&gt;=$B$2,N125&lt;=$B$2+10),N125*100000+ROW(),"")</f>
        <v/>
      </c>
      <c r="X125" s="531"/>
      <c r="Y125" s="531"/>
      <c r="Z125" s="531"/>
      <c r="AA125" s="531"/>
      <c r="AB125" s="531"/>
      <c r="AC125" s="531"/>
      <c r="AD125" s="531"/>
      <c r="AE125" s="531"/>
      <c r="AF125" s="531"/>
      <c r="AG125" s="531"/>
      <c r="AH125" s="531"/>
      <c r="AI125" s="531"/>
      <c r="AJ125" s="531"/>
      <c r="AK125" s="531"/>
      <c r="AL125" s="531"/>
      <c r="AM125" s="531"/>
      <c r="AN125" s="531"/>
    </row>
    <row r="126" customFormat="false" ht="16.5" hidden="false" customHeight="true" outlineLevel="0" collapsed="false">
      <c r="A126" s="531"/>
      <c r="B126" s="531"/>
      <c r="C126" s="531"/>
      <c r="D126" s="531"/>
      <c r="E126" s="531"/>
      <c r="F126" s="531"/>
      <c r="G126" s="531"/>
      <c r="H126" s="531"/>
      <c r="I126" s="531"/>
      <c r="J126" s="531"/>
      <c r="K126" s="531"/>
      <c r="L126" s="531"/>
      <c r="M126" s="531"/>
      <c r="N126" s="547" t="n">
        <f aca="false">IF('(1)예금승인내역'!H752="","",'(1)예금승인내역'!H752)</f>
        <v>45652</v>
      </c>
      <c r="O126" s="547" t="n">
        <f aca="false">IF('(1)예금승인내역'!G752="","",'(1)예금승인내역'!G752)</f>
        <v>45644</v>
      </c>
      <c r="P126" s="531" t="str">
        <f aca="false">IF('(1)예금승인내역'!F752="","",'(1)예금승인내역'!F752)</f>
        <v>㈜ 일지테크</v>
      </c>
      <c r="Q126" s="531" t="str">
        <f aca="false">IF('(1)예금승인내역'!C752="","",'(1)예금승인내역'!C752)</f>
        <v>경산공단영업부</v>
      </c>
      <c r="R126" s="531" t="str">
        <f aca="false">IF('(1)예금승인내역'!K752="","",'(1)예금승인내역'!K752)</f>
        <v>정기예금</v>
      </c>
      <c r="S126" s="548" t="n">
        <f aca="false">IF('(1)예금승인내역'!L752="","",'(1)예금승인내역'!L752)</f>
        <v>14.9</v>
      </c>
      <c r="T126" s="549" t="n">
        <f aca="false">IF('(1)예금승인내역'!AG752="","",'(1)예금승인내역'!AG752)</f>
        <v>0.0405</v>
      </c>
      <c r="U126" s="549" t="n">
        <f aca="false">IF('(1)예금승인내역'!X752="","",'(1)예금승인내역'!X752)</f>
        <v>0.00172</v>
      </c>
      <c r="V126" s="531" t="n">
        <f aca="false">IF(ISNUMBER(N126),N126-$B$2,"")</f>
        <v>-537</v>
      </c>
      <c r="W126" s="531" t="str">
        <f aca="false">IF(AND(ISNUMBER(N126),N126&gt;=$B$2,N126&lt;=$B$2+10),N126*100000+ROW(),"")</f>
        <v/>
      </c>
      <c r="X126" s="531"/>
      <c r="Y126" s="531"/>
      <c r="Z126" s="531"/>
      <c r="AA126" s="531"/>
      <c r="AB126" s="531"/>
      <c r="AC126" s="531"/>
      <c r="AD126" s="531"/>
      <c r="AE126" s="531"/>
      <c r="AF126" s="531"/>
      <c r="AG126" s="531"/>
      <c r="AH126" s="531"/>
      <c r="AI126" s="531"/>
      <c r="AJ126" s="531"/>
      <c r="AK126" s="531"/>
      <c r="AL126" s="531"/>
      <c r="AM126" s="531"/>
      <c r="AN126" s="531"/>
    </row>
    <row r="127" customFormat="false" ht="16.5" hidden="false" customHeight="true" outlineLevel="0" collapsed="false">
      <c r="A127" s="531"/>
      <c r="B127" s="531"/>
      <c r="C127" s="531"/>
      <c r="D127" s="531"/>
      <c r="E127" s="531"/>
      <c r="F127" s="531"/>
      <c r="G127" s="531"/>
      <c r="H127" s="531"/>
      <c r="I127" s="531"/>
      <c r="J127" s="531"/>
      <c r="K127" s="531"/>
      <c r="L127" s="531"/>
      <c r="M127" s="531"/>
      <c r="N127" s="547" t="n">
        <f aca="false">IF('(1)예금승인내역'!H753="","",'(1)예금승인내역'!H753)</f>
        <v>45677</v>
      </c>
      <c r="O127" s="547" t="n">
        <f aca="false">IF('(1)예금승인내역'!G753="","",'(1)예금승인내역'!G753)</f>
        <v>45646</v>
      </c>
      <c r="P127" s="531" t="str">
        <f aca="false">IF('(1)예금승인내역'!F753="","",'(1)예금승인내역'!F753)</f>
        <v>㈜에스앤에스텍</v>
      </c>
      <c r="Q127" s="531" t="str">
        <f aca="false">IF('(1)예금승인내역'!C753="","",'(1)예금승인내역'!C753)</f>
        <v>성서3단지영업부</v>
      </c>
      <c r="R127" s="531" t="str">
        <f aca="false">IF('(1)예금승인내역'!K753="","",'(1)예금승인내역'!K753)</f>
        <v>정기예금</v>
      </c>
      <c r="S127" s="548" t="n">
        <f aca="false">IF('(1)예금승인내역'!L753="","",'(1)예금승인내역'!L753)</f>
        <v>1</v>
      </c>
      <c r="T127" s="549" t="n">
        <f aca="false">IF('(1)예금승인내역'!AG753="","",'(1)예금승인내역'!AG753)</f>
        <v>0.0415</v>
      </c>
      <c r="U127" s="549" t="n">
        <f aca="false">IF('(1)예금승인내역'!X753="","",'(1)예금승인내역'!X753)</f>
        <v>0.00172</v>
      </c>
      <c r="V127" s="531" t="n">
        <f aca="false">IF(ISNUMBER(N127),N127-$B$2,"")</f>
        <v>-512</v>
      </c>
      <c r="W127" s="531" t="str">
        <f aca="false">IF(AND(ISNUMBER(N127),N127&gt;=$B$2,N127&lt;=$B$2+10),N127*100000+ROW(),"")</f>
        <v/>
      </c>
      <c r="X127" s="531"/>
      <c r="Y127" s="531"/>
      <c r="Z127" s="531"/>
      <c r="AA127" s="531"/>
      <c r="AB127" s="531"/>
      <c r="AC127" s="531"/>
      <c r="AD127" s="531"/>
      <c r="AE127" s="531"/>
      <c r="AF127" s="531"/>
      <c r="AG127" s="531"/>
      <c r="AH127" s="531"/>
      <c r="AI127" s="531"/>
      <c r="AJ127" s="531"/>
      <c r="AK127" s="531"/>
      <c r="AL127" s="531"/>
      <c r="AM127" s="531"/>
      <c r="AN127" s="531"/>
    </row>
    <row r="128" customFormat="false" ht="16.5" hidden="false" customHeight="true" outlineLevel="0" collapsed="false">
      <c r="A128" s="531"/>
      <c r="B128" s="531"/>
      <c r="C128" s="531"/>
      <c r="D128" s="531"/>
      <c r="E128" s="531"/>
      <c r="F128" s="531"/>
      <c r="G128" s="531"/>
      <c r="H128" s="531"/>
      <c r="I128" s="531"/>
      <c r="J128" s="531"/>
      <c r="K128" s="531"/>
      <c r="L128" s="531"/>
      <c r="M128" s="531"/>
      <c r="N128" s="547" t="n">
        <f aca="false">IF('(1)예금승인내역'!H754="","",'(1)예금승인내역'!H754)</f>
        <v>45680</v>
      </c>
      <c r="O128" s="547" t="n">
        <f aca="false">IF('(1)예금승인내역'!G754="","",'(1)예금승인내역'!G754)</f>
        <v>45650</v>
      </c>
      <c r="P128" s="531" t="str">
        <f aca="false">IF('(1)예금승인내역'!F754="","",'(1)예금승인내역'!F754)</f>
        <v>㈜약진통상</v>
      </c>
      <c r="Q128" s="531" t="str">
        <f aca="false">IF('(1)예금승인내역'!C754="","",'(1)예금승인내역'!C754)</f>
        <v>반월공단지점</v>
      </c>
      <c r="R128" s="531" t="str">
        <f aca="false">IF('(1)예금승인내역'!K754="","",'(1)예금승인내역'!K754)</f>
        <v>MMDA</v>
      </c>
      <c r="S128" s="548" t="n">
        <f aca="false">IF('(1)예금승인내역'!L754="","",'(1)예금승인내역'!L754)</f>
        <v>10</v>
      </c>
      <c r="T128" s="549" t="n">
        <f aca="false">IF('(1)예금승인내역'!AG754="","",'(1)예금승인내역'!AG754)</f>
        <v>0.0386</v>
      </c>
      <c r="U128" s="549" t="n">
        <f aca="false">IF('(1)예금승인내역'!X754="","",'(1)예금승인내역'!X754)</f>
        <v>0.00172</v>
      </c>
      <c r="V128" s="531" t="n">
        <f aca="false">IF(ISNUMBER(N128),N128-$B$2,"")</f>
        <v>-509</v>
      </c>
      <c r="W128" s="531" t="str">
        <f aca="false">IF(AND(ISNUMBER(N128),N128&gt;=$B$2,N128&lt;=$B$2+10),N128*100000+ROW(),"")</f>
        <v/>
      </c>
      <c r="X128" s="531"/>
      <c r="Y128" s="531"/>
      <c r="Z128" s="531"/>
      <c r="AA128" s="531"/>
      <c r="AB128" s="531"/>
      <c r="AC128" s="531"/>
      <c r="AD128" s="531"/>
      <c r="AE128" s="531"/>
      <c r="AF128" s="531"/>
      <c r="AG128" s="531"/>
      <c r="AH128" s="531"/>
      <c r="AI128" s="531"/>
      <c r="AJ128" s="531"/>
      <c r="AK128" s="531"/>
      <c r="AL128" s="531"/>
      <c r="AM128" s="531"/>
      <c r="AN128" s="531"/>
    </row>
    <row r="129" customFormat="false" ht="16.5" hidden="false" customHeight="true" outlineLevel="0" collapsed="false">
      <c r="A129" s="531"/>
      <c r="B129" s="531"/>
      <c r="C129" s="531"/>
      <c r="D129" s="531"/>
      <c r="E129" s="531"/>
      <c r="F129" s="531"/>
      <c r="G129" s="531"/>
      <c r="H129" s="531"/>
      <c r="I129" s="531"/>
      <c r="J129" s="531"/>
      <c r="K129" s="531"/>
      <c r="L129" s="531"/>
      <c r="M129" s="531"/>
      <c r="N129" s="547" t="n">
        <f aca="false">IF('(1)예금승인내역'!H755="","",'(1)예금승인내역'!H755)</f>
        <v>45660</v>
      </c>
      <c r="O129" s="547" t="n">
        <f aca="false">IF('(1)예금승인내역'!G755="","",'(1)예금승인내역'!G755)</f>
        <v>45652</v>
      </c>
      <c r="P129" s="531" t="str">
        <f aca="false">IF('(1)예금승인내역'!F755="","",'(1)예금승인내역'!F755)</f>
        <v>㈜ 일지테크</v>
      </c>
      <c r="Q129" s="531" t="str">
        <f aca="false">IF('(1)예금승인내역'!C755="","",'(1)예금승인내역'!C755)</f>
        <v>경산공단영업부</v>
      </c>
      <c r="R129" s="531" t="str">
        <f aca="false">IF('(1)예금승인내역'!K755="","",'(1)예금승인내역'!K755)</f>
        <v>정기예금</v>
      </c>
      <c r="S129" s="548" t="n">
        <f aca="false">IF('(1)예금승인내역'!L755="","",'(1)예금승인내역'!L755)</f>
        <v>14.9</v>
      </c>
      <c r="T129" s="549" t="n">
        <f aca="false">IF('(1)예금승인내역'!AG755="","",'(1)예금승인내역'!AG755)</f>
        <v>0.039</v>
      </c>
      <c r="U129" s="549" t="n">
        <f aca="false">IF('(1)예금승인내역'!X755="","",'(1)예금승인내역'!X755)</f>
        <v>0.00172</v>
      </c>
      <c r="V129" s="531" t="n">
        <f aca="false">IF(ISNUMBER(N129),N129-$B$2,"")</f>
        <v>-529</v>
      </c>
      <c r="W129" s="531" t="str">
        <f aca="false">IF(AND(ISNUMBER(N129),N129&gt;=$B$2,N129&lt;=$B$2+10),N129*100000+ROW(),"")</f>
        <v/>
      </c>
      <c r="X129" s="531"/>
      <c r="Y129" s="531"/>
      <c r="Z129" s="531"/>
      <c r="AA129" s="531"/>
      <c r="AB129" s="531"/>
      <c r="AC129" s="531"/>
      <c r="AD129" s="531"/>
      <c r="AE129" s="531"/>
      <c r="AF129" s="531"/>
      <c r="AG129" s="531"/>
      <c r="AH129" s="531"/>
      <c r="AI129" s="531"/>
      <c r="AJ129" s="531"/>
      <c r="AK129" s="531"/>
      <c r="AL129" s="531"/>
      <c r="AM129" s="531"/>
      <c r="AN129" s="531"/>
    </row>
    <row r="130" customFormat="false" ht="16.5" hidden="false" customHeight="true" outlineLevel="0" collapsed="false">
      <c r="A130" s="531"/>
      <c r="B130" s="531"/>
      <c r="C130" s="531"/>
      <c r="D130" s="531"/>
      <c r="E130" s="531"/>
      <c r="F130" s="531"/>
      <c r="G130" s="531"/>
      <c r="H130" s="531"/>
      <c r="I130" s="531"/>
      <c r="J130" s="531"/>
      <c r="K130" s="531"/>
      <c r="L130" s="531"/>
      <c r="M130" s="531"/>
      <c r="N130" s="547" t="n">
        <f aca="false">IF('(1)예금승인내역'!H756="","",'(1)예금승인내역'!H756)</f>
        <v>45684</v>
      </c>
      <c r="O130" s="547" t="n">
        <f aca="false">IF('(1)예금승인내역'!G756="","",'(1)예금승인내역'!G756)</f>
        <v>45653</v>
      </c>
      <c r="P130" s="531" t="str">
        <f aca="false">IF('(1)예금승인내역'!F756="","",'(1)예금승인내역'!F756)</f>
        <v>㈜ 문영</v>
      </c>
      <c r="Q130" s="531" t="str">
        <f aca="false">IF('(1)예금승인내역'!C756="","",'(1)예금승인내역'!C756)</f>
        <v>사상공단영업부</v>
      </c>
      <c r="R130" s="531" t="str">
        <f aca="false">IF('(1)예금승인내역'!K756="","",'(1)예금승인내역'!K756)</f>
        <v>MMDA</v>
      </c>
      <c r="S130" s="548" t="n">
        <f aca="false">IF('(1)예금승인내역'!L756="","",'(1)예금승인내역'!L756)</f>
        <v>4.5</v>
      </c>
      <c r="T130" s="549" t="n">
        <f aca="false">IF('(1)예금승인내역'!AG756="","",'(1)예금승인내역'!AG756)</f>
        <v>0.036</v>
      </c>
      <c r="U130" s="549" t="n">
        <f aca="false">IF('(1)예금승인내역'!X756="","",'(1)예금승인내역'!X756)</f>
        <v>0.005605</v>
      </c>
      <c r="V130" s="531" t="n">
        <f aca="false">IF(ISNUMBER(N130),N130-$B$2,"")</f>
        <v>-505</v>
      </c>
      <c r="W130" s="531" t="str">
        <f aca="false">IF(AND(ISNUMBER(N130),N130&gt;=$B$2,N130&lt;=$B$2+10),N130*100000+ROW(),"")</f>
        <v/>
      </c>
      <c r="X130" s="531"/>
      <c r="Y130" s="531"/>
      <c r="Z130" s="531"/>
      <c r="AA130" s="531"/>
      <c r="AB130" s="531"/>
      <c r="AC130" s="531"/>
      <c r="AD130" s="531"/>
      <c r="AE130" s="531"/>
      <c r="AF130" s="531"/>
      <c r="AG130" s="531"/>
      <c r="AH130" s="531"/>
      <c r="AI130" s="531"/>
      <c r="AJ130" s="531"/>
      <c r="AK130" s="531"/>
      <c r="AL130" s="531"/>
      <c r="AM130" s="531"/>
      <c r="AN130" s="531"/>
    </row>
    <row r="131" customFormat="false" ht="16.5" hidden="false" customHeight="true" outlineLevel="0" collapsed="false">
      <c r="A131" s="531"/>
      <c r="B131" s="531"/>
      <c r="C131" s="531"/>
      <c r="D131" s="531"/>
      <c r="E131" s="531"/>
      <c r="F131" s="531"/>
      <c r="G131" s="531"/>
      <c r="H131" s="531"/>
      <c r="I131" s="531"/>
      <c r="J131" s="531"/>
      <c r="K131" s="531"/>
      <c r="L131" s="531"/>
      <c r="M131" s="531"/>
      <c r="N131" s="547" t="n">
        <f aca="false">IF('(1)예금승인내역'!H757="","",'(1)예금승인내역'!H757)</f>
        <v>46024</v>
      </c>
      <c r="O131" s="547" t="n">
        <f aca="false">IF('(1)예금승인내역'!G757="","",'(1)예금승인내역'!G757)</f>
        <v>45659</v>
      </c>
      <c r="P131" s="531" t="str">
        <f aca="false">IF('(1)예금승인내역'!F757="","",'(1)예금승인내역'!F757)</f>
        <v>윤만수</v>
      </c>
      <c r="Q131" s="531" t="str">
        <f aca="false">IF('(1)예금승인내역'!C757="","",'(1)예금승인내역'!C757)</f>
        <v>경산공단영업부</v>
      </c>
      <c r="R131" s="531" t="str">
        <f aca="false">IF('(1)예금승인내역'!K757="","",'(1)예금승인내역'!K757)</f>
        <v>정기예금</v>
      </c>
      <c r="S131" s="548" t="n">
        <f aca="false">IF('(1)예금승인내역'!L757="","",'(1)예금승인내역'!L757)</f>
        <v>1.064603</v>
      </c>
      <c r="T131" s="549" t="n">
        <f aca="false">IF('(1)예금승인내역'!AG757="","",'(1)예금승인내역'!AG757)</f>
        <v>0.042</v>
      </c>
      <c r="U131" s="549" t="n">
        <f aca="false">IF('(1)예금승인내역'!X757="","",'(1)예금승인내역'!X757)</f>
        <v>0.004857</v>
      </c>
      <c r="V131" s="531" t="n">
        <f aca="false">IF(ISNUMBER(N131),N131-$B$2,"")</f>
        <v>-165</v>
      </c>
      <c r="W131" s="531" t="str">
        <f aca="false">IF(AND(ISNUMBER(N131),N131&gt;=$B$2,N131&lt;=$B$2+10),N131*100000+ROW(),"")</f>
        <v/>
      </c>
      <c r="X131" s="531"/>
      <c r="Y131" s="531"/>
      <c r="Z131" s="531"/>
      <c r="AA131" s="531"/>
      <c r="AB131" s="531"/>
      <c r="AC131" s="531"/>
      <c r="AD131" s="531"/>
      <c r="AE131" s="531"/>
      <c r="AF131" s="531"/>
      <c r="AG131" s="531"/>
      <c r="AH131" s="531"/>
      <c r="AI131" s="531"/>
      <c r="AJ131" s="531"/>
      <c r="AK131" s="531"/>
      <c r="AL131" s="531"/>
      <c r="AM131" s="531"/>
      <c r="AN131" s="531"/>
    </row>
    <row r="132" customFormat="false" ht="16.5" hidden="false" customHeight="true" outlineLevel="0" collapsed="false">
      <c r="A132" s="531"/>
      <c r="B132" s="531"/>
      <c r="C132" s="531"/>
      <c r="D132" s="531"/>
      <c r="E132" s="531"/>
      <c r="F132" s="531"/>
      <c r="G132" s="531"/>
      <c r="H132" s="531"/>
      <c r="I132" s="531"/>
      <c r="J132" s="531"/>
      <c r="K132" s="531"/>
      <c r="L132" s="531"/>
      <c r="M132" s="531"/>
      <c r="N132" s="547" t="n">
        <f aca="false">IF('(1)예금승인내역'!H758="","",'(1)예금승인내역'!H758)</f>
        <v>45691</v>
      </c>
      <c r="O132" s="547" t="n">
        <f aca="false">IF('(1)예금승인내역'!G758="","",'(1)예금승인내역'!G758)</f>
        <v>45660</v>
      </c>
      <c r="P132" s="531" t="str">
        <f aca="false">IF('(1)예금승인내역'!F758="","",'(1)예금승인내역'!F758)</f>
        <v>㈜ 한국비엔씨</v>
      </c>
      <c r="Q132" s="531" t="str">
        <f aca="false">IF('(1)예금승인내역'!C758="","",'(1)예금승인내역'!C758)</f>
        <v>유통단지영업부</v>
      </c>
      <c r="R132" s="531" t="str">
        <f aca="false">IF('(1)예금승인내역'!K758="","",'(1)예금승인내역'!K758)</f>
        <v>MMDA</v>
      </c>
      <c r="S132" s="548" t="n">
        <f aca="false">IF('(1)예금승인내역'!L758="","",'(1)예금승인내역'!L758)</f>
        <v>4.012</v>
      </c>
      <c r="T132" s="549" t="n">
        <f aca="false">IF('(1)예금승인내역'!AG758="","",'(1)예금승인내역'!AG758)</f>
        <v>0.038</v>
      </c>
      <c r="U132" s="549" t="n">
        <f aca="false">IF('(1)예금승인내역'!X758="","",'(1)예금승인내역'!X758)</f>
        <v>0.003943</v>
      </c>
      <c r="V132" s="531" t="n">
        <f aca="false">IF(ISNUMBER(N132),N132-$B$2,"")</f>
        <v>-498</v>
      </c>
      <c r="W132" s="531" t="str">
        <f aca="false">IF(AND(ISNUMBER(N132),N132&gt;=$B$2,N132&lt;=$B$2+10),N132*100000+ROW(),"")</f>
        <v/>
      </c>
      <c r="X132" s="531"/>
      <c r="Y132" s="531"/>
      <c r="Z132" s="531"/>
      <c r="AA132" s="531"/>
      <c r="AB132" s="531"/>
      <c r="AC132" s="531"/>
      <c r="AD132" s="531"/>
      <c r="AE132" s="531"/>
      <c r="AF132" s="531"/>
      <c r="AG132" s="531"/>
      <c r="AH132" s="531"/>
      <c r="AI132" s="531"/>
      <c r="AJ132" s="531"/>
      <c r="AK132" s="531"/>
      <c r="AL132" s="531"/>
      <c r="AM132" s="531"/>
      <c r="AN132" s="531"/>
    </row>
    <row r="133" customFormat="false" ht="16.5" hidden="false" customHeight="true" outlineLevel="0" collapsed="false">
      <c r="A133" s="531"/>
      <c r="B133" s="531"/>
      <c r="C133" s="531"/>
      <c r="D133" s="531"/>
      <c r="E133" s="531"/>
      <c r="F133" s="531"/>
      <c r="G133" s="531"/>
      <c r="H133" s="531"/>
      <c r="I133" s="531"/>
      <c r="J133" s="531"/>
      <c r="K133" s="531"/>
      <c r="L133" s="531"/>
      <c r="M133" s="531"/>
      <c r="N133" s="547" t="n">
        <f aca="false">IF('(1)예금승인내역'!H759="","",'(1)예금승인내역'!H759)</f>
        <v>45667</v>
      </c>
      <c r="O133" s="547" t="n">
        <f aca="false">IF('(1)예금승인내역'!G759="","",'(1)예금승인내역'!G759)</f>
        <v>45660</v>
      </c>
      <c r="P133" s="531" t="str">
        <f aca="false">IF('(1)예금승인내역'!F759="","",'(1)예금승인내역'!F759)</f>
        <v>㈜ 일지테크</v>
      </c>
      <c r="Q133" s="531" t="str">
        <f aca="false">IF('(1)예금승인내역'!C759="","",'(1)예금승인내역'!C759)</f>
        <v>경산공단영업부</v>
      </c>
      <c r="R133" s="531" t="str">
        <f aca="false">IF('(1)예금승인내역'!K759="","",'(1)예금승인내역'!K759)</f>
        <v>정기예금</v>
      </c>
      <c r="S133" s="548" t="n">
        <f aca="false">IF('(1)예금승인내역'!L759="","",'(1)예금승인내역'!L759)</f>
        <v>14.9</v>
      </c>
      <c r="T133" s="549" t="n">
        <f aca="false">IF('(1)예금승인내역'!AG759="","",'(1)예금승인내역'!AG759)</f>
        <v>0.039</v>
      </c>
      <c r="U133" s="549" t="n">
        <f aca="false">IF('(1)예금승인내역'!X759="","",'(1)예금승인내역'!X759)</f>
        <v>0.003783</v>
      </c>
      <c r="V133" s="531" t="n">
        <f aca="false">IF(ISNUMBER(N133),N133-$B$2,"")</f>
        <v>-522</v>
      </c>
      <c r="W133" s="531" t="str">
        <f aca="false">IF(AND(ISNUMBER(N133),N133&gt;=$B$2,N133&lt;=$B$2+10),N133*100000+ROW(),"")</f>
        <v/>
      </c>
      <c r="X133" s="531"/>
      <c r="Y133" s="531"/>
      <c r="Z133" s="531"/>
      <c r="AA133" s="531"/>
      <c r="AB133" s="531"/>
      <c r="AC133" s="531"/>
      <c r="AD133" s="531"/>
      <c r="AE133" s="531"/>
      <c r="AF133" s="531"/>
      <c r="AG133" s="531"/>
      <c r="AH133" s="531"/>
      <c r="AI133" s="531"/>
      <c r="AJ133" s="531"/>
      <c r="AK133" s="531"/>
      <c r="AL133" s="531"/>
      <c r="AM133" s="531"/>
      <c r="AN133" s="531"/>
    </row>
    <row r="134" customFormat="false" ht="16.5" hidden="false" customHeight="true" outlineLevel="0" collapsed="false">
      <c r="A134" s="531"/>
      <c r="B134" s="531"/>
      <c r="C134" s="531"/>
      <c r="D134" s="531"/>
      <c r="E134" s="531"/>
      <c r="F134" s="531"/>
      <c r="G134" s="531"/>
      <c r="H134" s="531"/>
      <c r="I134" s="531"/>
      <c r="J134" s="531"/>
      <c r="K134" s="531"/>
      <c r="L134" s="531"/>
      <c r="M134" s="531"/>
      <c r="N134" s="547" t="n">
        <f aca="false">IF('(1)예금승인내역'!H760="","",'(1)예금승인내역'!H760)</f>
        <v>45693</v>
      </c>
      <c r="O134" s="547" t="n">
        <f aca="false">IF('(1)예금승인내역'!G760="","",'(1)예금승인내역'!G760)</f>
        <v>45660</v>
      </c>
      <c r="P134" s="531" t="str">
        <f aca="false">IF('(1)예금승인내역'!F760="","",'(1)예금승인내역'!F760)</f>
        <v>에스엠상선㈜</v>
      </c>
      <c r="Q134" s="531" t="str">
        <f aca="false">IF('(1)예금승인내역'!C760="","",'(1)예금승인내역'!C760)</f>
        <v>강남영업부</v>
      </c>
      <c r="R134" s="531" t="str">
        <f aca="false">IF('(1)예금승인내역'!K760="","",'(1)예금승인내역'!K760)</f>
        <v>정기예금</v>
      </c>
      <c r="S134" s="548" t="n">
        <f aca="false">IF('(1)예금승인내역'!L760="","",'(1)예금승인내역'!L760)</f>
        <v>20</v>
      </c>
      <c r="T134" s="549" t="n">
        <f aca="false">IF('(1)예금승인내역'!AG760="","",'(1)예금승인내역'!AG760)</f>
        <v>0.0417</v>
      </c>
      <c r="U134" s="549" t="n">
        <f aca="false">IF('(1)예금승인내역'!X760="","",'(1)예금승인내역'!X760)</f>
        <v>0.00199</v>
      </c>
      <c r="V134" s="531" t="n">
        <f aca="false">IF(ISNUMBER(N134),N134-$B$2,"")</f>
        <v>-496</v>
      </c>
      <c r="W134" s="531" t="str">
        <f aca="false">IF(AND(ISNUMBER(N134),N134&gt;=$B$2,N134&lt;=$B$2+10),N134*100000+ROW(),"")</f>
        <v/>
      </c>
      <c r="X134" s="531"/>
      <c r="Y134" s="531"/>
      <c r="Z134" s="531"/>
      <c r="AA134" s="531"/>
      <c r="AB134" s="531"/>
      <c r="AC134" s="531"/>
      <c r="AD134" s="531"/>
      <c r="AE134" s="531"/>
      <c r="AF134" s="531"/>
      <c r="AG134" s="531"/>
      <c r="AH134" s="531"/>
      <c r="AI134" s="531"/>
      <c r="AJ134" s="531"/>
      <c r="AK134" s="531"/>
      <c r="AL134" s="531"/>
      <c r="AM134" s="531"/>
      <c r="AN134" s="531"/>
    </row>
    <row r="135" customFormat="false" ht="16.5" hidden="false" customHeight="true" outlineLevel="0" collapsed="false">
      <c r="A135" s="531"/>
      <c r="B135" s="531"/>
      <c r="C135" s="531"/>
      <c r="D135" s="531"/>
      <c r="E135" s="531"/>
      <c r="F135" s="531"/>
      <c r="G135" s="531"/>
      <c r="H135" s="531"/>
      <c r="I135" s="531"/>
      <c r="J135" s="531"/>
      <c r="K135" s="531"/>
      <c r="L135" s="531"/>
      <c r="M135" s="531"/>
      <c r="N135" s="547" t="n">
        <f aca="false">IF('(1)예금승인내역'!H761="","",'(1)예금승인내역'!H761)</f>
        <v>45694</v>
      </c>
      <c r="O135" s="547" t="n">
        <f aca="false">IF('(1)예금승인내역'!G761="","",'(1)예금승인내역'!G761)</f>
        <v>45663</v>
      </c>
      <c r="P135" s="531" t="str">
        <f aca="false">IF('(1)예금승인내역'!F761="","",'(1)예금승인내역'!F761)</f>
        <v>㈜이수스페셜티케미컬</v>
      </c>
      <c r="Q135" s="531" t="str">
        <f aca="false">IF('(1)예금승인내역'!C761="","",'(1)예금승인내역'!C761)</f>
        <v>성남영업부</v>
      </c>
      <c r="R135" s="531" t="str">
        <f aca="false">IF('(1)예금승인내역'!K761="","",'(1)예금승인내역'!K761)</f>
        <v>MMDA</v>
      </c>
      <c r="S135" s="548" t="n">
        <f aca="false">IF('(1)예금승인내역'!L761="","",'(1)예금승인내역'!L761)</f>
        <v>1.02</v>
      </c>
      <c r="T135" s="549" t="n">
        <f aca="false">IF('(1)예금승인내역'!AG761="","",'(1)예금승인내역'!AG761)</f>
        <v>0.038</v>
      </c>
      <c r="U135" s="549" t="n">
        <f aca="false">IF('(1)예금승인내역'!X761="","",'(1)예금승인내역'!X761)</f>
        <v>0.003869</v>
      </c>
      <c r="V135" s="531" t="n">
        <f aca="false">IF(ISNUMBER(N135),N135-$B$2,"")</f>
        <v>-495</v>
      </c>
      <c r="W135" s="531" t="str">
        <f aca="false">IF(AND(ISNUMBER(N135),N135&gt;=$B$2,N135&lt;=$B$2+10),N135*100000+ROW(),"")</f>
        <v/>
      </c>
      <c r="X135" s="531"/>
      <c r="Y135" s="531"/>
      <c r="Z135" s="531"/>
      <c r="AA135" s="531"/>
      <c r="AB135" s="531"/>
      <c r="AC135" s="531"/>
      <c r="AD135" s="531"/>
      <c r="AE135" s="531"/>
      <c r="AF135" s="531"/>
      <c r="AG135" s="531"/>
      <c r="AH135" s="531"/>
      <c r="AI135" s="531"/>
      <c r="AJ135" s="531"/>
      <c r="AK135" s="531"/>
      <c r="AL135" s="531"/>
      <c r="AM135" s="531"/>
      <c r="AN135" s="531"/>
    </row>
    <row r="136" customFormat="false" ht="16.5" hidden="false" customHeight="true" outlineLevel="0" collapsed="false">
      <c r="A136" s="531"/>
      <c r="B136" s="531"/>
      <c r="C136" s="531"/>
      <c r="D136" s="531"/>
      <c r="E136" s="531"/>
      <c r="F136" s="531"/>
      <c r="G136" s="531"/>
      <c r="H136" s="531"/>
      <c r="I136" s="531"/>
      <c r="J136" s="531"/>
      <c r="K136" s="531"/>
      <c r="L136" s="531"/>
      <c r="M136" s="531"/>
      <c r="N136" s="547" t="n">
        <f aca="false">IF('(1)예금승인내역'!H762="","",'(1)예금승인내역'!H762)</f>
        <v>45694</v>
      </c>
      <c r="O136" s="547" t="n">
        <f aca="false">IF('(1)예금승인내역'!G762="","",'(1)예금승인내역'!G762)</f>
        <v>45663</v>
      </c>
      <c r="P136" s="531" t="str">
        <f aca="false">IF('(1)예금승인내역'!F762="","",'(1)예금승인내역'!F762)</f>
        <v>케이씨에이치에너지㈜</v>
      </c>
      <c r="Q136" s="531" t="str">
        <f aca="false">IF('(1)예금승인내역'!C762="","",'(1)예금승인내역'!C762)</f>
        <v>강남영업부</v>
      </c>
      <c r="R136" s="531" t="str">
        <f aca="false">IF('(1)예금승인내역'!K762="","",'(1)예금승인내역'!K762)</f>
        <v>MMDA</v>
      </c>
      <c r="S136" s="548" t="n">
        <f aca="false">IF('(1)예금승인내역'!L762="","",'(1)예금승인내역'!L762)</f>
        <v>2.8</v>
      </c>
      <c r="T136" s="549" t="n">
        <f aca="false">IF('(1)예금승인내역'!AG762="","",'(1)예금승인내역'!AG762)</f>
        <v>0.038</v>
      </c>
      <c r="U136" s="549" t="n">
        <f aca="false">IF('(1)예금승인내역'!X762="","",'(1)예금승인내역'!X762)</f>
        <v>0.003869</v>
      </c>
      <c r="V136" s="531" t="n">
        <f aca="false">IF(ISNUMBER(N136),N136-$B$2,"")</f>
        <v>-495</v>
      </c>
      <c r="W136" s="531" t="str">
        <f aca="false">IF(AND(ISNUMBER(N136),N136&gt;=$B$2,N136&lt;=$B$2+10),N136*100000+ROW(),"")</f>
        <v/>
      </c>
      <c r="X136" s="531"/>
      <c r="Y136" s="531"/>
      <c r="Z136" s="531"/>
      <c r="AA136" s="531"/>
      <c r="AB136" s="531"/>
      <c r="AC136" s="531"/>
      <c r="AD136" s="531"/>
      <c r="AE136" s="531"/>
      <c r="AF136" s="531"/>
      <c r="AG136" s="531"/>
      <c r="AH136" s="531"/>
      <c r="AI136" s="531"/>
      <c r="AJ136" s="531"/>
      <c r="AK136" s="531"/>
      <c r="AL136" s="531"/>
      <c r="AM136" s="531"/>
      <c r="AN136" s="531"/>
    </row>
    <row r="137" customFormat="false" ht="16.5" hidden="false" customHeight="true" outlineLevel="0" collapsed="false">
      <c r="A137" s="531"/>
      <c r="B137" s="531"/>
      <c r="C137" s="531"/>
      <c r="D137" s="531"/>
      <c r="E137" s="531"/>
      <c r="F137" s="531"/>
      <c r="G137" s="531"/>
      <c r="H137" s="531"/>
      <c r="I137" s="531"/>
      <c r="J137" s="531"/>
      <c r="K137" s="531"/>
      <c r="L137" s="531"/>
      <c r="M137" s="531"/>
      <c r="N137" s="547" t="n">
        <f aca="false">IF('(1)예금승인내역'!H763="","",'(1)예금승인내역'!H763)</f>
        <v>45698</v>
      </c>
      <c r="O137" s="547" t="n">
        <f aca="false">IF('(1)예금승인내역'!G763="","",'(1)예금승인내역'!G763)</f>
        <v>45665</v>
      </c>
      <c r="P137" s="531" t="str">
        <f aca="false">IF('(1)예금승인내역'!F763="","",'(1)예금승인내역'!F763)</f>
        <v>대원지에스아이</v>
      </c>
      <c r="Q137" s="531" t="str">
        <f aca="false">IF('(1)예금승인내역'!C763="","",'(1)예금승인내역'!C763)</f>
        <v>유통단지영업부</v>
      </c>
      <c r="R137" s="531" t="str">
        <f aca="false">IF('(1)예금승인내역'!K763="","",'(1)예금승인내역'!K763)</f>
        <v>정기예금</v>
      </c>
      <c r="S137" s="548" t="n">
        <f aca="false">IF('(1)예금승인내역'!L763="","",'(1)예금승인내역'!L763)</f>
        <v>1.5</v>
      </c>
      <c r="T137" s="549" t="n">
        <f aca="false">IF('(1)예금승인내역'!AG763="","",'(1)예금승인내역'!AG763)</f>
        <v>0.041</v>
      </c>
      <c r="U137" s="549" t="n">
        <f aca="false">IF('(1)예금승인내역'!X763="","",'(1)예금승인내역'!X763)</f>
        <v>0.002347</v>
      </c>
      <c r="V137" s="531" t="n">
        <f aca="false">IF(ISNUMBER(N137),N137-$B$2,"")</f>
        <v>-491</v>
      </c>
      <c r="W137" s="531" t="str">
        <f aca="false">IF(AND(ISNUMBER(N137),N137&gt;=$B$2,N137&lt;=$B$2+10),N137*100000+ROW(),"")</f>
        <v/>
      </c>
      <c r="X137" s="531"/>
      <c r="Y137" s="531"/>
      <c r="Z137" s="531"/>
      <c r="AA137" s="531"/>
      <c r="AB137" s="531"/>
      <c r="AC137" s="531"/>
      <c r="AD137" s="531"/>
      <c r="AE137" s="531"/>
      <c r="AF137" s="531"/>
      <c r="AG137" s="531"/>
      <c r="AH137" s="531"/>
      <c r="AI137" s="531"/>
      <c r="AJ137" s="531"/>
      <c r="AK137" s="531"/>
      <c r="AL137" s="531"/>
      <c r="AM137" s="531"/>
      <c r="AN137" s="531"/>
    </row>
    <row r="138" customFormat="false" ht="16.5" hidden="false" customHeight="true" outlineLevel="0" collapsed="false">
      <c r="A138" s="531"/>
      <c r="B138" s="531"/>
      <c r="C138" s="531"/>
      <c r="D138" s="531"/>
      <c r="E138" s="531"/>
      <c r="F138" s="531"/>
      <c r="G138" s="531"/>
      <c r="H138" s="531"/>
      <c r="I138" s="531"/>
      <c r="J138" s="531"/>
      <c r="K138" s="531"/>
      <c r="L138" s="531"/>
      <c r="M138" s="531"/>
      <c r="N138" s="547" t="n">
        <f aca="false">IF('(1)예금승인내역'!H764="","",'(1)예금승인내역'!H764)</f>
        <v>45698</v>
      </c>
      <c r="O138" s="547" t="n">
        <f aca="false">IF('(1)예금승인내역'!G764="","",'(1)예금승인내역'!G764)</f>
        <v>45666</v>
      </c>
      <c r="P138" s="531" t="str">
        <f aca="false">IF('(1)예금승인내역'!F764="","",'(1)예금승인내역'!F764)</f>
        <v>한국비철㈜</v>
      </c>
      <c r="Q138" s="531" t="str">
        <f aca="false">IF('(1)예금승인내역'!C764="","",'(1)예금승인내역'!C764)</f>
        <v>달성공단영업부</v>
      </c>
      <c r="R138" s="531" t="str">
        <f aca="false">IF('(1)예금승인내역'!K764="","",'(1)예금승인내역'!K764)</f>
        <v>정기예금</v>
      </c>
      <c r="S138" s="548" t="n">
        <f aca="false">IF('(1)예금승인내역'!L764="","",'(1)예금승인내역'!L764)</f>
        <v>9</v>
      </c>
      <c r="T138" s="549" t="n">
        <f aca="false">IF('(1)예금승인내역'!AG764="","",'(1)예금승인내역'!AG764)</f>
        <v>0.0412</v>
      </c>
      <c r="U138" s="549" t="n">
        <f aca="false">IF('(1)예금승인내역'!X764="","",'(1)예금승인내역'!X764)</f>
        <v>0.002147</v>
      </c>
      <c r="V138" s="531" t="n">
        <f aca="false">IF(ISNUMBER(N138),N138-$B$2,"")</f>
        <v>-491</v>
      </c>
      <c r="W138" s="531" t="str">
        <f aca="false">IF(AND(ISNUMBER(N138),N138&gt;=$B$2,N138&lt;=$B$2+10),N138*100000+ROW(),"")</f>
        <v/>
      </c>
      <c r="X138" s="531"/>
      <c r="Y138" s="531"/>
      <c r="Z138" s="531"/>
      <c r="AA138" s="531"/>
      <c r="AB138" s="531"/>
      <c r="AC138" s="531"/>
      <c r="AD138" s="531"/>
      <c r="AE138" s="531"/>
      <c r="AF138" s="531"/>
      <c r="AG138" s="531"/>
      <c r="AH138" s="531"/>
      <c r="AI138" s="531"/>
      <c r="AJ138" s="531"/>
      <c r="AK138" s="531"/>
      <c r="AL138" s="531"/>
      <c r="AM138" s="531"/>
      <c r="AN138" s="531"/>
    </row>
    <row r="139" customFormat="false" ht="16.5" hidden="false" customHeight="true" outlineLevel="0" collapsed="false">
      <c r="A139" s="531"/>
      <c r="B139" s="531"/>
      <c r="C139" s="531"/>
      <c r="D139" s="531"/>
      <c r="E139" s="531"/>
      <c r="F139" s="531"/>
      <c r="G139" s="531"/>
      <c r="H139" s="531"/>
      <c r="I139" s="531"/>
      <c r="J139" s="531"/>
      <c r="K139" s="531"/>
      <c r="L139" s="531"/>
      <c r="M139" s="531"/>
      <c r="N139" s="547" t="n">
        <f aca="false">IF('(1)예금승인내역'!H765="","",'(1)예금승인내역'!H765)</f>
        <v>45698</v>
      </c>
      <c r="O139" s="547" t="n">
        <f aca="false">IF('(1)예금승인내역'!G765="","",'(1)예금승인내역'!G765)</f>
        <v>45666</v>
      </c>
      <c r="P139" s="531" t="str">
        <f aca="false">IF('(1)예금승인내역'!F765="","",'(1)예금승인내역'!F765)</f>
        <v>와이투솔루션</v>
      </c>
      <c r="Q139" s="531" t="str">
        <f aca="false">IF('(1)예금승인내역'!C765="","",'(1)예금승인내역'!C765)</f>
        <v>화성금융센터</v>
      </c>
      <c r="R139" s="531" t="str">
        <f aca="false">IF('(1)예금승인내역'!K765="","",'(1)예금승인내역'!K765)</f>
        <v>MMDA</v>
      </c>
      <c r="S139" s="548" t="n">
        <f aca="false">IF('(1)예금승인내역'!L765="","",'(1)예금승인내역'!L765)</f>
        <v>2.5</v>
      </c>
      <c r="T139" s="549" t="n">
        <f aca="false">IF('(1)예금승인내역'!AG765="","",'(1)예금승인내역'!AG765)</f>
        <v>0.038</v>
      </c>
      <c r="U139" s="549" t="n">
        <f aca="false">IF('(1)예금승인내역'!X765="","",'(1)예금승인내역'!X765)</f>
        <v>0.003689</v>
      </c>
      <c r="V139" s="531" t="n">
        <f aca="false">IF(ISNUMBER(N139),N139-$B$2,"")</f>
        <v>-491</v>
      </c>
      <c r="W139" s="531" t="str">
        <f aca="false">IF(AND(ISNUMBER(N139),N139&gt;=$B$2,N139&lt;=$B$2+10),N139*100000+ROW(),"")</f>
        <v/>
      </c>
      <c r="X139" s="531"/>
      <c r="Y139" s="531"/>
      <c r="Z139" s="531"/>
      <c r="AA139" s="531"/>
      <c r="AB139" s="531"/>
      <c r="AC139" s="531"/>
      <c r="AD139" s="531"/>
      <c r="AE139" s="531"/>
      <c r="AF139" s="531"/>
      <c r="AG139" s="531"/>
      <c r="AH139" s="531"/>
      <c r="AI139" s="531"/>
      <c r="AJ139" s="531"/>
      <c r="AK139" s="531"/>
      <c r="AL139" s="531"/>
      <c r="AM139" s="531"/>
      <c r="AN139" s="531"/>
    </row>
    <row r="140" customFormat="false" ht="16.5" hidden="false" customHeight="true" outlineLevel="0" collapsed="false">
      <c r="A140" s="531"/>
      <c r="B140" s="531"/>
      <c r="C140" s="531"/>
      <c r="D140" s="531"/>
      <c r="E140" s="531"/>
      <c r="F140" s="531"/>
      <c r="G140" s="531"/>
      <c r="H140" s="531"/>
      <c r="I140" s="531"/>
      <c r="J140" s="531"/>
      <c r="K140" s="531"/>
      <c r="L140" s="531"/>
      <c r="M140" s="531"/>
      <c r="N140" s="547" t="n">
        <f aca="false">IF('(1)예금승인내역'!H766="","",'(1)예금승인내역'!H766)</f>
        <v>46034</v>
      </c>
      <c r="O140" s="547" t="n">
        <f aca="false">IF('(1)예금승인내역'!G766="","",'(1)예금승인내역'!G766)</f>
        <v>45667</v>
      </c>
      <c r="P140" s="531" t="str">
        <f aca="false">IF('(1)예금승인내역'!F766="","",'(1)예금승인내역'!F766)</f>
        <v>㈜월성 </v>
      </c>
      <c r="Q140" s="531" t="str">
        <f aca="false">IF('(1)예금승인내역'!C766="","",'(1)예금승인내역'!C766)</f>
        <v>성서공단영업부</v>
      </c>
      <c r="R140" s="531" t="str">
        <f aca="false">IF('(1)예금승인내역'!K766="","",'(1)예금승인내역'!K766)</f>
        <v>외화예금 </v>
      </c>
      <c r="S140" s="548" t="n">
        <f aca="false">IF('(1)예금승인내역'!L766="","",'(1)예금승인내역'!L766)</f>
        <v>1.11</v>
      </c>
      <c r="T140" s="549" t="n">
        <f aca="false">IF('(1)예금승인내역'!AG766="","",'(1)예금승인내역'!AG766)</f>
        <v>0.042</v>
      </c>
      <c r="U140" s="549" t="n">
        <f aca="false">IF('(1)예금승인내역'!X766="","",'(1)예금승인내역'!X766)</f>
        <v>0.004885</v>
      </c>
      <c r="V140" s="531" t="n">
        <f aca="false">IF(ISNUMBER(N140),N140-$B$2,"")</f>
        <v>-155</v>
      </c>
      <c r="W140" s="531" t="str">
        <f aca="false">IF(AND(ISNUMBER(N140),N140&gt;=$B$2,N140&lt;=$B$2+10),N140*100000+ROW(),"")</f>
        <v/>
      </c>
      <c r="X140" s="531"/>
      <c r="Y140" s="531"/>
      <c r="Z140" s="531"/>
      <c r="AA140" s="531"/>
      <c r="AB140" s="531"/>
      <c r="AC140" s="531"/>
      <c r="AD140" s="531"/>
      <c r="AE140" s="531"/>
      <c r="AF140" s="531"/>
      <c r="AG140" s="531"/>
      <c r="AH140" s="531"/>
      <c r="AI140" s="531"/>
      <c r="AJ140" s="531"/>
      <c r="AK140" s="531"/>
      <c r="AL140" s="531"/>
      <c r="AM140" s="531"/>
      <c r="AN140" s="531"/>
    </row>
    <row r="141" customFormat="false" ht="16.5" hidden="false" customHeight="true" outlineLevel="0" collapsed="false">
      <c r="A141" s="531"/>
      <c r="B141" s="531"/>
      <c r="C141" s="531"/>
      <c r="D141" s="531"/>
      <c r="E141" s="531"/>
      <c r="F141" s="531"/>
      <c r="G141" s="531"/>
      <c r="H141" s="531"/>
      <c r="I141" s="531"/>
      <c r="J141" s="531"/>
      <c r="K141" s="531"/>
      <c r="L141" s="531"/>
      <c r="M141" s="531"/>
      <c r="N141" s="547" t="n">
        <f aca="false">IF('(1)예금승인내역'!H767="","",'(1)예금승인내역'!H767)</f>
        <v>45674</v>
      </c>
      <c r="O141" s="547" t="n">
        <f aca="false">IF('(1)예금승인내역'!G767="","",'(1)예금승인내역'!G767)</f>
        <v>45667</v>
      </c>
      <c r="P141" s="531" t="str">
        <f aca="false">IF('(1)예금승인내역'!F767="","",'(1)예금승인내역'!F767)</f>
        <v>㈜ 일지테크</v>
      </c>
      <c r="Q141" s="531" t="str">
        <f aca="false">IF('(1)예금승인내역'!C767="","",'(1)예금승인내역'!C767)</f>
        <v>경산공단영업부</v>
      </c>
      <c r="R141" s="531" t="str">
        <f aca="false">IF('(1)예금승인내역'!K767="","",'(1)예금승인내역'!K767)</f>
        <v>정기예금</v>
      </c>
      <c r="S141" s="548" t="n">
        <f aca="false">IF('(1)예금승인내역'!L767="","",'(1)예금승인내역'!L767)</f>
        <v>14.9</v>
      </c>
      <c r="T141" s="549" t="n">
        <f aca="false">IF('(1)예금승인내역'!AG767="","",'(1)예금승인내역'!AG767)</f>
        <v>0.039</v>
      </c>
      <c r="U141" s="549" t="n">
        <f aca="false">IF('(1)예금승인내역'!X767="","",'(1)예금승인내역'!X767)</f>
        <v>0.002554</v>
      </c>
      <c r="V141" s="531" t="n">
        <f aca="false">IF(ISNUMBER(N141),N141-$B$2,"")</f>
        <v>-515</v>
      </c>
      <c r="W141" s="531" t="str">
        <f aca="false">IF(AND(ISNUMBER(N141),N141&gt;=$B$2,N141&lt;=$B$2+10),N141*100000+ROW(),"")</f>
        <v/>
      </c>
      <c r="X141" s="531"/>
      <c r="Y141" s="531"/>
      <c r="Z141" s="531"/>
      <c r="AA141" s="531"/>
      <c r="AB141" s="531"/>
      <c r="AC141" s="531"/>
      <c r="AD141" s="531"/>
      <c r="AE141" s="531"/>
      <c r="AF141" s="531"/>
      <c r="AG141" s="531"/>
      <c r="AH141" s="531"/>
      <c r="AI141" s="531"/>
      <c r="AJ141" s="531"/>
      <c r="AK141" s="531"/>
      <c r="AL141" s="531"/>
      <c r="AM141" s="531"/>
      <c r="AN141" s="531"/>
    </row>
    <row r="142" customFormat="false" ht="16.5" hidden="false" customHeight="true" outlineLevel="0" collapsed="false">
      <c r="A142" s="531"/>
      <c r="B142" s="531"/>
      <c r="C142" s="531"/>
      <c r="D142" s="531"/>
      <c r="E142" s="531"/>
      <c r="F142" s="531"/>
      <c r="G142" s="531"/>
      <c r="H142" s="531"/>
      <c r="I142" s="531"/>
      <c r="J142" s="531"/>
      <c r="K142" s="531"/>
      <c r="L142" s="531"/>
      <c r="M142" s="531"/>
      <c r="N142" s="547" t="n">
        <f aca="false">IF('(1)예금승인내역'!H768="","",'(1)예금승인내역'!H768)</f>
        <v>45681</v>
      </c>
      <c r="O142" s="547" t="n">
        <f aca="false">IF('(1)예금승인내역'!G768="","",'(1)예금승인내역'!G768)</f>
        <v>45671</v>
      </c>
      <c r="P142" s="531" t="str">
        <f aca="false">IF('(1)예금승인내역'!F768="","",'(1)예금승인내역'!F768)</f>
        <v>㈜ 일지테크</v>
      </c>
      <c r="Q142" s="531" t="str">
        <f aca="false">IF('(1)예금승인내역'!C768="","",'(1)예금승인내역'!C768)</f>
        <v>경산공단영업부</v>
      </c>
      <c r="R142" s="531" t="str">
        <f aca="false">IF('(1)예금승인내역'!K768="","",'(1)예금승인내역'!K768)</f>
        <v>정기예금</v>
      </c>
      <c r="S142" s="548" t="n">
        <f aca="false">IF('(1)예금승인내역'!L768="","",'(1)예금승인내역'!L768)</f>
        <v>9.09</v>
      </c>
      <c r="T142" s="549" t="n">
        <f aca="false">IF('(1)예금승인내역'!AG768="","",'(1)예금승인내역'!AG768)</f>
        <v>0.039</v>
      </c>
      <c r="U142" s="549" t="n">
        <f aca="false">IF('(1)예금승인내역'!X768="","",'(1)예금승인내역'!X768)</f>
        <v>0.003</v>
      </c>
      <c r="V142" s="531" t="n">
        <f aca="false">IF(ISNUMBER(N142),N142-$B$2,"")</f>
        <v>-508</v>
      </c>
      <c r="W142" s="531" t="str">
        <f aca="false">IF(AND(ISNUMBER(N142),N142&gt;=$B$2,N142&lt;=$B$2+10),N142*100000+ROW(),"")</f>
        <v/>
      </c>
      <c r="X142" s="531"/>
      <c r="Y142" s="531"/>
      <c r="Z142" s="531"/>
      <c r="AA142" s="531"/>
      <c r="AB142" s="531"/>
      <c r="AC142" s="531"/>
      <c r="AD142" s="531"/>
      <c r="AE142" s="531"/>
      <c r="AF142" s="531"/>
      <c r="AG142" s="531"/>
      <c r="AH142" s="531"/>
      <c r="AI142" s="531"/>
      <c r="AJ142" s="531"/>
      <c r="AK142" s="531"/>
      <c r="AL142" s="531"/>
      <c r="AM142" s="531"/>
      <c r="AN142" s="531"/>
    </row>
    <row r="143" customFormat="false" ht="16.5" hidden="false" customHeight="true" outlineLevel="0" collapsed="false">
      <c r="A143" s="531"/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1"/>
      <c r="N143" s="547" t="n">
        <f aca="false">IF('(1)예금승인내역'!H769="","",'(1)예금승인내역'!H769)</f>
        <v>45702</v>
      </c>
      <c r="O143" s="547" t="n">
        <f aca="false">IF('(1)예금승인내역'!G769="","",'(1)예금승인내역'!G769)</f>
        <v>45671</v>
      </c>
      <c r="P143" s="531" t="str">
        <f aca="false">IF('(1)예금승인내역'!F769="","",'(1)예금승인내역'!F769)</f>
        <v>오스템임플란트㈜</v>
      </c>
      <c r="Q143" s="531" t="str">
        <f aca="false">IF('(1)예금승인내역'!C769="","",'(1)예금승인내역'!C769)</f>
        <v>성남금융센터</v>
      </c>
      <c r="R143" s="531" t="str">
        <f aca="false">IF('(1)예금승인내역'!K769="","",'(1)예금승인내역'!K769)</f>
        <v>MMDA</v>
      </c>
      <c r="S143" s="548" t="n">
        <f aca="false">IF('(1)예금승인내역'!L769="","",'(1)예금승인내역'!L769)</f>
        <v>4.789</v>
      </c>
      <c r="T143" s="549" t="n">
        <f aca="false">IF('(1)예금승인내역'!AG769="","",'(1)예금승인내역'!AG769)</f>
        <v>0.039</v>
      </c>
      <c r="U143" s="549" t="n">
        <f aca="false">IF('(1)예금승인내역'!X769="","",'(1)예금승인내역'!X769)</f>
        <v>0.002721</v>
      </c>
      <c r="V143" s="531" t="n">
        <f aca="false">IF(ISNUMBER(N143),N143-$B$2,"")</f>
        <v>-487</v>
      </c>
      <c r="W143" s="531" t="str">
        <f aca="false">IF(AND(ISNUMBER(N143),N143&gt;=$B$2,N143&lt;=$B$2+10),N143*100000+ROW(),"")</f>
        <v/>
      </c>
      <c r="X143" s="531"/>
      <c r="Y143" s="531"/>
      <c r="Z143" s="531"/>
      <c r="AA143" s="531"/>
      <c r="AB143" s="531"/>
      <c r="AC143" s="531"/>
      <c r="AD143" s="531"/>
      <c r="AE143" s="531"/>
      <c r="AF143" s="531"/>
      <c r="AG143" s="531"/>
      <c r="AH143" s="531"/>
      <c r="AI143" s="531"/>
      <c r="AJ143" s="531"/>
      <c r="AK143" s="531"/>
      <c r="AL143" s="531"/>
      <c r="AM143" s="531"/>
      <c r="AN143" s="531"/>
    </row>
    <row r="144" customFormat="false" ht="16.5" hidden="false" customHeight="true" outlineLevel="0" collapsed="false">
      <c r="A144" s="531"/>
      <c r="B144" s="531"/>
      <c r="C144" s="531"/>
      <c r="D144" s="531"/>
      <c r="E144" s="531"/>
      <c r="F144" s="531"/>
      <c r="G144" s="531"/>
      <c r="H144" s="531"/>
      <c r="I144" s="531"/>
      <c r="J144" s="531"/>
      <c r="K144" s="531"/>
      <c r="L144" s="531"/>
      <c r="M144" s="531"/>
      <c r="N144" s="547" t="n">
        <f aca="false">IF('(1)예금승인내역'!H770="","",'(1)예금승인내역'!H770)</f>
        <v>45702</v>
      </c>
      <c r="O144" s="547" t="n">
        <f aca="false">IF('(1)예금승인내역'!G770="","",'(1)예금승인내역'!G770)</f>
        <v>45671</v>
      </c>
      <c r="P144" s="531" t="str">
        <f aca="false">IF('(1)예금승인내역'!F770="","",'(1)예금승인내역'!F770)</f>
        <v>㈜비알팜</v>
      </c>
      <c r="Q144" s="531" t="str">
        <f aca="false">IF('(1)예금승인내역'!C770="","",'(1)예금승인내역'!C770)</f>
        <v>원주금융센터</v>
      </c>
      <c r="R144" s="531" t="str">
        <f aca="false">IF('(1)예금승인내역'!K770="","",'(1)예금승인내역'!K770)</f>
        <v>MMDA</v>
      </c>
      <c r="S144" s="548" t="n">
        <f aca="false">IF('(1)예금승인내역'!L770="","",'(1)예금승인내역'!L770)</f>
        <v>1</v>
      </c>
      <c r="T144" s="549" t="n">
        <f aca="false">IF('(1)예금승인내역'!AG770="","",'(1)예금승인내역'!AG770)</f>
        <v>0.038</v>
      </c>
      <c r="U144" s="549" t="n">
        <f aca="false">IF('(1)예금승인내역'!X770="","",'(1)예금승인내역'!X770)</f>
        <v>0.003721</v>
      </c>
      <c r="V144" s="531" t="n">
        <f aca="false">IF(ISNUMBER(N144),N144-$B$2,"")</f>
        <v>-487</v>
      </c>
      <c r="W144" s="531" t="str">
        <f aca="false">IF(AND(ISNUMBER(N144),N144&gt;=$B$2,N144&lt;=$B$2+10),N144*100000+ROW(),"")</f>
        <v/>
      </c>
      <c r="X144" s="531"/>
      <c r="Y144" s="531"/>
      <c r="Z144" s="531"/>
      <c r="AA144" s="531"/>
      <c r="AB144" s="531"/>
      <c r="AC144" s="531"/>
      <c r="AD144" s="531"/>
      <c r="AE144" s="531"/>
      <c r="AF144" s="531"/>
      <c r="AG144" s="531"/>
      <c r="AH144" s="531"/>
      <c r="AI144" s="531"/>
      <c r="AJ144" s="531"/>
      <c r="AK144" s="531"/>
      <c r="AL144" s="531"/>
      <c r="AM144" s="531"/>
      <c r="AN144" s="531"/>
    </row>
    <row r="145" customFormat="false" ht="16.5" hidden="false" customHeight="true" outlineLevel="0" collapsed="false">
      <c r="A145" s="531"/>
      <c r="B145" s="531"/>
      <c r="C145" s="531"/>
      <c r="D145" s="531"/>
      <c r="E145" s="531"/>
      <c r="F145" s="531"/>
      <c r="G145" s="531"/>
      <c r="H145" s="531"/>
      <c r="I145" s="531"/>
      <c r="J145" s="531"/>
      <c r="K145" s="531"/>
      <c r="L145" s="531"/>
      <c r="M145" s="531"/>
      <c r="N145" s="547" t="n">
        <f aca="false">IF('(1)예금승인내역'!H771="","",'(1)예금승인내역'!H771)</f>
        <v>45681</v>
      </c>
      <c r="O145" s="547" t="n">
        <f aca="false">IF('(1)예금승인내역'!G771="","",'(1)예금승인내역'!G771)</f>
        <v>45674</v>
      </c>
      <c r="P145" s="531" t="str">
        <f aca="false">IF('(1)예금승인내역'!F771="","",'(1)예금승인내역'!F771)</f>
        <v>㈜ 일지테크</v>
      </c>
      <c r="Q145" s="531" t="str">
        <f aca="false">IF('(1)예금승인내역'!C771="","",'(1)예금승인내역'!C771)</f>
        <v>경산공단영업부</v>
      </c>
      <c r="R145" s="531" t="str">
        <f aca="false">IF('(1)예금승인내역'!K771="","",'(1)예금승인내역'!K771)</f>
        <v>정기예금</v>
      </c>
      <c r="S145" s="548" t="n">
        <f aca="false">IF('(1)예금승인내역'!L771="","",'(1)예금승인내역'!L771)</f>
        <v>13.24</v>
      </c>
      <c r="T145" s="549" t="n">
        <f aca="false">IF('(1)예금승인내역'!AG771="","",'(1)예금승인내역'!AG771)</f>
        <v>0.0385</v>
      </c>
      <c r="U145" s="549" t="n">
        <f aca="false">IF('(1)예금승인내역'!X771="","",'(1)예금승인내역'!X771)</f>
        <v>0.003139</v>
      </c>
      <c r="V145" s="531" t="n">
        <f aca="false">IF(ISNUMBER(N145),N145-$B$2,"")</f>
        <v>-508</v>
      </c>
      <c r="W145" s="531" t="str">
        <f aca="false">IF(AND(ISNUMBER(N145),N145&gt;=$B$2,N145&lt;=$B$2+10),N145*100000+ROW(),"")</f>
        <v/>
      </c>
      <c r="X145" s="531"/>
      <c r="Y145" s="531"/>
      <c r="Z145" s="531"/>
      <c r="AA145" s="531"/>
      <c r="AB145" s="531"/>
      <c r="AC145" s="531"/>
      <c r="AD145" s="531"/>
      <c r="AE145" s="531"/>
      <c r="AF145" s="531"/>
      <c r="AG145" s="531"/>
      <c r="AH145" s="531"/>
      <c r="AI145" s="531"/>
      <c r="AJ145" s="531"/>
      <c r="AK145" s="531"/>
      <c r="AL145" s="531"/>
      <c r="AM145" s="531"/>
      <c r="AN145" s="531"/>
    </row>
    <row r="146" customFormat="false" ht="16.5" hidden="false" customHeight="true" outlineLevel="0" collapsed="false">
      <c r="A146" s="531"/>
      <c r="B146" s="531"/>
      <c r="C146" s="531"/>
      <c r="D146" s="531"/>
      <c r="E146" s="531"/>
      <c r="F146" s="531"/>
      <c r="G146" s="531"/>
      <c r="H146" s="531"/>
      <c r="I146" s="531"/>
      <c r="J146" s="531"/>
      <c r="K146" s="531"/>
      <c r="L146" s="531"/>
      <c r="M146" s="531"/>
      <c r="N146" s="547" t="n">
        <f aca="false">IF('(1)예금승인내역'!H772="","",'(1)예금승인내역'!H772)</f>
        <v>45708</v>
      </c>
      <c r="O146" s="547" t="n">
        <f aca="false">IF('(1)예금승인내역'!G772="","",'(1)예금승인내역'!G772)</f>
        <v>45677</v>
      </c>
      <c r="P146" s="531" t="str">
        <f aca="false">IF('(1)예금승인내역'!F772="","",'(1)예금승인내역'!F772)</f>
        <v>㈜에스앤에스텍</v>
      </c>
      <c r="Q146" s="531" t="str">
        <f aca="false">IF('(1)예금승인내역'!C772="","",'(1)예금승인내역'!C772)</f>
        <v>성서3단지영업부</v>
      </c>
      <c r="R146" s="531" t="str">
        <f aca="false">IF('(1)예금승인내역'!K772="","",'(1)예금승인내역'!K772)</f>
        <v>정기예금</v>
      </c>
      <c r="S146" s="548" t="n">
        <f aca="false">IF('(1)예금승인내역'!L772="","",'(1)예금승인내역'!L772)</f>
        <v>1</v>
      </c>
      <c r="T146" s="549" t="n">
        <f aca="false">IF('(1)예금승인내역'!AG772="","",'(1)예금승인내역'!AG772)</f>
        <v>0.041</v>
      </c>
      <c r="U146" s="549" t="n">
        <f aca="false">IF('(1)예금승인내역'!X772="","",'(1)예금승인내역'!X772)</f>
        <v>0.002361</v>
      </c>
      <c r="V146" s="531" t="n">
        <f aca="false">IF(ISNUMBER(N146),N146-$B$2,"")</f>
        <v>-481</v>
      </c>
      <c r="W146" s="531" t="str">
        <f aca="false">IF(AND(ISNUMBER(N146),N146&gt;=$B$2,N146&lt;=$B$2+10),N146*100000+ROW(),"")</f>
        <v/>
      </c>
      <c r="X146" s="531"/>
      <c r="Y146" s="531"/>
      <c r="Z146" s="531"/>
      <c r="AA146" s="531"/>
      <c r="AB146" s="531"/>
      <c r="AC146" s="531"/>
      <c r="AD146" s="531"/>
      <c r="AE146" s="531"/>
      <c r="AF146" s="531"/>
      <c r="AG146" s="531"/>
      <c r="AH146" s="531"/>
      <c r="AI146" s="531"/>
      <c r="AJ146" s="531"/>
      <c r="AK146" s="531"/>
      <c r="AL146" s="531"/>
      <c r="AM146" s="531"/>
      <c r="AN146" s="531"/>
    </row>
    <row r="147" customFormat="false" ht="16.5" hidden="false" customHeight="true" outlineLevel="0" collapsed="false">
      <c r="A147" s="531"/>
      <c r="B147" s="531"/>
      <c r="C147" s="531"/>
      <c r="D147" s="531"/>
      <c r="E147" s="531"/>
      <c r="F147" s="531"/>
      <c r="G147" s="531"/>
      <c r="H147" s="531"/>
      <c r="I147" s="531"/>
      <c r="J147" s="531"/>
      <c r="K147" s="531"/>
      <c r="L147" s="531"/>
      <c r="M147" s="531"/>
      <c r="N147" s="547" t="n">
        <f aca="false">IF('(1)예금승인내역'!H773="","",'(1)예금승인내역'!H773)</f>
        <v>45711</v>
      </c>
      <c r="O147" s="547" t="n">
        <f aca="false">IF('(1)예금승인내역'!G773="","",'(1)예금승인내역'!G773)</f>
        <v>45680</v>
      </c>
      <c r="P147" s="531" t="str">
        <f aca="false">IF('(1)예금승인내역'!F773="","",'(1)예금승인내역'!F773)</f>
        <v>㈜약진통상</v>
      </c>
      <c r="Q147" s="531" t="str">
        <f aca="false">IF('(1)예금승인내역'!C773="","",'(1)예금승인내역'!C773)</f>
        <v>반월공단지점</v>
      </c>
      <c r="R147" s="531" t="str">
        <f aca="false">IF('(1)예금승인내역'!K773="","",'(1)예금승인내역'!K773)</f>
        <v>MMDA</v>
      </c>
      <c r="S147" s="548" t="n">
        <f aca="false">IF('(1)예금승인내역'!L773="","",'(1)예금승인내역'!L773)</f>
        <v>10</v>
      </c>
      <c r="T147" s="549" t="n">
        <f aca="false">IF('(1)예금승인내역'!AG773="","",'(1)예금승인내역'!AG773)</f>
        <v>0.0386</v>
      </c>
      <c r="U147" s="549" t="n">
        <f aca="false">IF('(1)예금승인내역'!X773="","",'(1)예금승인내역'!X773)</f>
        <v>0.00172</v>
      </c>
      <c r="V147" s="531" t="n">
        <f aca="false">IF(ISNUMBER(N147),N147-$B$2,"")</f>
        <v>-478</v>
      </c>
      <c r="W147" s="531" t="str">
        <f aca="false">IF(AND(ISNUMBER(N147),N147&gt;=$B$2,N147&lt;=$B$2+10),N147*100000+ROW(),"")</f>
        <v/>
      </c>
      <c r="X147" s="531"/>
      <c r="Y147" s="531"/>
      <c r="Z147" s="531"/>
      <c r="AA147" s="531"/>
      <c r="AB147" s="531"/>
      <c r="AC147" s="531"/>
      <c r="AD147" s="531"/>
      <c r="AE147" s="531"/>
      <c r="AF147" s="531"/>
      <c r="AG147" s="531"/>
      <c r="AH147" s="531"/>
      <c r="AI147" s="531"/>
      <c r="AJ147" s="531"/>
      <c r="AK147" s="531"/>
      <c r="AL147" s="531"/>
      <c r="AM147" s="531"/>
      <c r="AN147" s="531"/>
    </row>
    <row r="148" customFormat="false" ht="16.5" hidden="false" customHeight="true" outlineLevel="0" collapsed="false">
      <c r="A148" s="531"/>
      <c r="B148" s="531"/>
      <c r="C148" s="531"/>
      <c r="D148" s="531"/>
      <c r="E148" s="531"/>
      <c r="F148" s="531"/>
      <c r="G148" s="531"/>
      <c r="H148" s="531"/>
      <c r="I148" s="531"/>
      <c r="J148" s="531"/>
      <c r="K148" s="531"/>
      <c r="L148" s="531"/>
      <c r="M148" s="531"/>
      <c r="N148" s="547" t="n">
        <f aca="false">IF('(1)예금승인내역'!H774="","",'(1)예금승인내역'!H774)</f>
        <v>45691</v>
      </c>
      <c r="O148" s="547" t="n">
        <f aca="false">IF('(1)예금승인내역'!G774="","",'(1)예금승인내역'!G774)</f>
        <v>45681</v>
      </c>
      <c r="P148" s="531" t="str">
        <f aca="false">IF('(1)예금승인내역'!F774="","",'(1)예금승인내역'!F774)</f>
        <v>㈜ 일지테크</v>
      </c>
      <c r="Q148" s="531" t="str">
        <f aca="false">IF('(1)예금승인내역'!C774="","",'(1)예금승인내역'!C774)</f>
        <v>경산공단영업부</v>
      </c>
      <c r="R148" s="531" t="str">
        <f aca="false">IF('(1)예금승인내역'!K774="","",'(1)예금승인내역'!K774)</f>
        <v>정기예금</v>
      </c>
      <c r="S148" s="548" t="n">
        <f aca="false">IF('(1)예금승인내역'!L774="","",'(1)예금승인내역'!L774)</f>
        <v>22.3</v>
      </c>
      <c r="T148" s="549" t="n">
        <f aca="false">IF('(1)예금승인내역'!AG774="","",'(1)예금승인내역'!AG774)</f>
        <v>0.0385</v>
      </c>
      <c r="U148" s="549" t="n">
        <f aca="false">IF('(1)예금승인내역'!X774="","",'(1)예금승인내역'!X774)</f>
        <v>0.00344</v>
      </c>
      <c r="V148" s="531" t="n">
        <f aca="false">IF(ISNUMBER(N148),N148-$B$2,"")</f>
        <v>-498</v>
      </c>
      <c r="W148" s="531" t="str">
        <f aca="false">IF(AND(ISNUMBER(N148),N148&gt;=$B$2,N148&lt;=$B$2+10),N148*100000+ROW(),"")</f>
        <v/>
      </c>
      <c r="X148" s="531"/>
      <c r="Y148" s="531"/>
      <c r="Z148" s="531"/>
      <c r="AA148" s="531"/>
      <c r="AB148" s="531"/>
      <c r="AC148" s="531"/>
      <c r="AD148" s="531"/>
      <c r="AE148" s="531"/>
      <c r="AF148" s="531"/>
      <c r="AG148" s="531"/>
      <c r="AH148" s="531"/>
      <c r="AI148" s="531"/>
      <c r="AJ148" s="531"/>
      <c r="AK148" s="531"/>
      <c r="AL148" s="531"/>
      <c r="AM148" s="531"/>
      <c r="AN148" s="531"/>
    </row>
    <row r="149" customFormat="false" ht="16.5" hidden="false" customHeight="true" outlineLevel="0" collapsed="false">
      <c r="A149" s="531"/>
      <c r="B149" s="531"/>
      <c r="C149" s="531"/>
      <c r="D149" s="531"/>
      <c r="E149" s="531"/>
      <c r="F149" s="531"/>
      <c r="G149" s="531"/>
      <c r="H149" s="531"/>
      <c r="I149" s="531"/>
      <c r="J149" s="531"/>
      <c r="K149" s="531"/>
      <c r="L149" s="531"/>
      <c r="M149" s="531"/>
      <c r="N149" s="547" t="n">
        <f aca="false">IF('(1)예금승인내역'!H775="","",'(1)예금승인내역'!H775)</f>
        <v>45716</v>
      </c>
      <c r="O149" s="547" t="n">
        <f aca="false">IF('(1)예금승인내역'!G775="","",'(1)예금승인내역'!G775)</f>
        <v>45688</v>
      </c>
      <c r="P149" s="531" t="str">
        <f aca="false">IF('(1)예금승인내역'!F775="","",'(1)예금승인내역'!F775)</f>
        <v>와이투솔루션</v>
      </c>
      <c r="Q149" s="531" t="str">
        <f aca="false">IF('(1)예금승인내역'!C775="","",'(1)예금승인내역'!C775)</f>
        <v>화성금융센터</v>
      </c>
      <c r="R149" s="531" t="str">
        <f aca="false">IF('(1)예금승인내역'!K775="","",'(1)예금승인내역'!K775)</f>
        <v>정기예금</v>
      </c>
      <c r="S149" s="548" t="n">
        <f aca="false">IF('(1)예금승인내역'!L775="","",'(1)예금승인내역'!L775)</f>
        <v>5</v>
      </c>
      <c r="T149" s="549" t="n">
        <f aca="false">IF('(1)예금승인내역'!AG775="","",'(1)예금승인내역'!AG775)</f>
        <v>0.0414</v>
      </c>
      <c r="U149" s="549" t="n">
        <f aca="false">IF('(1)예금승인내역'!X775="","",'(1)예금승인내역'!X775)</f>
        <v>0.001894</v>
      </c>
      <c r="V149" s="531" t="n">
        <f aca="false">IF(ISNUMBER(N149),N149-$B$2,"")</f>
        <v>-473</v>
      </c>
      <c r="W149" s="531" t="str">
        <f aca="false">IF(AND(ISNUMBER(N149),N149&gt;=$B$2,N149&lt;=$B$2+10),N149*100000+ROW(),"")</f>
        <v/>
      </c>
      <c r="X149" s="531"/>
      <c r="Y149" s="531"/>
      <c r="Z149" s="531"/>
      <c r="AA149" s="531"/>
      <c r="AB149" s="531"/>
      <c r="AC149" s="531"/>
      <c r="AD149" s="531"/>
      <c r="AE149" s="531"/>
      <c r="AF149" s="531"/>
      <c r="AG149" s="531"/>
      <c r="AH149" s="531"/>
      <c r="AI149" s="531"/>
      <c r="AJ149" s="531"/>
      <c r="AK149" s="531"/>
      <c r="AL149" s="531"/>
      <c r="AM149" s="531"/>
      <c r="AN149" s="531"/>
    </row>
    <row r="150" customFormat="false" ht="16.5" hidden="false" customHeight="true" outlineLevel="0" collapsed="false">
      <c r="A150" s="531"/>
      <c r="B150" s="531"/>
      <c r="C150" s="531"/>
      <c r="D150" s="531"/>
      <c r="E150" s="531"/>
      <c r="F150" s="531"/>
      <c r="G150" s="531"/>
      <c r="H150" s="531"/>
      <c r="I150" s="531"/>
      <c r="J150" s="531"/>
      <c r="K150" s="531"/>
      <c r="L150" s="531"/>
      <c r="M150" s="531"/>
      <c r="N150" s="547" t="n">
        <f aca="false">IF('(1)예금승인내역'!H776="","",'(1)예금승인내역'!H776)</f>
        <v>45777</v>
      </c>
      <c r="O150" s="547" t="n">
        <f aca="false">IF('(1)예금승인내역'!G776="","",'(1)예금승인내역'!G776)</f>
        <v>45688</v>
      </c>
      <c r="P150" s="531" t="str">
        <f aca="false">IF('(1)예금승인내역'!F776="","",'(1)예금승인내역'!F776)</f>
        <v>와이투솔루션</v>
      </c>
      <c r="Q150" s="531" t="str">
        <f aca="false">IF('(1)예금승인내역'!C776="","",'(1)예금승인내역'!C776)</f>
        <v>화성금융센터</v>
      </c>
      <c r="R150" s="531" t="str">
        <f aca="false">IF('(1)예금승인내역'!K776="","",'(1)예금승인내역'!K776)</f>
        <v>정기예금</v>
      </c>
      <c r="S150" s="548" t="n">
        <f aca="false">IF('(1)예금승인내역'!L776="","",'(1)예금승인내역'!L776)</f>
        <v>5</v>
      </c>
      <c r="T150" s="549" t="n">
        <f aca="false">IF('(1)예금승인내역'!AG776="","",'(1)예금승인내역'!AG776)</f>
        <v>0.0426</v>
      </c>
      <c r="U150" s="549" t="n">
        <f aca="false">IF('(1)예금승인내역'!X776="","",'(1)예금승인내역'!X776)</f>
        <v>0.00218</v>
      </c>
      <c r="V150" s="531" t="n">
        <f aca="false">IF(ISNUMBER(N150),N150-$B$2,"")</f>
        <v>-412</v>
      </c>
      <c r="W150" s="531" t="str">
        <f aca="false">IF(AND(ISNUMBER(N150),N150&gt;=$B$2,N150&lt;=$B$2+10),N150*100000+ROW(),"")</f>
        <v/>
      </c>
      <c r="X150" s="531"/>
      <c r="Y150" s="531"/>
      <c r="Z150" s="531"/>
      <c r="AA150" s="531"/>
      <c r="AB150" s="531"/>
      <c r="AC150" s="531"/>
      <c r="AD150" s="531"/>
      <c r="AE150" s="531"/>
      <c r="AF150" s="531"/>
      <c r="AG150" s="531"/>
      <c r="AH150" s="531"/>
      <c r="AI150" s="531"/>
      <c r="AJ150" s="531"/>
      <c r="AK150" s="531"/>
      <c r="AL150" s="531"/>
      <c r="AM150" s="531"/>
      <c r="AN150" s="531"/>
    </row>
    <row r="151" customFormat="false" ht="16.5" hidden="false" customHeight="true" outlineLevel="0" collapsed="false">
      <c r="A151" s="531"/>
      <c r="B151" s="531"/>
      <c r="C151" s="531"/>
      <c r="D151" s="531"/>
      <c r="E151" s="531"/>
      <c r="F151" s="531"/>
      <c r="G151" s="531"/>
      <c r="H151" s="531"/>
      <c r="I151" s="531"/>
      <c r="J151" s="531"/>
      <c r="K151" s="531"/>
      <c r="L151" s="531"/>
      <c r="M151" s="531"/>
      <c r="N151" s="547" t="n">
        <f aca="false">IF('(1)예금승인내역'!H777="","",'(1)예금승인내역'!H777)</f>
        <v>45777</v>
      </c>
      <c r="O151" s="547" t="n">
        <f aca="false">IF('(1)예금승인내역'!G777="","",'(1)예금승인내역'!G777)</f>
        <v>45688</v>
      </c>
      <c r="P151" s="531" t="str">
        <f aca="false">IF('(1)예금승인내역'!F777="","",'(1)예금승인내역'!F777)</f>
        <v>거림테크주식회사</v>
      </c>
      <c r="Q151" s="531" t="str">
        <f aca="false">IF('(1)예금승인내역'!C777="","",'(1)예금승인내역'!C777)</f>
        <v>죽전지점 </v>
      </c>
      <c r="R151" s="531" t="str">
        <f aca="false">IF('(1)예금승인내역'!K777="","",'(1)예금승인내역'!K777)</f>
        <v>정기예금</v>
      </c>
      <c r="S151" s="548" t="n">
        <f aca="false">IF('(1)예금승인내역'!L777="","",'(1)예금승인내역'!L777)</f>
        <v>1</v>
      </c>
      <c r="T151" s="549" t="n">
        <f aca="false">IF('(1)예금승인내역'!AG777="","",'(1)예금승인내역'!AG777)</f>
        <v>0.0425</v>
      </c>
      <c r="U151" s="549" t="n">
        <f aca="false">IF('(1)예금승인내역'!X777="","",'(1)예금승인내역'!X777)</f>
        <v>0.00228</v>
      </c>
      <c r="V151" s="531" t="n">
        <f aca="false">IF(ISNUMBER(N151),N151-$B$2,"")</f>
        <v>-412</v>
      </c>
      <c r="W151" s="531" t="str">
        <f aca="false">IF(AND(ISNUMBER(N151),N151&gt;=$B$2,N151&lt;=$B$2+10),N151*100000+ROW(),"")</f>
        <v/>
      </c>
      <c r="X151" s="531"/>
      <c r="Y151" s="531"/>
      <c r="Z151" s="531"/>
      <c r="AA151" s="531"/>
      <c r="AB151" s="531"/>
      <c r="AC151" s="531"/>
      <c r="AD151" s="531"/>
      <c r="AE151" s="531"/>
      <c r="AF151" s="531"/>
      <c r="AG151" s="531"/>
      <c r="AH151" s="531"/>
      <c r="AI151" s="531"/>
      <c r="AJ151" s="531"/>
      <c r="AK151" s="531"/>
      <c r="AL151" s="531"/>
      <c r="AM151" s="531"/>
      <c r="AN151" s="531"/>
    </row>
    <row r="152" customFormat="false" ht="16.5" hidden="false" customHeight="true" outlineLevel="0" collapsed="false">
      <c r="A152" s="531"/>
      <c r="B152" s="531"/>
      <c r="C152" s="531"/>
      <c r="D152" s="531"/>
      <c r="E152" s="531"/>
      <c r="F152" s="531"/>
      <c r="G152" s="531"/>
      <c r="H152" s="531"/>
      <c r="I152" s="531"/>
      <c r="J152" s="531"/>
      <c r="K152" s="531"/>
      <c r="L152" s="531"/>
      <c r="M152" s="531"/>
      <c r="N152" s="547" t="n">
        <f aca="false">IF('(1)예금승인내역'!H778="","",'(1)예금승인내역'!H778)</f>
        <v>45698</v>
      </c>
      <c r="O152" s="547" t="n">
        <f aca="false">IF('(1)예금승인내역'!G778="","",'(1)예금승인내역'!G778)</f>
        <v>45691</v>
      </c>
      <c r="P152" s="531" t="str">
        <f aca="false">IF('(1)예금승인내역'!F778="","",'(1)예금승인내역'!F778)</f>
        <v>㈜ 일지테크</v>
      </c>
      <c r="Q152" s="531" t="str">
        <f aca="false">IF('(1)예금승인내역'!C778="","",'(1)예금승인내역'!C778)</f>
        <v>경산공단영업부</v>
      </c>
      <c r="R152" s="531" t="str">
        <f aca="false">IF('(1)예금승인내역'!K778="","",'(1)예금승인내역'!K778)</f>
        <v>정기예금</v>
      </c>
      <c r="S152" s="548" t="n">
        <f aca="false">IF('(1)예금승인내역'!L778="","",'(1)예금승인내역'!L778)</f>
        <v>22.387</v>
      </c>
      <c r="T152" s="549" t="n">
        <f aca="false">IF('(1)예금승인내역'!AG778="","",'(1)예금승인내역'!AG778)</f>
        <v>0.0385</v>
      </c>
      <c r="U152" s="549" t="n">
        <f aca="false">IF('(1)예금승인내역'!X778="","",'(1)예금승인내역'!X778)</f>
        <v>0.003698</v>
      </c>
      <c r="V152" s="531" t="n">
        <f aca="false">IF(ISNUMBER(N152),N152-$B$2,"")</f>
        <v>-491</v>
      </c>
      <c r="W152" s="531" t="str">
        <f aca="false">IF(AND(ISNUMBER(N152),N152&gt;=$B$2,N152&lt;=$B$2+10),N152*100000+ROW(),"")</f>
        <v/>
      </c>
      <c r="X152" s="531"/>
      <c r="Y152" s="531"/>
      <c r="Z152" s="531"/>
      <c r="AA152" s="531"/>
      <c r="AB152" s="531"/>
      <c r="AC152" s="531"/>
      <c r="AD152" s="531"/>
      <c r="AE152" s="531"/>
      <c r="AF152" s="531"/>
      <c r="AG152" s="531"/>
      <c r="AH152" s="531"/>
      <c r="AI152" s="531"/>
      <c r="AJ152" s="531"/>
      <c r="AK152" s="531"/>
      <c r="AL152" s="531"/>
      <c r="AM152" s="531"/>
      <c r="AN152" s="531"/>
    </row>
    <row r="153" customFormat="false" ht="16.5" hidden="false" customHeight="true" outlineLevel="0" collapsed="false">
      <c r="A153" s="531"/>
      <c r="B153" s="531"/>
      <c r="C153" s="531"/>
      <c r="D153" s="531"/>
      <c r="E153" s="531"/>
      <c r="F153" s="531"/>
      <c r="G153" s="531"/>
      <c r="H153" s="531"/>
      <c r="I153" s="531"/>
      <c r="J153" s="531"/>
      <c r="K153" s="531"/>
      <c r="L153" s="531"/>
      <c r="M153" s="531"/>
      <c r="N153" s="547" t="n">
        <f aca="false">IF('(1)예금승인내역'!H779="","",'(1)예금승인내역'!H779)</f>
        <v>45720</v>
      </c>
      <c r="O153" s="547" t="n">
        <f aca="false">IF('(1)예금승인내역'!G779="","",'(1)예금승인내역'!G779)</f>
        <v>45691</v>
      </c>
      <c r="P153" s="531" t="str">
        <f aca="false">IF('(1)예금승인내역'!F779="","",'(1)예금승인내역'!F779)</f>
        <v>㈜ 한국비엔씨</v>
      </c>
      <c r="Q153" s="531" t="str">
        <f aca="false">IF('(1)예금승인내역'!C779="","",'(1)예금승인내역'!C779)</f>
        <v>유통단지영업부</v>
      </c>
      <c r="R153" s="531" t="str">
        <f aca="false">IF('(1)예금승인내역'!K779="","",'(1)예금승인내역'!K779)</f>
        <v>MMDA</v>
      </c>
      <c r="S153" s="548" t="n">
        <f aca="false">IF('(1)예금승인내역'!L779="","",'(1)예금승인내역'!L779)</f>
        <v>4.012</v>
      </c>
      <c r="T153" s="549" t="n">
        <f aca="false">IF('(1)예금승인내역'!AG779="","",'(1)예금승인내역'!AG779)</f>
        <v>0.0385</v>
      </c>
      <c r="U153" s="549" t="n">
        <f aca="false">IF('(1)예금승인내역'!X779="","",'(1)예금승인내역'!X779)</f>
        <v>0.003943</v>
      </c>
      <c r="V153" s="531" t="n">
        <f aca="false">IF(ISNUMBER(N153),N153-$B$2,"")</f>
        <v>-469</v>
      </c>
      <c r="W153" s="531" t="str">
        <f aca="false">IF(AND(ISNUMBER(N153),N153&gt;=$B$2,N153&lt;=$B$2+10),N153*100000+ROW(),"")</f>
        <v/>
      </c>
      <c r="X153" s="531"/>
      <c r="Y153" s="531"/>
      <c r="Z153" s="531"/>
      <c r="AA153" s="531"/>
      <c r="AB153" s="531"/>
      <c r="AC153" s="531"/>
      <c r="AD153" s="531"/>
      <c r="AE153" s="531"/>
      <c r="AF153" s="531"/>
      <c r="AG153" s="531"/>
      <c r="AH153" s="531"/>
      <c r="AI153" s="531"/>
      <c r="AJ153" s="531"/>
      <c r="AK153" s="531"/>
      <c r="AL153" s="531"/>
      <c r="AM153" s="531"/>
      <c r="AN153" s="531"/>
    </row>
    <row r="154" customFormat="false" ht="16.5" hidden="false" customHeight="true" outlineLevel="0" collapsed="false">
      <c r="A154" s="531"/>
      <c r="B154" s="531"/>
      <c r="C154" s="531"/>
      <c r="D154" s="531"/>
      <c r="E154" s="531"/>
      <c r="F154" s="531"/>
      <c r="G154" s="531"/>
      <c r="H154" s="531"/>
      <c r="I154" s="531"/>
      <c r="J154" s="531"/>
      <c r="K154" s="531"/>
      <c r="L154" s="531"/>
      <c r="M154" s="531"/>
      <c r="N154" s="547" t="n">
        <f aca="false">IF('(1)예금승인내역'!H780="","",'(1)예금승인내역'!H780)</f>
        <v>45754</v>
      </c>
      <c r="O154" s="547" t="n">
        <f aca="false">IF('(1)예금승인내역'!G780="","",'(1)예금승인내역'!G780)</f>
        <v>45693</v>
      </c>
      <c r="P154" s="531" t="str">
        <f aca="false">IF('(1)예금승인내역'!F780="","",'(1)예금승인내역'!F780)</f>
        <v>에스엠상선㈜</v>
      </c>
      <c r="Q154" s="531" t="str">
        <f aca="false">IF('(1)예금승인내역'!C780="","",'(1)예금승인내역'!C780)</f>
        <v>강남영업부</v>
      </c>
      <c r="R154" s="531" t="str">
        <f aca="false">IF('(1)예금승인내역'!K780="","",'(1)예금승인내역'!K780)</f>
        <v>정기예금</v>
      </c>
      <c r="S154" s="548" t="n">
        <f aca="false">IF('(1)예금승인내역'!L780="","",'(1)예금승인내역'!L780)</f>
        <v>10</v>
      </c>
      <c r="T154" s="549" t="n">
        <f aca="false">IF('(1)예금승인내역'!AG780="","",'(1)예금승인내역'!AG780)</f>
        <v>0.042</v>
      </c>
      <c r="U154" s="549" t="n">
        <f aca="false">IF('(1)예금승인내역'!X780="","",'(1)예금승인내역'!X780)</f>
        <v>0.002176</v>
      </c>
      <c r="V154" s="531" t="n">
        <f aca="false">IF(ISNUMBER(N154),N154-$B$2,"")</f>
        <v>-435</v>
      </c>
      <c r="W154" s="531" t="str">
        <f aca="false">IF(AND(ISNUMBER(N154),N154&gt;=$B$2,N154&lt;=$B$2+10),N154*100000+ROW(),"")</f>
        <v/>
      </c>
      <c r="X154" s="531"/>
      <c r="Y154" s="531"/>
      <c r="Z154" s="531"/>
      <c r="AA154" s="531"/>
      <c r="AB154" s="531"/>
      <c r="AC154" s="531"/>
      <c r="AD154" s="531"/>
      <c r="AE154" s="531"/>
      <c r="AF154" s="531"/>
      <c r="AG154" s="531"/>
      <c r="AH154" s="531"/>
      <c r="AI154" s="531"/>
      <c r="AJ154" s="531"/>
      <c r="AK154" s="531"/>
      <c r="AL154" s="531"/>
      <c r="AM154" s="531"/>
      <c r="AN154" s="531"/>
    </row>
    <row r="155" customFormat="false" ht="16.5" hidden="false" customHeight="true" outlineLevel="0" collapsed="false">
      <c r="A155" s="531"/>
      <c r="B155" s="531"/>
      <c r="C155" s="531"/>
      <c r="D155" s="531"/>
      <c r="E155" s="531"/>
      <c r="F155" s="531"/>
      <c r="G155" s="531"/>
      <c r="H155" s="531"/>
      <c r="I155" s="531"/>
      <c r="J155" s="531"/>
      <c r="K155" s="531"/>
      <c r="L155" s="531"/>
      <c r="M155" s="531"/>
      <c r="N155" s="547" t="n">
        <f aca="false">IF('(1)예금승인내역'!H781="","",'(1)예금승인내역'!H781)</f>
        <v>45701</v>
      </c>
      <c r="O155" s="547" t="n">
        <f aca="false">IF('(1)예금승인내역'!G781="","",'(1)예금승인내역'!G781)</f>
        <v>45694</v>
      </c>
      <c r="P155" s="531" t="str">
        <f aca="false">IF('(1)예금승인내역'!F781="","",'(1)예금승인내역'!F781)</f>
        <v>한국석유공사</v>
      </c>
      <c r="Q155" s="531" t="str">
        <f aca="false">IF('(1)예금승인내역'!C781="","",'(1)예금승인내역'!C781)</f>
        <v>울산영업부</v>
      </c>
      <c r="R155" s="531" t="str">
        <f aca="false">IF('(1)예금승인내역'!K781="","",'(1)예금승인내역'!K781)</f>
        <v>정기예금</v>
      </c>
      <c r="S155" s="548" t="n">
        <f aca="false">IF('(1)예금승인내역'!L781="","",'(1)예금승인내역'!L781)</f>
        <v>15</v>
      </c>
      <c r="T155" s="549" t="n">
        <f aca="false">IF('(1)예금승인내역'!AG781="","",'(1)예금승인내역'!AG781)</f>
        <v>0.039</v>
      </c>
      <c r="U155" s="549" t="n">
        <f aca="false">IF('(1)예금승인내역'!X781="","",'(1)예금승인내역'!X781)</f>
        <v>0.003196</v>
      </c>
      <c r="V155" s="531" t="n">
        <f aca="false">IF(ISNUMBER(N155),N155-$B$2,"")</f>
        <v>-488</v>
      </c>
      <c r="W155" s="531" t="str">
        <f aca="false">IF(AND(ISNUMBER(N155),N155&gt;=$B$2,N155&lt;=$B$2+10),N155*100000+ROW(),"")</f>
        <v/>
      </c>
      <c r="X155" s="531"/>
      <c r="Y155" s="531"/>
      <c r="Z155" s="531"/>
      <c r="AA155" s="531"/>
      <c r="AB155" s="531"/>
      <c r="AC155" s="531"/>
      <c r="AD155" s="531"/>
      <c r="AE155" s="531"/>
      <c r="AF155" s="531"/>
      <c r="AG155" s="531"/>
      <c r="AH155" s="531"/>
      <c r="AI155" s="531"/>
      <c r="AJ155" s="531"/>
      <c r="AK155" s="531"/>
      <c r="AL155" s="531"/>
      <c r="AM155" s="531"/>
      <c r="AN155" s="531"/>
    </row>
    <row r="156" customFormat="false" ht="16.5" hidden="false" customHeight="true" outlineLevel="0" collapsed="false">
      <c r="A156" s="531"/>
      <c r="B156" s="531"/>
      <c r="C156" s="531"/>
      <c r="D156" s="531"/>
      <c r="E156" s="531"/>
      <c r="F156" s="531"/>
      <c r="G156" s="531"/>
      <c r="H156" s="531"/>
      <c r="I156" s="531"/>
      <c r="J156" s="531"/>
      <c r="K156" s="531"/>
      <c r="L156" s="531"/>
      <c r="M156" s="531"/>
      <c r="N156" s="547" t="n">
        <f aca="false">IF('(1)예금승인내역'!H782="","",'(1)예금승인내역'!H782)</f>
        <v>45723</v>
      </c>
      <c r="O156" s="547" t="n">
        <f aca="false">IF('(1)예금승인내역'!G782="","",'(1)예금승인내역'!G782)</f>
        <v>45695</v>
      </c>
      <c r="P156" s="531" t="str">
        <f aca="false">IF('(1)예금승인내역'!F782="","",'(1)예금승인내역'!F782)</f>
        <v>㈜이수스페셜티케미컬</v>
      </c>
      <c r="Q156" s="531" t="str">
        <f aca="false">IF('(1)예금승인내역'!C782="","",'(1)예금승인내역'!C782)</f>
        <v>성남영업부</v>
      </c>
      <c r="R156" s="531" t="str">
        <f aca="false">IF('(1)예금승인내역'!K782="","",'(1)예금승인내역'!K782)</f>
        <v>MMDA</v>
      </c>
      <c r="S156" s="548" t="n">
        <f aca="false">IF('(1)예금승인내역'!L782="","",'(1)예금승인내역'!L782)</f>
        <v>3</v>
      </c>
      <c r="T156" s="549" t="n">
        <f aca="false">IF('(1)예금승인내역'!AG782="","",'(1)예금승인내역'!AG782)</f>
        <v>0.0385</v>
      </c>
      <c r="U156" s="549" t="n">
        <f aca="false">IF('(1)예금승인내역'!X782="","",'(1)예금승인내역'!X782)</f>
        <v>0.004491</v>
      </c>
      <c r="V156" s="531" t="n">
        <f aca="false">IF(ISNUMBER(N156),N156-$B$2,"")</f>
        <v>-466</v>
      </c>
      <c r="W156" s="531" t="str">
        <f aca="false">IF(AND(ISNUMBER(N156),N156&gt;=$B$2,N156&lt;=$B$2+10),N156*100000+ROW(),"")</f>
        <v/>
      </c>
      <c r="X156" s="531"/>
      <c r="Y156" s="531"/>
      <c r="Z156" s="531"/>
      <c r="AA156" s="531"/>
      <c r="AB156" s="531"/>
      <c r="AC156" s="531"/>
      <c r="AD156" s="531"/>
      <c r="AE156" s="531"/>
      <c r="AF156" s="531"/>
      <c r="AG156" s="531"/>
      <c r="AH156" s="531"/>
      <c r="AI156" s="531"/>
      <c r="AJ156" s="531"/>
      <c r="AK156" s="531"/>
      <c r="AL156" s="531"/>
      <c r="AM156" s="531"/>
      <c r="AN156" s="531"/>
    </row>
    <row r="157" customFormat="false" ht="16.5" hidden="false" customHeight="true" outlineLevel="0" collapsed="false">
      <c r="A157" s="531"/>
      <c r="B157" s="531"/>
      <c r="C157" s="531"/>
      <c r="D157" s="531"/>
      <c r="E157" s="531"/>
      <c r="F157" s="531"/>
      <c r="G157" s="531"/>
      <c r="H157" s="531"/>
      <c r="I157" s="531"/>
      <c r="J157" s="531"/>
      <c r="K157" s="531"/>
      <c r="L157" s="531"/>
      <c r="M157" s="531"/>
      <c r="N157" s="547" t="n">
        <f aca="false">IF('(1)예금승인내역'!H783="","",'(1)예금승인내역'!H783)</f>
        <v>45705</v>
      </c>
      <c r="O157" s="547" t="n">
        <f aca="false">IF('(1)예금승인내역'!G783="","",'(1)예금승인내역'!G783)</f>
        <v>45698</v>
      </c>
      <c r="P157" s="531" t="str">
        <f aca="false">IF('(1)예금승인내역'!F783="","",'(1)예금승인내역'!F783)</f>
        <v>㈜ 일지테크</v>
      </c>
      <c r="Q157" s="531" t="str">
        <f aca="false">IF('(1)예금승인내역'!C783="","",'(1)예금승인내역'!C783)</f>
        <v>경산공단영업부</v>
      </c>
      <c r="R157" s="531" t="str">
        <f aca="false">IF('(1)예금승인내역'!K783="","",'(1)예금승인내역'!K783)</f>
        <v>정기예금</v>
      </c>
      <c r="S157" s="548" t="n">
        <f aca="false">IF('(1)예금승인내역'!L783="","",'(1)예금승인내역'!L783)</f>
        <v>22.3</v>
      </c>
      <c r="T157" s="549" t="n">
        <f aca="false">IF('(1)예금승인내역'!AG783="","",'(1)예금승인내역'!AG783)</f>
        <v>0.0385</v>
      </c>
      <c r="U157" s="549" t="n">
        <f aca="false">IF('(1)예금승인내역'!X783="","",'(1)예금승인내역'!X783)</f>
        <v>0.003546</v>
      </c>
      <c r="V157" s="531" t="n">
        <f aca="false">IF(ISNUMBER(N157),N157-$B$2,"")</f>
        <v>-484</v>
      </c>
      <c r="W157" s="531" t="str">
        <f aca="false">IF(AND(ISNUMBER(N157),N157&gt;=$B$2,N157&lt;=$B$2+10),N157*100000+ROW(),"")</f>
        <v/>
      </c>
      <c r="X157" s="531"/>
      <c r="Y157" s="531"/>
      <c r="Z157" s="531"/>
      <c r="AA157" s="531"/>
      <c r="AB157" s="531"/>
      <c r="AC157" s="531"/>
      <c r="AD157" s="531"/>
      <c r="AE157" s="531"/>
      <c r="AF157" s="531"/>
      <c r="AG157" s="531"/>
      <c r="AH157" s="531"/>
      <c r="AI157" s="531"/>
      <c r="AJ157" s="531"/>
      <c r="AK157" s="531"/>
      <c r="AL157" s="531"/>
      <c r="AM157" s="531"/>
      <c r="AN157" s="531"/>
    </row>
    <row r="158" customFormat="false" ht="16.5" hidden="false" customHeight="true" outlineLevel="0" collapsed="false">
      <c r="A158" s="531"/>
      <c r="B158" s="531"/>
      <c r="C158" s="531"/>
      <c r="D158" s="531"/>
      <c r="E158" s="531"/>
      <c r="F158" s="531"/>
      <c r="G158" s="531"/>
      <c r="H158" s="531"/>
      <c r="I158" s="531"/>
      <c r="J158" s="531"/>
      <c r="K158" s="531"/>
      <c r="L158" s="531"/>
      <c r="M158" s="531"/>
      <c r="N158" s="547" t="n">
        <f aca="false">IF('(1)예금승인내역'!H784="","",'(1)예금승인내역'!H784)</f>
        <v>45726</v>
      </c>
      <c r="O158" s="547" t="n">
        <f aca="false">IF('(1)예금승인내역'!G784="","",'(1)예금승인내역'!G784)</f>
        <v>45698</v>
      </c>
      <c r="P158" s="531" t="str">
        <f aca="false">IF('(1)예금승인내역'!F784="","",'(1)예금승인내역'!F784)</f>
        <v>한국비철㈜</v>
      </c>
      <c r="Q158" s="531" t="str">
        <f aca="false">IF('(1)예금승인내역'!C784="","",'(1)예금승인내역'!C784)</f>
        <v>달성공단영업부</v>
      </c>
      <c r="R158" s="531" t="str">
        <f aca="false">IF('(1)예금승인내역'!K784="","",'(1)예금승인내역'!K784)</f>
        <v>정기예금</v>
      </c>
      <c r="S158" s="548" t="n">
        <f aca="false">IF('(1)예금승인내역'!L784="","",'(1)예금승인내역'!L784)</f>
        <v>12</v>
      </c>
      <c r="T158" s="549" t="n">
        <f aca="false">IF('(1)예금승인내역'!AG784="","",'(1)예금승인내역'!AG784)</f>
        <v>0.0412</v>
      </c>
      <c r="U158" s="549" t="n">
        <f aca="false">IF('(1)예금승인내역'!X784="","",'(1)예금승인내역'!X784)</f>
        <v>0.002113</v>
      </c>
      <c r="V158" s="531" t="n">
        <f aca="false">IF(ISNUMBER(N158),N158-$B$2,"")</f>
        <v>-463</v>
      </c>
      <c r="W158" s="531" t="str">
        <f aca="false">IF(AND(ISNUMBER(N158),N158&gt;=$B$2,N158&lt;=$B$2+10),N158*100000+ROW(),"")</f>
        <v/>
      </c>
      <c r="X158" s="531"/>
      <c r="Y158" s="531"/>
      <c r="Z158" s="531"/>
      <c r="AA158" s="531"/>
      <c r="AB158" s="531"/>
      <c r="AC158" s="531"/>
      <c r="AD158" s="531"/>
      <c r="AE158" s="531"/>
      <c r="AF158" s="531"/>
      <c r="AG158" s="531"/>
      <c r="AH158" s="531"/>
      <c r="AI158" s="531"/>
      <c r="AJ158" s="531"/>
      <c r="AK158" s="531"/>
      <c r="AL158" s="531"/>
      <c r="AM158" s="531"/>
      <c r="AN158" s="531"/>
    </row>
    <row r="159" customFormat="false" ht="16.5" hidden="false" customHeight="true" outlineLevel="0" collapsed="false">
      <c r="A159" s="531"/>
      <c r="B159" s="531"/>
      <c r="C159" s="531"/>
      <c r="D159" s="531"/>
      <c r="E159" s="531"/>
      <c r="F159" s="531"/>
      <c r="G159" s="531"/>
      <c r="H159" s="531"/>
      <c r="I159" s="531"/>
      <c r="J159" s="531"/>
      <c r="K159" s="531"/>
      <c r="L159" s="531"/>
      <c r="M159" s="531"/>
      <c r="N159" s="547" t="n">
        <f aca="false">IF('(1)예금승인내역'!H785="","",'(1)예금승인내역'!H785)</f>
        <v>45726</v>
      </c>
      <c r="O159" s="547" t="n">
        <f aca="false">IF('(1)예금승인내역'!G785="","",'(1)예금승인내역'!G785)</f>
        <v>45698</v>
      </c>
      <c r="P159" s="531" t="str">
        <f aca="false">IF('(1)예금승인내역'!F785="","",'(1)예금승인내역'!F785)</f>
        <v>대원지에스아이</v>
      </c>
      <c r="Q159" s="531" t="str">
        <f aca="false">IF('(1)예금승인내역'!C785="","",'(1)예금승인내역'!C785)</f>
        <v>유통단지영업부</v>
      </c>
      <c r="R159" s="531" t="str">
        <f aca="false">IF('(1)예금승인내역'!K785="","",'(1)예금승인내역'!K785)</f>
        <v>정기예금</v>
      </c>
      <c r="S159" s="548" t="n">
        <f aca="false">IF('(1)예금승인내역'!L785="","",'(1)예금승인내역'!L785)</f>
        <v>1.5</v>
      </c>
      <c r="T159" s="549" t="n">
        <f aca="false">IF('(1)예금승인내역'!AG785="","",'(1)예금승인내역'!AG785)</f>
        <v>0.041</v>
      </c>
      <c r="U159" s="549" t="n">
        <f aca="false">IF('(1)예금승인내역'!X785="","",'(1)예금승인내역'!X785)</f>
        <v>0.002347</v>
      </c>
      <c r="V159" s="531" t="n">
        <f aca="false">IF(ISNUMBER(N159),N159-$B$2,"")</f>
        <v>-463</v>
      </c>
      <c r="W159" s="531" t="str">
        <f aca="false">IF(AND(ISNUMBER(N159),N159&gt;=$B$2,N159&lt;=$B$2+10),N159*100000+ROW(),"")</f>
        <v/>
      </c>
      <c r="X159" s="531"/>
      <c r="Y159" s="531"/>
      <c r="Z159" s="531"/>
      <c r="AA159" s="531"/>
      <c r="AB159" s="531"/>
      <c r="AC159" s="531"/>
      <c r="AD159" s="531"/>
      <c r="AE159" s="531"/>
      <c r="AF159" s="531"/>
      <c r="AG159" s="531"/>
      <c r="AH159" s="531"/>
      <c r="AI159" s="531"/>
      <c r="AJ159" s="531"/>
      <c r="AK159" s="531"/>
      <c r="AL159" s="531"/>
      <c r="AM159" s="531"/>
      <c r="AN159" s="531"/>
    </row>
    <row r="160" customFormat="false" ht="16.5" hidden="false" customHeight="true" outlineLevel="0" collapsed="false">
      <c r="A160" s="531"/>
      <c r="B160" s="531"/>
      <c r="C160" s="531"/>
      <c r="D160" s="531"/>
      <c r="E160" s="531"/>
      <c r="F160" s="531"/>
      <c r="G160" s="531"/>
      <c r="H160" s="531"/>
      <c r="I160" s="531"/>
      <c r="J160" s="531"/>
      <c r="K160" s="531"/>
      <c r="L160" s="531"/>
      <c r="M160" s="531"/>
      <c r="N160" s="547" t="n">
        <f aca="false">IF('(1)예금승인내역'!H786="","",'(1)예금승인내역'!H786)</f>
        <v>45727</v>
      </c>
      <c r="O160" s="547" t="n">
        <f aca="false">IF('(1)예금승인내역'!G786="","",'(1)예금승인내역'!G786)</f>
        <v>45699</v>
      </c>
      <c r="P160" s="531" t="str">
        <f aca="false">IF('(1)예금승인내역'!F786="","",'(1)예금승인내역'!F786)</f>
        <v>와이투솔루션</v>
      </c>
      <c r="Q160" s="531" t="str">
        <f aca="false">IF('(1)예금승인내역'!C786="","",'(1)예금승인내역'!C786)</f>
        <v>화성금융센터</v>
      </c>
      <c r="R160" s="531" t="str">
        <f aca="false">IF('(1)예금승인내역'!K786="","",'(1)예금승인내역'!K786)</f>
        <v>MMDA</v>
      </c>
      <c r="S160" s="548" t="n">
        <f aca="false">IF('(1)예금승인내역'!L786="","",'(1)예금승인내역'!L786)</f>
        <v>1</v>
      </c>
      <c r="T160" s="549" t="n">
        <f aca="false">IF('(1)예금승인내역'!AG786="","",'(1)예금승인내역'!AG786)</f>
        <v>0.0385</v>
      </c>
      <c r="U160" s="549" t="n">
        <f aca="false">IF('(1)예금승인내역'!X786="","",'(1)예금승인내역'!X786)</f>
        <v>0.001894</v>
      </c>
      <c r="V160" s="531" t="n">
        <f aca="false">IF(ISNUMBER(N160),N160-$B$2,"")</f>
        <v>-462</v>
      </c>
      <c r="W160" s="531" t="str">
        <f aca="false">IF(AND(ISNUMBER(N160),N160&gt;=$B$2,N160&lt;=$B$2+10),N160*100000+ROW(),"")</f>
        <v/>
      </c>
      <c r="X160" s="531"/>
      <c r="Y160" s="531"/>
      <c r="Z160" s="531"/>
      <c r="AA160" s="531"/>
      <c r="AB160" s="531"/>
      <c r="AC160" s="531"/>
      <c r="AD160" s="531"/>
      <c r="AE160" s="531"/>
      <c r="AF160" s="531"/>
      <c r="AG160" s="531"/>
      <c r="AH160" s="531"/>
      <c r="AI160" s="531"/>
      <c r="AJ160" s="531"/>
      <c r="AK160" s="531"/>
      <c r="AL160" s="531"/>
      <c r="AM160" s="531"/>
      <c r="AN160" s="531"/>
    </row>
    <row r="161" customFormat="false" ht="16.5" hidden="false" customHeight="true" outlineLevel="0" collapsed="false">
      <c r="A161" s="531"/>
      <c r="B161" s="531"/>
      <c r="C161" s="531"/>
      <c r="D161" s="531"/>
      <c r="E161" s="531"/>
      <c r="F161" s="531"/>
      <c r="G161" s="531"/>
      <c r="H161" s="531"/>
      <c r="I161" s="531"/>
      <c r="J161" s="531"/>
      <c r="K161" s="531"/>
      <c r="L161" s="531"/>
      <c r="M161" s="531"/>
      <c r="N161" s="547" t="n">
        <f aca="false">IF('(1)예금승인내역'!H787="","",'(1)예금승인내역'!H787)</f>
        <v>45712</v>
      </c>
      <c r="O161" s="547" t="n">
        <f aca="false">IF('(1)예금승인내역'!G787="","",'(1)예금승인내역'!G787)</f>
        <v>45700</v>
      </c>
      <c r="P161" s="531" t="str">
        <f aca="false">IF('(1)예금승인내역'!F787="","",'(1)예금승인내역'!F787)</f>
        <v>㈜ 일지테크</v>
      </c>
      <c r="Q161" s="531" t="str">
        <f aca="false">IF('(1)예금승인내역'!C787="","",'(1)예금승인내역'!C787)</f>
        <v>경산공단영업부</v>
      </c>
      <c r="R161" s="531" t="str">
        <f aca="false">IF('(1)예금승인내역'!K787="","",'(1)예금승인내역'!K787)</f>
        <v>정기예금</v>
      </c>
      <c r="S161" s="548" t="n">
        <f aca="false">IF('(1)예금승인내역'!L787="","",'(1)예금승인내역'!L787)</f>
        <v>8.6</v>
      </c>
      <c r="T161" s="549" t="n">
        <f aca="false">IF('(1)예금승인내역'!AG787="","",'(1)예금승인내역'!AG787)</f>
        <v>0.0385</v>
      </c>
      <c r="U161" s="549" t="n">
        <f aca="false">IF('(1)예금승인내역'!X787="","",'(1)예금승인내역'!X787)</f>
        <v>0.004001</v>
      </c>
      <c r="V161" s="531" t="n">
        <f aca="false">IF(ISNUMBER(N161),N161-$B$2,"")</f>
        <v>-477</v>
      </c>
      <c r="W161" s="531" t="str">
        <f aca="false">IF(AND(ISNUMBER(N161),N161&gt;=$B$2,N161&lt;=$B$2+10),N161*100000+ROW(),"")</f>
        <v/>
      </c>
      <c r="X161" s="531"/>
      <c r="Y161" s="531"/>
      <c r="Z161" s="531"/>
      <c r="AA161" s="531"/>
      <c r="AB161" s="531"/>
      <c r="AC161" s="531"/>
      <c r="AD161" s="531"/>
      <c r="AE161" s="531"/>
      <c r="AF161" s="531"/>
      <c r="AG161" s="531"/>
      <c r="AH161" s="531"/>
      <c r="AI161" s="531"/>
      <c r="AJ161" s="531"/>
      <c r="AK161" s="531"/>
      <c r="AL161" s="531"/>
      <c r="AM161" s="531"/>
      <c r="AN161" s="531"/>
    </row>
    <row r="162" customFormat="false" ht="16.5" hidden="false" customHeight="true" outlineLevel="0" collapsed="false">
      <c r="A162" s="531"/>
      <c r="B162" s="531"/>
      <c r="C162" s="531"/>
      <c r="D162" s="531"/>
      <c r="E162" s="531"/>
      <c r="F162" s="531"/>
      <c r="G162" s="531"/>
      <c r="H162" s="531"/>
      <c r="I162" s="531"/>
      <c r="J162" s="531"/>
      <c r="K162" s="531"/>
      <c r="L162" s="531"/>
      <c r="M162" s="531"/>
      <c r="N162" s="547" t="n">
        <f aca="false">IF('(1)예금승인내역'!H788="","",'(1)예금승인내역'!H788)</f>
        <v>45729</v>
      </c>
      <c r="O162" s="547" t="n">
        <f aca="false">IF('(1)예금승인내역'!G788="","",'(1)예금승인내역'!G788)</f>
        <v>45701</v>
      </c>
      <c r="P162" s="531" t="str">
        <f aca="false">IF('(1)예금승인내역'!F788="","",'(1)예금승인내역'!F788)</f>
        <v>㈜에스앤에스텍</v>
      </c>
      <c r="Q162" s="531" t="str">
        <f aca="false">IF('(1)예금승인내역'!C788="","",'(1)예금승인내역'!C788)</f>
        <v>성서3단지영업부</v>
      </c>
      <c r="R162" s="531" t="str">
        <f aca="false">IF('(1)예금승인내역'!K788="","",'(1)예금승인내역'!K788)</f>
        <v>정기예금</v>
      </c>
      <c r="S162" s="548" t="n">
        <f aca="false">IF('(1)예금승인내역'!L788="","",'(1)예금승인내역'!L788)</f>
        <v>1</v>
      </c>
      <c r="T162" s="549" t="n">
        <f aca="false">IF('(1)예금승인내역'!AG788="","",'(1)예금승인내역'!AG788)</f>
        <v>0.041</v>
      </c>
      <c r="U162" s="549" t="n">
        <f aca="false">IF('(1)예금승인내역'!X788="","",'(1)예금승인내역'!X788)</f>
        <v>0.002395</v>
      </c>
      <c r="V162" s="531" t="n">
        <f aca="false">IF(ISNUMBER(N162),N162-$B$2,"")</f>
        <v>-460</v>
      </c>
      <c r="W162" s="531" t="str">
        <f aca="false">IF(AND(ISNUMBER(N162),N162&gt;=$B$2,N162&lt;=$B$2+10),N162*100000+ROW(),"")</f>
        <v/>
      </c>
      <c r="X162" s="531"/>
      <c r="Y162" s="531"/>
      <c r="Z162" s="531"/>
      <c r="AA162" s="531"/>
      <c r="AB162" s="531"/>
      <c r="AC162" s="531"/>
      <c r="AD162" s="531"/>
      <c r="AE162" s="531"/>
      <c r="AF162" s="531"/>
      <c r="AG162" s="531"/>
      <c r="AH162" s="531"/>
      <c r="AI162" s="531"/>
      <c r="AJ162" s="531"/>
      <c r="AK162" s="531"/>
      <c r="AL162" s="531"/>
      <c r="AM162" s="531"/>
      <c r="AN162" s="531"/>
    </row>
    <row r="163" customFormat="false" ht="16.5" hidden="false" customHeight="true" outlineLevel="0" collapsed="false">
      <c r="A163" s="531"/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1"/>
      <c r="N163" s="547" t="n">
        <f aca="false">IF('(1)예금승인내역'!H789="","",'(1)예금승인내역'!H789)</f>
        <v>45729</v>
      </c>
      <c r="O163" s="547" t="n">
        <f aca="false">IF('(1)예금승인내역'!G789="","",'(1)예금승인내역'!G789)</f>
        <v>45701</v>
      </c>
      <c r="P163" s="531" t="str">
        <f aca="false">IF('(1)예금승인내역'!F789="","",'(1)예금승인내역'!F789)</f>
        <v>대한상선㈜</v>
      </c>
      <c r="Q163" s="531" t="str">
        <f aca="false">IF('(1)예금승인내역'!C789="","",'(1)예금승인내역'!C789)</f>
        <v>강남영업부</v>
      </c>
      <c r="R163" s="531" t="str">
        <f aca="false">IF('(1)예금승인내역'!K789="","",'(1)예금승인내역'!K789)</f>
        <v>정기예금</v>
      </c>
      <c r="S163" s="548" t="n">
        <f aca="false">IF('(1)예금승인내역'!L789="","",'(1)예금승인내역'!L789)</f>
        <v>1</v>
      </c>
      <c r="T163" s="549" t="n">
        <f aca="false">IF('(1)예금승인내역'!AG789="","",'(1)예금승인내역'!AG789)</f>
        <v>0.0412</v>
      </c>
      <c r="U163" s="549" t="n">
        <f aca="false">IF('(1)예금승인내역'!X789="","",'(1)예금승인내역'!X789)</f>
        <v>0.002195</v>
      </c>
      <c r="V163" s="531" t="n">
        <f aca="false">IF(ISNUMBER(N163),N163-$B$2,"")</f>
        <v>-460</v>
      </c>
      <c r="W163" s="531" t="str">
        <f aca="false">IF(AND(ISNUMBER(N163),N163&gt;=$B$2,N163&lt;=$B$2+10),N163*100000+ROW(),"")</f>
        <v/>
      </c>
      <c r="X163" s="531"/>
      <c r="Y163" s="531"/>
      <c r="Z163" s="531"/>
      <c r="AA163" s="531"/>
      <c r="AB163" s="531"/>
      <c r="AC163" s="531"/>
      <c r="AD163" s="531"/>
      <c r="AE163" s="531"/>
      <c r="AF163" s="531"/>
      <c r="AG163" s="531"/>
      <c r="AH163" s="531"/>
      <c r="AI163" s="531"/>
      <c r="AJ163" s="531"/>
      <c r="AK163" s="531"/>
      <c r="AL163" s="531"/>
      <c r="AM163" s="531"/>
      <c r="AN163" s="531"/>
    </row>
    <row r="164" customFormat="false" ht="16.5" hidden="false" customHeight="true" outlineLevel="0" collapsed="false">
      <c r="A164" s="531"/>
      <c r="B164" s="531"/>
      <c r="C164" s="531"/>
      <c r="D164" s="531"/>
      <c r="E164" s="531"/>
      <c r="F164" s="531"/>
      <c r="G164" s="531"/>
      <c r="H164" s="531"/>
      <c r="I164" s="531"/>
      <c r="J164" s="531"/>
      <c r="K164" s="531"/>
      <c r="L164" s="531"/>
      <c r="M164" s="531"/>
      <c r="N164" s="547" t="n">
        <f aca="false">IF('(1)예금승인내역'!H790="","",'(1)예금승인내역'!H790)</f>
        <v>45730</v>
      </c>
      <c r="O164" s="547" t="n">
        <f aca="false">IF('(1)예금승인내역'!G790="","",'(1)예금승인내역'!G790)</f>
        <v>45702</v>
      </c>
      <c r="P164" s="531" t="str">
        <f aca="false">IF('(1)예금승인내역'!F790="","",'(1)예금승인내역'!F790)</f>
        <v>㈜비알팜</v>
      </c>
      <c r="Q164" s="531" t="str">
        <f aca="false">IF('(1)예금승인내역'!C790="","",'(1)예금승인내역'!C790)</f>
        <v>원주금융센터</v>
      </c>
      <c r="R164" s="531" t="str">
        <f aca="false">IF('(1)예금승인내역'!K790="","",'(1)예금승인내역'!K790)</f>
        <v>MMDA</v>
      </c>
      <c r="S164" s="548" t="n">
        <f aca="false">IF('(1)예금승인내역'!L790="","",'(1)예금승인내역'!L790)</f>
        <v>1</v>
      </c>
      <c r="T164" s="549" t="n">
        <f aca="false">IF('(1)예금승인내역'!AG790="","",'(1)예금승인내역'!AG790)</f>
        <v>0.0385</v>
      </c>
      <c r="U164" s="549" t="n">
        <f aca="false">IF('(1)예금승인내역'!X790="","",'(1)예금승인내역'!X790)</f>
        <v>0.004573</v>
      </c>
      <c r="V164" s="531" t="n">
        <f aca="false">IF(ISNUMBER(N164),N164-$B$2,"")</f>
        <v>-459</v>
      </c>
      <c r="W164" s="531" t="str">
        <f aca="false">IF(AND(ISNUMBER(N164),N164&gt;=$B$2,N164&lt;=$B$2+10),N164*100000+ROW(),"")</f>
        <v/>
      </c>
      <c r="X164" s="531"/>
      <c r="Y164" s="531"/>
      <c r="Z164" s="531"/>
      <c r="AA164" s="531"/>
      <c r="AB164" s="531"/>
      <c r="AC164" s="531"/>
      <c r="AD164" s="531"/>
      <c r="AE164" s="531"/>
      <c r="AF164" s="531"/>
      <c r="AG164" s="531"/>
      <c r="AH164" s="531"/>
      <c r="AI164" s="531"/>
      <c r="AJ164" s="531"/>
      <c r="AK164" s="531"/>
      <c r="AL164" s="531"/>
      <c r="AM164" s="531"/>
      <c r="AN164" s="531"/>
    </row>
    <row r="165" customFormat="false" ht="16.5" hidden="false" customHeight="true" outlineLevel="0" collapsed="false">
      <c r="A165" s="531"/>
      <c r="B165" s="531"/>
      <c r="C165" s="531"/>
      <c r="D165" s="531"/>
      <c r="E165" s="531"/>
      <c r="F165" s="531"/>
      <c r="G165" s="531"/>
      <c r="H165" s="531"/>
      <c r="I165" s="531"/>
      <c r="J165" s="531"/>
      <c r="K165" s="531"/>
      <c r="L165" s="531"/>
      <c r="M165" s="531"/>
      <c r="N165" s="547" t="n">
        <f aca="false">IF('(1)예금승인내역'!H791="","",'(1)예금승인내역'!H791)</f>
        <v>45730</v>
      </c>
      <c r="O165" s="547" t="n">
        <f aca="false">IF('(1)예금승인내역'!G791="","",'(1)예금승인내역'!G791)</f>
        <v>45702</v>
      </c>
      <c r="P165" s="531" t="str">
        <f aca="false">IF('(1)예금승인내역'!F791="","",'(1)예금승인내역'!F791)</f>
        <v>오스템임플란트㈜</v>
      </c>
      <c r="Q165" s="531" t="str">
        <f aca="false">IF('(1)예금승인내역'!C791="","",'(1)예금승인내역'!C791)</f>
        <v>성남금융센터</v>
      </c>
      <c r="R165" s="531" t="str">
        <f aca="false">IF('(1)예금승인내역'!K791="","",'(1)예금승인내역'!K791)</f>
        <v>MMDA</v>
      </c>
      <c r="S165" s="548" t="n">
        <f aca="false">IF('(1)예금승인내역'!L791="","",'(1)예금승인내역'!L791)</f>
        <v>4.789</v>
      </c>
      <c r="T165" s="549" t="n">
        <f aca="false">IF('(1)예금승인내역'!AG791="","",'(1)예금승인내역'!AG791)</f>
        <v>0.0385</v>
      </c>
      <c r="U165" s="549" t="n">
        <f aca="false">IF('(1)예금승인내역'!X791="","",'(1)예금승인내역'!X791)</f>
        <v>0.004573</v>
      </c>
      <c r="V165" s="531" t="n">
        <f aca="false">IF(ISNUMBER(N165),N165-$B$2,"")</f>
        <v>-459</v>
      </c>
      <c r="W165" s="531" t="str">
        <f aca="false">IF(AND(ISNUMBER(N165),N165&gt;=$B$2,N165&lt;=$B$2+10),N165*100000+ROW(),"")</f>
        <v/>
      </c>
      <c r="X165" s="531"/>
      <c r="Y165" s="531"/>
      <c r="Z165" s="531"/>
      <c r="AA165" s="531"/>
      <c r="AB165" s="531"/>
      <c r="AC165" s="531"/>
      <c r="AD165" s="531"/>
      <c r="AE165" s="531"/>
      <c r="AF165" s="531"/>
      <c r="AG165" s="531"/>
      <c r="AH165" s="531"/>
      <c r="AI165" s="531"/>
      <c r="AJ165" s="531"/>
      <c r="AK165" s="531"/>
      <c r="AL165" s="531"/>
      <c r="AM165" s="531"/>
      <c r="AN165" s="531"/>
    </row>
    <row r="166" customFormat="false" ht="16.5" hidden="false" customHeight="true" outlineLevel="0" collapsed="false">
      <c r="A166" s="531"/>
      <c r="B166" s="531"/>
      <c r="C166" s="531"/>
      <c r="D166" s="531"/>
      <c r="E166" s="531"/>
      <c r="F166" s="531"/>
      <c r="G166" s="531"/>
      <c r="H166" s="531"/>
      <c r="I166" s="531"/>
      <c r="J166" s="531"/>
      <c r="K166" s="531"/>
      <c r="L166" s="531"/>
      <c r="M166" s="531"/>
      <c r="N166" s="547" t="n">
        <f aca="false">IF('(1)예금승인내역'!H792="","",'(1)예금승인내역'!H792)</f>
        <v>45712</v>
      </c>
      <c r="O166" s="547" t="n">
        <f aca="false">IF('(1)예금승인내역'!G792="","",'(1)예금승인내역'!G792)</f>
        <v>45705</v>
      </c>
      <c r="P166" s="531" t="str">
        <f aca="false">IF('(1)예금승인내역'!F792="","",'(1)예금승인내역'!F792)</f>
        <v>요구</v>
      </c>
      <c r="Q166" s="531" t="str">
        <f aca="false">IF('(1)예금승인내역'!C792="","",'(1)예금승인내역'!C792)</f>
        <v>경산공단영업부</v>
      </c>
      <c r="R166" s="531" t="str">
        <f aca="false">IF('(1)예금승인내역'!K792="","",'(1)예금승인내역'!K792)</f>
        <v>정기예금</v>
      </c>
      <c r="S166" s="548" t="n">
        <f aca="false">IF('(1)예금승인내역'!L792="","",'(1)예금승인내역'!L792)</f>
        <v>22.3</v>
      </c>
      <c r="T166" s="549" t="n">
        <f aca="false">IF('(1)예금승인내역'!AG792="","",'(1)예금승인내역'!AG792)</f>
        <v>0.0385</v>
      </c>
      <c r="U166" s="549" t="n">
        <f aca="false">IF('(1)예금승인내역'!X792="","",'(1)예금승인내역'!X792)</f>
        <v>0.003471</v>
      </c>
      <c r="V166" s="531" t="n">
        <f aca="false">IF(ISNUMBER(N166),N166-$B$2,"")</f>
        <v>-477</v>
      </c>
      <c r="W166" s="531" t="str">
        <f aca="false">IF(AND(ISNUMBER(N166),N166&gt;=$B$2,N166&lt;=$B$2+10),N166*100000+ROW(),"")</f>
        <v/>
      </c>
      <c r="X166" s="531"/>
      <c r="Y166" s="531"/>
      <c r="Z166" s="531"/>
      <c r="AA166" s="531"/>
      <c r="AB166" s="531"/>
      <c r="AC166" s="531"/>
      <c r="AD166" s="531"/>
      <c r="AE166" s="531"/>
      <c r="AF166" s="531"/>
      <c r="AG166" s="531"/>
      <c r="AH166" s="531"/>
      <c r="AI166" s="531"/>
      <c r="AJ166" s="531"/>
      <c r="AK166" s="531"/>
      <c r="AL166" s="531"/>
      <c r="AM166" s="531"/>
      <c r="AN166" s="531"/>
    </row>
    <row r="167" customFormat="false" ht="16.5" hidden="false" customHeight="true" outlineLevel="0" collapsed="false">
      <c r="A167" s="531"/>
      <c r="B167" s="531"/>
      <c r="C167" s="531"/>
      <c r="D167" s="531"/>
      <c r="E167" s="531"/>
      <c r="F167" s="531"/>
      <c r="G167" s="531"/>
      <c r="H167" s="531"/>
      <c r="I167" s="531"/>
      <c r="J167" s="531"/>
      <c r="K167" s="531"/>
      <c r="L167" s="531"/>
      <c r="M167" s="531"/>
      <c r="N167" s="547" t="n">
        <f aca="false">IF('(1)예금승인내역'!H793="","",'(1)예금승인내역'!H793)</f>
        <v>45796</v>
      </c>
      <c r="O167" s="547" t="n">
        <f aca="false">IF('(1)예금승인내역'!G793="","",'(1)예금승인내역'!G793)</f>
        <v>45706</v>
      </c>
      <c r="P167" s="531" t="str">
        <f aca="false">IF('(1)예금승인내역'!F793="","",'(1)예금승인내역'!F793)</f>
        <v>㈜세도캠핑</v>
      </c>
      <c r="Q167" s="531" t="str">
        <f aca="false">IF('(1)예금승인내역'!C793="","",'(1)예금승인내역'!C793)</f>
        <v>강남영업부</v>
      </c>
      <c r="R167" s="531" t="str">
        <f aca="false">IF('(1)예금승인내역'!K793="","",'(1)예금승인내역'!K793)</f>
        <v>정기예금</v>
      </c>
      <c r="S167" s="548" t="n">
        <f aca="false">IF('(1)예금승인내역'!L793="","",'(1)예금승인내역'!L793)</f>
        <v>2.04</v>
      </c>
      <c r="T167" s="549" t="n">
        <f aca="false">IF('(1)예금승인내역'!AG793="","",'(1)예금승인내역'!AG793)</f>
        <v>0.0425</v>
      </c>
      <c r="U167" s="549" t="n">
        <f aca="false">IF('(1)예금승인내역'!X793="","",'(1)예금승인내역'!X793)</f>
        <v>0.00172</v>
      </c>
      <c r="V167" s="531" t="n">
        <f aca="false">IF(ISNUMBER(N167),N167-$B$2,"")</f>
        <v>-393</v>
      </c>
      <c r="W167" s="531" t="str">
        <f aca="false">IF(AND(ISNUMBER(N167),N167&gt;=$B$2,N167&lt;=$B$2+10),N167*100000+ROW(),"")</f>
        <v/>
      </c>
      <c r="X167" s="531"/>
      <c r="Y167" s="531"/>
      <c r="Z167" s="531"/>
      <c r="AA167" s="531"/>
      <c r="AB167" s="531"/>
      <c r="AC167" s="531"/>
      <c r="AD167" s="531"/>
      <c r="AE167" s="531"/>
      <c r="AF167" s="531"/>
      <c r="AG167" s="531"/>
      <c r="AH167" s="531"/>
      <c r="AI167" s="531"/>
      <c r="AJ167" s="531"/>
      <c r="AK167" s="531"/>
      <c r="AL167" s="531"/>
      <c r="AM167" s="531"/>
      <c r="AN167" s="531"/>
    </row>
    <row r="168" customFormat="false" ht="16.5" hidden="false" customHeight="true" outlineLevel="0" collapsed="false">
      <c r="A168" s="531"/>
      <c r="B168" s="531"/>
      <c r="C168" s="531"/>
      <c r="D168" s="531"/>
      <c r="E168" s="531"/>
      <c r="F168" s="531"/>
      <c r="G168" s="531"/>
      <c r="H168" s="531"/>
      <c r="I168" s="531"/>
      <c r="J168" s="531"/>
      <c r="K168" s="531"/>
      <c r="L168" s="531"/>
      <c r="M168" s="531"/>
      <c r="N168" s="547" t="n">
        <f aca="false">IF('(1)예금승인내역'!H794="","",'(1)예금승인내역'!H794)</f>
        <v>45736</v>
      </c>
      <c r="O168" s="547" t="n">
        <f aca="false">IF('(1)예금승인내역'!G794="","",'(1)예금승인내역'!G794)</f>
        <v>45708</v>
      </c>
      <c r="P168" s="531" t="str">
        <f aca="false">IF('(1)예금승인내역'!F794="","",'(1)예금승인내역'!F794)</f>
        <v>㈜에스앤에스텍</v>
      </c>
      <c r="Q168" s="531" t="str">
        <f aca="false">IF('(1)예금승인내역'!C794="","",'(1)예금승인내역'!C794)</f>
        <v>성서3단지영업부</v>
      </c>
      <c r="R168" s="531" t="str">
        <f aca="false">IF('(1)예금승인내역'!K794="","",'(1)예금승인내역'!K794)</f>
        <v>정기예금</v>
      </c>
      <c r="S168" s="548" t="n">
        <f aca="false">IF('(1)예금승인내역'!L794="","",'(1)예금승인내역'!L794)</f>
        <v>1</v>
      </c>
      <c r="T168" s="549" t="n">
        <f aca="false">IF('(1)예금승인내역'!AG794="","",'(1)예금승인내역'!AG794)</f>
        <v>0.041</v>
      </c>
      <c r="U168" s="549" t="n">
        <f aca="false">IF('(1)예금승인내역'!X794="","",'(1)예금승인내역'!X794)</f>
        <v>0.002328</v>
      </c>
      <c r="V168" s="531" t="n">
        <f aca="false">IF(ISNUMBER(N168),N168-$B$2,"")</f>
        <v>-453</v>
      </c>
      <c r="W168" s="531" t="str">
        <f aca="false">IF(AND(ISNUMBER(N168),N168&gt;=$B$2,N168&lt;=$B$2+10),N168*100000+ROW(),"")</f>
        <v/>
      </c>
      <c r="X168" s="531"/>
      <c r="Y168" s="531"/>
      <c r="Z168" s="531"/>
      <c r="AA168" s="531"/>
      <c r="AB168" s="531"/>
      <c r="AC168" s="531"/>
      <c r="AD168" s="531"/>
      <c r="AE168" s="531"/>
      <c r="AF168" s="531"/>
      <c r="AG168" s="531"/>
      <c r="AH168" s="531"/>
      <c r="AI168" s="531"/>
      <c r="AJ168" s="531"/>
      <c r="AK168" s="531"/>
      <c r="AL168" s="531"/>
      <c r="AM168" s="531"/>
      <c r="AN168" s="531"/>
    </row>
    <row r="169" customFormat="false" ht="16.5" hidden="false" customHeight="true" outlineLevel="0" collapsed="false">
      <c r="A169" s="531"/>
      <c r="B169" s="531"/>
      <c r="C169" s="531"/>
      <c r="D169" s="531"/>
      <c r="E169" s="531"/>
      <c r="F169" s="531"/>
      <c r="G169" s="531"/>
      <c r="H169" s="531"/>
      <c r="I169" s="531"/>
      <c r="J169" s="531"/>
      <c r="K169" s="531"/>
      <c r="L169" s="531"/>
      <c r="M169" s="531"/>
      <c r="N169" s="547" t="n">
        <f aca="false">IF('(1)예금승인내역'!H795="","",'(1)예금승인내역'!H795)</f>
        <v>45797</v>
      </c>
      <c r="O169" s="547" t="n">
        <f aca="false">IF('(1)예금승인내역'!G795="","",'(1)예금승인내역'!G795)</f>
        <v>45708</v>
      </c>
      <c r="P169" s="531" t="str">
        <f aca="false">IF('(1)예금승인내역'!F795="","",'(1)예금승인내역'!F795)</f>
        <v>대성산업㈜</v>
      </c>
      <c r="Q169" s="531" t="str">
        <f aca="false">IF('(1)예금승인내역'!C795="","",'(1)예금승인내역'!C795)</f>
        <v>강남영업부</v>
      </c>
      <c r="R169" s="531" t="str">
        <f aca="false">IF('(1)예금승인내역'!K795="","",'(1)예금승인내역'!K795)</f>
        <v>정기예금</v>
      </c>
      <c r="S169" s="548" t="n">
        <f aca="false">IF('(1)예금승인내역'!L795="","",'(1)예금승인내역'!L795)</f>
        <v>3.5</v>
      </c>
      <c r="T169" s="549" t="n">
        <f aca="false">IF('(1)예금승인내역'!AG795="","",'(1)예금승인내역'!AG795)</f>
        <v>0.043</v>
      </c>
      <c r="U169" s="549" t="n">
        <f aca="false">IF('(1)예금승인내역'!X795="","",'(1)예금승인내역'!X795)</f>
        <v>0.001987</v>
      </c>
      <c r="V169" s="531" t="n">
        <f aca="false">IF(ISNUMBER(N169),N169-$B$2,"")</f>
        <v>-392</v>
      </c>
      <c r="W169" s="531" t="str">
        <f aca="false">IF(AND(ISNUMBER(N169),N169&gt;=$B$2,N169&lt;=$B$2+10),N169*100000+ROW(),"")</f>
        <v/>
      </c>
      <c r="X169" s="531"/>
      <c r="Y169" s="531"/>
      <c r="Z169" s="531"/>
      <c r="AA169" s="531"/>
      <c r="AB169" s="531"/>
      <c r="AC169" s="531"/>
      <c r="AD169" s="531"/>
      <c r="AE169" s="531"/>
      <c r="AF169" s="531"/>
      <c r="AG169" s="531"/>
      <c r="AH169" s="531"/>
      <c r="AI169" s="531"/>
      <c r="AJ169" s="531"/>
      <c r="AK169" s="531"/>
      <c r="AL169" s="531"/>
      <c r="AM169" s="531"/>
      <c r="AN169" s="531"/>
    </row>
    <row r="170" customFormat="false" ht="16.5" hidden="false" customHeight="true" outlineLevel="0" collapsed="false">
      <c r="A170" s="531"/>
      <c r="B170" s="531"/>
      <c r="C170" s="531"/>
      <c r="D170" s="531"/>
      <c r="E170" s="531"/>
      <c r="F170" s="531"/>
      <c r="G170" s="531"/>
      <c r="H170" s="531"/>
      <c r="I170" s="531"/>
      <c r="J170" s="531"/>
      <c r="K170" s="531"/>
      <c r="L170" s="531"/>
      <c r="M170" s="531"/>
      <c r="N170" s="547" t="n">
        <f aca="false">IF('(1)예금승인내역'!H796="","",'(1)예금승인내역'!H796)</f>
        <v>45740</v>
      </c>
      <c r="O170" s="547" t="n">
        <f aca="false">IF('(1)예금승인내역'!G796="","",'(1)예금승인내역'!G796)</f>
        <v>45712</v>
      </c>
      <c r="P170" s="531" t="str">
        <f aca="false">IF('(1)예금승인내역'!F796="","",'(1)예금승인내역'!F796)</f>
        <v>㈜약진통상</v>
      </c>
      <c r="Q170" s="531" t="str">
        <f aca="false">IF('(1)예금승인내역'!C796="","",'(1)예금승인내역'!C796)</f>
        <v>반월공단지점</v>
      </c>
      <c r="R170" s="531" t="str">
        <f aca="false">IF('(1)예금승인내역'!K796="","",'(1)예금승인내역'!K796)</f>
        <v>MMDA</v>
      </c>
      <c r="S170" s="548" t="n">
        <f aca="false">IF('(1)예금승인내역'!L796="","",'(1)예금승인내역'!L796)</f>
        <v>12.46</v>
      </c>
      <c r="T170" s="549" t="n">
        <f aca="false">IF('(1)예금승인내역'!AG796="","",'(1)예금승인내역'!AG796)</f>
        <v>0.0385</v>
      </c>
      <c r="U170" s="549" t="n">
        <f aca="false">IF('(1)예금승인내역'!X796="","",'(1)예금승인내역'!X796)</f>
        <v>0.004645</v>
      </c>
      <c r="V170" s="531" t="n">
        <f aca="false">IF(ISNUMBER(N170),N170-$B$2,"")</f>
        <v>-449</v>
      </c>
      <c r="W170" s="531" t="str">
        <f aca="false">IF(AND(ISNUMBER(N170),N170&gt;=$B$2,N170&lt;=$B$2+10),N170*100000+ROW(),"")</f>
        <v/>
      </c>
      <c r="X170" s="531"/>
      <c r="Y170" s="531"/>
      <c r="Z170" s="531"/>
      <c r="AA170" s="531"/>
      <c r="AB170" s="531"/>
      <c r="AC170" s="531"/>
      <c r="AD170" s="531"/>
      <c r="AE170" s="531"/>
      <c r="AF170" s="531"/>
      <c r="AG170" s="531"/>
      <c r="AH170" s="531"/>
      <c r="AI170" s="531"/>
      <c r="AJ170" s="531"/>
      <c r="AK170" s="531"/>
      <c r="AL170" s="531"/>
      <c r="AM170" s="531"/>
      <c r="AN170" s="531"/>
    </row>
    <row r="171" customFormat="false" ht="16.5" hidden="false" customHeight="true" outlineLevel="0" collapsed="false">
      <c r="A171" s="531"/>
      <c r="B171" s="531"/>
      <c r="C171" s="531"/>
      <c r="D171" s="531"/>
      <c r="E171" s="531"/>
      <c r="F171" s="531"/>
      <c r="G171" s="531"/>
      <c r="H171" s="531"/>
      <c r="I171" s="531"/>
      <c r="J171" s="531"/>
      <c r="K171" s="531"/>
      <c r="L171" s="531"/>
      <c r="M171" s="531"/>
      <c r="N171" s="547" t="n">
        <f aca="false">IF('(1)예금승인내역'!H797="","",'(1)예금승인내역'!H797)</f>
        <v>45720</v>
      </c>
      <c r="O171" s="547" t="n">
        <f aca="false">IF('(1)예금승인내역'!G797="","",'(1)예금승인내역'!G797)</f>
        <v>45712</v>
      </c>
      <c r="P171" s="531" t="str">
        <f aca="false">IF('(1)예금승인내역'!F797="","",'(1)예금승인내역'!F797)</f>
        <v>㈜ 일지테크</v>
      </c>
      <c r="Q171" s="531" t="str">
        <f aca="false">IF('(1)예금승인내역'!C797="","",'(1)예금승인내역'!C797)</f>
        <v>경산공단영업부</v>
      </c>
      <c r="R171" s="531" t="str">
        <f aca="false">IF('(1)예금승인내역'!K797="","",'(1)예금승인내역'!K797)</f>
        <v>정기예금</v>
      </c>
      <c r="S171" s="548" t="n">
        <f aca="false">IF('(1)예금승인내역'!L797="","",'(1)예금승인내역'!L797)</f>
        <v>30.23</v>
      </c>
      <c r="T171" s="549" t="n">
        <f aca="false">IF('(1)예금승인내역'!AG797="","",'(1)예금승인내역'!AG797)</f>
        <v>0.0385</v>
      </c>
      <c r="U171" s="549" t="n">
        <f aca="false">IF('(1)예금승인내역'!X797="","",'(1)예금승인내역'!X797)</f>
        <v>0.003784</v>
      </c>
      <c r="V171" s="531" t="n">
        <f aca="false">IF(ISNUMBER(N171),N171-$B$2,"")</f>
        <v>-469</v>
      </c>
      <c r="W171" s="531" t="str">
        <f aca="false">IF(AND(ISNUMBER(N171),N171&gt;=$B$2,N171&lt;=$B$2+10),N171*100000+ROW(),"")</f>
        <v/>
      </c>
      <c r="X171" s="531"/>
      <c r="Y171" s="531"/>
      <c r="Z171" s="531"/>
      <c r="AA171" s="531"/>
      <c r="AB171" s="531"/>
      <c r="AC171" s="531"/>
      <c r="AD171" s="531"/>
      <c r="AE171" s="531"/>
      <c r="AF171" s="531"/>
      <c r="AG171" s="531"/>
      <c r="AH171" s="531"/>
      <c r="AI171" s="531"/>
      <c r="AJ171" s="531"/>
      <c r="AK171" s="531"/>
      <c r="AL171" s="531"/>
      <c r="AM171" s="531"/>
      <c r="AN171" s="531"/>
    </row>
    <row r="172" customFormat="false" ht="16.5" hidden="false" customHeight="true" outlineLevel="0" collapsed="false">
      <c r="A172" s="531"/>
      <c r="B172" s="531"/>
      <c r="C172" s="531"/>
      <c r="D172" s="531"/>
      <c r="E172" s="531"/>
      <c r="F172" s="531"/>
      <c r="G172" s="531"/>
      <c r="H172" s="531"/>
      <c r="I172" s="531"/>
      <c r="J172" s="531"/>
      <c r="K172" s="531"/>
      <c r="L172" s="531"/>
      <c r="M172" s="531"/>
      <c r="N172" s="547" t="n">
        <f aca="false">IF('(1)예금승인내역'!H798="","",'(1)예금승인내역'!H798)</f>
        <v>45740</v>
      </c>
      <c r="O172" s="547" t="n">
        <f aca="false">IF('(1)예금승인내역'!G798="","",'(1)예금승인내역'!G798)</f>
        <v>45712</v>
      </c>
      <c r="P172" s="531" t="str">
        <f aca="false">IF('(1)예금승인내역'!F798="","",'(1)예금승인내역'!F798)</f>
        <v>에이치엘만도</v>
      </c>
      <c r="Q172" s="531" t="str">
        <f aca="false">IF('(1)예금승인내역'!C798="","",'(1)예금승인내역'!C798)</f>
        <v>삼덕영업부</v>
      </c>
      <c r="R172" s="531" t="str">
        <f aca="false">IF('(1)예금승인내역'!K798="","",'(1)예금승인내역'!K798)</f>
        <v>MMDA</v>
      </c>
      <c r="S172" s="548" t="n">
        <f aca="false">IF('(1)예금승인내역'!L798="","",'(1)예금승인내역'!L798)</f>
        <v>10</v>
      </c>
      <c r="T172" s="549" t="n">
        <f aca="false">IF('(1)예금승인내역'!AG798="","",'(1)예금승인내역'!AG798)</f>
        <v>0.037</v>
      </c>
      <c r="U172" s="549" t="n">
        <f aca="false">IF('(1)예금승인내역'!X798="","",'(1)예금승인내역'!X798)</f>
        <v>0.004645</v>
      </c>
      <c r="V172" s="531" t="n">
        <f aca="false">IF(ISNUMBER(N172),N172-$B$2,"")</f>
        <v>-449</v>
      </c>
      <c r="W172" s="531" t="str">
        <f aca="false">IF(AND(ISNUMBER(N172),N172&gt;=$B$2,N172&lt;=$B$2+10),N172*100000+ROW(),"")</f>
        <v/>
      </c>
      <c r="X172" s="531"/>
      <c r="Y172" s="531"/>
      <c r="Z172" s="531"/>
      <c r="AA172" s="531"/>
      <c r="AB172" s="531"/>
      <c r="AC172" s="531"/>
      <c r="AD172" s="531"/>
      <c r="AE172" s="531"/>
      <c r="AF172" s="531"/>
      <c r="AG172" s="531"/>
      <c r="AH172" s="531"/>
      <c r="AI172" s="531"/>
      <c r="AJ172" s="531"/>
      <c r="AK172" s="531"/>
      <c r="AL172" s="531"/>
      <c r="AM172" s="531"/>
      <c r="AN172" s="531"/>
    </row>
    <row r="173" customFormat="false" ht="16.5" hidden="false" customHeight="true" outlineLevel="0" collapsed="false">
      <c r="A173" s="531"/>
      <c r="B173" s="531"/>
      <c r="C173" s="531"/>
      <c r="D173" s="531"/>
      <c r="E173" s="531"/>
      <c r="F173" s="531"/>
      <c r="G173" s="531"/>
      <c r="H173" s="531"/>
      <c r="I173" s="531"/>
      <c r="J173" s="531"/>
      <c r="K173" s="531"/>
      <c r="L173" s="531"/>
      <c r="M173" s="531"/>
      <c r="N173" s="547" t="n">
        <f aca="false">IF('(1)예금승인내역'!H799="","",'(1)예금승인내역'!H799)</f>
        <v>45803</v>
      </c>
      <c r="O173" s="547" t="n">
        <f aca="false">IF('(1)예금승인내역'!G799="","",'(1)예금승인내역'!G799)</f>
        <v>45714</v>
      </c>
      <c r="P173" s="531" t="str">
        <f aca="false">IF('(1)예금승인내역'!F799="","",'(1)예금승인내역'!F799)</f>
        <v>대한전선㈜</v>
      </c>
      <c r="Q173" s="531" t="str">
        <f aca="false">IF('(1)예금승인내역'!C799="","",'(1)예금승인내역'!C799)</f>
        <v>성남영업부</v>
      </c>
      <c r="R173" s="531" t="str">
        <f aca="false">IF('(1)예금승인내역'!K799="","",'(1)예금승인내역'!K799)</f>
        <v>정기예금</v>
      </c>
      <c r="S173" s="548" t="n">
        <f aca="false">IF('(1)예금승인내역'!L799="","",'(1)예금승인내역'!L799)</f>
        <v>20</v>
      </c>
      <c r="T173" s="549" t="n">
        <f aca="false">IF('(1)예금승인내역'!AG799="","",'(1)예금승인내역'!AG799)</f>
        <v>0.0427</v>
      </c>
      <c r="U173" s="549" t="n">
        <f aca="false">IF('(1)예금승인내역'!X799="","",'(1)예금승인내역'!X799)</f>
        <v>0.002254</v>
      </c>
      <c r="V173" s="531" t="n">
        <f aca="false">IF(ISNUMBER(N173),N173-$B$2,"")</f>
        <v>-386</v>
      </c>
      <c r="W173" s="531" t="str">
        <f aca="false">IF(AND(ISNUMBER(N173),N173&gt;=$B$2,N173&lt;=$B$2+10),N173*100000+ROW(),"")</f>
        <v/>
      </c>
      <c r="X173" s="531"/>
      <c r="Y173" s="531"/>
      <c r="Z173" s="531"/>
      <c r="AA173" s="531"/>
      <c r="AB173" s="531"/>
      <c r="AC173" s="531"/>
      <c r="AD173" s="531"/>
      <c r="AE173" s="531"/>
      <c r="AF173" s="531"/>
      <c r="AG173" s="531"/>
      <c r="AH173" s="531"/>
      <c r="AI173" s="531"/>
      <c r="AJ173" s="531"/>
      <c r="AK173" s="531"/>
      <c r="AL173" s="531"/>
      <c r="AM173" s="531"/>
      <c r="AN173" s="531"/>
    </row>
    <row r="174" customFormat="false" ht="16.5" hidden="false" customHeight="true" outlineLevel="0" collapsed="false">
      <c r="A174" s="531"/>
      <c r="B174" s="531"/>
      <c r="C174" s="531"/>
      <c r="D174" s="531"/>
      <c r="E174" s="531"/>
      <c r="F174" s="531"/>
      <c r="G174" s="531"/>
      <c r="H174" s="531"/>
      <c r="I174" s="531"/>
      <c r="J174" s="531"/>
      <c r="K174" s="531"/>
      <c r="L174" s="531"/>
      <c r="M174" s="531"/>
      <c r="N174" s="547" t="n">
        <f aca="false">IF('(1)예금승인내역'!H800="","",'(1)예금승인내역'!H800)</f>
        <v>45744</v>
      </c>
      <c r="O174" s="547" t="n">
        <f aca="false">IF('(1)예금승인내역'!G800="","",'(1)예금승인내역'!G800)</f>
        <v>45716</v>
      </c>
      <c r="P174" s="531" t="str">
        <f aca="false">IF('(1)예금승인내역'!F800="","",'(1)예금승인내역'!F800)</f>
        <v>와이투솔루션</v>
      </c>
      <c r="Q174" s="531" t="str">
        <f aca="false">IF('(1)예금승인내역'!C800="","",'(1)예금승인내역'!C800)</f>
        <v>화성금융센터</v>
      </c>
      <c r="R174" s="531" t="str">
        <f aca="false">IF('(1)예금승인내역'!K800="","",'(1)예금승인내역'!K800)</f>
        <v>정기예금</v>
      </c>
      <c r="S174" s="548" t="n">
        <f aca="false">IF('(1)예금승인내역'!L800="","",'(1)예금승인내역'!L800)</f>
        <v>2</v>
      </c>
      <c r="T174" s="549" t="n">
        <f aca="false">IF('(1)예금승인내역'!AG800="","",'(1)예금승인내역'!AG800)</f>
        <v>0.041</v>
      </c>
      <c r="U174" s="549" t="n">
        <f aca="false">IF('(1)예금승인내역'!X800="","",'(1)예금승인내역'!X800)</f>
        <v>0.00172</v>
      </c>
      <c r="V174" s="531" t="n">
        <f aca="false">IF(ISNUMBER(N174),N174-$B$2,"")</f>
        <v>-445</v>
      </c>
      <c r="W174" s="531" t="str">
        <f aca="false">IF(AND(ISNUMBER(N174),N174&gt;=$B$2,N174&lt;=$B$2+10),N174*100000+ROW(),"")</f>
        <v/>
      </c>
      <c r="X174" s="531"/>
      <c r="Y174" s="531"/>
      <c r="Z174" s="531"/>
      <c r="AA174" s="531"/>
      <c r="AB174" s="531"/>
      <c r="AC174" s="531"/>
      <c r="AD174" s="531"/>
      <c r="AE174" s="531"/>
      <c r="AF174" s="531"/>
      <c r="AG174" s="531"/>
      <c r="AH174" s="531"/>
      <c r="AI174" s="531"/>
      <c r="AJ174" s="531"/>
      <c r="AK174" s="531"/>
      <c r="AL174" s="531"/>
      <c r="AM174" s="531"/>
      <c r="AN174" s="531"/>
    </row>
    <row r="175" customFormat="false" ht="16.5" hidden="false" customHeight="true" outlineLevel="0" collapsed="false">
      <c r="A175" s="531"/>
      <c r="B175" s="531"/>
      <c r="C175" s="531"/>
      <c r="D175" s="531"/>
      <c r="E175" s="531"/>
      <c r="F175" s="531"/>
      <c r="G175" s="531"/>
      <c r="H175" s="531"/>
      <c r="I175" s="531"/>
      <c r="J175" s="531"/>
      <c r="K175" s="531"/>
      <c r="L175" s="531"/>
      <c r="M175" s="531"/>
      <c r="N175" s="547" t="n">
        <f aca="false">IF('(1)예금승인내역'!H801="","",'(1)예금승인내역'!H801)</f>
        <v>45812</v>
      </c>
      <c r="O175" s="547" t="n">
        <f aca="false">IF('(1)예금승인내역'!G801="","",'(1)예금승인내역'!G801)</f>
        <v>45720</v>
      </c>
      <c r="P175" s="531" t="str">
        <f aca="false">IF('(1)예금승인내역'!F801="","",'(1)예금승인내역'!F801)</f>
        <v>거림테크주식회사</v>
      </c>
      <c r="Q175" s="531" t="str">
        <f aca="false">IF('(1)예금승인내역'!C801="","",'(1)예금승인내역'!C801)</f>
        <v>죽전지점</v>
      </c>
      <c r="R175" s="531" t="str">
        <f aca="false">IF('(1)예금승인내역'!K801="","",'(1)예금승인내역'!K801)</f>
        <v>정기예금</v>
      </c>
      <c r="S175" s="548" t="n">
        <f aca="false">IF('(1)예금승인내역'!L801="","",'(1)예금승인내역'!L801)</f>
        <v>2</v>
      </c>
      <c r="T175" s="549" t="n">
        <f aca="false">IF('(1)예금승인내역'!AG801="","",'(1)예금승인내역'!AG801)</f>
        <v>0.043</v>
      </c>
      <c r="U175" s="549" t="n">
        <f aca="false">IF('(1)예금승인내역'!X801="","",'(1)예금승인내역'!X801)</f>
        <v>0.00201</v>
      </c>
      <c r="V175" s="531" t="n">
        <f aca="false">IF(ISNUMBER(N175),N175-$B$2,"")</f>
        <v>-377</v>
      </c>
      <c r="W175" s="531" t="str">
        <f aca="false">IF(AND(ISNUMBER(N175),N175&gt;=$B$2,N175&lt;=$B$2+10),N175*100000+ROW(),"")</f>
        <v/>
      </c>
      <c r="X175" s="531"/>
      <c r="Y175" s="531"/>
      <c r="Z175" s="531"/>
      <c r="AA175" s="531"/>
      <c r="AB175" s="531"/>
      <c r="AC175" s="531"/>
      <c r="AD175" s="531"/>
      <c r="AE175" s="531"/>
      <c r="AF175" s="531"/>
      <c r="AG175" s="531"/>
      <c r="AH175" s="531"/>
      <c r="AI175" s="531"/>
      <c r="AJ175" s="531"/>
      <c r="AK175" s="531"/>
      <c r="AL175" s="531"/>
      <c r="AM175" s="531"/>
      <c r="AN175" s="531"/>
    </row>
    <row r="176" customFormat="false" ht="16.5" hidden="false" customHeight="true" outlineLevel="0" collapsed="false">
      <c r="A176" s="531"/>
      <c r="B176" s="531"/>
      <c r="C176" s="531"/>
      <c r="D176" s="531"/>
      <c r="E176" s="531"/>
      <c r="F176" s="531"/>
      <c r="G176" s="531"/>
      <c r="H176" s="531"/>
      <c r="I176" s="531"/>
      <c r="J176" s="531"/>
      <c r="K176" s="531"/>
      <c r="L176" s="531"/>
      <c r="M176" s="531"/>
      <c r="N176" s="547" t="n">
        <f aca="false">IF('(1)예금승인내역'!H802="","",'(1)예금승인내역'!H802)</f>
        <v>45751</v>
      </c>
      <c r="O176" s="547" t="n">
        <f aca="false">IF('(1)예금승인내역'!G802="","",'(1)예금승인내역'!G802)</f>
        <v>45720</v>
      </c>
      <c r="P176" s="531" t="str">
        <f aca="false">IF('(1)예금승인내역'!F802="","",'(1)예금승인내역'!F802)</f>
        <v>주식회사 한국비앤씨</v>
      </c>
      <c r="Q176" s="531" t="str">
        <f aca="false">IF('(1)예금승인내역'!C802="","",'(1)예금승인내역'!C802)</f>
        <v>유통단지영업부</v>
      </c>
      <c r="R176" s="531" t="str">
        <f aca="false">IF('(1)예금승인내역'!K802="","",'(1)예금승인내역'!K802)</f>
        <v>MMDA</v>
      </c>
      <c r="S176" s="548" t="n">
        <f aca="false">IF('(1)예금승인내역'!L802="","",'(1)예금승인내역'!L802)</f>
        <v>4.012</v>
      </c>
      <c r="T176" s="549" t="n">
        <f aca="false">IF('(1)예금승인내역'!AG802="","",'(1)예금승인내역'!AG802)</f>
        <v>0.0383</v>
      </c>
      <c r="U176" s="549" t="n">
        <f aca="false">IF('(1)예금승인내역'!X802="","",'(1)예금승인내역'!X802)</f>
        <v>0.003662</v>
      </c>
      <c r="V176" s="531" t="n">
        <f aca="false">IF(ISNUMBER(N176),N176-$B$2,"")</f>
        <v>-438</v>
      </c>
      <c r="W176" s="531" t="str">
        <f aca="false">IF(AND(ISNUMBER(N176),N176&gt;=$B$2,N176&lt;=$B$2+10),N176*100000+ROW(),"")</f>
        <v/>
      </c>
      <c r="X176" s="531"/>
      <c r="Y176" s="531"/>
      <c r="Z176" s="531"/>
      <c r="AA176" s="531"/>
      <c r="AB176" s="531"/>
      <c r="AC176" s="531"/>
      <c r="AD176" s="531"/>
      <c r="AE176" s="531"/>
      <c r="AF176" s="531"/>
      <c r="AG176" s="531"/>
      <c r="AH176" s="531"/>
      <c r="AI176" s="531"/>
      <c r="AJ176" s="531"/>
      <c r="AK176" s="531"/>
      <c r="AL176" s="531"/>
      <c r="AM176" s="531"/>
      <c r="AN176" s="531"/>
    </row>
    <row r="177" customFormat="false" ht="16.5" hidden="false" customHeight="true" outlineLevel="0" collapsed="false">
      <c r="A177" s="531"/>
      <c r="B177" s="531"/>
      <c r="C177" s="531"/>
      <c r="D177" s="531"/>
      <c r="E177" s="531"/>
      <c r="F177" s="531"/>
      <c r="G177" s="531"/>
      <c r="H177" s="531"/>
      <c r="I177" s="531"/>
      <c r="J177" s="531"/>
      <c r="K177" s="531"/>
      <c r="L177" s="531"/>
      <c r="M177" s="531"/>
      <c r="N177" s="547" t="n">
        <f aca="false">IF('(1)예금승인내역'!H803="","",'(1)예금승인내역'!H803)</f>
        <v>45727</v>
      </c>
      <c r="O177" s="547" t="n">
        <f aca="false">IF('(1)예금승인내역'!G803="","",'(1)예금승인내역'!G803)</f>
        <v>45720</v>
      </c>
      <c r="P177" s="531" t="str">
        <f aca="false">IF('(1)예금승인내역'!F803="","",'(1)예금승인내역'!F803)</f>
        <v>㈜일지테크</v>
      </c>
      <c r="Q177" s="531" t="str">
        <f aca="false">IF('(1)예금승인내역'!C803="","",'(1)예금승인내역'!C803)</f>
        <v>경산공단영업부</v>
      </c>
      <c r="R177" s="531" t="str">
        <f aca="false">IF('(1)예금승인내역'!K803="","",'(1)예금승인내역'!K803)</f>
        <v>정기예금</v>
      </c>
      <c r="S177" s="548" t="n">
        <f aca="false">IF('(1)예금승인내역'!L803="","",'(1)예금승인내역'!L803)</f>
        <v>30.23</v>
      </c>
      <c r="T177" s="549" t="n">
        <f aca="false">IF('(1)예금승인내역'!AG803="","",'(1)예금승인내역'!AG803)</f>
        <v>0.0385</v>
      </c>
      <c r="U177" s="549" t="n">
        <f aca="false">IF('(1)예금승인내역'!X803="","",'(1)예금승인내역'!X803)</f>
        <v>0.001337</v>
      </c>
      <c r="V177" s="531" t="n">
        <f aca="false">IF(ISNUMBER(N177),N177-$B$2,"")</f>
        <v>-462</v>
      </c>
      <c r="W177" s="531" t="str">
        <f aca="false">IF(AND(ISNUMBER(N177),N177&gt;=$B$2,N177&lt;=$B$2+10),N177*100000+ROW(),"")</f>
        <v/>
      </c>
      <c r="X177" s="531"/>
      <c r="Y177" s="531"/>
      <c r="Z177" s="531"/>
      <c r="AA177" s="531"/>
      <c r="AB177" s="531"/>
      <c r="AC177" s="531"/>
      <c r="AD177" s="531"/>
      <c r="AE177" s="531"/>
      <c r="AF177" s="531"/>
      <c r="AG177" s="531"/>
      <c r="AH177" s="531"/>
      <c r="AI177" s="531"/>
      <c r="AJ177" s="531"/>
      <c r="AK177" s="531"/>
      <c r="AL177" s="531"/>
      <c r="AM177" s="531"/>
      <c r="AN177" s="531"/>
    </row>
    <row r="178" customFormat="false" ht="16.5" hidden="false" customHeight="true" outlineLevel="0" collapsed="false">
      <c r="A178" s="531"/>
      <c r="B178" s="531"/>
      <c r="C178" s="531"/>
      <c r="D178" s="531"/>
      <c r="E178" s="531"/>
      <c r="F178" s="531"/>
      <c r="G178" s="531"/>
      <c r="H178" s="531"/>
      <c r="I178" s="531"/>
      <c r="J178" s="531"/>
      <c r="K178" s="531"/>
      <c r="L178" s="531"/>
      <c r="M178" s="531"/>
      <c r="N178" s="547" t="n">
        <f aca="false">IF('(1)예금승인내역'!H804="","",'(1)예금승인내역'!H804)</f>
        <v>45754</v>
      </c>
      <c r="O178" s="547" t="n">
        <f aca="false">IF('(1)예금승인내역'!G804="","",'(1)예금승인내역'!G804)</f>
        <v>45723</v>
      </c>
      <c r="P178" s="531" t="str">
        <f aca="false">IF('(1)예금승인내역'!F804="","",'(1)예금승인내역'!F804)</f>
        <v>㈜이수스페셜티케미컬</v>
      </c>
      <c r="Q178" s="531" t="str">
        <f aca="false">IF('(1)예금승인내역'!C804="","",'(1)예금승인내역'!C804)</f>
        <v>성남영업부</v>
      </c>
      <c r="R178" s="531" t="str">
        <f aca="false">IF('(1)예금승인내역'!K804="","",'(1)예금승인내역'!K804)</f>
        <v>MMDA</v>
      </c>
      <c r="S178" s="548" t="n">
        <f aca="false">IF('(1)예금승인내역'!L804="","",'(1)예금승인내역'!L804)</f>
        <v>2.4</v>
      </c>
      <c r="T178" s="549" t="n">
        <f aca="false">IF('(1)예금승인내역'!AG804="","",'(1)예금승인내역'!AG804)</f>
        <v>0.0385</v>
      </c>
      <c r="U178" s="549" t="n">
        <f aca="false">IF('(1)예금승인내역'!X804="","",'(1)예금승인내역'!X804)</f>
        <v>0.003268</v>
      </c>
      <c r="V178" s="531" t="n">
        <f aca="false">IF(ISNUMBER(N178),N178-$B$2,"")</f>
        <v>-435</v>
      </c>
      <c r="W178" s="531" t="str">
        <f aca="false">IF(AND(ISNUMBER(N178),N178&gt;=$B$2,N178&lt;=$B$2+10),N178*100000+ROW(),"")</f>
        <v/>
      </c>
      <c r="X178" s="531"/>
      <c r="Y178" s="531"/>
      <c r="Z178" s="531"/>
      <c r="AA178" s="531"/>
      <c r="AB178" s="531"/>
      <c r="AC178" s="531"/>
      <c r="AD178" s="531"/>
      <c r="AE178" s="531"/>
      <c r="AF178" s="531"/>
      <c r="AG178" s="531"/>
      <c r="AH178" s="531"/>
      <c r="AI178" s="531"/>
      <c r="AJ178" s="531"/>
      <c r="AK178" s="531"/>
      <c r="AL178" s="531"/>
      <c r="AM178" s="531"/>
      <c r="AN178" s="531"/>
    </row>
    <row r="179" customFormat="false" ht="16.5" hidden="false" customHeight="true" outlineLevel="0" collapsed="false">
      <c r="A179" s="531"/>
      <c r="B179" s="531"/>
      <c r="C179" s="531"/>
      <c r="D179" s="531"/>
      <c r="E179" s="531"/>
      <c r="F179" s="531"/>
      <c r="G179" s="531"/>
      <c r="H179" s="531"/>
      <c r="I179" s="531"/>
      <c r="J179" s="531"/>
      <c r="K179" s="531"/>
      <c r="L179" s="531"/>
      <c r="M179" s="531"/>
      <c r="N179" s="547" t="n">
        <f aca="false">IF('(1)예금승인내역'!H805="","",'(1)예금승인내역'!H805)</f>
        <v>45757</v>
      </c>
      <c r="O179" s="547" t="n">
        <f aca="false">IF('(1)예금승인내역'!G805="","",'(1)예금승인내역'!G805)</f>
        <v>45726</v>
      </c>
      <c r="P179" s="531" t="str">
        <f aca="false">IF('(1)예금승인내역'!F805="","",'(1)예금승인내역'!F805)</f>
        <v>한국비철㈜</v>
      </c>
      <c r="Q179" s="531" t="str">
        <f aca="false">IF('(1)예금승인내역'!C805="","",'(1)예금승인내역'!C805)</f>
        <v>달성공단영업부</v>
      </c>
      <c r="R179" s="531" t="str">
        <f aca="false">IF('(1)예금승인내역'!K805="","",'(1)예금승인내역'!K805)</f>
        <v>정기예금</v>
      </c>
      <c r="S179" s="548" t="n">
        <f aca="false">IF('(1)예금승인내역'!L805="","",'(1)예금승인내역'!L805)</f>
        <v>12.2</v>
      </c>
      <c r="T179" s="549" t="n">
        <f aca="false">IF('(1)예금승인내역'!AG805="","",'(1)예금승인내역'!AG805)</f>
        <v>0.041</v>
      </c>
      <c r="U179" s="549" t="n">
        <f aca="false">IF('(1)예금승인내역'!X805="","",'(1)예금승인내역'!X805)</f>
        <v>0.002583</v>
      </c>
      <c r="V179" s="531" t="n">
        <f aca="false">IF(ISNUMBER(N179),N179-$B$2,"")</f>
        <v>-432</v>
      </c>
      <c r="W179" s="531" t="str">
        <f aca="false">IF(AND(ISNUMBER(N179),N179&gt;=$B$2,N179&lt;=$B$2+10),N179*100000+ROW(),"")</f>
        <v/>
      </c>
      <c r="X179" s="531"/>
      <c r="Y179" s="531"/>
      <c r="Z179" s="531"/>
      <c r="AA179" s="531"/>
      <c r="AB179" s="531"/>
      <c r="AC179" s="531"/>
      <c r="AD179" s="531"/>
      <c r="AE179" s="531"/>
      <c r="AF179" s="531"/>
      <c r="AG179" s="531"/>
      <c r="AH179" s="531"/>
      <c r="AI179" s="531"/>
      <c r="AJ179" s="531"/>
      <c r="AK179" s="531"/>
      <c r="AL179" s="531"/>
      <c r="AM179" s="531"/>
      <c r="AN179" s="531"/>
    </row>
    <row r="180" customFormat="false" ht="16.5" hidden="false" customHeight="true" outlineLevel="0" collapsed="false">
      <c r="A180" s="531"/>
      <c r="B180" s="531"/>
      <c r="C180" s="531"/>
      <c r="D180" s="531"/>
      <c r="E180" s="531"/>
      <c r="F180" s="531"/>
      <c r="G180" s="531"/>
      <c r="H180" s="531"/>
      <c r="I180" s="531"/>
      <c r="J180" s="531"/>
      <c r="K180" s="531"/>
      <c r="L180" s="531"/>
      <c r="M180" s="531"/>
      <c r="N180" s="547" t="n">
        <f aca="false">IF('(1)예금승인내역'!H806="","",'(1)예금승인내역'!H806)</f>
        <v>45757</v>
      </c>
      <c r="O180" s="547" t="n">
        <f aca="false">IF('(1)예금승인내역'!G806="","",'(1)예금승인내역'!G806)</f>
        <v>45726</v>
      </c>
      <c r="P180" s="531" t="str">
        <f aca="false">IF('(1)예금승인내역'!F806="","",'(1)예금승인내역'!F806)</f>
        <v>대원지에스아이</v>
      </c>
      <c r="Q180" s="531" t="str">
        <f aca="false">IF('(1)예금승인내역'!C806="","",'(1)예금승인내역'!C806)</f>
        <v>유통단지영업부</v>
      </c>
      <c r="R180" s="531" t="str">
        <f aca="false">IF('(1)예금승인내역'!K806="","",'(1)예금승인내역'!K806)</f>
        <v>정기예금</v>
      </c>
      <c r="S180" s="548" t="n">
        <f aca="false">IF('(1)예금승인내역'!L806="","",'(1)예금승인내역'!L806)</f>
        <v>1.5</v>
      </c>
      <c r="T180" s="549" t="n">
        <f aca="false">IF('(1)예금승인내역'!AG806="","",'(1)예금승인내역'!AG806)</f>
        <v>0.0415</v>
      </c>
      <c r="U180" s="549" t="n">
        <f aca="false">IF('(1)예금승인내역'!X806="","",'(1)예금승인내역'!X806)</f>
        <v>0.002083</v>
      </c>
      <c r="V180" s="531" t="n">
        <f aca="false">IF(ISNUMBER(N180),N180-$B$2,"")</f>
        <v>-432</v>
      </c>
      <c r="W180" s="531" t="str">
        <f aca="false">IF(AND(ISNUMBER(N180),N180&gt;=$B$2,N180&lt;=$B$2+10),N180*100000+ROW(),"")</f>
        <v/>
      </c>
      <c r="X180" s="531"/>
      <c r="Y180" s="531"/>
      <c r="Z180" s="531"/>
      <c r="AA180" s="531"/>
      <c r="AB180" s="531"/>
      <c r="AC180" s="531"/>
      <c r="AD180" s="531"/>
      <c r="AE180" s="531"/>
      <c r="AF180" s="531"/>
      <c r="AG180" s="531"/>
      <c r="AH180" s="531"/>
      <c r="AI180" s="531"/>
      <c r="AJ180" s="531"/>
      <c r="AK180" s="531"/>
      <c r="AL180" s="531"/>
      <c r="AM180" s="531"/>
      <c r="AN180" s="531"/>
    </row>
    <row r="181" customFormat="false" ht="16.5" hidden="false" customHeight="true" outlineLevel="0" collapsed="false">
      <c r="A181" s="531"/>
      <c r="B181" s="531"/>
      <c r="C181" s="531"/>
      <c r="D181" s="531"/>
      <c r="E181" s="531"/>
      <c r="F181" s="531"/>
      <c r="G181" s="531"/>
      <c r="H181" s="531"/>
      <c r="I181" s="531"/>
      <c r="J181" s="531"/>
      <c r="K181" s="531"/>
      <c r="L181" s="531"/>
      <c r="M181" s="531"/>
      <c r="N181" s="547" t="n">
        <f aca="false">IF('(1)예금승인내역'!H807="","",'(1)예금승인내역'!H807)</f>
        <v>45757</v>
      </c>
      <c r="O181" s="547" t="n">
        <f aca="false">IF('(1)예금승인내역'!G807="","",'(1)예금승인내역'!G807)</f>
        <v>45727</v>
      </c>
      <c r="P181" s="531" t="str">
        <f aca="false">IF('(1)예금승인내역'!F807="","",'(1)예금승인내역'!F807)</f>
        <v>한국비철㈜</v>
      </c>
      <c r="Q181" s="531" t="str">
        <f aca="false">IF('(1)예금승인내역'!C807="","",'(1)예금승인내역'!C807)</f>
        <v>달성공단영업부</v>
      </c>
      <c r="R181" s="531" t="str">
        <f aca="false">IF('(1)예금승인내역'!K807="","",'(1)예금승인내역'!K807)</f>
        <v>MMDA</v>
      </c>
      <c r="S181" s="548" t="n">
        <f aca="false">IF('(1)예금승인내역'!L807="","",'(1)예금승인내역'!L807)</f>
        <v>1.2</v>
      </c>
      <c r="T181" s="549" t="n">
        <f aca="false">IF('(1)예금승인내역'!AG807="","",'(1)예금승인내역'!AG807)</f>
        <v>0.038</v>
      </c>
      <c r="U181" s="549" t="n">
        <f aca="false">IF('(1)예금승인내역'!X807="","",'(1)예금승인내역'!X807)</f>
        <v>0.003836</v>
      </c>
      <c r="V181" s="531" t="n">
        <f aca="false">IF(ISNUMBER(N181),N181-$B$2,"")</f>
        <v>-432</v>
      </c>
      <c r="W181" s="531" t="str">
        <f aca="false">IF(AND(ISNUMBER(N181),N181&gt;=$B$2,N181&lt;=$B$2+10),N181*100000+ROW(),"")</f>
        <v/>
      </c>
      <c r="X181" s="531"/>
      <c r="Y181" s="531"/>
      <c r="Z181" s="531"/>
      <c r="AA181" s="531"/>
      <c r="AB181" s="531"/>
      <c r="AC181" s="531"/>
      <c r="AD181" s="531"/>
      <c r="AE181" s="531"/>
      <c r="AF181" s="531"/>
      <c r="AG181" s="531"/>
      <c r="AH181" s="531"/>
      <c r="AI181" s="531"/>
      <c r="AJ181" s="531"/>
      <c r="AK181" s="531"/>
      <c r="AL181" s="531"/>
      <c r="AM181" s="531"/>
      <c r="AN181" s="531"/>
    </row>
    <row r="182" customFormat="false" ht="16.5" hidden="false" customHeight="true" outlineLevel="0" collapsed="false">
      <c r="A182" s="531"/>
      <c r="B182" s="531"/>
      <c r="C182" s="531"/>
      <c r="D182" s="531"/>
      <c r="E182" s="531"/>
      <c r="F182" s="531"/>
      <c r="G182" s="531"/>
      <c r="H182" s="531"/>
      <c r="I182" s="531"/>
      <c r="J182" s="531"/>
      <c r="K182" s="531"/>
      <c r="L182" s="531"/>
      <c r="M182" s="531"/>
      <c r="N182" s="547" t="n">
        <f aca="false">IF('(1)예금승인내역'!H808="","",'(1)예금승인내역'!H808)</f>
        <v>45740</v>
      </c>
      <c r="O182" s="547" t="n">
        <f aca="false">IF('(1)예금승인내역'!G808="","",'(1)예금승인내역'!G808)</f>
        <v>45727</v>
      </c>
      <c r="P182" s="531" t="str">
        <f aca="false">IF('(1)예금승인내역'!F808="","",'(1)예금승인내역'!F808)</f>
        <v>㈜일지테크</v>
      </c>
      <c r="Q182" s="531" t="str">
        <f aca="false">IF('(1)예금승인내역'!C808="","",'(1)예금승인내역'!C808)</f>
        <v>경산공단영업부</v>
      </c>
      <c r="R182" s="531" t="str">
        <f aca="false">IF('(1)예금승인내역'!K808="","",'(1)예금승인내역'!K808)</f>
        <v>정기예금</v>
      </c>
      <c r="S182" s="548" t="n">
        <f aca="false">IF('(1)예금승인내역'!L808="","",'(1)예금승인내역'!L808)</f>
        <v>44.93</v>
      </c>
      <c r="T182" s="549" t="n">
        <f aca="false">IF('(1)예금승인내역'!AG808="","",'(1)예금승인내역'!AG808)</f>
        <v>0.0385</v>
      </c>
      <c r="U182" s="549" t="n">
        <f aca="false">IF('(1)예금승인내역'!X808="","",'(1)예금승인내역'!X808)</f>
        <v>0.001812</v>
      </c>
      <c r="V182" s="531" t="n">
        <f aca="false">IF(ISNUMBER(N182),N182-$B$2,"")</f>
        <v>-449</v>
      </c>
      <c r="W182" s="531" t="str">
        <f aca="false">IF(AND(ISNUMBER(N182),N182&gt;=$B$2,N182&lt;=$B$2+10),N182*100000+ROW(),"")</f>
        <v/>
      </c>
      <c r="X182" s="531"/>
      <c r="Y182" s="531"/>
      <c r="Z182" s="531"/>
      <c r="AA182" s="531"/>
      <c r="AB182" s="531"/>
      <c r="AC182" s="531"/>
      <c r="AD182" s="531"/>
      <c r="AE182" s="531"/>
      <c r="AF182" s="531"/>
      <c r="AG182" s="531"/>
      <c r="AH182" s="531"/>
      <c r="AI182" s="531"/>
      <c r="AJ182" s="531"/>
      <c r="AK182" s="531"/>
      <c r="AL182" s="531"/>
      <c r="AM182" s="531"/>
      <c r="AN182" s="531"/>
    </row>
    <row r="183" customFormat="false" ht="16.5" hidden="false" customHeight="true" outlineLevel="0" collapsed="false">
      <c r="A183" s="531"/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1"/>
      <c r="N183" s="547" t="n">
        <f aca="false">IF('(1)예금승인내역'!H809="","",'(1)예금승인내역'!H809)</f>
        <v>45758</v>
      </c>
      <c r="O183" s="547" t="n">
        <f aca="false">IF('(1)예금승인내역'!G809="","",'(1)예금승인내역'!G809)</f>
        <v>45728</v>
      </c>
      <c r="P183" s="531" t="str">
        <f aca="false">IF('(1)예금승인내역'!F809="","",'(1)예금승인내역'!F809)</f>
        <v>와이투솔루션</v>
      </c>
      <c r="Q183" s="531" t="str">
        <f aca="false">IF('(1)예금승인내역'!C809="","",'(1)예금승인내역'!C809)</f>
        <v>화성금융센터</v>
      </c>
      <c r="R183" s="531" t="str">
        <f aca="false">IF('(1)예금승인내역'!K809="","",'(1)예금승인내역'!K809)</f>
        <v>MMDA</v>
      </c>
      <c r="S183" s="548" t="n">
        <f aca="false">IF('(1)예금승인내역'!L809="","",'(1)예금승인내역'!L809)</f>
        <v>1</v>
      </c>
      <c r="T183" s="549" t="n">
        <f aca="false">IF('(1)예금승인내역'!AG809="","",'(1)예금승인내역'!AG809)</f>
        <v>0.038</v>
      </c>
      <c r="U183" s="549" t="n">
        <f aca="false">IF('(1)예금승인내역'!X809="","",'(1)예금승인내역'!X809)</f>
        <v>0.00388</v>
      </c>
      <c r="V183" s="531" t="n">
        <f aca="false">IF(ISNUMBER(N183),N183-$B$2,"")</f>
        <v>-431</v>
      </c>
      <c r="W183" s="531" t="str">
        <f aca="false">IF(AND(ISNUMBER(N183),N183&gt;=$B$2,N183&lt;=$B$2+10),N183*100000+ROW(),"")</f>
        <v/>
      </c>
      <c r="X183" s="531"/>
      <c r="Y183" s="531"/>
      <c r="Z183" s="531"/>
      <c r="AA183" s="531"/>
      <c r="AB183" s="531"/>
      <c r="AC183" s="531"/>
      <c r="AD183" s="531"/>
      <c r="AE183" s="531"/>
      <c r="AF183" s="531"/>
      <c r="AG183" s="531"/>
      <c r="AH183" s="531"/>
      <c r="AI183" s="531"/>
      <c r="AJ183" s="531"/>
      <c r="AK183" s="531"/>
      <c r="AL183" s="531"/>
      <c r="AM183" s="531"/>
      <c r="AN183" s="531"/>
    </row>
    <row r="184" customFormat="false" ht="16.5" hidden="false" customHeight="true" outlineLevel="0" collapsed="false">
      <c r="A184" s="531"/>
      <c r="B184" s="531"/>
      <c r="C184" s="531"/>
      <c r="D184" s="531"/>
      <c r="E184" s="531"/>
      <c r="F184" s="531"/>
      <c r="G184" s="531"/>
      <c r="H184" s="531"/>
      <c r="I184" s="531"/>
      <c r="J184" s="531"/>
      <c r="K184" s="531"/>
      <c r="L184" s="531"/>
      <c r="M184" s="531"/>
      <c r="N184" s="547" t="n">
        <f aca="false">IF('(1)예금승인내역'!H810="","",'(1)예금승인내역'!H810)</f>
        <v>45821</v>
      </c>
      <c r="O184" s="547" t="n">
        <f aca="false">IF('(1)예금승인내역'!G810="","",'(1)예금승인내역'!G810)</f>
        <v>45729</v>
      </c>
      <c r="P184" s="531" t="str">
        <f aca="false">IF('(1)예금승인내역'!F810="","",'(1)예금승인내역'!F810)</f>
        <v>㈜에스앤에스텍</v>
      </c>
      <c r="Q184" s="531" t="str">
        <f aca="false">IF('(1)예금승인내역'!C810="","",'(1)예금승인내역'!C810)</f>
        <v>성서3단지영업부</v>
      </c>
      <c r="R184" s="531" t="str">
        <f aca="false">IF('(1)예금승인내역'!K810="","",'(1)예금승인내역'!K810)</f>
        <v>정기예금</v>
      </c>
      <c r="S184" s="548" t="n">
        <f aca="false">IF('(1)예금승인내역'!L810="","",'(1)예금승인내역'!L810)</f>
        <v>1</v>
      </c>
      <c r="T184" s="549" t="n">
        <f aca="false">IF('(1)예금승인내역'!AG810="","",'(1)예금승인내역'!AG810)</f>
        <v>0.0425</v>
      </c>
      <c r="U184" s="549" t="n">
        <f aca="false">IF('(1)예금승인내역'!X810="","",'(1)예금승인내역'!X810)</f>
        <v>0.002295</v>
      </c>
      <c r="V184" s="531" t="n">
        <f aca="false">IF(ISNUMBER(N184),N184-$B$2,"")</f>
        <v>-368</v>
      </c>
      <c r="W184" s="531" t="str">
        <f aca="false">IF(AND(ISNUMBER(N184),N184&gt;=$B$2,N184&lt;=$B$2+10),N184*100000+ROW(),"")</f>
        <v/>
      </c>
      <c r="X184" s="531"/>
      <c r="Y184" s="531"/>
      <c r="Z184" s="531"/>
      <c r="AA184" s="531"/>
      <c r="AB184" s="531"/>
      <c r="AC184" s="531"/>
      <c r="AD184" s="531"/>
      <c r="AE184" s="531"/>
      <c r="AF184" s="531"/>
      <c r="AG184" s="531"/>
      <c r="AH184" s="531"/>
      <c r="AI184" s="531"/>
      <c r="AJ184" s="531"/>
      <c r="AK184" s="531"/>
      <c r="AL184" s="531"/>
      <c r="AM184" s="531"/>
      <c r="AN184" s="531"/>
    </row>
    <row r="185" customFormat="false" ht="16.5" hidden="false" customHeight="true" outlineLevel="0" collapsed="false">
      <c r="A185" s="531"/>
      <c r="B185" s="531"/>
      <c r="C185" s="531"/>
      <c r="D185" s="531"/>
      <c r="E185" s="531"/>
      <c r="F185" s="531"/>
      <c r="G185" s="531"/>
      <c r="H185" s="531"/>
      <c r="I185" s="531"/>
      <c r="J185" s="531"/>
      <c r="K185" s="531"/>
      <c r="L185" s="531"/>
      <c r="M185" s="531"/>
      <c r="N185" s="547" t="n">
        <f aca="false">IF('(1)예금승인내역'!H811="","",'(1)예금승인내역'!H811)</f>
        <v>45761</v>
      </c>
      <c r="O185" s="547" t="n">
        <f aca="false">IF('(1)예금승인내역'!G811="","",'(1)예금승인내역'!G811)</f>
        <v>45729</v>
      </c>
      <c r="P185" s="531" t="str">
        <f aca="false">IF('(1)예금승인내역'!F811="","",'(1)예금승인내역'!F811)</f>
        <v>대한상선 </v>
      </c>
      <c r="Q185" s="531" t="str">
        <f aca="false">IF('(1)예금승인내역'!C811="","",'(1)예금승인내역'!C811)</f>
        <v>강남영업부</v>
      </c>
      <c r="R185" s="531" t="str">
        <f aca="false">IF('(1)예금승인내역'!K811="","",'(1)예금승인내역'!K811)</f>
        <v>정기예금</v>
      </c>
      <c r="S185" s="548" t="n">
        <f aca="false">IF('(1)예금승인내역'!L811="","",'(1)예금승인내역'!L811)</f>
        <v>1</v>
      </c>
      <c r="T185" s="549" t="n">
        <f aca="false">IF('(1)예금승인내역'!AG811="","",'(1)예금승인내역'!AG811)</f>
        <v>0.0422</v>
      </c>
      <c r="U185" s="549" t="n">
        <f aca="false">IF('(1)예금승인내역'!X811="","",'(1)예금승인내역'!X811)</f>
        <v>0.001415</v>
      </c>
      <c r="V185" s="531" t="n">
        <f aca="false">IF(ISNUMBER(N185),N185-$B$2,"")</f>
        <v>-428</v>
      </c>
      <c r="W185" s="531" t="str">
        <f aca="false">IF(AND(ISNUMBER(N185),N185&gt;=$B$2,N185&lt;=$B$2+10),N185*100000+ROW(),"")</f>
        <v/>
      </c>
      <c r="X185" s="531"/>
      <c r="Y185" s="531"/>
      <c r="Z185" s="531"/>
      <c r="AA185" s="531"/>
      <c r="AB185" s="531"/>
      <c r="AC185" s="531"/>
      <c r="AD185" s="531"/>
      <c r="AE185" s="531"/>
      <c r="AF185" s="531"/>
      <c r="AG185" s="531"/>
      <c r="AH185" s="531"/>
      <c r="AI185" s="531"/>
      <c r="AJ185" s="531"/>
      <c r="AK185" s="531"/>
      <c r="AL185" s="531"/>
      <c r="AM185" s="531"/>
      <c r="AN185" s="531"/>
    </row>
    <row r="186" customFormat="false" ht="16.5" hidden="false" customHeight="true" outlineLevel="0" collapsed="false">
      <c r="A186" s="531"/>
      <c r="B186" s="531"/>
      <c r="C186" s="531"/>
      <c r="D186" s="531"/>
      <c r="E186" s="531"/>
      <c r="F186" s="531"/>
      <c r="G186" s="531"/>
      <c r="H186" s="531"/>
      <c r="I186" s="531"/>
      <c r="J186" s="531"/>
      <c r="K186" s="531"/>
      <c r="L186" s="531"/>
      <c r="M186" s="531"/>
      <c r="N186" s="547" t="n">
        <f aca="false">IF('(1)예금승인내역'!H812="","",'(1)예금승인내역'!H812)</f>
        <v>45761</v>
      </c>
      <c r="O186" s="547" t="n">
        <f aca="false">IF('(1)예금승인내역'!G812="","",'(1)예금승인내역'!G812)</f>
        <v>45730</v>
      </c>
      <c r="P186" s="531" t="str">
        <f aca="false">IF('(1)예금승인내역'!F812="","",'(1)예금승인내역'!F812)</f>
        <v>㈜비알팜</v>
      </c>
      <c r="Q186" s="531" t="str">
        <f aca="false">IF('(1)예금승인내역'!C812="","",'(1)예금승인내역'!C812)</f>
        <v>원주금융센터</v>
      </c>
      <c r="R186" s="531" t="str">
        <f aca="false">IF('(1)예금승인내역'!K812="","",'(1)예금승인내역'!K812)</f>
        <v>MMDA</v>
      </c>
      <c r="S186" s="548" t="n">
        <f aca="false">IF('(1)예금승인내역'!L812="","",'(1)예금승인내역'!L812)</f>
        <v>1</v>
      </c>
      <c r="T186" s="549" t="n">
        <f aca="false">IF('(1)예금승인내역'!AG812="","",'(1)예금승인내역'!AG812)</f>
        <v>0.0385</v>
      </c>
      <c r="U186" s="549" t="n">
        <f aca="false">IF('(1)예금승인내역'!X812="","",'(1)예금승인내역'!X812)</f>
        <v>0.004573</v>
      </c>
      <c r="V186" s="531" t="n">
        <f aca="false">IF(ISNUMBER(N186),N186-$B$2,"")</f>
        <v>-428</v>
      </c>
      <c r="W186" s="531" t="str">
        <f aca="false">IF(AND(ISNUMBER(N186),N186&gt;=$B$2,N186&lt;=$B$2+10),N186*100000+ROW(),"")</f>
        <v/>
      </c>
      <c r="X186" s="531"/>
      <c r="Y186" s="531"/>
      <c r="Z186" s="531"/>
      <c r="AA186" s="531"/>
      <c r="AB186" s="531"/>
      <c r="AC186" s="531"/>
      <c r="AD186" s="531"/>
      <c r="AE186" s="531"/>
      <c r="AF186" s="531"/>
      <c r="AG186" s="531"/>
      <c r="AH186" s="531"/>
      <c r="AI186" s="531"/>
      <c r="AJ186" s="531"/>
      <c r="AK186" s="531"/>
      <c r="AL186" s="531"/>
      <c r="AM186" s="531"/>
      <c r="AN186" s="531"/>
    </row>
    <row r="187" customFormat="false" ht="16.5" hidden="false" customHeight="true" outlineLevel="0" collapsed="false">
      <c r="A187" s="531"/>
      <c r="B187" s="531"/>
      <c r="C187" s="531"/>
      <c r="D187" s="531"/>
      <c r="E187" s="531"/>
      <c r="F187" s="531"/>
      <c r="G187" s="531"/>
      <c r="H187" s="531"/>
      <c r="I187" s="531"/>
      <c r="J187" s="531"/>
      <c r="K187" s="531"/>
      <c r="L187" s="531"/>
      <c r="M187" s="531"/>
      <c r="N187" s="547" t="n">
        <f aca="false">IF('(1)예금승인내역'!H813="","",'(1)예금승인내역'!H813)</f>
        <v>45761</v>
      </c>
      <c r="O187" s="547" t="n">
        <f aca="false">IF('(1)예금승인내역'!G813="","",'(1)예금승인내역'!G813)</f>
        <v>45730</v>
      </c>
      <c r="P187" s="531" t="str">
        <f aca="false">IF('(1)예금승인내역'!F813="","",'(1)예금승인내역'!F813)</f>
        <v>오스템임플란트㈜</v>
      </c>
      <c r="Q187" s="531" t="str">
        <f aca="false">IF('(1)예금승인내역'!C813="","",'(1)예금승인내역'!C813)</f>
        <v>성남금융센터</v>
      </c>
      <c r="R187" s="531" t="str">
        <f aca="false">IF('(1)예금승인내역'!K813="","",'(1)예금승인내역'!K813)</f>
        <v>MMDA</v>
      </c>
      <c r="S187" s="548" t="n">
        <f aca="false">IF('(1)예금승인내역'!L813="","",'(1)예금승인내역'!L813)</f>
        <v>4.789</v>
      </c>
      <c r="T187" s="549" t="n">
        <f aca="false">IF('(1)예금승인내역'!AG813="","",'(1)예금승인내역'!AG813)</f>
        <v>0.0385</v>
      </c>
      <c r="U187" s="549" t="n">
        <f aca="false">IF('(1)예금승인내역'!X813="","",'(1)예금승인내역'!X813)</f>
        <v>0.004573</v>
      </c>
      <c r="V187" s="531" t="n">
        <f aca="false">IF(ISNUMBER(N187),N187-$B$2,"")</f>
        <v>-428</v>
      </c>
      <c r="W187" s="531" t="str">
        <f aca="false">IF(AND(ISNUMBER(N187),N187&gt;=$B$2,N187&lt;=$B$2+10),N187*100000+ROW(),"")</f>
        <v/>
      </c>
      <c r="X187" s="531"/>
      <c r="Y187" s="531"/>
      <c r="Z187" s="531"/>
      <c r="AA187" s="531"/>
      <c r="AB187" s="531"/>
      <c r="AC187" s="531"/>
      <c r="AD187" s="531"/>
      <c r="AE187" s="531"/>
      <c r="AF187" s="531"/>
      <c r="AG187" s="531"/>
      <c r="AH187" s="531"/>
      <c r="AI187" s="531"/>
      <c r="AJ187" s="531"/>
      <c r="AK187" s="531"/>
      <c r="AL187" s="531"/>
      <c r="AM187" s="531"/>
      <c r="AN187" s="531"/>
    </row>
    <row r="188" customFormat="false" ht="16.5" hidden="false" customHeight="true" outlineLevel="0" collapsed="false">
      <c r="A188" s="531"/>
      <c r="B188" s="531"/>
      <c r="C188" s="531"/>
      <c r="D188" s="531"/>
      <c r="E188" s="531"/>
      <c r="F188" s="531"/>
      <c r="G188" s="531"/>
      <c r="H188" s="531"/>
      <c r="I188" s="531"/>
      <c r="J188" s="531"/>
      <c r="K188" s="531"/>
      <c r="L188" s="531"/>
      <c r="M188" s="531"/>
      <c r="N188" s="547" t="n">
        <f aca="false">IF('(1)예금승인내역'!H814="","",'(1)예금승인내역'!H814)</f>
        <v>45765</v>
      </c>
      <c r="O188" s="547" t="n">
        <f aca="false">IF('(1)예금승인내역'!G814="","",'(1)예금승인내역'!G814)</f>
        <v>45735</v>
      </c>
      <c r="P188" s="531" t="str">
        <f aca="false">IF('(1)예금승인내역'!F814="","",'(1)예금승인내역'!F814)</f>
        <v>㈜ 광성</v>
      </c>
      <c r="Q188" s="531" t="str">
        <f aca="false">IF('(1)예금승인내역'!C814="","",'(1)예금승인내역'!C814)</f>
        <v>경산공단영업부</v>
      </c>
      <c r="R188" s="531" t="str">
        <f aca="false">IF('(1)예금승인내역'!K814="","",'(1)예금승인내역'!K814)</f>
        <v>MMDA</v>
      </c>
      <c r="S188" s="548" t="n">
        <f aca="false">IF('(1)예금승인내역'!L814="","",'(1)예금승인내역'!L814)</f>
        <v>1</v>
      </c>
      <c r="T188" s="549" t="n">
        <f aca="false">IF('(1)예금승인내역'!AG814="","",'(1)예금승인내역'!AG814)</f>
        <v>0.0385</v>
      </c>
      <c r="U188" s="549" t="n">
        <f aca="false">IF('(1)예금승인내역'!X814="","",'(1)예금승인내역'!X814)</f>
        <v>0.003325</v>
      </c>
      <c r="V188" s="531" t="n">
        <f aca="false">IF(ISNUMBER(N188),N188-$B$2,"")</f>
        <v>-424</v>
      </c>
      <c r="W188" s="531" t="str">
        <f aca="false">IF(AND(ISNUMBER(N188),N188&gt;=$B$2,N188&lt;=$B$2+10),N188*100000+ROW(),"")</f>
        <v/>
      </c>
      <c r="X188" s="531"/>
      <c r="Y188" s="531"/>
      <c r="Z188" s="531"/>
      <c r="AA188" s="531"/>
      <c r="AB188" s="531"/>
      <c r="AC188" s="531"/>
      <c r="AD188" s="531"/>
      <c r="AE188" s="531"/>
      <c r="AF188" s="531"/>
      <c r="AG188" s="531"/>
      <c r="AH188" s="531"/>
      <c r="AI188" s="531"/>
      <c r="AJ188" s="531"/>
      <c r="AK188" s="531"/>
      <c r="AL188" s="531"/>
      <c r="AM188" s="531"/>
      <c r="AN188" s="531"/>
    </row>
    <row r="189" customFormat="false" ht="16.5" hidden="false" customHeight="true" outlineLevel="0" collapsed="false">
      <c r="A189" s="531"/>
      <c r="B189" s="531"/>
      <c r="C189" s="531"/>
      <c r="D189" s="531"/>
      <c r="E189" s="531"/>
      <c r="F189" s="531"/>
      <c r="G189" s="531"/>
      <c r="H189" s="531"/>
      <c r="I189" s="531"/>
      <c r="J189" s="531"/>
      <c r="K189" s="531"/>
      <c r="L189" s="531"/>
      <c r="M189" s="531"/>
      <c r="N189" s="547" t="n">
        <f aca="false">IF('(1)예금승인내역'!H815="","",'(1)예금승인내역'!H815)</f>
        <v>45828</v>
      </c>
      <c r="O189" s="547" t="n">
        <f aca="false">IF('(1)예금승인내역'!G815="","",'(1)예금승인내역'!G815)</f>
        <v>45736</v>
      </c>
      <c r="P189" s="531" t="str">
        <f aca="false">IF('(1)예금승인내역'!F815="","",'(1)예금승인내역'!F815)</f>
        <v>㈜에스앤에스텍</v>
      </c>
      <c r="Q189" s="531" t="str">
        <f aca="false">IF('(1)예금승인내역'!C815="","",'(1)예금승인내역'!C815)</f>
        <v>성서3단지영업부</v>
      </c>
      <c r="R189" s="531" t="str">
        <f aca="false">IF('(1)예금승인내역'!K815="","",'(1)예금승인내역'!K815)</f>
        <v>정기예금</v>
      </c>
      <c r="S189" s="548" t="n">
        <f aca="false">IF('(1)예금승인내역'!L815="","",'(1)예금승인내역'!L815)</f>
        <v>1</v>
      </c>
      <c r="T189" s="549" t="n">
        <f aca="false">IF('(1)예금승인내역'!AG815="","",'(1)예금승인내역'!AG815)</f>
        <v>0.0425</v>
      </c>
      <c r="U189" s="549" t="n">
        <f aca="false">IF('(1)예금승인내역'!X815="","",'(1)예금승인내역'!X815)</f>
        <v>0.002373</v>
      </c>
      <c r="V189" s="531" t="n">
        <f aca="false">IF(ISNUMBER(N189),N189-$B$2,"")</f>
        <v>-361</v>
      </c>
      <c r="W189" s="531" t="str">
        <f aca="false">IF(AND(ISNUMBER(N189),N189&gt;=$B$2,N189&lt;=$B$2+10),N189*100000+ROW(),"")</f>
        <v/>
      </c>
      <c r="X189" s="531"/>
      <c r="Y189" s="531"/>
      <c r="Z189" s="531"/>
      <c r="AA189" s="531"/>
      <c r="AB189" s="531"/>
      <c r="AC189" s="531"/>
      <c r="AD189" s="531"/>
      <c r="AE189" s="531"/>
      <c r="AF189" s="531"/>
      <c r="AG189" s="531"/>
      <c r="AH189" s="531"/>
      <c r="AI189" s="531"/>
      <c r="AJ189" s="531"/>
      <c r="AK189" s="531"/>
      <c r="AL189" s="531"/>
      <c r="AM189" s="531"/>
      <c r="AN189" s="531"/>
    </row>
    <row r="190" customFormat="false" ht="16.5" hidden="false" customHeight="true" outlineLevel="0" collapsed="false">
      <c r="A190" s="531"/>
      <c r="B190" s="531"/>
      <c r="C190" s="531"/>
      <c r="D190" s="531"/>
      <c r="E190" s="531"/>
      <c r="F190" s="531"/>
      <c r="G190" s="531"/>
      <c r="H190" s="531"/>
      <c r="I190" s="531"/>
      <c r="J190" s="531"/>
      <c r="K190" s="531"/>
      <c r="L190" s="531"/>
      <c r="M190" s="531"/>
      <c r="N190" s="547" t="n">
        <f aca="false">IF('(1)예금승인내역'!H816="","",'(1)예금승인내역'!H816)</f>
        <v>45771</v>
      </c>
      <c r="O190" s="547" t="n">
        <f aca="false">IF('(1)예금승인내역'!G816="","",'(1)예금승인내역'!G816)</f>
        <v>45740</v>
      </c>
      <c r="P190" s="531" t="str">
        <f aca="false">IF('(1)예금승인내역'!F816="","",'(1)예금승인내역'!F816)</f>
        <v>㈜약진통상</v>
      </c>
      <c r="Q190" s="531" t="str">
        <f aca="false">IF('(1)예금승인내역'!C816="","",'(1)예금승인내역'!C816)</f>
        <v>반월공단지점</v>
      </c>
      <c r="R190" s="531" t="str">
        <f aca="false">IF('(1)예금승인내역'!K816="","",'(1)예금승인내역'!K816)</f>
        <v>MMDA</v>
      </c>
      <c r="S190" s="548" t="n">
        <f aca="false">IF('(1)예금승인내역'!L816="","",'(1)예금승인내역'!L816)</f>
        <v>12.46</v>
      </c>
      <c r="T190" s="549" t="n">
        <f aca="false">IF('(1)예금승인내역'!AG816="","",'(1)예금승인내역'!AG816)</f>
        <v>0.038</v>
      </c>
      <c r="U190" s="549" t="n">
        <f aca="false">IF('(1)예금승인내역'!X816="","",'(1)예금승인내역'!X816)</f>
        <v>0.003872</v>
      </c>
      <c r="V190" s="531" t="n">
        <f aca="false">IF(ISNUMBER(N190),N190-$B$2,"")</f>
        <v>-418</v>
      </c>
      <c r="W190" s="531" t="str">
        <f aca="false">IF(AND(ISNUMBER(N190),N190&gt;=$B$2,N190&lt;=$B$2+10),N190*100000+ROW(),"")</f>
        <v/>
      </c>
      <c r="X190" s="531"/>
      <c r="Y190" s="531"/>
      <c r="Z190" s="531"/>
      <c r="AA190" s="531"/>
      <c r="AB190" s="531"/>
      <c r="AC190" s="531"/>
      <c r="AD190" s="531"/>
      <c r="AE190" s="531"/>
      <c r="AF190" s="531"/>
      <c r="AG190" s="531"/>
      <c r="AH190" s="531"/>
      <c r="AI190" s="531"/>
      <c r="AJ190" s="531"/>
      <c r="AK190" s="531"/>
      <c r="AL190" s="531"/>
      <c r="AM190" s="531"/>
      <c r="AN190" s="531"/>
    </row>
    <row r="191" customFormat="false" ht="16.5" hidden="false" customHeight="true" outlineLevel="0" collapsed="false">
      <c r="A191" s="531"/>
      <c r="B191" s="531"/>
      <c r="C191" s="531"/>
      <c r="D191" s="531"/>
      <c r="E191" s="531"/>
      <c r="F191" s="531"/>
      <c r="G191" s="531"/>
      <c r="H191" s="531"/>
      <c r="I191" s="531"/>
      <c r="J191" s="531"/>
      <c r="K191" s="531"/>
      <c r="L191" s="531"/>
      <c r="M191" s="531"/>
      <c r="N191" s="547" t="n">
        <f aca="false">IF('(1)예금승인내역'!H817="","",'(1)예금승인내역'!H817)</f>
        <v>45758</v>
      </c>
      <c r="O191" s="547" t="n">
        <f aca="false">IF('(1)예금승인내역'!G817="","",'(1)예금승인내역'!G817)</f>
        <v>45740</v>
      </c>
      <c r="P191" s="531" t="str">
        <f aca="false">IF('(1)예금승인내역'!F817="","",'(1)예금승인내역'!F817)</f>
        <v>㈜일지테크</v>
      </c>
      <c r="Q191" s="531" t="str">
        <f aca="false">IF('(1)예금승인내역'!C817="","",'(1)예금승인내역'!C817)</f>
        <v>경산공단영업부</v>
      </c>
      <c r="R191" s="531" t="str">
        <f aca="false">IF('(1)예금승인내역'!K817="","",'(1)예금승인내역'!K817)</f>
        <v>정기예금</v>
      </c>
      <c r="S191" s="548" t="n">
        <f aca="false">IF('(1)예금승인내역'!L817="","",'(1)예금승인내역'!L817)</f>
        <v>44</v>
      </c>
      <c r="T191" s="549" t="n">
        <f aca="false">IF('(1)예금승인내역'!AG817="","",'(1)예금승인내역'!AG817)</f>
        <v>0.038</v>
      </c>
      <c r="U191" s="549" t="n">
        <f aca="false">IF('(1)예금승인내역'!X817="","",'(1)예금승인내역'!X817)</f>
        <v>0.002336</v>
      </c>
      <c r="V191" s="531" t="n">
        <f aca="false">IF(ISNUMBER(N191),N191-$B$2,"")</f>
        <v>-431</v>
      </c>
      <c r="W191" s="531" t="str">
        <f aca="false">IF(AND(ISNUMBER(N191),N191&gt;=$B$2,N191&lt;=$B$2+10),N191*100000+ROW(),"")</f>
        <v/>
      </c>
      <c r="X191" s="531"/>
      <c r="Y191" s="531"/>
      <c r="Z191" s="531"/>
      <c r="AA191" s="531"/>
      <c r="AB191" s="531"/>
      <c r="AC191" s="531"/>
      <c r="AD191" s="531"/>
      <c r="AE191" s="531"/>
      <c r="AF191" s="531"/>
      <c r="AG191" s="531"/>
      <c r="AH191" s="531"/>
      <c r="AI191" s="531"/>
      <c r="AJ191" s="531"/>
      <c r="AK191" s="531"/>
      <c r="AL191" s="531"/>
      <c r="AM191" s="531"/>
      <c r="AN191" s="531"/>
    </row>
    <row r="192" customFormat="false" ht="16.5" hidden="false" customHeight="true" outlineLevel="0" collapsed="false">
      <c r="A192" s="531"/>
      <c r="B192" s="531"/>
      <c r="C192" s="531"/>
      <c r="D192" s="531"/>
      <c r="E192" s="531"/>
      <c r="F192" s="531"/>
      <c r="G192" s="531"/>
      <c r="H192" s="531"/>
      <c r="I192" s="531"/>
      <c r="J192" s="531"/>
      <c r="K192" s="531"/>
      <c r="L192" s="531"/>
      <c r="M192" s="531"/>
      <c r="N192" s="547" t="n">
        <f aca="false">IF('(1)예금승인내역'!H818="","",'(1)예금승인내역'!H818)</f>
        <v>45834</v>
      </c>
      <c r="O192" s="547" t="n">
        <f aca="false">IF('(1)예금승인내역'!G818="","",'(1)예금승인내역'!G818)</f>
        <v>45742</v>
      </c>
      <c r="P192" s="531" t="str">
        <f aca="false">IF('(1)예금승인내역'!F818="","",'(1)예금승인내역'!F818)</f>
        <v>대한전선㈜</v>
      </c>
      <c r="Q192" s="531" t="str">
        <f aca="false">IF('(1)예금승인내역'!C818="","",'(1)예금승인내역'!C818)</f>
        <v>성남영업부</v>
      </c>
      <c r="R192" s="531" t="str">
        <f aca="false">IF('(1)예금승인내역'!K818="","",'(1)예금승인내역'!K818)</f>
        <v>정기예금</v>
      </c>
      <c r="S192" s="548" t="n">
        <f aca="false">IF('(1)예금승인내역'!L818="","",'(1)예금승인내역'!L818)</f>
        <v>20</v>
      </c>
      <c r="T192" s="549" t="n">
        <f aca="false">IF('(1)예금승인내역'!AG818="","",'(1)예금승인내역'!AG818)</f>
        <v>0.0427</v>
      </c>
      <c r="U192" s="549" t="n">
        <f aca="false">IF('(1)예금승인내역'!X818="","",'(1)예금승인내역'!X818)</f>
        <v>0.002155</v>
      </c>
      <c r="V192" s="531" t="n">
        <f aca="false">IF(ISNUMBER(N192),N192-$B$2,"")</f>
        <v>-355</v>
      </c>
      <c r="W192" s="531" t="str">
        <f aca="false">IF(AND(ISNUMBER(N192),N192&gt;=$B$2,N192&lt;=$B$2+10),N192*100000+ROW(),"")</f>
        <v/>
      </c>
      <c r="X192" s="531"/>
      <c r="Y192" s="531"/>
      <c r="Z192" s="531"/>
      <c r="AA192" s="531"/>
      <c r="AB192" s="531"/>
      <c r="AC192" s="531"/>
      <c r="AD192" s="531"/>
      <c r="AE192" s="531"/>
      <c r="AF192" s="531"/>
      <c r="AG192" s="531"/>
      <c r="AH192" s="531"/>
      <c r="AI192" s="531"/>
      <c r="AJ192" s="531"/>
      <c r="AK192" s="531"/>
      <c r="AL192" s="531"/>
      <c r="AM192" s="531"/>
      <c r="AN192" s="531"/>
    </row>
    <row r="193" customFormat="false" ht="16.5" hidden="false" customHeight="true" outlineLevel="0" collapsed="false">
      <c r="A193" s="531"/>
      <c r="B193" s="531"/>
      <c r="C193" s="531"/>
      <c r="D193" s="531"/>
      <c r="E193" s="531"/>
      <c r="F193" s="531"/>
      <c r="G193" s="531"/>
      <c r="H193" s="531"/>
      <c r="I193" s="531"/>
      <c r="J193" s="531"/>
      <c r="K193" s="531"/>
      <c r="L193" s="531"/>
      <c r="M193" s="531"/>
      <c r="N193" s="547" t="n">
        <f aca="false">IF('(1)예금승인내역'!H819="","",'(1)예금승인내역'!H819)</f>
        <v>45929</v>
      </c>
      <c r="O193" s="547" t="n">
        <f aca="false">IF('(1)예금승인내역'!G819="","",'(1)예금승인내역'!G819)</f>
        <v>45743</v>
      </c>
      <c r="P193" s="531" t="str">
        <f aca="false">IF('(1)예금승인내역'!F819="","",'(1)예금승인내역'!F819)</f>
        <v>케이와이글로벌셀앤진사모투자</v>
      </c>
      <c r="Q193" s="531" t="str">
        <f aca="false">IF('(1)예금승인내역'!C819="","",'(1)예금승인내역'!C819)</f>
        <v>평택금융센터</v>
      </c>
      <c r="R193" s="531" t="str">
        <f aca="false">IF('(1)예금승인내역'!K819="","",'(1)예금승인내역'!K819)</f>
        <v>정기예금</v>
      </c>
      <c r="S193" s="548" t="n">
        <f aca="false">IF('(1)예금승인내역'!L819="","",'(1)예금승인내역'!L819)</f>
        <v>2.56</v>
      </c>
      <c r="T193" s="549" t="n">
        <f aca="false">IF('(1)예금승인내역'!AG819="","",'(1)예금승인내역'!AG819)</f>
        <v>0.042</v>
      </c>
      <c r="U193" s="549" t="n">
        <f aca="false">IF('(1)예금승인내역'!X819="","",'(1)예금승인내역'!X819)</f>
        <v>0.002497</v>
      </c>
      <c r="V193" s="531" t="n">
        <f aca="false">IF(ISNUMBER(N193),N193-$B$2,"")</f>
        <v>-260</v>
      </c>
      <c r="W193" s="531" t="str">
        <f aca="false">IF(AND(ISNUMBER(N193),N193&gt;=$B$2,N193&lt;=$B$2+10),N193*100000+ROW(),"")</f>
        <v/>
      </c>
      <c r="X193" s="531"/>
      <c r="Y193" s="531"/>
      <c r="Z193" s="531"/>
      <c r="AA193" s="531"/>
      <c r="AB193" s="531"/>
      <c r="AC193" s="531"/>
      <c r="AD193" s="531"/>
      <c r="AE193" s="531"/>
      <c r="AF193" s="531"/>
      <c r="AG193" s="531"/>
      <c r="AH193" s="531"/>
      <c r="AI193" s="531"/>
      <c r="AJ193" s="531"/>
      <c r="AK193" s="531"/>
      <c r="AL193" s="531"/>
      <c r="AM193" s="531"/>
      <c r="AN193" s="531"/>
    </row>
    <row r="194" customFormat="false" ht="16.5" hidden="false" customHeight="true" outlineLevel="0" collapsed="false">
      <c r="A194" s="531"/>
      <c r="B194" s="531"/>
      <c r="C194" s="531"/>
      <c r="D194" s="531"/>
      <c r="E194" s="531"/>
      <c r="F194" s="531"/>
      <c r="G194" s="531"/>
      <c r="H194" s="531"/>
      <c r="I194" s="531"/>
      <c r="J194" s="531"/>
      <c r="K194" s="531"/>
      <c r="L194" s="531"/>
      <c r="M194" s="531"/>
      <c r="N194" s="547" t="n">
        <f aca="false">IF('(1)예금승인내역'!H820="","",'(1)예금승인내역'!H820)</f>
        <v>45838</v>
      </c>
      <c r="O194" s="547" t="n">
        <f aca="false">IF('(1)예금승인내역'!G820="","",'(1)예금승인내역'!G820)</f>
        <v>45744</v>
      </c>
      <c r="P194" s="531" t="str">
        <f aca="false">IF('(1)예금승인내역'!F820="","",'(1)예금승인내역'!F820)</f>
        <v>와이투솔루션</v>
      </c>
      <c r="Q194" s="531" t="str">
        <f aca="false">IF('(1)예금승인내역'!C820="","",'(1)예금승인내역'!C820)</f>
        <v>화성금융센터</v>
      </c>
      <c r="R194" s="531" t="str">
        <f aca="false">IF('(1)예금승인내역'!K820="","",'(1)예금승인내역'!K820)</f>
        <v>정기예금</v>
      </c>
      <c r="S194" s="548" t="n">
        <f aca="false">IF('(1)예금승인내역'!L820="","",'(1)예금승인내역'!L820)</f>
        <v>2</v>
      </c>
      <c r="T194" s="549" t="n">
        <f aca="false">IF('(1)예금승인내역'!AG820="","",'(1)예금승인내역'!AG820)</f>
        <v>0.0425</v>
      </c>
      <c r="U194" s="549" t="n">
        <f aca="false">IF('(1)예금승인내역'!X820="","",'(1)예금승인내역'!X820)</f>
        <v>0.00172</v>
      </c>
      <c r="V194" s="531" t="n">
        <f aca="false">IF(ISNUMBER(N194),N194-$B$2,"")</f>
        <v>-351</v>
      </c>
      <c r="W194" s="531" t="str">
        <f aca="false">IF(AND(ISNUMBER(N194),N194&gt;=$B$2,N194&lt;=$B$2+10),N194*100000+ROW(),"")</f>
        <v/>
      </c>
      <c r="X194" s="531"/>
      <c r="Y194" s="531"/>
      <c r="Z194" s="531"/>
      <c r="AA194" s="531"/>
      <c r="AB194" s="531"/>
      <c r="AC194" s="531"/>
      <c r="AD194" s="531"/>
      <c r="AE194" s="531"/>
      <c r="AF194" s="531"/>
      <c r="AG194" s="531"/>
      <c r="AH194" s="531"/>
      <c r="AI194" s="531"/>
      <c r="AJ194" s="531"/>
      <c r="AK194" s="531"/>
      <c r="AL194" s="531"/>
      <c r="AM194" s="531"/>
      <c r="AN194" s="531"/>
    </row>
    <row r="195" customFormat="false" ht="16.5" hidden="false" customHeight="true" outlineLevel="0" collapsed="false">
      <c r="A195" s="531"/>
      <c r="B195" s="531"/>
      <c r="C195" s="531"/>
      <c r="D195" s="531"/>
      <c r="E195" s="531"/>
      <c r="F195" s="531"/>
      <c r="G195" s="531"/>
      <c r="H195" s="531"/>
      <c r="I195" s="531"/>
      <c r="J195" s="531"/>
      <c r="K195" s="531"/>
      <c r="L195" s="531"/>
      <c r="M195" s="531"/>
      <c r="N195" s="547" t="n">
        <f aca="false">IF('(1)예금승인내역'!H821="","",'(1)예금승인내역'!H821)</f>
        <v>45769</v>
      </c>
      <c r="O195" s="547" t="n">
        <f aca="false">IF('(1)예금승인내역'!G821="","",'(1)예금승인내역'!G821)</f>
        <v>45748</v>
      </c>
      <c r="P195" s="531" t="str">
        <f aca="false">IF('(1)예금승인내역'!F821="","",'(1)예금승인내역'!F821)</f>
        <v>한국석유공사</v>
      </c>
      <c r="Q195" s="531" t="str">
        <f aca="false">IF('(1)예금승인내역'!C821="","",'(1)예금승인내역'!C821)</f>
        <v>울산영업부</v>
      </c>
      <c r="R195" s="531" t="str">
        <f aca="false">IF('(1)예금승인내역'!K821="","",'(1)예금승인내역'!K821)</f>
        <v>정기예금</v>
      </c>
      <c r="S195" s="548" t="n">
        <f aca="false">IF('(1)예금승인내역'!L821="","",'(1)예금승인내역'!L821)</f>
        <v>30</v>
      </c>
      <c r="T195" s="549" t="n">
        <f aca="false">IF('(1)예금승인내역'!AG821="","",'(1)예금승인내역'!AG821)</f>
        <v>0.0385</v>
      </c>
      <c r="U195" s="549" t="n">
        <f aca="false">IF('(1)예금승인내역'!X821="","",'(1)예금승인내역'!X821)</f>
        <v>0.002289</v>
      </c>
      <c r="V195" s="531" t="n">
        <f aca="false">IF(ISNUMBER(N195),N195-$B$2,"")</f>
        <v>-420</v>
      </c>
      <c r="W195" s="531" t="str">
        <f aca="false">IF(AND(ISNUMBER(N195),N195&gt;=$B$2,N195&lt;=$B$2+10),N195*100000+ROW(),"")</f>
        <v/>
      </c>
      <c r="X195" s="531"/>
      <c r="Y195" s="531"/>
      <c r="Z195" s="531"/>
      <c r="AA195" s="531"/>
      <c r="AB195" s="531"/>
      <c r="AC195" s="531"/>
      <c r="AD195" s="531"/>
      <c r="AE195" s="531"/>
      <c r="AF195" s="531"/>
      <c r="AG195" s="531"/>
      <c r="AH195" s="531"/>
      <c r="AI195" s="531"/>
      <c r="AJ195" s="531"/>
      <c r="AK195" s="531"/>
      <c r="AL195" s="531"/>
      <c r="AM195" s="531"/>
      <c r="AN195" s="531"/>
    </row>
    <row r="196" customFormat="false" ht="16.5" hidden="false" customHeight="true" outlineLevel="0" collapsed="false">
      <c r="A196" s="531"/>
      <c r="B196" s="531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47" t="n">
        <f aca="false">IF('(1)예금승인내역'!H822="","",'(1)예금승인내역'!H822)</f>
        <v>45784</v>
      </c>
      <c r="O196" s="547" t="n">
        <f aca="false">IF('(1)예금승인내역'!G822="","",'(1)예금승인내역'!G822)</f>
        <v>45751</v>
      </c>
      <c r="P196" s="531" t="str">
        <f aca="false">IF('(1)예금승인내역'!F822="","",'(1)예금승인내역'!F822)</f>
        <v>주식회사 한국비앤씨</v>
      </c>
      <c r="Q196" s="531" t="str">
        <f aca="false">IF('(1)예금승인내역'!C822="","",'(1)예금승인내역'!C822)</f>
        <v>유통단지영업부</v>
      </c>
      <c r="R196" s="531" t="str">
        <f aca="false">IF('(1)예금승인내역'!K822="","",'(1)예금승인내역'!K822)</f>
        <v>MMDA</v>
      </c>
      <c r="S196" s="548" t="n">
        <f aca="false">IF('(1)예금승인내역'!L822="","",'(1)예금승인내역'!L822)</f>
        <v>3</v>
      </c>
      <c r="T196" s="549" t="n">
        <f aca="false">IF('(1)예금승인내역'!AG822="","",'(1)예금승인내역'!AG822)</f>
        <v>0.0385</v>
      </c>
      <c r="U196" s="549" t="n">
        <f aca="false">IF('(1)예금승인내역'!X822="","",'(1)예금승인내역'!X822)</f>
        <v>0.004191</v>
      </c>
      <c r="V196" s="531" t="n">
        <f aca="false">IF(ISNUMBER(N196),N196-$B$2,"")</f>
        <v>-405</v>
      </c>
      <c r="W196" s="531" t="str">
        <f aca="false">IF(AND(ISNUMBER(N196),N196&gt;=$B$2,N196&lt;=$B$2+10),N196*100000+ROW(),"")</f>
        <v/>
      </c>
      <c r="X196" s="531"/>
      <c r="Y196" s="531"/>
      <c r="Z196" s="531"/>
      <c r="AA196" s="531"/>
      <c r="AB196" s="531"/>
      <c r="AC196" s="531"/>
      <c r="AD196" s="531"/>
      <c r="AE196" s="531"/>
      <c r="AF196" s="531"/>
      <c r="AG196" s="531"/>
      <c r="AH196" s="531"/>
      <c r="AI196" s="531"/>
      <c r="AJ196" s="531"/>
      <c r="AK196" s="531"/>
      <c r="AL196" s="531"/>
      <c r="AM196" s="531"/>
      <c r="AN196" s="531"/>
    </row>
    <row r="197" customFormat="false" ht="16.5" hidden="false" customHeight="true" outlineLevel="0" collapsed="false">
      <c r="A197" s="531"/>
      <c r="B197" s="531"/>
      <c r="C197" s="531"/>
      <c r="D197" s="531"/>
      <c r="E197" s="531"/>
      <c r="F197" s="531"/>
      <c r="G197" s="531"/>
      <c r="H197" s="531"/>
      <c r="I197" s="531"/>
      <c r="J197" s="531"/>
      <c r="K197" s="531"/>
      <c r="L197" s="531"/>
      <c r="M197" s="531"/>
      <c r="N197" s="547" t="n">
        <f aca="false">IF('(1)예금승인내역'!H823="","",'(1)예금승인내역'!H823)</f>
        <v>45786</v>
      </c>
      <c r="O197" s="547" t="n">
        <f aca="false">IF('(1)예금승인내역'!G823="","",'(1)예금승인내역'!G823)</f>
        <v>45754</v>
      </c>
      <c r="P197" s="531" t="str">
        <f aca="false">IF('(1)예금승인내역'!F823="","",'(1)예금승인내역'!F823)</f>
        <v>에스엠상선㈜</v>
      </c>
      <c r="Q197" s="531" t="str">
        <f aca="false">IF('(1)예금승인내역'!C823="","",'(1)예금승인내역'!C823)</f>
        <v>강남영업부</v>
      </c>
      <c r="R197" s="531" t="str">
        <f aca="false">IF('(1)예금승인내역'!K823="","",'(1)예금승인내역'!K823)</f>
        <v>정기예금</v>
      </c>
      <c r="S197" s="548" t="n">
        <f aca="false">IF('(1)예금승인내역'!L823="","",'(1)예금승인내역'!L823)</f>
        <v>10</v>
      </c>
      <c r="T197" s="549" t="n">
        <f aca="false">IF('(1)예금승인내역'!AG823="","",'(1)예금승인내역'!AG823)</f>
        <v>0.0415</v>
      </c>
      <c r="U197" s="549" t="n">
        <f aca="false">IF('(1)예금승인내역'!X823="","",'(1)예금승인내역'!X823)</f>
        <v>0.002096</v>
      </c>
      <c r="V197" s="531" t="n">
        <f aca="false">IF(ISNUMBER(N197),N197-$B$2,"")</f>
        <v>-403</v>
      </c>
      <c r="W197" s="531" t="str">
        <f aca="false">IF(AND(ISNUMBER(N197),N197&gt;=$B$2,N197&lt;=$B$2+10),N197*100000+ROW(),"")</f>
        <v/>
      </c>
      <c r="X197" s="531"/>
      <c r="Y197" s="531"/>
      <c r="Z197" s="531"/>
      <c r="AA197" s="531"/>
      <c r="AB197" s="531"/>
      <c r="AC197" s="531"/>
      <c r="AD197" s="531"/>
      <c r="AE197" s="531"/>
      <c r="AF197" s="531"/>
      <c r="AG197" s="531"/>
      <c r="AH197" s="531"/>
      <c r="AI197" s="531"/>
      <c r="AJ197" s="531"/>
      <c r="AK197" s="531"/>
      <c r="AL197" s="531"/>
      <c r="AM197" s="531"/>
      <c r="AN197" s="531"/>
    </row>
    <row r="198" customFormat="false" ht="16.5" hidden="false" customHeight="true" outlineLevel="0" collapsed="false">
      <c r="A198" s="531"/>
      <c r="B198" s="531"/>
      <c r="C198" s="531"/>
      <c r="D198" s="531"/>
      <c r="E198" s="531"/>
      <c r="F198" s="531"/>
      <c r="G198" s="531"/>
      <c r="H198" s="531"/>
      <c r="I198" s="531"/>
      <c r="J198" s="531"/>
      <c r="K198" s="531"/>
      <c r="L198" s="531"/>
      <c r="M198" s="531"/>
      <c r="N198" s="547" t="n">
        <f aca="false">IF('(1)예금승인내역'!H824="","",'(1)예금승인내역'!H824)</f>
        <v>45785</v>
      </c>
      <c r="O198" s="547" t="n">
        <f aca="false">IF('(1)예금승인내역'!G824="","",'(1)예금승인내역'!G824)</f>
        <v>45755</v>
      </c>
      <c r="P198" s="531" t="str">
        <f aca="false">IF('(1)예금승인내역'!F824="","",'(1)예금승인내역'!F824)</f>
        <v>㈜이수스페셜티케미컬</v>
      </c>
      <c r="Q198" s="531" t="str">
        <f aca="false">IF('(1)예금승인내역'!C824="","",'(1)예금승인내역'!C824)</f>
        <v>성남영업부</v>
      </c>
      <c r="R198" s="531" t="str">
        <f aca="false">IF('(1)예금승인내역'!K824="","",'(1)예금승인내역'!K824)</f>
        <v>MMDA</v>
      </c>
      <c r="S198" s="548" t="n">
        <f aca="false">IF('(1)예금승인내역'!L824="","",'(1)예금승인내역'!L824)</f>
        <v>1</v>
      </c>
      <c r="T198" s="549" t="n">
        <f aca="false">IF('(1)예금승인내역'!AG824="","",'(1)예금승인내역'!AG824)</f>
        <v>0.038</v>
      </c>
      <c r="U198" s="549" t="n">
        <f aca="false">IF('(1)예금승인내역'!X824="","",'(1)예금승인내역'!X824)</f>
        <v>0.004436</v>
      </c>
      <c r="V198" s="531" t="n">
        <f aca="false">IF(ISNUMBER(N198),N198-$B$2,"")</f>
        <v>-404</v>
      </c>
      <c r="W198" s="531" t="str">
        <f aca="false">IF(AND(ISNUMBER(N198),N198&gt;=$B$2,N198&lt;=$B$2+10),N198*100000+ROW(),"")</f>
        <v/>
      </c>
      <c r="X198" s="531"/>
      <c r="Y198" s="531"/>
      <c r="Z198" s="531"/>
      <c r="AA198" s="531"/>
      <c r="AB198" s="531"/>
      <c r="AC198" s="531"/>
      <c r="AD198" s="531"/>
      <c r="AE198" s="531"/>
      <c r="AF198" s="531"/>
      <c r="AG198" s="531"/>
      <c r="AH198" s="531"/>
      <c r="AI198" s="531"/>
      <c r="AJ198" s="531"/>
      <c r="AK198" s="531"/>
      <c r="AL198" s="531"/>
      <c r="AM198" s="531"/>
      <c r="AN198" s="531"/>
    </row>
    <row r="199" customFormat="false" ht="16.5" hidden="false" customHeight="true" outlineLevel="0" collapsed="false">
      <c r="A199" s="531"/>
      <c r="B199" s="531"/>
      <c r="C199" s="531"/>
      <c r="D199" s="531"/>
      <c r="E199" s="531"/>
      <c r="F199" s="531"/>
      <c r="G199" s="531"/>
      <c r="H199" s="531"/>
      <c r="I199" s="531"/>
      <c r="J199" s="531"/>
      <c r="K199" s="531"/>
      <c r="L199" s="531"/>
      <c r="M199" s="531"/>
      <c r="N199" s="547" t="n">
        <f aca="false">IF('(1)예금승인내역'!H825="","",'(1)예금승인내역'!H825)</f>
        <v>45789</v>
      </c>
      <c r="O199" s="547" t="n">
        <f aca="false">IF('(1)예금승인내역'!G825="","",'(1)예금승인내역'!G825)</f>
        <v>45757</v>
      </c>
      <c r="P199" s="531" t="str">
        <f aca="false">IF('(1)예금승인내역'!F825="","",'(1)예금승인내역'!F825)</f>
        <v>대원지에스아이</v>
      </c>
      <c r="Q199" s="531" t="str">
        <f aca="false">IF('(1)예금승인내역'!C825="","",'(1)예금승인내역'!C825)</f>
        <v>유통단지영업부</v>
      </c>
      <c r="R199" s="531" t="str">
        <f aca="false">IF('(1)예금승인내역'!K825="","",'(1)예금승인내역'!K825)</f>
        <v>정기예금</v>
      </c>
      <c r="S199" s="548" t="n">
        <f aca="false">IF('(1)예금승인내역'!L825="","",'(1)예금승인내역'!L825)</f>
        <v>1.5</v>
      </c>
      <c r="T199" s="549" t="n">
        <f aca="false">IF('(1)예금승인내역'!AG825="","",'(1)예금승인내역'!AG825)</f>
        <v>0.041</v>
      </c>
      <c r="U199" s="549" t="n">
        <f aca="false">IF('(1)예금승인내역'!X825="","",'(1)예금승인내역'!X825)</f>
        <v>0.002257</v>
      </c>
      <c r="V199" s="531" t="n">
        <f aca="false">IF(ISNUMBER(N199),N199-$B$2,"")</f>
        <v>-400</v>
      </c>
      <c r="W199" s="531" t="str">
        <f aca="false">IF(AND(ISNUMBER(N199),N199&gt;=$B$2,N199&lt;=$B$2+10),N199*100000+ROW(),"")</f>
        <v/>
      </c>
      <c r="X199" s="531"/>
      <c r="Y199" s="531"/>
      <c r="Z199" s="531"/>
      <c r="AA199" s="531"/>
      <c r="AB199" s="531"/>
      <c r="AC199" s="531"/>
      <c r="AD199" s="531"/>
      <c r="AE199" s="531"/>
      <c r="AF199" s="531"/>
      <c r="AG199" s="531"/>
      <c r="AH199" s="531"/>
      <c r="AI199" s="531"/>
      <c r="AJ199" s="531"/>
      <c r="AK199" s="531"/>
      <c r="AL199" s="531"/>
      <c r="AM199" s="531"/>
      <c r="AN199" s="531"/>
    </row>
    <row r="200" customFormat="false" ht="16.5" hidden="false" customHeight="true" outlineLevel="0" collapsed="false">
      <c r="A200" s="531"/>
      <c r="B200" s="531"/>
      <c r="C200" s="531"/>
      <c r="D200" s="531"/>
      <c r="E200" s="531"/>
      <c r="F200" s="531"/>
      <c r="G200" s="531"/>
      <c r="H200" s="531"/>
      <c r="I200" s="531"/>
      <c r="J200" s="531"/>
      <c r="K200" s="531"/>
      <c r="L200" s="531"/>
      <c r="M200" s="531"/>
      <c r="N200" s="547" t="n">
        <f aca="false">IF('(1)예금승인내역'!H826="","",'(1)예금승인내역'!H826)</f>
        <v>45789</v>
      </c>
      <c r="O200" s="547" t="n">
        <f aca="false">IF('(1)예금승인내역'!G826="","",'(1)예금승인내역'!G826)</f>
        <v>45758</v>
      </c>
      <c r="P200" s="531" t="str">
        <f aca="false">IF('(1)예금승인내역'!F826="","",'(1)예금승인내역'!F826)</f>
        <v>한국비철㈜</v>
      </c>
      <c r="Q200" s="531" t="str">
        <f aca="false">IF('(1)예금승인내역'!C826="","",'(1)예금승인내역'!C826)</f>
        <v>달성공단영업부</v>
      </c>
      <c r="R200" s="531" t="str">
        <f aca="false">IF('(1)예금승인내역'!K826="","",'(1)예금승인내역'!K826)</f>
        <v>MMDA</v>
      </c>
      <c r="S200" s="548" t="n">
        <f aca="false">IF('(1)예금승인내역'!L826="","",'(1)예금승인내역'!L826)</f>
        <v>1.2</v>
      </c>
      <c r="T200" s="549" t="n">
        <f aca="false">IF('(1)예금승인내역'!AG826="","",'(1)예금승인내역'!AG826)</f>
        <v>0.038</v>
      </c>
      <c r="U200" s="549" t="n">
        <f aca="false">IF('(1)예금승인내역'!X826="","",'(1)예금승인내역'!X826)</f>
        <v>0.004417</v>
      </c>
      <c r="V200" s="531" t="n">
        <f aca="false">IF(ISNUMBER(N200),N200-$B$2,"")</f>
        <v>-400</v>
      </c>
      <c r="W200" s="531" t="str">
        <f aca="false">IF(AND(ISNUMBER(N200),N200&gt;=$B$2,N200&lt;=$B$2+10),N200*100000+ROW(),"")</f>
        <v/>
      </c>
      <c r="X200" s="531"/>
      <c r="Y200" s="531"/>
      <c r="Z200" s="531"/>
      <c r="AA200" s="531"/>
      <c r="AB200" s="531"/>
      <c r="AC200" s="531"/>
      <c r="AD200" s="531"/>
      <c r="AE200" s="531"/>
      <c r="AF200" s="531"/>
      <c r="AG200" s="531"/>
      <c r="AH200" s="531"/>
      <c r="AI200" s="531"/>
      <c r="AJ200" s="531"/>
      <c r="AK200" s="531"/>
      <c r="AL200" s="531"/>
      <c r="AM200" s="531"/>
      <c r="AN200" s="531"/>
    </row>
    <row r="201" customFormat="false" ht="16.5" hidden="false" customHeight="true" outlineLevel="0" collapsed="false">
      <c r="A201" s="531"/>
      <c r="B201" s="531"/>
      <c r="C201" s="531"/>
      <c r="D201" s="531"/>
      <c r="E201" s="531"/>
      <c r="F201" s="531"/>
      <c r="G201" s="531"/>
      <c r="H201" s="531"/>
      <c r="I201" s="531"/>
      <c r="J201" s="531"/>
      <c r="K201" s="531"/>
      <c r="L201" s="531"/>
      <c r="M201" s="531"/>
      <c r="N201" s="547" t="n">
        <f aca="false">IF('(1)예금승인내역'!H827="","",'(1)예금승인내역'!H827)</f>
        <v>45789</v>
      </c>
      <c r="O201" s="547" t="n">
        <f aca="false">IF('(1)예금승인내역'!G827="","",'(1)예금승인내역'!G827)</f>
        <v>45758</v>
      </c>
      <c r="P201" s="531" t="str">
        <f aca="false">IF('(1)예금승인내역'!F827="","",'(1)예금승인내역'!F827)</f>
        <v>한국비철㈜</v>
      </c>
      <c r="Q201" s="531" t="str">
        <f aca="false">IF('(1)예금승인내역'!C827="","",'(1)예금승인내역'!C827)</f>
        <v>달성공단영업부</v>
      </c>
      <c r="R201" s="531" t="str">
        <f aca="false">IF('(1)예금승인내역'!K827="","",'(1)예금승인내역'!K827)</f>
        <v>정기예금</v>
      </c>
      <c r="S201" s="548" t="n">
        <f aca="false">IF('(1)예금승인내역'!L827="","",'(1)예금승인내역'!L827)</f>
        <v>12.2</v>
      </c>
      <c r="T201" s="549" t="n">
        <f aca="false">IF('(1)예금승인내역'!AG827="","",'(1)예금승인내역'!AG827)</f>
        <v>0.0402</v>
      </c>
      <c r="U201" s="549" t="n">
        <f aca="false">IF('(1)예금승인내역'!X827="","",'(1)예금승인내역'!X827)</f>
        <v>0.003348</v>
      </c>
      <c r="V201" s="531" t="n">
        <f aca="false">IF(ISNUMBER(N201),N201-$B$2,"")</f>
        <v>-400</v>
      </c>
      <c r="W201" s="531" t="str">
        <f aca="false">IF(AND(ISNUMBER(N201),N201&gt;=$B$2,N201&lt;=$B$2+10),N201*100000+ROW(),"")</f>
        <v/>
      </c>
      <c r="X201" s="531"/>
      <c r="Y201" s="531"/>
      <c r="Z201" s="531"/>
      <c r="AA201" s="531"/>
      <c r="AB201" s="531"/>
      <c r="AC201" s="531"/>
      <c r="AD201" s="531"/>
      <c r="AE201" s="531"/>
      <c r="AF201" s="531"/>
      <c r="AG201" s="531"/>
      <c r="AH201" s="531"/>
      <c r="AI201" s="531"/>
      <c r="AJ201" s="531"/>
      <c r="AK201" s="531"/>
      <c r="AL201" s="531"/>
      <c r="AM201" s="531"/>
      <c r="AN201" s="531"/>
    </row>
    <row r="202" customFormat="false" ht="16.5" hidden="false" customHeight="true" outlineLevel="0" collapsed="false">
      <c r="A202" s="531"/>
      <c r="B202" s="531"/>
      <c r="C202" s="531"/>
      <c r="D202" s="531"/>
      <c r="E202" s="531"/>
      <c r="F202" s="531"/>
      <c r="G202" s="531"/>
      <c r="H202" s="531"/>
      <c r="I202" s="531"/>
      <c r="J202" s="531"/>
      <c r="K202" s="531"/>
      <c r="L202" s="531"/>
      <c r="M202" s="531"/>
      <c r="N202" s="547" t="n">
        <f aca="false">IF('(1)예금승인내역'!H828="","",'(1)예금승인내역'!H828)</f>
        <v>45789</v>
      </c>
      <c r="O202" s="547" t="n">
        <f aca="false">IF('(1)예금승인내역'!G828="","",'(1)예금승인내역'!G828)</f>
        <v>45758</v>
      </c>
      <c r="P202" s="531" t="str">
        <f aca="false">IF('(1)예금승인내역'!F828="","",'(1)예금승인내역'!F828)</f>
        <v>와이투솔루션</v>
      </c>
      <c r="Q202" s="531" t="str">
        <f aca="false">IF('(1)예금승인내역'!C828="","",'(1)예금승인내역'!C828)</f>
        <v>화성금융센터</v>
      </c>
      <c r="R202" s="531" t="str">
        <f aca="false">IF('(1)예금승인내역'!K828="","",'(1)예금승인내역'!K828)</f>
        <v>MMDA</v>
      </c>
      <c r="S202" s="548" t="n">
        <f aca="false">IF('(1)예금승인내역'!L828="","",'(1)예금승인내역'!L828)</f>
        <v>1</v>
      </c>
      <c r="T202" s="549" t="n">
        <f aca="false">IF('(1)예금승인내역'!AG828="","",'(1)예금승인내역'!AG828)</f>
        <v>0.038</v>
      </c>
      <c r="U202" s="549" t="n">
        <f aca="false">IF('(1)예금승인내역'!X828="","",'(1)예금승인내역'!X828)</f>
        <v>0.004417</v>
      </c>
      <c r="V202" s="531" t="n">
        <f aca="false">IF(ISNUMBER(N202),N202-$B$2,"")</f>
        <v>-400</v>
      </c>
      <c r="W202" s="531" t="str">
        <f aca="false">IF(AND(ISNUMBER(N202),N202&gt;=$B$2,N202&lt;=$B$2+10),N202*100000+ROW(),"")</f>
        <v/>
      </c>
      <c r="X202" s="531"/>
      <c r="Y202" s="531"/>
      <c r="Z202" s="531"/>
      <c r="AA202" s="531"/>
      <c r="AB202" s="531"/>
      <c r="AC202" s="531"/>
      <c r="AD202" s="531"/>
      <c r="AE202" s="531"/>
      <c r="AF202" s="531"/>
      <c r="AG202" s="531"/>
      <c r="AH202" s="531"/>
      <c r="AI202" s="531"/>
      <c r="AJ202" s="531"/>
      <c r="AK202" s="531"/>
      <c r="AL202" s="531"/>
      <c r="AM202" s="531"/>
      <c r="AN202" s="531"/>
    </row>
    <row r="203" customFormat="false" ht="16.5" hidden="false" customHeight="true" outlineLevel="0" collapsed="false">
      <c r="A203" s="531"/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1"/>
      <c r="N203" s="547" t="n">
        <f aca="false">IF('(1)예금승인내역'!H829="","",'(1)예금승인내역'!H829)</f>
        <v>45771</v>
      </c>
      <c r="O203" s="547" t="n">
        <f aca="false">IF('(1)예금승인내역'!G829="","",'(1)예금승인내역'!G829)</f>
        <v>45758</v>
      </c>
      <c r="P203" s="531" t="str">
        <f aca="false">IF('(1)예금승인내역'!F829="","",'(1)예금승인내역'!F829)</f>
        <v>㈜일지테크</v>
      </c>
      <c r="Q203" s="531" t="str">
        <f aca="false">IF('(1)예금승인내역'!C829="","",'(1)예금승인내역'!C829)</f>
        <v>경산공단영업부</v>
      </c>
      <c r="R203" s="531" t="str">
        <f aca="false">IF('(1)예금승인내역'!K829="","",'(1)예금승인내역'!K829)</f>
        <v>정기예금</v>
      </c>
      <c r="S203" s="548" t="n">
        <f aca="false">IF('(1)예금승인내역'!L829="","",'(1)예금승인내역'!L829)</f>
        <v>54.9</v>
      </c>
      <c r="T203" s="549" t="n">
        <f aca="false">IF('(1)예금승인내역'!AG829="","",'(1)예금승인내역'!AG829)</f>
        <v>0.038</v>
      </c>
      <c r="U203" s="549" t="n">
        <f aca="false">IF('(1)예금승인내역'!X829="","",'(1)예금승인내역'!X829)</f>
        <v>0.002581</v>
      </c>
      <c r="V203" s="531" t="n">
        <f aca="false">IF(ISNUMBER(N203),N203-$B$2,"")</f>
        <v>-418</v>
      </c>
      <c r="W203" s="531" t="str">
        <f aca="false">IF(AND(ISNUMBER(N203),N203&gt;=$B$2,N203&lt;=$B$2+10),N203*100000+ROW(),"")</f>
        <v/>
      </c>
      <c r="X203" s="531"/>
      <c r="Y203" s="531"/>
      <c r="Z203" s="531"/>
      <c r="AA203" s="531"/>
      <c r="AB203" s="531"/>
      <c r="AC203" s="531"/>
      <c r="AD203" s="531"/>
      <c r="AE203" s="531"/>
      <c r="AF203" s="531"/>
      <c r="AG203" s="531"/>
      <c r="AH203" s="531"/>
      <c r="AI203" s="531"/>
      <c r="AJ203" s="531"/>
      <c r="AK203" s="531"/>
      <c r="AL203" s="531"/>
      <c r="AM203" s="531"/>
      <c r="AN203" s="531"/>
    </row>
    <row r="204" customFormat="false" ht="16.5" hidden="false" customHeight="true" outlineLevel="0" collapsed="false">
      <c r="A204" s="531"/>
      <c r="B204" s="531"/>
      <c r="C204" s="531"/>
      <c r="D204" s="531"/>
      <c r="E204" s="531"/>
      <c r="F204" s="531"/>
      <c r="G204" s="531"/>
      <c r="H204" s="531"/>
      <c r="I204" s="531"/>
      <c r="J204" s="531"/>
      <c r="K204" s="531"/>
      <c r="L204" s="531"/>
      <c r="M204" s="531"/>
      <c r="N204" s="547" t="n">
        <f aca="false">IF('(1)예금승인내역'!H830="","",'(1)예금승인내역'!H830)</f>
        <v>45791</v>
      </c>
      <c r="O204" s="547" t="n">
        <f aca="false">IF('(1)예금승인내역'!G830="","",'(1)예금승인내역'!G830)</f>
        <v>45761</v>
      </c>
      <c r="P204" s="531" t="str">
        <f aca="false">IF('(1)예금승인내역'!F830="","",'(1)예금승인내역'!F830)</f>
        <v>㈜비알팜</v>
      </c>
      <c r="Q204" s="531" t="str">
        <f aca="false">IF('(1)예금승인내역'!C830="","",'(1)예금승인내역'!C830)</f>
        <v>원주금융센터</v>
      </c>
      <c r="R204" s="531" t="str">
        <f aca="false">IF('(1)예금승인내역'!K830="","",'(1)예금승인내역'!K830)</f>
        <v>MMDA</v>
      </c>
      <c r="S204" s="548" t="n">
        <f aca="false">IF('(1)예금승인내역'!L830="","",'(1)예금승인내역'!L830)</f>
        <v>1.4</v>
      </c>
      <c r="T204" s="549" t="n">
        <f aca="false">IF('(1)예금승인내역'!AG830="","",'(1)예금승인내역'!AG830)</f>
        <v>0.038</v>
      </c>
      <c r="U204" s="549" t="n">
        <f aca="false">IF('(1)예금승인내역'!X830="","",'(1)예금승인내역'!X830)</f>
        <v>0.004422</v>
      </c>
      <c r="V204" s="531" t="n">
        <f aca="false">IF(ISNUMBER(N204),N204-$B$2,"")</f>
        <v>-398</v>
      </c>
      <c r="W204" s="531" t="str">
        <f aca="false">IF(AND(ISNUMBER(N204),N204&gt;=$B$2,N204&lt;=$B$2+10),N204*100000+ROW(),"")</f>
        <v/>
      </c>
      <c r="X204" s="531"/>
      <c r="Y204" s="531"/>
      <c r="Z204" s="531"/>
      <c r="AA204" s="531"/>
      <c r="AB204" s="531"/>
      <c r="AC204" s="531"/>
      <c r="AD204" s="531"/>
      <c r="AE204" s="531"/>
      <c r="AF204" s="531"/>
      <c r="AG204" s="531"/>
      <c r="AH204" s="531"/>
      <c r="AI204" s="531"/>
      <c r="AJ204" s="531"/>
      <c r="AK204" s="531"/>
      <c r="AL204" s="531"/>
      <c r="AM204" s="531"/>
      <c r="AN204" s="531"/>
    </row>
    <row r="205" customFormat="false" ht="16.5" hidden="false" customHeight="true" outlineLevel="0" collapsed="false">
      <c r="A205" s="531"/>
      <c r="B205" s="531"/>
      <c r="C205" s="531"/>
      <c r="D205" s="531"/>
      <c r="E205" s="531"/>
      <c r="F205" s="531"/>
      <c r="G205" s="531"/>
      <c r="H205" s="531"/>
      <c r="I205" s="531"/>
      <c r="J205" s="531"/>
      <c r="K205" s="531"/>
      <c r="L205" s="531"/>
      <c r="M205" s="531"/>
      <c r="N205" s="547" t="n">
        <f aca="false">IF('(1)예금승인내역'!H831="","",'(1)예금승인내역'!H831)</f>
        <v>45791</v>
      </c>
      <c r="O205" s="547" t="n">
        <f aca="false">IF('(1)예금승인내역'!G831="","",'(1)예금승인내역'!G831)</f>
        <v>45761</v>
      </c>
      <c r="P205" s="531" t="str">
        <f aca="false">IF('(1)예금승인내역'!F831="","",'(1)예금승인내역'!F831)</f>
        <v>오스템임플란트㈜</v>
      </c>
      <c r="Q205" s="531" t="str">
        <f aca="false">IF('(1)예금승인내역'!C831="","",'(1)예금승인내역'!C831)</f>
        <v>성남금융센터</v>
      </c>
      <c r="R205" s="531" t="str">
        <f aca="false">IF('(1)예금승인내역'!K831="","",'(1)예금승인내역'!K831)</f>
        <v>MMDA</v>
      </c>
      <c r="S205" s="548" t="n">
        <f aca="false">IF('(1)예금승인내역'!L831="","",'(1)예금승인내역'!L831)</f>
        <v>4.5</v>
      </c>
      <c r="T205" s="549" t="n">
        <f aca="false">IF('(1)예금승인내역'!AG831="","",'(1)예금승인내역'!AG831)</f>
        <v>0.038</v>
      </c>
      <c r="U205" s="549" t="n">
        <f aca="false">IF('(1)예금승인내역'!X831="","",'(1)예금승인내역'!X831)</f>
        <v>0.004422</v>
      </c>
      <c r="V205" s="531" t="n">
        <f aca="false">IF(ISNUMBER(N205),N205-$B$2,"")</f>
        <v>-398</v>
      </c>
      <c r="W205" s="531" t="str">
        <f aca="false">IF(AND(ISNUMBER(N205),N205&gt;=$B$2,N205&lt;=$B$2+10),N205*100000+ROW(),"")</f>
        <v/>
      </c>
      <c r="X205" s="531"/>
      <c r="Y205" s="531"/>
      <c r="Z205" s="531"/>
      <c r="AA205" s="531"/>
      <c r="AB205" s="531"/>
      <c r="AC205" s="531"/>
      <c r="AD205" s="531"/>
      <c r="AE205" s="531"/>
      <c r="AF205" s="531"/>
      <c r="AG205" s="531"/>
      <c r="AH205" s="531"/>
      <c r="AI205" s="531"/>
      <c r="AJ205" s="531"/>
      <c r="AK205" s="531"/>
      <c r="AL205" s="531"/>
      <c r="AM205" s="531"/>
      <c r="AN205" s="531"/>
    </row>
    <row r="206" customFormat="false" ht="16.5" hidden="false" customHeight="true" outlineLevel="0" collapsed="false">
      <c r="A206" s="531"/>
      <c r="B206" s="531"/>
      <c r="C206" s="531"/>
      <c r="D206" s="531"/>
      <c r="E206" s="531"/>
      <c r="F206" s="531"/>
      <c r="G206" s="531"/>
      <c r="H206" s="531"/>
      <c r="I206" s="531"/>
      <c r="J206" s="531"/>
      <c r="K206" s="531"/>
      <c r="L206" s="531"/>
      <c r="M206" s="531"/>
      <c r="N206" s="547" t="n">
        <f aca="false">IF('(1)예금승인내역'!H832="","",'(1)예금승인내역'!H832)</f>
        <v>45791</v>
      </c>
      <c r="O206" s="547" t="n">
        <f aca="false">IF('(1)예금승인내역'!G832="","",'(1)예금승인내역'!G832)</f>
        <v>45761</v>
      </c>
      <c r="P206" s="531" t="str">
        <f aca="false">IF('(1)예금승인내역'!F832="","",'(1)예금승인내역'!F832)</f>
        <v>대한상선 </v>
      </c>
      <c r="Q206" s="531" t="str">
        <f aca="false">IF('(1)예금승인내역'!C832="","",'(1)예금승인내역'!C832)</f>
        <v>강남영업부</v>
      </c>
      <c r="R206" s="531" t="str">
        <f aca="false">IF('(1)예금승인내역'!K832="","",'(1)예금승인내역'!K832)</f>
        <v>정기예금</v>
      </c>
      <c r="S206" s="548" t="n">
        <f aca="false">IF('(1)예금승인내역'!L832="","",'(1)예금승인내역'!L832)</f>
        <v>1</v>
      </c>
      <c r="T206" s="549" t="n">
        <f aca="false">IF('(1)예금승인내역'!AG832="","",'(1)예금승인내역'!AG832)</f>
        <v>0.0415</v>
      </c>
      <c r="U206" s="549" t="n">
        <f aca="false">IF('(1)예금승인내역'!X832="","",'(1)예금승인내역'!X832)</f>
        <v>0.002127</v>
      </c>
      <c r="V206" s="531" t="n">
        <f aca="false">IF(ISNUMBER(N206),N206-$B$2,"")</f>
        <v>-398</v>
      </c>
      <c r="W206" s="531" t="str">
        <f aca="false">IF(AND(ISNUMBER(N206),N206&gt;=$B$2,N206&lt;=$B$2+10),N206*100000+ROW(),"")</f>
        <v/>
      </c>
      <c r="X206" s="531"/>
      <c r="Y206" s="531"/>
      <c r="Z206" s="531"/>
      <c r="AA206" s="531"/>
      <c r="AB206" s="531"/>
      <c r="AC206" s="531"/>
      <c r="AD206" s="531"/>
      <c r="AE206" s="531"/>
      <c r="AF206" s="531"/>
      <c r="AG206" s="531"/>
      <c r="AH206" s="531"/>
      <c r="AI206" s="531"/>
      <c r="AJ206" s="531"/>
      <c r="AK206" s="531"/>
      <c r="AL206" s="531"/>
      <c r="AM206" s="531"/>
      <c r="AN206" s="531"/>
    </row>
    <row r="207" customFormat="false" ht="16.5" hidden="false" customHeight="true" outlineLevel="0" collapsed="false">
      <c r="A207" s="531"/>
      <c r="B207" s="531"/>
      <c r="C207" s="531"/>
      <c r="D207" s="531"/>
      <c r="E207" s="531"/>
      <c r="F207" s="531"/>
      <c r="G207" s="531"/>
      <c r="H207" s="531"/>
      <c r="I207" s="531"/>
      <c r="J207" s="531"/>
      <c r="K207" s="531"/>
      <c r="L207" s="531"/>
      <c r="M207" s="531"/>
      <c r="N207" s="547" t="n">
        <f aca="false">IF('(1)예금승인내역'!H833="","",'(1)예금승인내역'!H833)</f>
        <v>45791</v>
      </c>
      <c r="O207" s="547" t="n">
        <f aca="false">IF('(1)예금승인내역'!G833="","",'(1)예금승인내역'!G833)</f>
        <v>45761</v>
      </c>
      <c r="P207" s="531" t="str">
        <f aca="false">IF('(1)예금승인내역'!F833="","",'(1)예금승인내역'!F833)</f>
        <v>동화인더스트리</v>
      </c>
      <c r="Q207" s="531" t="str">
        <f aca="false">IF('(1)예금승인내역'!C833="","",'(1)예금승인내역'!C833)</f>
        <v>중동지점</v>
      </c>
      <c r="R207" s="531" t="str">
        <f aca="false">IF('(1)예금승인내역'!K833="","",'(1)예금승인내역'!K833)</f>
        <v>정기예금</v>
      </c>
      <c r="S207" s="548" t="n">
        <f aca="false">IF('(1)예금승인내역'!L833="","",'(1)예금승인내역'!L833)</f>
        <v>1.12</v>
      </c>
      <c r="T207" s="549" t="n">
        <f aca="false">IF('(1)예금승인내역'!AG833="","",'(1)예금승인내역'!AG833)</f>
        <v>0.0415</v>
      </c>
      <c r="U207" s="549" t="n">
        <f aca="false">IF('(1)예금승인내역'!X833="","",'(1)예금승인내역'!X833)</f>
        <v>0.002127</v>
      </c>
      <c r="V207" s="531" t="n">
        <f aca="false">IF(ISNUMBER(N207),N207-$B$2,"")</f>
        <v>-398</v>
      </c>
      <c r="W207" s="531" t="str">
        <f aca="false">IF(AND(ISNUMBER(N207),N207&gt;=$B$2,N207&lt;=$B$2+10),N207*100000+ROW(),"")</f>
        <v/>
      </c>
      <c r="X207" s="531"/>
      <c r="Y207" s="531"/>
      <c r="Z207" s="531"/>
      <c r="AA207" s="531"/>
      <c r="AB207" s="531"/>
      <c r="AC207" s="531"/>
      <c r="AD207" s="531"/>
      <c r="AE207" s="531"/>
      <c r="AF207" s="531"/>
      <c r="AG207" s="531"/>
      <c r="AH207" s="531"/>
      <c r="AI207" s="531"/>
      <c r="AJ207" s="531"/>
      <c r="AK207" s="531"/>
      <c r="AL207" s="531"/>
      <c r="AM207" s="531"/>
      <c r="AN207" s="531"/>
    </row>
    <row r="208" customFormat="false" ht="16.5" hidden="false" customHeight="true" outlineLevel="0" collapsed="false">
      <c r="A208" s="531"/>
      <c r="B208" s="531"/>
      <c r="C208" s="531"/>
      <c r="D208" s="531"/>
      <c r="E208" s="531"/>
      <c r="F208" s="531"/>
      <c r="G208" s="531"/>
      <c r="H208" s="531"/>
      <c r="I208" s="531"/>
      <c r="J208" s="531"/>
      <c r="K208" s="531"/>
      <c r="L208" s="531"/>
      <c r="M208" s="531"/>
      <c r="N208" s="547" t="n">
        <f aca="false">IF('(1)예금승인내역'!H834="","",'(1)예금승인내역'!H834)</f>
        <v>45793</v>
      </c>
      <c r="O208" s="547" t="n">
        <f aca="false">IF('(1)예금승인내역'!G834="","",'(1)예금승인내역'!G834)</f>
        <v>45765</v>
      </c>
      <c r="P208" s="531" t="str">
        <f aca="false">IF('(1)예금승인내역'!F834="","",'(1)예금승인내역'!F834)</f>
        <v>㈜ 광성</v>
      </c>
      <c r="Q208" s="531" t="str">
        <f aca="false">IF('(1)예금승인내역'!C834="","",'(1)예금승인내역'!C834)</f>
        <v>경산공단영업부</v>
      </c>
      <c r="R208" s="531" t="str">
        <f aca="false">IF('(1)예금승인내역'!K834="","",'(1)예금승인내역'!K834)</f>
        <v>MMDA</v>
      </c>
      <c r="S208" s="548" t="n">
        <f aca="false">IF('(1)예금승인내역'!L834="","",'(1)예금승인내역'!L834)</f>
        <v>1.5</v>
      </c>
      <c r="T208" s="549" t="n">
        <f aca="false">IF('(1)예금승인내역'!AG834="","",'(1)예금승인내역'!AG834)</f>
        <v>0.0385</v>
      </c>
      <c r="U208" s="549" t="n">
        <f aca="false">IF('(1)예금승인내역'!X834="","",'(1)예금승인내역'!X834)</f>
        <v>0.00438</v>
      </c>
      <c r="V208" s="531" t="n">
        <f aca="false">IF(ISNUMBER(N208),N208-$B$2,"")</f>
        <v>-396</v>
      </c>
      <c r="W208" s="531" t="str">
        <f aca="false">IF(AND(ISNUMBER(N208),N208&gt;=$B$2,N208&lt;=$B$2+10),N208*100000+ROW(),"")</f>
        <v/>
      </c>
      <c r="X208" s="531"/>
      <c r="Y208" s="531"/>
      <c r="Z208" s="531"/>
      <c r="AA208" s="531"/>
      <c r="AB208" s="531"/>
      <c r="AC208" s="531"/>
      <c r="AD208" s="531"/>
      <c r="AE208" s="531"/>
      <c r="AF208" s="531"/>
      <c r="AG208" s="531"/>
      <c r="AH208" s="531"/>
      <c r="AI208" s="531"/>
      <c r="AJ208" s="531"/>
      <c r="AK208" s="531"/>
      <c r="AL208" s="531"/>
      <c r="AM208" s="531"/>
      <c r="AN208" s="531"/>
    </row>
    <row r="209" customFormat="false" ht="16.5" hidden="false" customHeight="true" outlineLevel="0" collapsed="false">
      <c r="A209" s="531"/>
      <c r="B209" s="531"/>
      <c r="C209" s="531"/>
      <c r="D209" s="531"/>
      <c r="E209" s="531"/>
      <c r="F209" s="531"/>
      <c r="G209" s="531"/>
      <c r="H209" s="531"/>
      <c r="I209" s="531"/>
      <c r="J209" s="531"/>
      <c r="K209" s="531"/>
      <c r="L209" s="531"/>
      <c r="M209" s="531"/>
      <c r="N209" s="547" t="n">
        <f aca="false">IF('(1)예금승인내역'!H835="","",'(1)예금승인내역'!H835)</f>
        <v>45789</v>
      </c>
      <c r="O209" s="547" t="n">
        <f aca="false">IF('(1)예금승인내역'!G835="","",'(1)예금승인내역'!G835)</f>
        <v>45771</v>
      </c>
      <c r="P209" s="531" t="str">
        <f aca="false">IF('(1)예금승인내역'!F835="","",'(1)예금승인내역'!F835)</f>
        <v>㈜일지테크</v>
      </c>
      <c r="Q209" s="531" t="str">
        <f aca="false">IF('(1)예금승인내역'!C835="","",'(1)예금승인내역'!C835)</f>
        <v>경산공단영업부</v>
      </c>
      <c r="R209" s="531" t="str">
        <f aca="false">IF('(1)예금승인내역'!K835="","",'(1)예금승인내역'!K835)</f>
        <v>정기예금</v>
      </c>
      <c r="S209" s="548" t="n">
        <f aca="false">IF('(1)예금승인내역'!L835="","",'(1)예금승인내역'!L835)</f>
        <v>52.4</v>
      </c>
      <c r="T209" s="549" t="n">
        <f aca="false">IF('(1)예금승인내역'!AG835="","",'(1)예금승인내역'!AG835)</f>
        <v>0.038</v>
      </c>
      <c r="U209" s="549" t="n">
        <f aca="false">IF('(1)예금승인내역'!X835="","",'(1)예금승인내역'!X835)</f>
        <v>0.002475</v>
      </c>
      <c r="V209" s="531" t="n">
        <f aca="false">IF(ISNUMBER(N209),N209-$B$2,"")</f>
        <v>-400</v>
      </c>
      <c r="W209" s="531" t="str">
        <f aca="false">IF(AND(ISNUMBER(N209),N209&gt;=$B$2,N209&lt;=$B$2+10),N209*100000+ROW(),"")</f>
        <v/>
      </c>
      <c r="X209" s="531"/>
      <c r="Y209" s="531"/>
      <c r="Z209" s="531"/>
      <c r="AA209" s="531"/>
      <c r="AB209" s="531"/>
      <c r="AC209" s="531"/>
      <c r="AD209" s="531"/>
      <c r="AE209" s="531"/>
      <c r="AF209" s="531"/>
      <c r="AG209" s="531"/>
      <c r="AH209" s="531"/>
      <c r="AI209" s="531"/>
      <c r="AJ209" s="531"/>
      <c r="AK209" s="531"/>
      <c r="AL209" s="531"/>
      <c r="AM209" s="531"/>
      <c r="AN209" s="531"/>
    </row>
    <row r="210" customFormat="false" ht="16.5" hidden="false" customHeight="true" outlineLevel="0" collapsed="false">
      <c r="A210" s="531"/>
      <c r="B210" s="531"/>
      <c r="C210" s="531"/>
      <c r="D210" s="531"/>
      <c r="E210" s="531"/>
      <c r="F210" s="531"/>
      <c r="G210" s="531"/>
      <c r="H210" s="531"/>
      <c r="I210" s="531"/>
      <c r="J210" s="531"/>
      <c r="K210" s="531"/>
      <c r="L210" s="531"/>
      <c r="M210" s="531"/>
      <c r="N210" s="547" t="n">
        <f aca="false">IF('(1)예금승인내역'!H836="","",'(1)예금승인내역'!H836)</f>
        <v>45800</v>
      </c>
      <c r="O210" s="547" t="n">
        <f aca="false">IF('(1)예금승인내역'!G836="","",'(1)예금승인내역'!G836)</f>
        <v>45771</v>
      </c>
      <c r="P210" s="531" t="str">
        <f aca="false">IF('(1)예금승인내역'!F836="","",'(1)예금승인내역'!F836)</f>
        <v>㈜약진통상</v>
      </c>
      <c r="Q210" s="531" t="str">
        <f aca="false">IF('(1)예금승인내역'!C836="","",'(1)예금승인내역'!C836)</f>
        <v>반월공단지점</v>
      </c>
      <c r="R210" s="531" t="str">
        <f aca="false">IF('(1)예금승인내역'!K836="","",'(1)예금승인내역'!K836)</f>
        <v>MMDA</v>
      </c>
      <c r="S210" s="548" t="n">
        <f aca="false">IF('(1)예금승인내역'!L836="","",'(1)예금승인내역'!L836)</f>
        <v>10.2</v>
      </c>
      <c r="T210" s="549" t="n">
        <f aca="false">IF('(1)예금승인내역'!AG836="","",'(1)예금승인내역'!AG836)</f>
        <v>0.038</v>
      </c>
      <c r="U210" s="549" t="n">
        <f aca="false">IF('(1)예금승인내역'!X836="","",'(1)예금승인내역'!X836)</f>
        <v>0.005237</v>
      </c>
      <c r="V210" s="531" t="n">
        <f aca="false">IF(ISNUMBER(N210),N210-$B$2,"")</f>
        <v>-389</v>
      </c>
      <c r="W210" s="531" t="str">
        <f aca="false">IF(AND(ISNUMBER(N210),N210&gt;=$B$2,N210&lt;=$B$2+10),N210*100000+ROW(),"")</f>
        <v/>
      </c>
      <c r="X210" s="531"/>
      <c r="Y210" s="531"/>
      <c r="Z210" s="531"/>
      <c r="AA210" s="531"/>
      <c r="AB210" s="531"/>
      <c r="AC210" s="531"/>
      <c r="AD210" s="531"/>
      <c r="AE210" s="531"/>
      <c r="AF210" s="531"/>
      <c r="AG210" s="531"/>
      <c r="AH210" s="531"/>
      <c r="AI210" s="531"/>
      <c r="AJ210" s="531"/>
      <c r="AK210" s="531"/>
      <c r="AL210" s="531"/>
      <c r="AM210" s="531"/>
      <c r="AN210" s="531"/>
    </row>
    <row r="211" customFormat="false" ht="16.5" hidden="false" customHeight="true" outlineLevel="0" collapsed="false">
      <c r="A211" s="531"/>
      <c r="B211" s="531"/>
      <c r="C211" s="531"/>
      <c r="D211" s="531"/>
      <c r="E211" s="531"/>
      <c r="F211" s="531"/>
      <c r="G211" s="531"/>
      <c r="H211" s="531"/>
      <c r="I211" s="531"/>
      <c r="J211" s="531"/>
      <c r="K211" s="531"/>
      <c r="L211" s="531"/>
      <c r="M211" s="531"/>
      <c r="N211" s="547" t="n">
        <f aca="false">IF('(1)예금승인내역'!H837="","",'(1)예금승인내역'!H837)</f>
        <v>45803</v>
      </c>
      <c r="O211" s="547" t="n">
        <f aca="false">IF('(1)예금승인내역'!G837="","",'(1)예금승인내역'!G837)</f>
        <v>45771</v>
      </c>
      <c r="P211" s="531" t="str">
        <f aca="false">IF('(1)예금승인내역'!F837="","",'(1)예금승인내역'!F837)</f>
        <v>에이치엘만도</v>
      </c>
      <c r="Q211" s="531" t="str">
        <f aca="false">IF('(1)예금승인내역'!C837="","",'(1)예금승인내역'!C837)</f>
        <v>삼덕영업부</v>
      </c>
      <c r="R211" s="531" t="str">
        <f aca="false">IF('(1)예금승인내역'!K837="","",'(1)예금승인내역'!K837)</f>
        <v>MMDA</v>
      </c>
      <c r="S211" s="548" t="n">
        <f aca="false">IF('(1)예금승인내역'!L837="","",'(1)예금승인내역'!L837)</f>
        <v>10</v>
      </c>
      <c r="T211" s="549" t="n">
        <f aca="false">IF('(1)예금승인내역'!AG837="","",'(1)예금승인내역'!AG837)</f>
        <v>0.037</v>
      </c>
      <c r="U211" s="549" t="n">
        <f aca="false">IF('(1)예금승인내역'!X837="","",'(1)예금승인내역'!X837)</f>
        <v>0.006237</v>
      </c>
      <c r="V211" s="531" t="n">
        <f aca="false">IF(ISNUMBER(N211),N211-$B$2,"")</f>
        <v>-386</v>
      </c>
      <c r="W211" s="531" t="str">
        <f aca="false">IF(AND(ISNUMBER(N211),N211&gt;=$B$2,N211&lt;=$B$2+10),N211*100000+ROW(),"")</f>
        <v/>
      </c>
      <c r="X211" s="531"/>
      <c r="Y211" s="531"/>
      <c r="Z211" s="531"/>
      <c r="AA211" s="531"/>
      <c r="AB211" s="531"/>
      <c r="AC211" s="531"/>
      <c r="AD211" s="531"/>
      <c r="AE211" s="531"/>
      <c r="AF211" s="531"/>
      <c r="AG211" s="531"/>
      <c r="AH211" s="531"/>
      <c r="AI211" s="531"/>
      <c r="AJ211" s="531"/>
      <c r="AK211" s="531"/>
      <c r="AL211" s="531"/>
      <c r="AM211" s="531"/>
      <c r="AN211" s="531"/>
    </row>
    <row r="212" customFormat="false" ht="16.5" hidden="false" customHeight="true" outlineLevel="0" collapsed="false">
      <c r="A212" s="531"/>
      <c r="B212" s="531"/>
      <c r="C212" s="531"/>
      <c r="D212" s="531"/>
      <c r="E212" s="531"/>
      <c r="F212" s="531"/>
      <c r="G212" s="531"/>
      <c r="H212" s="531"/>
      <c r="I212" s="531"/>
      <c r="J212" s="531"/>
      <c r="K212" s="531"/>
      <c r="L212" s="531"/>
      <c r="M212" s="531"/>
      <c r="N212" s="547" t="n">
        <f aca="false">IF('(1)예금승인내역'!H838="","",'(1)예금승인내역'!H838)</f>
        <v>45868</v>
      </c>
      <c r="O212" s="547" t="n">
        <f aca="false">IF('(1)예금승인내역'!G838="","",'(1)예금승인내역'!G838)</f>
        <v>45777</v>
      </c>
      <c r="P212" s="531" t="str">
        <f aca="false">IF('(1)예금승인내역'!F838="","",'(1)예금승인내역'!F838)</f>
        <v>거림테크주식회사</v>
      </c>
      <c r="Q212" s="531" t="str">
        <f aca="false">IF('(1)예금승인내역'!C838="","",'(1)예금승인내역'!C838)</f>
        <v>죽전지점 </v>
      </c>
      <c r="R212" s="531" t="str">
        <f aca="false">IF('(1)예금승인내역'!K838="","",'(1)예금승인내역'!K838)</f>
        <v>정기예금</v>
      </c>
      <c r="S212" s="548" t="n">
        <f aca="false">IF('(1)예금승인내역'!L838="","",'(1)예금승인내역'!L838)</f>
        <v>1</v>
      </c>
      <c r="T212" s="549" t="n">
        <f aca="false">IF('(1)예금승인내역'!AG838="","",'(1)예금승인내역'!AG838)</f>
        <v>0.0425</v>
      </c>
      <c r="U212" s="549" t="n">
        <f aca="false">IF('(1)예금승인내역'!X838="","",'(1)예금승인내역'!X838)</f>
        <v>0.00228</v>
      </c>
      <c r="V212" s="531" t="n">
        <f aca="false">IF(ISNUMBER(N212),N212-$B$2,"")</f>
        <v>-321</v>
      </c>
      <c r="W212" s="531" t="str">
        <f aca="false">IF(AND(ISNUMBER(N212),N212&gt;=$B$2,N212&lt;=$B$2+10),N212*100000+ROW(),"")</f>
        <v/>
      </c>
      <c r="X212" s="531"/>
      <c r="Y212" s="531"/>
      <c r="Z212" s="531"/>
      <c r="AA212" s="531"/>
      <c r="AB212" s="531"/>
      <c r="AC212" s="531"/>
      <c r="AD212" s="531"/>
      <c r="AE212" s="531"/>
      <c r="AF212" s="531"/>
      <c r="AG212" s="531"/>
      <c r="AH212" s="531"/>
      <c r="AI212" s="531"/>
      <c r="AJ212" s="531"/>
      <c r="AK212" s="531"/>
      <c r="AL212" s="531"/>
      <c r="AM212" s="531"/>
      <c r="AN212" s="531"/>
    </row>
    <row r="213" customFormat="false" ht="16.5" hidden="false" customHeight="true" outlineLevel="0" collapsed="false">
      <c r="A213" s="531"/>
      <c r="B213" s="531"/>
      <c r="C213" s="531"/>
      <c r="D213" s="531"/>
      <c r="E213" s="531"/>
      <c r="F213" s="531"/>
      <c r="G213" s="531"/>
      <c r="H213" s="531"/>
      <c r="I213" s="531"/>
      <c r="J213" s="531"/>
      <c r="K213" s="531"/>
      <c r="L213" s="531"/>
      <c r="M213" s="531"/>
      <c r="N213" s="547" t="n">
        <f aca="false">IF('(1)예금승인내역'!H839="","",'(1)예금승인내역'!H839)</f>
        <v>45868</v>
      </c>
      <c r="O213" s="547" t="n">
        <f aca="false">IF('(1)예금승인내역'!G839="","",'(1)예금승인내역'!G839)</f>
        <v>45777</v>
      </c>
      <c r="P213" s="531" t="str">
        <f aca="false">IF('(1)예금승인내역'!F839="","",'(1)예금승인내역'!F839)</f>
        <v>와이투솔루션</v>
      </c>
      <c r="Q213" s="531" t="str">
        <f aca="false">IF('(1)예금승인내역'!C839="","",'(1)예금승인내역'!C839)</f>
        <v>화성금융센터</v>
      </c>
      <c r="R213" s="531" t="str">
        <f aca="false">IF('(1)예금승인내역'!K839="","",'(1)예금승인내역'!K839)</f>
        <v>정기예금</v>
      </c>
      <c r="S213" s="548" t="n">
        <f aca="false">IF('(1)예금승인내역'!L839="","",'(1)예금승인내역'!L839)</f>
        <v>1</v>
      </c>
      <c r="T213" s="549" t="n">
        <f aca="false">IF('(1)예금승인내역'!AG839="","",'(1)예금승인내역'!AG839)</f>
        <v>0.042</v>
      </c>
      <c r="U213" s="549" t="n">
        <f aca="false">IF('(1)예금승인내역'!X839="","",'(1)예금승인내역'!X839)</f>
        <v>0.002626</v>
      </c>
      <c r="V213" s="531" t="n">
        <f aca="false">IF(ISNUMBER(N213),N213-$B$2,"")</f>
        <v>-321</v>
      </c>
      <c r="W213" s="531" t="str">
        <f aca="false">IF(AND(ISNUMBER(N213),N213&gt;=$B$2,N213&lt;=$B$2+10),N213*100000+ROW(),"")</f>
        <v/>
      </c>
      <c r="X213" s="531"/>
      <c r="Y213" s="531"/>
      <c r="Z213" s="531"/>
      <c r="AA213" s="531"/>
      <c r="AB213" s="531"/>
      <c r="AC213" s="531"/>
      <c r="AD213" s="531"/>
      <c r="AE213" s="531"/>
      <c r="AF213" s="531"/>
      <c r="AG213" s="531"/>
      <c r="AH213" s="531"/>
      <c r="AI213" s="531"/>
      <c r="AJ213" s="531"/>
      <c r="AK213" s="531"/>
      <c r="AL213" s="531"/>
      <c r="AM213" s="531"/>
      <c r="AN213" s="531"/>
    </row>
    <row r="214" customFormat="false" ht="16.5" hidden="false" customHeight="true" outlineLevel="0" collapsed="false">
      <c r="A214" s="531"/>
      <c r="B214" s="531"/>
      <c r="C214" s="531"/>
      <c r="D214" s="531"/>
      <c r="E214" s="531"/>
      <c r="F214" s="531"/>
      <c r="G214" s="531"/>
      <c r="H214" s="531"/>
      <c r="I214" s="531"/>
      <c r="J214" s="531"/>
      <c r="K214" s="531"/>
      <c r="L214" s="531"/>
      <c r="M214" s="531"/>
      <c r="N214" s="547" t="n">
        <f aca="false">IF('(1)예금승인내역'!H840="","",'(1)예금승인내역'!H840)</f>
        <v>45817</v>
      </c>
      <c r="O214" s="547" t="n">
        <f aca="false">IF('(1)예금승인내역'!G840="","",'(1)예금승인내역'!G840)</f>
        <v>45784</v>
      </c>
      <c r="P214" s="531" t="str">
        <f aca="false">IF('(1)예금승인내역'!F840="","",'(1)예금승인내역'!F840)</f>
        <v>주식회사 한국비앤씨</v>
      </c>
      <c r="Q214" s="531" t="str">
        <f aca="false">IF('(1)예금승인내역'!C840="","",'(1)예금승인내역'!C840)</f>
        <v>유통단지영업부</v>
      </c>
      <c r="R214" s="531" t="str">
        <f aca="false">IF('(1)예금승인내역'!K840="","",'(1)예금승인내역'!K840)</f>
        <v>MMDA</v>
      </c>
      <c r="S214" s="548" t="n">
        <f aca="false">IF('(1)예금승인내역'!L840="","",'(1)예금승인내역'!L840)</f>
        <v>4.5</v>
      </c>
      <c r="T214" s="549" t="n">
        <f aca="false">IF('(1)예금승인내역'!AG840="","",'(1)예금승인내역'!AG840)</f>
        <v>0.038</v>
      </c>
      <c r="U214" s="549" t="n">
        <f aca="false">IF('(1)예금승인내역'!X840="","",'(1)예금승인내역'!X840)</f>
        <v>0.00371</v>
      </c>
      <c r="V214" s="531" t="n">
        <f aca="false">IF(ISNUMBER(N214),N214-$B$2,"")</f>
        <v>-372</v>
      </c>
      <c r="W214" s="531" t="str">
        <f aca="false">IF(AND(ISNUMBER(N214),N214&gt;=$B$2,N214&lt;=$B$2+10),N214*100000+ROW(),"")</f>
        <v/>
      </c>
      <c r="X214" s="531"/>
      <c r="Y214" s="531"/>
      <c r="Z214" s="531"/>
      <c r="AA214" s="531"/>
      <c r="AB214" s="531"/>
      <c r="AC214" s="531"/>
      <c r="AD214" s="531"/>
      <c r="AE214" s="531"/>
      <c r="AF214" s="531"/>
      <c r="AG214" s="531"/>
      <c r="AH214" s="531"/>
      <c r="AI214" s="531"/>
      <c r="AJ214" s="531"/>
      <c r="AK214" s="531"/>
      <c r="AL214" s="531"/>
      <c r="AM214" s="531"/>
      <c r="AN214" s="531"/>
    </row>
    <row r="215" customFormat="false" ht="16.5" hidden="false" customHeight="true" outlineLevel="0" collapsed="false">
      <c r="A215" s="531"/>
      <c r="B215" s="531"/>
      <c r="C215" s="531"/>
      <c r="D215" s="531"/>
      <c r="E215" s="531"/>
      <c r="F215" s="531"/>
      <c r="G215" s="531"/>
      <c r="H215" s="531"/>
      <c r="I215" s="531"/>
      <c r="J215" s="531"/>
      <c r="K215" s="531"/>
      <c r="L215" s="531"/>
      <c r="M215" s="531"/>
      <c r="N215" s="547" t="n">
        <f aca="false">IF('(1)예금승인내역'!H841="","",'(1)예금승인내역'!H841)</f>
        <v>45791</v>
      </c>
      <c r="O215" s="547" t="n">
        <f aca="false">IF('(1)예금승인내역'!G841="","",'(1)예금승인내역'!G841)</f>
        <v>45784</v>
      </c>
      <c r="P215" s="531" t="str">
        <f aca="false">IF('(1)예금승인내역'!F841="","",'(1)예금승인내역'!F841)</f>
        <v>㈜일지테크</v>
      </c>
      <c r="Q215" s="531" t="str">
        <f aca="false">IF('(1)예금승인내역'!C841="","",'(1)예금승인내역'!C841)</f>
        <v>경산공단영업부</v>
      </c>
      <c r="R215" s="531" t="str">
        <f aca="false">IF('(1)예금승인내역'!K841="","",'(1)예금승인내역'!K841)</f>
        <v>정기예금</v>
      </c>
      <c r="S215" s="548" t="n">
        <f aca="false">IF('(1)예금승인내역'!L841="","",'(1)예금승인내역'!L841)</f>
        <v>12</v>
      </c>
      <c r="T215" s="549" t="n">
        <f aca="false">IF('(1)예금승인내역'!AG841="","",'(1)예금승인내역'!AG841)</f>
        <v>0.038</v>
      </c>
      <c r="U215" s="549" t="n">
        <f aca="false">IF('(1)예금승인내역'!X841="","",'(1)예금승인내역'!X841)</f>
        <v>0.002438</v>
      </c>
      <c r="V215" s="531" t="n">
        <f aca="false">IF(ISNUMBER(N215),N215-$B$2,"")</f>
        <v>-398</v>
      </c>
      <c r="W215" s="531" t="str">
        <f aca="false">IF(AND(ISNUMBER(N215),N215&gt;=$B$2,N215&lt;=$B$2+10),N215*100000+ROW(),"")</f>
        <v/>
      </c>
      <c r="X215" s="531"/>
      <c r="Y215" s="531"/>
      <c r="Z215" s="531"/>
      <c r="AA215" s="531"/>
      <c r="AB215" s="531"/>
      <c r="AC215" s="531"/>
      <c r="AD215" s="531"/>
      <c r="AE215" s="531"/>
      <c r="AF215" s="531"/>
      <c r="AG215" s="531"/>
      <c r="AH215" s="531"/>
      <c r="AI215" s="531"/>
      <c r="AJ215" s="531"/>
      <c r="AK215" s="531"/>
      <c r="AL215" s="531"/>
      <c r="AM215" s="531"/>
      <c r="AN215" s="531"/>
    </row>
    <row r="216" customFormat="false" ht="16.5" hidden="false" customHeight="true" outlineLevel="0" collapsed="false">
      <c r="A216" s="531"/>
      <c r="B216" s="531"/>
      <c r="C216" s="531"/>
      <c r="D216" s="531"/>
      <c r="E216" s="531"/>
      <c r="F216" s="531"/>
      <c r="G216" s="531"/>
      <c r="H216" s="531"/>
      <c r="I216" s="531"/>
      <c r="J216" s="531"/>
      <c r="K216" s="531"/>
      <c r="L216" s="531"/>
      <c r="M216" s="531"/>
      <c r="N216" s="547" t="n">
        <f aca="false">IF('(1)예금승인내역'!H842="","",'(1)예금승인내역'!H842)</f>
        <v>45877</v>
      </c>
      <c r="O216" s="547" t="n">
        <f aca="false">IF('(1)예금승인내역'!G842="","",'(1)예금승인내역'!G842)</f>
        <v>45785</v>
      </c>
      <c r="P216" s="531" t="str">
        <f aca="false">IF('(1)예금승인내역'!F842="","",'(1)예금승인내역'!F842)</f>
        <v>미래나노텍㈜</v>
      </c>
      <c r="Q216" s="531" t="str">
        <f aca="false">IF('(1)예금승인내역'!C842="","",'(1)예금승인내역'!C842)</f>
        <v>본점PB센터</v>
      </c>
      <c r="R216" s="531" t="str">
        <f aca="false">IF('(1)예금승인내역'!K842="","",'(1)예금승인내역'!K842)</f>
        <v>정기예금</v>
      </c>
      <c r="S216" s="548" t="n">
        <f aca="false">IF('(1)예금승인내역'!L842="","",'(1)예금승인내역'!L842)</f>
        <v>2</v>
      </c>
      <c r="T216" s="549" t="n">
        <f aca="false">IF('(1)예금승인내역'!AG842="","",'(1)예금승인내역'!AG842)</f>
        <v>0.042</v>
      </c>
      <c r="U216" s="549" t="n">
        <f aca="false">IF('(1)예금승인내역'!X842="","",'(1)예금승인내역'!X842)</f>
        <v>0.002896</v>
      </c>
      <c r="V216" s="531" t="n">
        <f aca="false">IF(ISNUMBER(N216),N216-$B$2,"")</f>
        <v>-312</v>
      </c>
      <c r="W216" s="531" t="str">
        <f aca="false">IF(AND(ISNUMBER(N216),N216&gt;=$B$2,N216&lt;=$B$2+10),N216*100000+ROW(),"")</f>
        <v/>
      </c>
      <c r="X216" s="531"/>
      <c r="Y216" s="531"/>
      <c r="Z216" s="531"/>
      <c r="AA216" s="531"/>
      <c r="AB216" s="531"/>
      <c r="AC216" s="531"/>
      <c r="AD216" s="531"/>
      <c r="AE216" s="531"/>
      <c r="AF216" s="531"/>
      <c r="AG216" s="531"/>
      <c r="AH216" s="531"/>
      <c r="AI216" s="531"/>
      <c r="AJ216" s="531"/>
      <c r="AK216" s="531"/>
      <c r="AL216" s="531"/>
      <c r="AM216" s="531"/>
      <c r="AN216" s="531"/>
    </row>
    <row r="217" customFormat="false" ht="16.5" hidden="false" customHeight="true" outlineLevel="0" collapsed="false">
      <c r="A217" s="531"/>
      <c r="B217" s="531"/>
      <c r="C217" s="531"/>
      <c r="D217" s="531"/>
      <c r="E217" s="531"/>
      <c r="F217" s="531"/>
      <c r="G217" s="531"/>
      <c r="H217" s="531"/>
      <c r="I217" s="531"/>
      <c r="J217" s="531"/>
      <c r="K217" s="531"/>
      <c r="L217" s="531"/>
      <c r="M217" s="531"/>
      <c r="N217" s="547" t="n">
        <f aca="false">IF('(1)예금승인내역'!H843="","",'(1)예금승인내역'!H843)</f>
        <v>45817</v>
      </c>
      <c r="O217" s="547" t="n">
        <f aca="false">IF('(1)예금승인내역'!G843="","",'(1)예금승인내역'!G843)</f>
        <v>45785</v>
      </c>
      <c r="P217" s="531" t="str">
        <f aca="false">IF('(1)예금승인내역'!F843="","",'(1)예금승인내역'!F843)</f>
        <v>㈜이수스페셜티케미컬</v>
      </c>
      <c r="Q217" s="531" t="str">
        <f aca="false">IF('(1)예금승인내역'!C843="","",'(1)예금승인내역'!C843)</f>
        <v>성남영업부</v>
      </c>
      <c r="R217" s="531" t="str">
        <f aca="false">IF('(1)예금승인내역'!K843="","",'(1)예금승인내역'!K843)</f>
        <v>MMDA</v>
      </c>
      <c r="S217" s="548" t="n">
        <f aca="false">IF('(1)예금승인내역'!L843="","",'(1)예금승인내역'!L843)</f>
        <v>1</v>
      </c>
      <c r="T217" s="549" t="n">
        <f aca="false">IF('(1)예금승인내역'!AG843="","",'(1)예금승인내역'!AG843)</f>
        <v>0.038</v>
      </c>
      <c r="U217" s="549" t="n">
        <f aca="false">IF('(1)예금승인내역'!X843="","",'(1)예금승인내역'!X843)</f>
        <v>0.003974</v>
      </c>
      <c r="V217" s="531" t="n">
        <f aca="false">IF(ISNUMBER(N217),N217-$B$2,"")</f>
        <v>-372</v>
      </c>
      <c r="W217" s="531" t="str">
        <f aca="false">IF(AND(ISNUMBER(N217),N217&gt;=$B$2,N217&lt;=$B$2+10),N217*100000+ROW(),"")</f>
        <v/>
      </c>
      <c r="X217" s="531"/>
      <c r="Y217" s="531"/>
      <c r="Z217" s="531"/>
      <c r="AA217" s="531"/>
      <c r="AB217" s="531"/>
      <c r="AC217" s="531"/>
      <c r="AD217" s="531"/>
      <c r="AE217" s="531"/>
      <c r="AF217" s="531"/>
      <c r="AG217" s="531"/>
      <c r="AH217" s="531"/>
      <c r="AI217" s="531"/>
      <c r="AJ217" s="531"/>
      <c r="AK217" s="531"/>
      <c r="AL217" s="531"/>
      <c r="AM217" s="531"/>
      <c r="AN217" s="531"/>
    </row>
    <row r="218" customFormat="false" ht="16.5" hidden="false" customHeight="true" outlineLevel="0" collapsed="false">
      <c r="A218" s="531"/>
      <c r="B218" s="531"/>
      <c r="C218" s="531"/>
      <c r="D218" s="531"/>
      <c r="E218" s="531"/>
      <c r="F218" s="531"/>
      <c r="G218" s="531"/>
      <c r="H218" s="531"/>
      <c r="I218" s="531"/>
      <c r="J218" s="531"/>
      <c r="K218" s="531"/>
      <c r="L218" s="531"/>
      <c r="M218" s="531"/>
      <c r="N218" s="547" t="n">
        <f aca="false">IF('(1)예금승인내역'!H844="","",'(1)예금승인내역'!H844)</f>
        <v>45817</v>
      </c>
      <c r="O218" s="547" t="n">
        <f aca="false">IF('(1)예금승인내역'!G844="","",'(1)예금승인내역'!G844)</f>
        <v>45786</v>
      </c>
      <c r="P218" s="531" t="str">
        <f aca="false">IF('(1)예금승인내역'!F844="","",'(1)예금승인내역'!F844)</f>
        <v>에스엠상선㈜</v>
      </c>
      <c r="Q218" s="531" t="str">
        <f aca="false">IF('(1)예금승인내역'!C844="","",'(1)예금승인내역'!C844)</f>
        <v>강남영업부</v>
      </c>
      <c r="R218" s="531" t="str">
        <f aca="false">IF('(1)예금승인내역'!K844="","",'(1)예금승인내역'!K844)</f>
        <v>정기예금</v>
      </c>
      <c r="S218" s="548" t="n">
        <f aca="false">IF('(1)예금승인내역'!L844="","",'(1)예금승인내역'!L844)</f>
        <v>10</v>
      </c>
      <c r="T218" s="549" t="n">
        <f aca="false">IF('(1)예금승인내역'!AG844="","",'(1)예금승인내역'!AG844)</f>
        <v>0.0415</v>
      </c>
      <c r="U218" s="549" t="n">
        <f aca="false">IF('(1)예금승인내역'!X844="","",'(1)예금승인내역'!X844)</f>
        <v>0.002237</v>
      </c>
      <c r="V218" s="531" t="n">
        <f aca="false">IF(ISNUMBER(N218),N218-$B$2,"")</f>
        <v>-372</v>
      </c>
      <c r="W218" s="531" t="str">
        <f aca="false">IF(AND(ISNUMBER(N218),N218&gt;=$B$2,N218&lt;=$B$2+10),N218*100000+ROW(),"")</f>
        <v/>
      </c>
      <c r="X218" s="531"/>
      <c r="Y218" s="531"/>
      <c r="Z218" s="531"/>
      <c r="AA218" s="531"/>
      <c r="AB218" s="531"/>
      <c r="AC218" s="531"/>
      <c r="AD218" s="531"/>
      <c r="AE218" s="531"/>
      <c r="AF218" s="531"/>
      <c r="AG218" s="531"/>
      <c r="AH218" s="531"/>
      <c r="AI218" s="531"/>
      <c r="AJ218" s="531"/>
      <c r="AK218" s="531"/>
      <c r="AL218" s="531"/>
      <c r="AM218" s="531"/>
      <c r="AN218" s="531"/>
    </row>
    <row r="219" customFormat="false" ht="16.5" hidden="false" customHeight="true" outlineLevel="0" collapsed="false">
      <c r="A219" s="531"/>
      <c r="B219" s="531"/>
      <c r="C219" s="531"/>
      <c r="D219" s="531"/>
      <c r="E219" s="531"/>
      <c r="F219" s="531"/>
      <c r="G219" s="531"/>
      <c r="H219" s="531"/>
      <c r="I219" s="531"/>
      <c r="J219" s="531"/>
      <c r="K219" s="531"/>
      <c r="L219" s="531"/>
      <c r="M219" s="531"/>
      <c r="N219" s="547" t="n">
        <f aca="false">IF('(1)예금승인내역'!H845="","",'(1)예금승인내역'!H845)</f>
        <v>45819</v>
      </c>
      <c r="O219" s="547" t="n">
        <f aca="false">IF('(1)예금승인내역'!G845="","",'(1)예금승인내역'!G845)</f>
        <v>45789</v>
      </c>
      <c r="P219" s="531" t="str">
        <f aca="false">IF('(1)예금승인내역'!F845="","",'(1)예금승인내역'!F845)</f>
        <v>한국비철㈜</v>
      </c>
      <c r="Q219" s="531" t="str">
        <f aca="false">IF('(1)예금승인내역'!C845="","",'(1)예금승인내역'!C845)</f>
        <v>달성공단영업부</v>
      </c>
      <c r="R219" s="531" t="str">
        <f aca="false">IF('(1)예금승인내역'!K845="","",'(1)예금승인내역'!K845)</f>
        <v>MMDA</v>
      </c>
      <c r="S219" s="548" t="n">
        <f aca="false">IF('(1)예금승인내역'!L845="","",'(1)예금승인내역'!L845)</f>
        <v>1.2</v>
      </c>
      <c r="T219" s="549" t="n">
        <f aca="false">IF('(1)예금승인내역'!AG845="","",'(1)예금승인내역'!AG845)</f>
        <v>0.038</v>
      </c>
      <c r="U219" s="549" t="n">
        <f aca="false">IF('(1)예금승인내역'!X845="","",'(1)예금승인내역'!X845)</f>
        <v>0.003921</v>
      </c>
      <c r="V219" s="531" t="n">
        <f aca="false">IF(ISNUMBER(N219),N219-$B$2,"")</f>
        <v>-370</v>
      </c>
      <c r="W219" s="531" t="str">
        <f aca="false">IF(AND(ISNUMBER(N219),N219&gt;=$B$2,N219&lt;=$B$2+10),N219*100000+ROW(),"")</f>
        <v/>
      </c>
      <c r="X219" s="531"/>
      <c r="Y219" s="531"/>
      <c r="Z219" s="531"/>
      <c r="AA219" s="531"/>
      <c r="AB219" s="531"/>
      <c r="AC219" s="531"/>
      <c r="AD219" s="531"/>
      <c r="AE219" s="531"/>
      <c r="AF219" s="531"/>
      <c r="AG219" s="531"/>
      <c r="AH219" s="531"/>
      <c r="AI219" s="531"/>
      <c r="AJ219" s="531"/>
      <c r="AK219" s="531"/>
      <c r="AL219" s="531"/>
      <c r="AM219" s="531"/>
      <c r="AN219" s="531"/>
    </row>
    <row r="220" customFormat="false" ht="16.5" hidden="false" customHeight="true" outlineLevel="0" collapsed="false">
      <c r="A220" s="531"/>
      <c r="B220" s="531"/>
      <c r="C220" s="531"/>
      <c r="D220" s="531"/>
      <c r="E220" s="531"/>
      <c r="F220" s="531"/>
      <c r="G220" s="531"/>
      <c r="H220" s="531"/>
      <c r="I220" s="531"/>
      <c r="J220" s="531"/>
      <c r="K220" s="531"/>
      <c r="L220" s="531"/>
      <c r="M220" s="531"/>
      <c r="N220" s="547" t="n">
        <f aca="false">IF('(1)예금승인내역'!H846="","",'(1)예금승인내역'!H846)</f>
        <v>45819</v>
      </c>
      <c r="O220" s="547" t="n">
        <f aca="false">IF('(1)예금승인내역'!G846="","",'(1)예금승인내역'!G846)</f>
        <v>45789</v>
      </c>
      <c r="P220" s="531" t="str">
        <f aca="false">IF('(1)예금승인내역'!F846="","",'(1)예금승인내역'!F846)</f>
        <v>한국비철㈜</v>
      </c>
      <c r="Q220" s="531" t="str">
        <f aca="false">IF('(1)예금승인내역'!C846="","",'(1)예금승인내역'!C846)</f>
        <v>달성공단영업부</v>
      </c>
      <c r="R220" s="531" t="str">
        <f aca="false">IF('(1)예금승인내역'!K846="","",'(1)예금승인내역'!K846)</f>
        <v>정기예금</v>
      </c>
      <c r="S220" s="548" t="n">
        <f aca="false">IF('(1)예금승인내역'!L846="","",'(1)예금승인내역'!L846)</f>
        <v>12</v>
      </c>
      <c r="T220" s="549" t="n">
        <f aca="false">IF('(1)예금승인내역'!AG846="","",'(1)예금승인내역'!AG846)</f>
        <v>0.0402</v>
      </c>
      <c r="U220" s="549" t="n">
        <f aca="false">IF('(1)예금승인내역'!X846="","",'(1)예금승인내역'!X846)</f>
        <v>0.003491</v>
      </c>
      <c r="V220" s="531" t="n">
        <f aca="false">IF(ISNUMBER(N220),N220-$B$2,"")</f>
        <v>-370</v>
      </c>
      <c r="W220" s="531" t="str">
        <f aca="false">IF(AND(ISNUMBER(N220),N220&gt;=$B$2,N220&lt;=$B$2+10),N220*100000+ROW(),"")</f>
        <v/>
      </c>
      <c r="X220" s="531"/>
      <c r="Y220" s="531"/>
      <c r="Z220" s="531"/>
      <c r="AA220" s="531"/>
      <c r="AB220" s="531"/>
      <c r="AC220" s="531"/>
      <c r="AD220" s="531"/>
      <c r="AE220" s="531"/>
      <c r="AF220" s="531"/>
      <c r="AG220" s="531"/>
      <c r="AH220" s="531"/>
      <c r="AI220" s="531"/>
      <c r="AJ220" s="531"/>
      <c r="AK220" s="531"/>
      <c r="AL220" s="531"/>
      <c r="AM220" s="531"/>
      <c r="AN220" s="531"/>
    </row>
    <row r="221" customFormat="false" ht="16.5" hidden="false" customHeight="true" outlineLevel="0" collapsed="false">
      <c r="A221" s="531"/>
      <c r="B221" s="531"/>
      <c r="C221" s="531"/>
      <c r="D221" s="531"/>
      <c r="E221" s="531"/>
      <c r="F221" s="531"/>
      <c r="G221" s="531"/>
      <c r="H221" s="531"/>
      <c r="I221" s="531"/>
      <c r="J221" s="531"/>
      <c r="K221" s="531"/>
      <c r="L221" s="531"/>
      <c r="M221" s="531"/>
      <c r="N221" s="547" t="n">
        <f aca="false">IF('(1)예금승인내역'!H847="","",'(1)예금승인내역'!H847)</f>
        <v>45820</v>
      </c>
      <c r="O221" s="547" t="n">
        <f aca="false">IF('(1)예금승인내역'!G847="","",'(1)예금승인내역'!G847)</f>
        <v>45789</v>
      </c>
      <c r="P221" s="531" t="str">
        <f aca="false">IF('(1)예금승인내역'!F847="","",'(1)예금승인내역'!F847)</f>
        <v>와이투솔루션</v>
      </c>
      <c r="Q221" s="531" t="str">
        <f aca="false">IF('(1)예금승인내역'!C847="","",'(1)예금승인내역'!C847)</f>
        <v>화성금융센터</v>
      </c>
      <c r="R221" s="531" t="str">
        <f aca="false">IF('(1)예금승인내역'!K847="","",'(1)예금승인내역'!K847)</f>
        <v>MMDA</v>
      </c>
      <c r="S221" s="548" t="n">
        <f aca="false">IF('(1)예금승인내역'!L847="","",'(1)예금승인내역'!L847)</f>
        <v>1</v>
      </c>
      <c r="T221" s="549" t="n">
        <f aca="false">IF('(1)예금승인내역'!AG847="","",'(1)예금승인내역'!AG847)</f>
        <v>0.038</v>
      </c>
      <c r="U221" s="549" t="n">
        <f aca="false">IF('(1)예금승인내역'!X847="","",'(1)예금승인내역'!X847)</f>
        <v>0.003921</v>
      </c>
      <c r="V221" s="531" t="n">
        <f aca="false">IF(ISNUMBER(N221),N221-$B$2,"")</f>
        <v>-369</v>
      </c>
      <c r="W221" s="531" t="str">
        <f aca="false">IF(AND(ISNUMBER(N221),N221&gt;=$B$2,N221&lt;=$B$2+10),N221*100000+ROW(),"")</f>
        <v/>
      </c>
      <c r="X221" s="531"/>
      <c r="Y221" s="531"/>
      <c r="Z221" s="531"/>
      <c r="AA221" s="531"/>
      <c r="AB221" s="531"/>
      <c r="AC221" s="531"/>
      <c r="AD221" s="531"/>
      <c r="AE221" s="531"/>
      <c r="AF221" s="531"/>
      <c r="AG221" s="531"/>
      <c r="AH221" s="531"/>
      <c r="AI221" s="531"/>
      <c r="AJ221" s="531"/>
      <c r="AK221" s="531"/>
      <c r="AL221" s="531"/>
      <c r="AM221" s="531"/>
      <c r="AN221" s="531"/>
    </row>
    <row r="222" customFormat="false" ht="16.5" hidden="false" customHeight="true" outlineLevel="0" collapsed="false">
      <c r="A222" s="531"/>
      <c r="B222" s="531"/>
      <c r="C222" s="531"/>
      <c r="D222" s="531"/>
      <c r="E222" s="531"/>
      <c r="F222" s="531"/>
      <c r="G222" s="531"/>
      <c r="H222" s="531"/>
      <c r="I222" s="531"/>
      <c r="J222" s="531"/>
      <c r="K222" s="531"/>
      <c r="L222" s="531"/>
      <c r="M222" s="531"/>
      <c r="N222" s="547" t="n">
        <f aca="false">IF('(1)예금승인내역'!H848="","",'(1)예금승인내역'!H848)</f>
        <v>45820</v>
      </c>
      <c r="O222" s="547" t="n">
        <f aca="false">IF('(1)예금승인내역'!G848="","",'(1)예금승인내역'!G848)</f>
        <v>45789</v>
      </c>
      <c r="P222" s="531" t="str">
        <f aca="false">IF('(1)예금승인내역'!F848="","",'(1)예금승인내역'!F848)</f>
        <v>대원지에스아이</v>
      </c>
      <c r="Q222" s="531" t="str">
        <f aca="false">IF('(1)예금승인내역'!C848="","",'(1)예금승인내역'!C848)</f>
        <v>유통단지영업부</v>
      </c>
      <c r="R222" s="531" t="str">
        <f aca="false">IF('(1)예금승인내역'!K848="","",'(1)예금승인내역'!K848)</f>
        <v>정기예금</v>
      </c>
      <c r="S222" s="548" t="n">
        <f aca="false">IF('(1)예금승인내역'!L848="","",'(1)예금승인내역'!L848)</f>
        <v>1.5</v>
      </c>
      <c r="T222" s="549" t="n">
        <f aca="false">IF('(1)예금승인내역'!AG848="","",'(1)예금승인내역'!AG848)</f>
        <v>0.041</v>
      </c>
      <c r="U222" s="549" t="n">
        <f aca="false">IF('(1)예금승인내역'!X848="","",'(1)예금승인내역'!X848)</f>
        <v>0.002691</v>
      </c>
      <c r="V222" s="531" t="n">
        <f aca="false">IF(ISNUMBER(N222),N222-$B$2,"")</f>
        <v>-369</v>
      </c>
      <c r="W222" s="531" t="str">
        <f aca="false">IF(AND(ISNUMBER(N222),N222&gt;=$B$2,N222&lt;=$B$2+10),N222*100000+ROW(),"")</f>
        <v/>
      </c>
      <c r="X222" s="531"/>
      <c r="Y222" s="531"/>
      <c r="Z222" s="531"/>
      <c r="AA222" s="531"/>
      <c r="AB222" s="531"/>
      <c r="AC222" s="531"/>
      <c r="AD222" s="531"/>
      <c r="AE222" s="531"/>
      <c r="AF222" s="531"/>
      <c r="AG222" s="531"/>
      <c r="AH222" s="531"/>
      <c r="AI222" s="531"/>
      <c r="AJ222" s="531"/>
      <c r="AK222" s="531"/>
      <c r="AL222" s="531"/>
      <c r="AM222" s="531"/>
      <c r="AN222" s="531"/>
    </row>
    <row r="223" customFormat="false" ht="16.5" hidden="false" customHeight="true" outlineLevel="0" collapsed="false">
      <c r="A223" s="531"/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1"/>
      <c r="N223" s="547" t="n">
        <f aca="false">IF('(1)예금승인내역'!H849="","",'(1)예금승인내역'!H849)</f>
        <v>45821</v>
      </c>
      <c r="O223" s="547" t="n">
        <f aca="false">IF('(1)예금승인내역'!G849="","",'(1)예금승인내역'!G849)</f>
        <v>45791</v>
      </c>
      <c r="P223" s="531" t="str">
        <f aca="false">IF('(1)예금승인내역'!F849="","",'(1)예금승인내역'!F849)</f>
        <v>㈜비알팜</v>
      </c>
      <c r="Q223" s="531" t="str">
        <f aca="false">IF('(1)예금승인내역'!C849="","",'(1)예금승인내역'!C849)</f>
        <v>원주금융센터</v>
      </c>
      <c r="R223" s="531" t="str">
        <f aca="false">IF('(1)예금승인내역'!K849="","",'(1)예금승인내역'!K849)</f>
        <v>MMDA</v>
      </c>
      <c r="S223" s="548" t="n">
        <f aca="false">IF('(1)예금승인내역'!L849="","",'(1)예금승인내역'!L849)</f>
        <v>1.55</v>
      </c>
      <c r="T223" s="549" t="n">
        <f aca="false">IF('(1)예금승인내역'!AG849="","",'(1)예금승인내역'!AG849)</f>
        <v>0.038</v>
      </c>
      <c r="U223" s="549" t="n">
        <f aca="false">IF('(1)예금승인내역'!X849="","",'(1)예금승인내역'!X849)</f>
        <v>0.003922</v>
      </c>
      <c r="V223" s="531" t="n">
        <f aca="false">IF(ISNUMBER(N223),N223-$B$2,"")</f>
        <v>-368</v>
      </c>
      <c r="W223" s="531" t="str">
        <f aca="false">IF(AND(ISNUMBER(N223),N223&gt;=$B$2,N223&lt;=$B$2+10),N223*100000+ROW(),"")</f>
        <v/>
      </c>
      <c r="X223" s="531"/>
      <c r="Y223" s="531"/>
      <c r="Z223" s="531"/>
      <c r="AA223" s="531"/>
      <c r="AB223" s="531"/>
      <c r="AC223" s="531"/>
      <c r="AD223" s="531"/>
      <c r="AE223" s="531"/>
      <c r="AF223" s="531"/>
      <c r="AG223" s="531"/>
      <c r="AH223" s="531"/>
      <c r="AI223" s="531"/>
      <c r="AJ223" s="531"/>
      <c r="AK223" s="531"/>
      <c r="AL223" s="531"/>
      <c r="AM223" s="531"/>
      <c r="AN223" s="531"/>
    </row>
    <row r="224" customFormat="false" ht="16.5" hidden="false" customHeight="true" outlineLevel="0" collapsed="false">
      <c r="A224" s="531"/>
      <c r="B224" s="531"/>
      <c r="C224" s="531"/>
      <c r="D224" s="531"/>
      <c r="E224" s="531"/>
      <c r="F224" s="531"/>
      <c r="G224" s="531"/>
      <c r="H224" s="531"/>
      <c r="I224" s="531"/>
      <c r="J224" s="531"/>
      <c r="K224" s="531"/>
      <c r="L224" s="531"/>
      <c r="M224" s="531"/>
      <c r="N224" s="547" t="n">
        <f aca="false">IF('(1)예금승인내역'!H850="","",'(1)예금승인내역'!H850)</f>
        <v>45824</v>
      </c>
      <c r="O224" s="547" t="n">
        <f aca="false">IF('(1)예금승인내역'!G850="","",'(1)예금승인내역'!G850)</f>
        <v>45791</v>
      </c>
      <c r="P224" s="531" t="str">
        <f aca="false">IF('(1)예금승인내역'!F850="","",'(1)예금승인내역'!F850)</f>
        <v>오스템임플란트㈜</v>
      </c>
      <c r="Q224" s="531" t="str">
        <f aca="false">IF('(1)예금승인내역'!C850="","",'(1)예금승인내역'!C850)</f>
        <v>성남금융센터</v>
      </c>
      <c r="R224" s="531" t="str">
        <f aca="false">IF('(1)예금승인내역'!K850="","",'(1)예금승인내역'!K850)</f>
        <v>MMDA</v>
      </c>
      <c r="S224" s="548" t="n">
        <f aca="false">IF('(1)예금승인내역'!L850="","",'(1)예금승인내역'!L850)</f>
        <v>8.62</v>
      </c>
      <c r="T224" s="549" t="n">
        <f aca="false">IF('(1)예금승인내역'!AG850="","",'(1)예금승인내역'!AG850)</f>
        <v>0.038</v>
      </c>
      <c r="U224" s="549" t="n">
        <f aca="false">IF('(1)예금승인내역'!X850="","",'(1)예금승인내역'!X850)</f>
        <v>0.003922</v>
      </c>
      <c r="V224" s="531" t="n">
        <f aca="false">IF(ISNUMBER(N224),N224-$B$2,"")</f>
        <v>-365</v>
      </c>
      <c r="W224" s="531" t="str">
        <f aca="false">IF(AND(ISNUMBER(N224),N224&gt;=$B$2,N224&lt;=$B$2+10),N224*100000+ROW(),"")</f>
        <v/>
      </c>
      <c r="X224" s="531"/>
      <c r="Y224" s="531"/>
      <c r="Z224" s="531"/>
      <c r="AA224" s="531"/>
      <c r="AB224" s="531"/>
      <c r="AC224" s="531"/>
      <c r="AD224" s="531"/>
      <c r="AE224" s="531"/>
      <c r="AF224" s="531"/>
      <c r="AG224" s="531"/>
      <c r="AH224" s="531"/>
      <c r="AI224" s="531"/>
      <c r="AJ224" s="531"/>
      <c r="AK224" s="531"/>
      <c r="AL224" s="531"/>
      <c r="AM224" s="531"/>
      <c r="AN224" s="531"/>
    </row>
    <row r="225" customFormat="false" ht="16.5" hidden="false" customHeight="true" outlineLevel="0" collapsed="false">
      <c r="A225" s="531"/>
      <c r="B225" s="531"/>
      <c r="C225" s="531"/>
      <c r="D225" s="531"/>
      <c r="E225" s="531"/>
      <c r="F225" s="531"/>
      <c r="G225" s="531"/>
      <c r="H225" s="531"/>
      <c r="I225" s="531"/>
      <c r="J225" s="531"/>
      <c r="K225" s="531"/>
      <c r="L225" s="531"/>
      <c r="M225" s="531"/>
      <c r="N225" s="547" t="n">
        <f aca="false">IF('(1)예금승인내역'!H851="","",'(1)예금승인내역'!H851)</f>
        <v>45822</v>
      </c>
      <c r="O225" s="547" t="n">
        <f aca="false">IF('(1)예금승인내역'!G851="","",'(1)예금승인내역'!G851)</f>
        <v>45791</v>
      </c>
      <c r="P225" s="531" t="str">
        <f aca="false">IF('(1)예금승인내역'!F851="","",'(1)예금승인내역'!F851)</f>
        <v>대한상선 </v>
      </c>
      <c r="Q225" s="531" t="str">
        <f aca="false">IF('(1)예금승인내역'!C851="","",'(1)예금승인내역'!C851)</f>
        <v>강남영업부</v>
      </c>
      <c r="R225" s="531" t="str">
        <f aca="false">IF('(1)예금승인내역'!K851="","",'(1)예금승인내역'!K851)</f>
        <v>정기예금</v>
      </c>
      <c r="S225" s="548" t="n">
        <f aca="false">IF('(1)예금승인내역'!L851="","",'(1)예금승인내역'!L851)</f>
        <v>1</v>
      </c>
      <c r="T225" s="549" t="n">
        <f aca="false">IF('(1)예금승인내역'!AG851="","",'(1)예금승인내역'!AG851)</f>
        <v>0.0415</v>
      </c>
      <c r="U225" s="549" t="n">
        <f aca="false">IF('(1)예금승인내역'!X851="","",'(1)예금승인내역'!X851)</f>
        <v>0.00212</v>
      </c>
      <c r="V225" s="531" t="n">
        <f aca="false">IF(ISNUMBER(N225),N225-$B$2,"")</f>
        <v>-367</v>
      </c>
      <c r="W225" s="531" t="str">
        <f aca="false">IF(AND(ISNUMBER(N225),N225&gt;=$B$2,N225&lt;=$B$2+10),N225*100000+ROW(),"")</f>
        <v/>
      </c>
      <c r="X225" s="531"/>
      <c r="Y225" s="531"/>
      <c r="Z225" s="531"/>
      <c r="AA225" s="531"/>
      <c r="AB225" s="531"/>
      <c r="AC225" s="531"/>
      <c r="AD225" s="531"/>
      <c r="AE225" s="531"/>
      <c r="AF225" s="531"/>
      <c r="AG225" s="531"/>
      <c r="AH225" s="531"/>
      <c r="AI225" s="531"/>
      <c r="AJ225" s="531"/>
      <c r="AK225" s="531"/>
      <c r="AL225" s="531"/>
      <c r="AM225" s="531"/>
      <c r="AN225" s="531"/>
    </row>
    <row r="226" customFormat="false" ht="16.5" hidden="false" customHeight="true" outlineLevel="0" collapsed="false">
      <c r="A226" s="531"/>
      <c r="B226" s="531"/>
      <c r="C226" s="531"/>
      <c r="D226" s="531"/>
      <c r="E226" s="531"/>
      <c r="F226" s="531"/>
      <c r="G226" s="531"/>
      <c r="H226" s="531"/>
      <c r="I226" s="531"/>
      <c r="J226" s="531"/>
      <c r="K226" s="531"/>
      <c r="L226" s="531"/>
      <c r="M226" s="531"/>
      <c r="N226" s="547" t="n">
        <f aca="false">IF('(1)예금승인내역'!H852="","",'(1)예금승인내역'!H852)</f>
        <v>45800</v>
      </c>
      <c r="O226" s="547" t="n">
        <f aca="false">IF('(1)예금승인내역'!G852="","",'(1)예금승인내역'!G852)</f>
        <v>45791</v>
      </c>
      <c r="P226" s="531" t="str">
        <f aca="false">IF('(1)예금승인내역'!F852="","",'(1)예금승인내역'!F852)</f>
        <v>㈜일지테크</v>
      </c>
      <c r="Q226" s="531" t="str">
        <f aca="false">IF('(1)예금승인내역'!C852="","",'(1)예금승인내역'!C852)</f>
        <v>경산공단영업부</v>
      </c>
      <c r="R226" s="531" t="str">
        <f aca="false">IF('(1)예금승인내역'!K852="","",'(1)예금승인내역'!K852)</f>
        <v>정기예금</v>
      </c>
      <c r="S226" s="548" t="n">
        <f aca="false">IF('(1)예금승인내역'!L852="","",'(1)예금승인내역'!L852)</f>
        <v>12</v>
      </c>
      <c r="T226" s="549" t="n">
        <f aca="false">IF('(1)예금승인내역'!AG852="","",'(1)예금승인내역'!AG852)</f>
        <v>0.038</v>
      </c>
      <c r="U226" s="549" t="n">
        <f aca="false">IF('(1)예금승인내역'!X852="","",'(1)예금승인내역'!X852)</f>
        <v>0.001629</v>
      </c>
      <c r="V226" s="531" t="n">
        <f aca="false">IF(ISNUMBER(N226),N226-$B$2,"")</f>
        <v>-389</v>
      </c>
      <c r="W226" s="531" t="str">
        <f aca="false">IF(AND(ISNUMBER(N226),N226&gt;=$B$2,N226&lt;=$B$2+10),N226*100000+ROW(),"")</f>
        <v/>
      </c>
      <c r="X226" s="531"/>
      <c r="Y226" s="531"/>
      <c r="Z226" s="531"/>
      <c r="AA226" s="531"/>
      <c r="AB226" s="531"/>
      <c r="AC226" s="531"/>
      <c r="AD226" s="531"/>
      <c r="AE226" s="531"/>
      <c r="AF226" s="531"/>
      <c r="AG226" s="531"/>
      <c r="AH226" s="531"/>
      <c r="AI226" s="531"/>
      <c r="AJ226" s="531"/>
      <c r="AK226" s="531"/>
      <c r="AL226" s="531"/>
      <c r="AM226" s="531"/>
      <c r="AN226" s="531"/>
    </row>
    <row r="227" customFormat="false" ht="16.5" hidden="false" customHeight="true" outlineLevel="0" collapsed="false">
      <c r="A227" s="531"/>
      <c r="B227" s="531"/>
      <c r="C227" s="531"/>
      <c r="D227" s="531"/>
      <c r="E227" s="531"/>
      <c r="F227" s="531"/>
      <c r="G227" s="531"/>
      <c r="H227" s="531"/>
      <c r="I227" s="531"/>
      <c r="J227" s="531"/>
      <c r="K227" s="531"/>
      <c r="L227" s="531"/>
      <c r="M227" s="531"/>
      <c r="N227" s="547" t="n">
        <f aca="false">IF('(1)예금승인내역'!H853="","",'(1)예금승인내역'!H853)</f>
        <v>45824</v>
      </c>
      <c r="O227" s="547" t="n">
        <f aca="false">IF('(1)예금승인내역'!G853="","",'(1)예금승인내역'!G853)</f>
        <v>45791</v>
      </c>
      <c r="P227" s="531" t="str">
        <f aca="false">IF('(1)예금승인내역'!F853="","",'(1)예금승인내역'!F853)</f>
        <v>동화인더스트리</v>
      </c>
      <c r="Q227" s="531" t="str">
        <f aca="false">IF('(1)예금승인내역'!C853="","",'(1)예금승인내역'!C853)</f>
        <v>중동지점</v>
      </c>
      <c r="R227" s="531" t="str">
        <f aca="false">IF('(1)예금승인내역'!K853="","",'(1)예금승인내역'!K853)</f>
        <v>정기예금</v>
      </c>
      <c r="S227" s="548" t="n">
        <f aca="false">IF('(1)예금승인내역'!L853="","",'(1)예금승인내역'!L853)</f>
        <v>1.12</v>
      </c>
      <c r="T227" s="549" t="n">
        <f aca="false">IF('(1)예금승인내역'!AG853="","",'(1)예금승인내역'!AG853)</f>
        <v>0.041</v>
      </c>
      <c r="U227" s="549" t="n">
        <f aca="false">IF('(1)예금승인내역'!X853="","",'(1)예금승인내역'!X853)</f>
        <v>0.00262</v>
      </c>
      <c r="V227" s="531" t="n">
        <f aca="false">IF(ISNUMBER(N227),N227-$B$2,"")</f>
        <v>-365</v>
      </c>
      <c r="W227" s="531" t="str">
        <f aca="false">IF(AND(ISNUMBER(N227),N227&gt;=$B$2,N227&lt;=$B$2+10),N227*100000+ROW(),"")</f>
        <v/>
      </c>
      <c r="X227" s="531"/>
      <c r="Y227" s="531"/>
      <c r="Z227" s="531"/>
      <c r="AA227" s="531"/>
      <c r="AB227" s="531"/>
      <c r="AC227" s="531"/>
      <c r="AD227" s="531"/>
      <c r="AE227" s="531"/>
      <c r="AF227" s="531"/>
      <c r="AG227" s="531"/>
      <c r="AH227" s="531"/>
      <c r="AI227" s="531"/>
      <c r="AJ227" s="531"/>
      <c r="AK227" s="531"/>
      <c r="AL227" s="531"/>
      <c r="AM227" s="531"/>
      <c r="AN227" s="531"/>
    </row>
    <row r="228" customFormat="false" ht="16.5" hidden="false" customHeight="true" outlineLevel="0" collapsed="false">
      <c r="A228" s="531"/>
      <c r="B228" s="531"/>
      <c r="C228" s="531"/>
      <c r="D228" s="531"/>
      <c r="E228" s="531"/>
      <c r="F228" s="531"/>
      <c r="G228" s="531"/>
      <c r="H228" s="531"/>
      <c r="I228" s="531"/>
      <c r="J228" s="531"/>
      <c r="K228" s="531"/>
      <c r="L228" s="531"/>
      <c r="M228" s="531"/>
      <c r="N228" s="547" t="n">
        <f aca="false">IF('(1)예금승인내역'!H854="","",'(1)예금승인내역'!H854)</f>
        <v>45887</v>
      </c>
      <c r="O228" s="547" t="n">
        <f aca="false">IF('(1)예금승인내역'!G854="","",'(1)예금승인내역'!G854)</f>
        <v>45792</v>
      </c>
      <c r="P228" s="531" t="str">
        <f aca="false">IF('(1)예금승인내역'!F854="","",'(1)예금승인내역'!F854)</f>
        <v>㈜비알팜</v>
      </c>
      <c r="Q228" s="531" t="str">
        <f aca="false">IF('(1)예금승인내역'!C854="","",'(1)예금승인내역'!C854)</f>
        <v>원주금융센터</v>
      </c>
      <c r="R228" s="531" t="str">
        <f aca="false">IF('(1)예금승인내역'!K854="","",'(1)예금승인내역'!K854)</f>
        <v>정기예금</v>
      </c>
      <c r="S228" s="548" t="n">
        <f aca="false">IF('(1)예금승인내역'!L854="","",'(1)예금승인내역'!L854)</f>
        <v>1</v>
      </c>
      <c r="T228" s="549" t="n">
        <f aca="false">IF('(1)예금승인내역'!AG854="","",'(1)예금승인내역'!AG854)</f>
        <v>0.042</v>
      </c>
      <c r="U228" s="549" t="n">
        <f aca="false">IF('(1)예금승인내역'!X854="","",'(1)예금승인내역'!X854)</f>
        <v>0.003086</v>
      </c>
      <c r="V228" s="531" t="n">
        <f aca="false">IF(ISNUMBER(N228),N228-$B$2,"")</f>
        <v>-302</v>
      </c>
      <c r="W228" s="531" t="str">
        <f aca="false">IF(AND(ISNUMBER(N228),N228&gt;=$B$2,N228&lt;=$B$2+10),N228*100000+ROW(),"")</f>
        <v/>
      </c>
      <c r="X228" s="531"/>
      <c r="Y228" s="531"/>
      <c r="Z228" s="531"/>
      <c r="AA228" s="531"/>
      <c r="AB228" s="531"/>
      <c r="AC228" s="531"/>
      <c r="AD228" s="531"/>
      <c r="AE228" s="531"/>
      <c r="AF228" s="531"/>
      <c r="AG228" s="531"/>
      <c r="AH228" s="531"/>
      <c r="AI228" s="531"/>
      <c r="AJ228" s="531"/>
      <c r="AK228" s="531"/>
      <c r="AL228" s="531"/>
      <c r="AM228" s="531"/>
      <c r="AN228" s="531"/>
    </row>
    <row r="229" customFormat="false" ht="16.5" hidden="false" customHeight="true" outlineLevel="0" collapsed="false">
      <c r="A229" s="531"/>
      <c r="B229" s="531"/>
      <c r="C229" s="531"/>
      <c r="D229" s="531"/>
      <c r="E229" s="531"/>
      <c r="F229" s="531"/>
      <c r="G229" s="531"/>
      <c r="H229" s="531"/>
      <c r="I229" s="531"/>
      <c r="J229" s="531"/>
      <c r="K229" s="531"/>
      <c r="L229" s="531"/>
      <c r="M229" s="531"/>
      <c r="N229" s="547" t="n">
        <f aca="false">IF('(1)예금승인내역'!H855="","",'(1)예금승인내역'!H855)</f>
        <v>45824</v>
      </c>
      <c r="O229" s="547" t="n">
        <f aca="false">IF('(1)예금승인내역'!G855="","",'(1)예금승인내역'!G855)</f>
        <v>45793</v>
      </c>
      <c r="P229" s="531" t="str">
        <f aca="false">IF('(1)예금승인내역'!F855="","",'(1)예금승인내역'!F855)</f>
        <v>㈜ 광성</v>
      </c>
      <c r="Q229" s="531" t="str">
        <f aca="false">IF('(1)예금승인내역'!C855="","",'(1)예금승인내역'!C855)</f>
        <v>경산공단영업부</v>
      </c>
      <c r="R229" s="531" t="str">
        <f aca="false">IF('(1)예금승인내역'!K855="","",'(1)예금승인내역'!K855)</f>
        <v>MMDA</v>
      </c>
      <c r="S229" s="548" t="n">
        <f aca="false">IF('(1)예금승인내역'!L855="","",'(1)예금승인내역'!L855)</f>
        <v>1.5</v>
      </c>
      <c r="T229" s="549" t="n">
        <f aca="false">IF('(1)예금승인내역'!AG855="","",'(1)예금승인내역'!AG855)</f>
        <v>0.0385</v>
      </c>
      <c r="U229" s="549" t="n">
        <f aca="false">IF('(1)예금승인내역'!X855="","",'(1)예금승인내역'!X855)</f>
        <v>0.00438</v>
      </c>
      <c r="V229" s="531" t="n">
        <f aca="false">IF(ISNUMBER(N229),N229-$B$2,"")</f>
        <v>-365</v>
      </c>
      <c r="W229" s="531" t="str">
        <f aca="false">IF(AND(ISNUMBER(N229),N229&gt;=$B$2,N229&lt;=$B$2+10),N229*100000+ROW(),"")</f>
        <v/>
      </c>
      <c r="X229" s="531"/>
      <c r="Y229" s="531"/>
      <c r="Z229" s="531"/>
      <c r="AA229" s="531"/>
      <c r="AB229" s="531"/>
      <c r="AC229" s="531"/>
      <c r="AD229" s="531"/>
      <c r="AE229" s="531"/>
      <c r="AF229" s="531"/>
      <c r="AG229" s="531"/>
      <c r="AH229" s="531"/>
      <c r="AI229" s="531"/>
      <c r="AJ229" s="531"/>
      <c r="AK229" s="531"/>
      <c r="AL229" s="531"/>
      <c r="AM229" s="531"/>
      <c r="AN229" s="531"/>
    </row>
    <row r="230" customFormat="false" ht="16.5" hidden="false" customHeight="true" outlineLevel="0" collapsed="false">
      <c r="A230" s="531"/>
      <c r="B230" s="531"/>
      <c r="C230" s="531"/>
      <c r="D230" s="531"/>
      <c r="E230" s="531"/>
      <c r="F230" s="531"/>
      <c r="G230" s="531"/>
      <c r="H230" s="531"/>
      <c r="I230" s="531"/>
      <c r="J230" s="531"/>
      <c r="K230" s="531"/>
      <c r="L230" s="531"/>
      <c r="M230" s="531"/>
      <c r="N230" s="547" t="n">
        <f aca="false">IF('(1)예금승인내역'!H856="","",'(1)예금승인내역'!H856)</f>
        <v>45888</v>
      </c>
      <c r="O230" s="547" t="n">
        <f aca="false">IF('(1)예금승인내역'!G856="","",'(1)예금승인내역'!G856)</f>
        <v>45796</v>
      </c>
      <c r="P230" s="531" t="str">
        <f aca="false">IF('(1)예금승인내역'!F856="","",'(1)예금승인내역'!F856)</f>
        <v>㈜세도캠핑</v>
      </c>
      <c r="Q230" s="531" t="str">
        <f aca="false">IF('(1)예금승인내역'!C856="","",'(1)예금승인내역'!C856)</f>
        <v>강남영업부</v>
      </c>
      <c r="R230" s="531" t="str">
        <f aca="false">IF('(1)예금승인내역'!K856="","",'(1)예금승인내역'!K856)</f>
        <v>정기예금</v>
      </c>
      <c r="S230" s="548" t="n">
        <f aca="false">IF('(1)예금승인내역'!L856="","",'(1)예금승인내역'!L856)</f>
        <v>2.06</v>
      </c>
      <c r="T230" s="549" t="n">
        <f aca="false">IF('(1)예금승인내역'!AG856="","",'(1)예금승인내역'!AG856)</f>
        <v>0.042</v>
      </c>
      <c r="U230" s="549" t="n">
        <f aca="false">IF('(1)예금승인내역'!X856="","",'(1)예금승인내역'!X856)</f>
        <v>0.003069</v>
      </c>
      <c r="V230" s="531" t="n">
        <f aca="false">IF(ISNUMBER(N230),N230-$B$2,"")</f>
        <v>-301</v>
      </c>
      <c r="W230" s="531" t="str">
        <f aca="false">IF(AND(ISNUMBER(N230),N230&gt;=$B$2,N230&lt;=$B$2+10),N230*100000+ROW(),"")</f>
        <v/>
      </c>
      <c r="X230" s="531"/>
      <c r="Y230" s="531"/>
      <c r="Z230" s="531"/>
      <c r="AA230" s="531"/>
      <c r="AB230" s="531"/>
      <c r="AC230" s="531"/>
      <c r="AD230" s="531"/>
      <c r="AE230" s="531"/>
      <c r="AF230" s="531"/>
      <c r="AG230" s="531"/>
      <c r="AH230" s="531"/>
      <c r="AI230" s="531"/>
      <c r="AJ230" s="531"/>
      <c r="AK230" s="531"/>
      <c r="AL230" s="531"/>
      <c r="AM230" s="531"/>
      <c r="AN230" s="531"/>
    </row>
    <row r="231" customFormat="false" ht="16.5" hidden="false" customHeight="true" outlineLevel="0" collapsed="false">
      <c r="A231" s="531"/>
      <c r="B231" s="531"/>
      <c r="C231" s="531"/>
      <c r="D231" s="531"/>
      <c r="E231" s="531"/>
      <c r="F231" s="531"/>
      <c r="G231" s="531"/>
      <c r="H231" s="531"/>
      <c r="I231" s="531"/>
      <c r="J231" s="531"/>
      <c r="K231" s="531"/>
      <c r="L231" s="531"/>
      <c r="M231" s="531"/>
      <c r="N231" s="547" t="n">
        <f aca="false">IF('(1)예금승인내역'!H857="","",'(1)예금승인내역'!H857)</f>
        <v>45887</v>
      </c>
      <c r="O231" s="547" t="n">
        <f aca="false">IF('(1)예금승인내역'!G857="","",'(1)예금승인내역'!G857)</f>
        <v>45797</v>
      </c>
      <c r="P231" s="531" t="str">
        <f aca="false">IF('(1)예금승인내역'!F857="","",'(1)예금승인내역'!F857)</f>
        <v>한국전력기술 </v>
      </c>
      <c r="Q231" s="531" t="str">
        <f aca="false">IF('(1)예금승인내역'!C857="","",'(1)예금승인내역'!C857)</f>
        <v>김천혁신도시점</v>
      </c>
      <c r="R231" s="531" t="str">
        <f aca="false">IF('(1)예금승인내역'!K857="","",'(1)예금승인내역'!K857)</f>
        <v>정기예금</v>
      </c>
      <c r="S231" s="548" t="n">
        <f aca="false">IF('(1)예금승인내역'!L857="","",'(1)예금승인내역'!L857)</f>
        <v>2</v>
      </c>
      <c r="T231" s="549" t="n">
        <f aca="false">IF('(1)예금승인내역'!AG857="","",'(1)예금승인내역'!AG857)</f>
        <v>0.0422</v>
      </c>
      <c r="U231" s="549" t="n">
        <f aca="false">IF('(1)예금승인내역'!X857="","",'(1)예금승인내역'!X857)</f>
        <v>0.002845</v>
      </c>
      <c r="V231" s="531" t="n">
        <f aca="false">IF(ISNUMBER(N231),N231-$B$2,"")</f>
        <v>-302</v>
      </c>
      <c r="W231" s="531" t="str">
        <f aca="false">IF(AND(ISNUMBER(N231),N231&gt;=$B$2,N231&lt;=$B$2+10),N231*100000+ROW(),"")</f>
        <v/>
      </c>
      <c r="X231" s="531"/>
      <c r="Y231" s="531"/>
      <c r="Z231" s="531"/>
      <c r="AA231" s="531"/>
      <c r="AB231" s="531"/>
      <c r="AC231" s="531"/>
      <c r="AD231" s="531"/>
      <c r="AE231" s="531"/>
      <c r="AF231" s="531"/>
      <c r="AG231" s="531"/>
      <c r="AH231" s="531"/>
      <c r="AI231" s="531"/>
      <c r="AJ231" s="531"/>
      <c r="AK231" s="531"/>
      <c r="AL231" s="531"/>
      <c r="AM231" s="531"/>
      <c r="AN231" s="531"/>
    </row>
    <row r="232" customFormat="false" ht="16.5" hidden="false" customHeight="true" outlineLevel="0" collapsed="false">
      <c r="A232" s="531"/>
      <c r="B232" s="531"/>
      <c r="C232" s="531"/>
      <c r="D232" s="531"/>
      <c r="E232" s="531"/>
      <c r="F232" s="531"/>
      <c r="G232" s="531"/>
      <c r="H232" s="531"/>
      <c r="I232" s="531"/>
      <c r="J232" s="531"/>
      <c r="K232" s="531"/>
      <c r="L232" s="531"/>
      <c r="M232" s="531"/>
      <c r="N232" s="547" t="n">
        <f aca="false">IF('(1)예금승인내역'!H858="","",'(1)예금승인내역'!H858)</f>
        <v>45831</v>
      </c>
      <c r="O232" s="547" t="n">
        <f aca="false">IF('(1)예금승인내역'!G858="","",'(1)예금승인내역'!G858)</f>
        <v>45800</v>
      </c>
      <c r="P232" s="531" t="str">
        <f aca="false">IF('(1)예금승인내역'!F858="","",'(1)예금승인내역'!F858)</f>
        <v>㈜약진통상</v>
      </c>
      <c r="Q232" s="531" t="str">
        <f aca="false">IF('(1)예금승인내역'!C858="","",'(1)예금승인내역'!C858)</f>
        <v>반월공단지점</v>
      </c>
      <c r="R232" s="531" t="str">
        <f aca="false">IF('(1)예금승인내역'!K858="","",'(1)예금승인내역'!K858)</f>
        <v>MMDA</v>
      </c>
      <c r="S232" s="548" t="n">
        <f aca="false">IF('(1)예금승인내역'!L858="","",'(1)예금승인내역'!L858)</f>
        <v>5.23</v>
      </c>
      <c r="T232" s="549" t="n">
        <f aca="false">IF('(1)예금승인내역'!AG858="","",'(1)예금승인내역'!AG858)</f>
        <v>0.038</v>
      </c>
      <c r="U232" s="549" t="n">
        <f aca="false">IF('(1)예금승인내역'!X858="","",'(1)예금승인내역'!X858)</f>
        <v>0.004019</v>
      </c>
      <c r="V232" s="531" t="n">
        <f aca="false">IF(ISNUMBER(N232),N232-$B$2,"")</f>
        <v>-358</v>
      </c>
      <c r="W232" s="531" t="str">
        <f aca="false">IF(AND(ISNUMBER(N232),N232&gt;=$B$2,N232&lt;=$B$2+10),N232*100000+ROW(),"")</f>
        <v/>
      </c>
      <c r="X232" s="531"/>
      <c r="Y232" s="531"/>
      <c r="Z232" s="531"/>
      <c r="AA232" s="531"/>
      <c r="AB232" s="531"/>
      <c r="AC232" s="531"/>
      <c r="AD232" s="531"/>
      <c r="AE232" s="531"/>
      <c r="AF232" s="531"/>
      <c r="AG232" s="531"/>
      <c r="AH232" s="531"/>
      <c r="AI232" s="531"/>
      <c r="AJ232" s="531"/>
      <c r="AK232" s="531"/>
      <c r="AL232" s="531"/>
      <c r="AM232" s="531"/>
      <c r="AN232" s="531"/>
    </row>
    <row r="233" customFormat="false" ht="16.5" hidden="false" customHeight="true" outlineLevel="0" collapsed="false">
      <c r="A233" s="531"/>
      <c r="B233" s="531"/>
      <c r="C233" s="531"/>
      <c r="D233" s="531"/>
      <c r="E233" s="531"/>
      <c r="F233" s="531"/>
      <c r="G233" s="531"/>
      <c r="H233" s="531"/>
      <c r="I233" s="531"/>
      <c r="J233" s="531"/>
      <c r="K233" s="531"/>
      <c r="L233" s="531"/>
      <c r="M233" s="531"/>
      <c r="N233" s="547" t="n">
        <f aca="false">IF('(1)예금승인내역'!H859="","",'(1)예금승인내역'!H859)</f>
        <v>45818</v>
      </c>
      <c r="O233" s="547" t="n">
        <f aca="false">IF('(1)예금승인내역'!G859="","",'(1)예금승인내역'!G859)</f>
        <v>45800</v>
      </c>
      <c r="P233" s="531" t="str">
        <f aca="false">IF('(1)예금승인내역'!F859="","",'(1)예금승인내역'!F859)</f>
        <v>㈜일지테크</v>
      </c>
      <c r="Q233" s="531" t="str">
        <f aca="false">IF('(1)예금승인내역'!C859="","",'(1)예금승인내역'!C859)</f>
        <v>경산공단영업부</v>
      </c>
      <c r="R233" s="531" t="str">
        <f aca="false">IF('(1)예금승인내역'!K859="","",'(1)예금승인내역'!K859)</f>
        <v>정기예금</v>
      </c>
      <c r="S233" s="548" t="n">
        <f aca="false">IF('(1)예금승인내역'!L859="","",'(1)예금승인내역'!L859)</f>
        <v>10</v>
      </c>
      <c r="T233" s="549" t="n">
        <f aca="false">IF('(1)예금승인내역'!AG859="","",'(1)예금승인내역'!AG859)</f>
        <v>0.038</v>
      </c>
      <c r="U233" s="549" t="n">
        <f aca="false">IF('(1)예금승인내역'!X859="","",'(1)예금승인내역'!X859)</f>
        <v>0.002287</v>
      </c>
      <c r="V233" s="531" t="n">
        <f aca="false">IF(ISNUMBER(N233),N233-$B$2,"")</f>
        <v>-371</v>
      </c>
      <c r="W233" s="531" t="str">
        <f aca="false">IF(AND(ISNUMBER(N233),N233&gt;=$B$2,N233&lt;=$B$2+10),N233*100000+ROW(),"")</f>
        <v/>
      </c>
      <c r="X233" s="531"/>
      <c r="Y233" s="531"/>
      <c r="Z233" s="531"/>
      <c r="AA233" s="531"/>
      <c r="AB233" s="531"/>
      <c r="AC233" s="531"/>
      <c r="AD233" s="531"/>
      <c r="AE233" s="531"/>
      <c r="AF233" s="531"/>
      <c r="AG233" s="531"/>
      <c r="AH233" s="531"/>
      <c r="AI233" s="531"/>
      <c r="AJ233" s="531"/>
      <c r="AK233" s="531"/>
      <c r="AL233" s="531"/>
      <c r="AM233" s="531"/>
      <c r="AN233" s="531"/>
    </row>
    <row r="234" customFormat="false" ht="16.5" hidden="false" customHeight="true" outlineLevel="0" collapsed="false">
      <c r="A234" s="531"/>
      <c r="B234" s="531"/>
      <c r="C234" s="531"/>
      <c r="D234" s="531"/>
      <c r="E234" s="531"/>
      <c r="F234" s="531"/>
      <c r="G234" s="531"/>
      <c r="H234" s="531"/>
      <c r="I234" s="531"/>
      <c r="J234" s="531"/>
      <c r="K234" s="531"/>
      <c r="L234" s="531"/>
      <c r="M234" s="531"/>
      <c r="N234" s="547" t="n">
        <f aca="false">IF('(1)예금승인내역'!H860="","",'(1)예금승인내역'!H860)</f>
        <v>45831</v>
      </c>
      <c r="O234" s="547" t="n">
        <f aca="false">IF('(1)예금승인내역'!G860="","",'(1)예금승인내역'!G860)</f>
        <v>45800</v>
      </c>
      <c r="P234" s="531" t="str">
        <f aca="false">IF('(1)예금승인내역'!F860="","",'(1)예금승인내역'!F860)</f>
        <v>한화오션㈜</v>
      </c>
      <c r="Q234" s="531" t="str">
        <f aca="false">IF('(1)예금승인내역'!C860="","",'(1)예금승인내역'!C860)</f>
        <v>서울영업부</v>
      </c>
      <c r="R234" s="531" t="str">
        <f aca="false">IF('(1)예금승인내역'!K860="","",'(1)예금승인내역'!K860)</f>
        <v>MMDA</v>
      </c>
      <c r="S234" s="548" t="n">
        <f aca="false">IF('(1)예금승인내역'!L860="","",'(1)예금승인내역'!L860)</f>
        <v>10</v>
      </c>
      <c r="T234" s="549" t="n">
        <f aca="false">IF('(1)예금승인내역'!AG860="","",'(1)예금승인내역'!AG860)</f>
        <v>0.0383</v>
      </c>
      <c r="U234" s="549" t="n">
        <f aca="false">IF('(1)예금승인내역'!X860="","",'(1)예금승인내역'!X860)</f>
        <v>0.003719</v>
      </c>
      <c r="V234" s="531" t="n">
        <f aca="false">IF(ISNUMBER(N234),N234-$B$2,"")</f>
        <v>-358</v>
      </c>
      <c r="W234" s="531" t="str">
        <f aca="false">IF(AND(ISNUMBER(N234),N234&gt;=$B$2,N234&lt;=$B$2+10),N234*100000+ROW(),"")</f>
        <v/>
      </c>
      <c r="X234" s="531"/>
      <c r="Y234" s="531"/>
      <c r="Z234" s="531"/>
      <c r="AA234" s="531"/>
      <c r="AB234" s="531"/>
      <c r="AC234" s="531"/>
      <c r="AD234" s="531"/>
      <c r="AE234" s="531"/>
      <c r="AF234" s="531"/>
      <c r="AG234" s="531"/>
      <c r="AH234" s="531"/>
      <c r="AI234" s="531"/>
      <c r="AJ234" s="531"/>
      <c r="AK234" s="531"/>
      <c r="AL234" s="531"/>
      <c r="AM234" s="531"/>
      <c r="AN234" s="531"/>
    </row>
    <row r="235" customFormat="false" ht="16.5" hidden="false" customHeight="true" outlineLevel="0" collapsed="false">
      <c r="A235" s="531"/>
      <c r="B235" s="531"/>
      <c r="C235" s="531"/>
      <c r="D235" s="531"/>
      <c r="E235" s="531"/>
      <c r="F235" s="531"/>
      <c r="G235" s="531"/>
      <c r="H235" s="531"/>
      <c r="I235" s="531"/>
      <c r="J235" s="531"/>
      <c r="K235" s="531"/>
      <c r="L235" s="531"/>
      <c r="M235" s="531"/>
      <c r="N235" s="547" t="n">
        <f aca="false">IF('(1)예금승인내역'!H861="","",'(1)예금승인내역'!H861)</f>
        <v>45834</v>
      </c>
      <c r="O235" s="547" t="n">
        <f aca="false">IF('(1)예금승인내역'!G861="","",'(1)예금승인내역'!G861)</f>
        <v>45803</v>
      </c>
      <c r="P235" s="531" t="str">
        <f aca="false">IF('(1)예금승인내역'!F861="","",'(1)예금승인내역'!F861)</f>
        <v>에이치엘만도</v>
      </c>
      <c r="Q235" s="531" t="str">
        <f aca="false">IF('(1)예금승인내역'!C861="","",'(1)예금승인내역'!C861)</f>
        <v>삼덕영업부</v>
      </c>
      <c r="R235" s="531" t="str">
        <f aca="false">IF('(1)예금승인내역'!K861="","",'(1)예금승인내역'!K861)</f>
        <v>MMDA</v>
      </c>
      <c r="S235" s="548" t="n">
        <f aca="false">IF('(1)예금승인내역'!L861="","",'(1)예금승인내역'!L861)</f>
        <v>10</v>
      </c>
      <c r="T235" s="549" t="n">
        <f aca="false">IF('(1)예금승인내역'!AG861="","",'(1)예금승인내역'!AG861)</f>
        <v>0.037</v>
      </c>
      <c r="U235" s="549" t="n">
        <f aca="false">IF('(1)예금승인내역'!X861="","",'(1)예금승인내역'!X861)</f>
        <v>0.005025</v>
      </c>
      <c r="V235" s="531" t="n">
        <f aca="false">IF(ISNUMBER(N235),N235-$B$2,"")</f>
        <v>-355</v>
      </c>
      <c r="W235" s="531" t="str">
        <f aca="false">IF(AND(ISNUMBER(N235),N235&gt;=$B$2,N235&lt;=$B$2+10),N235*100000+ROW(),"")</f>
        <v/>
      </c>
      <c r="X235" s="531"/>
      <c r="Y235" s="531"/>
      <c r="Z235" s="531"/>
      <c r="AA235" s="531"/>
      <c r="AB235" s="531"/>
      <c r="AC235" s="531"/>
      <c r="AD235" s="531"/>
      <c r="AE235" s="531"/>
      <c r="AF235" s="531"/>
      <c r="AG235" s="531"/>
      <c r="AH235" s="531"/>
      <c r="AI235" s="531"/>
      <c r="AJ235" s="531"/>
      <c r="AK235" s="531"/>
      <c r="AL235" s="531"/>
      <c r="AM235" s="531"/>
      <c r="AN235" s="531"/>
    </row>
    <row r="236" customFormat="false" ht="16.5" hidden="false" customHeight="true" outlineLevel="0" collapsed="false">
      <c r="A236" s="531"/>
      <c r="B236" s="531"/>
      <c r="C236" s="531"/>
      <c r="D236" s="531"/>
      <c r="E236" s="531"/>
      <c r="F236" s="531"/>
      <c r="G236" s="531"/>
      <c r="H236" s="531"/>
      <c r="I236" s="531"/>
      <c r="J236" s="531"/>
      <c r="K236" s="531"/>
      <c r="L236" s="531"/>
      <c r="M236" s="531"/>
      <c r="N236" s="547" t="n">
        <f aca="false">IF('(1)예금승인내역'!H862="","",'(1)예금승인내역'!H862)</f>
        <v>45896</v>
      </c>
      <c r="O236" s="547" t="n">
        <f aca="false">IF('(1)예금승인내역'!G862="","",'(1)예금승인내역'!G862)</f>
        <v>45804</v>
      </c>
      <c r="P236" s="531" t="str">
        <f aca="false">IF('(1)예금승인내역'!F862="","",'(1)예금승인내역'!F862)</f>
        <v>대한전선㈜</v>
      </c>
      <c r="Q236" s="531" t="str">
        <f aca="false">IF('(1)예금승인내역'!C862="","",'(1)예금승인내역'!C862)</f>
        <v>성남영업부</v>
      </c>
      <c r="R236" s="531" t="str">
        <f aca="false">IF('(1)예금승인내역'!K862="","",'(1)예금승인내역'!K862)</f>
        <v>정기예금</v>
      </c>
      <c r="S236" s="548" t="n">
        <f aca="false">IF('(1)예금승인내역'!L862="","",'(1)예금승인내역'!L862)</f>
        <v>20</v>
      </c>
      <c r="T236" s="549" t="n">
        <f aca="false">IF('(1)예금승인내역'!AG862="","",'(1)예금승인내역'!AG862)</f>
        <v>0.0425</v>
      </c>
      <c r="U236" s="549" t="n">
        <f aca="false">IF('(1)예금승인내역'!X862="","",'(1)예금승인내역'!X862)</f>
        <v>0.002622</v>
      </c>
      <c r="V236" s="531" t="n">
        <f aca="false">IF(ISNUMBER(N236),N236-$B$2,"")</f>
        <v>-293</v>
      </c>
      <c r="W236" s="531" t="str">
        <f aca="false">IF(AND(ISNUMBER(N236),N236&gt;=$B$2,N236&lt;=$B$2+10),N236*100000+ROW(),"")</f>
        <v/>
      </c>
      <c r="X236" s="531"/>
      <c r="Y236" s="531"/>
      <c r="Z236" s="531"/>
      <c r="AA236" s="531"/>
      <c r="AB236" s="531"/>
      <c r="AC236" s="531"/>
      <c r="AD236" s="531"/>
      <c r="AE236" s="531"/>
      <c r="AF236" s="531"/>
      <c r="AG236" s="531"/>
      <c r="AH236" s="531"/>
      <c r="AI236" s="531"/>
      <c r="AJ236" s="531"/>
      <c r="AK236" s="531"/>
      <c r="AL236" s="531"/>
      <c r="AM236" s="531"/>
      <c r="AN236" s="531"/>
    </row>
    <row r="237" customFormat="false" ht="16.5" hidden="false" customHeight="true" outlineLevel="0" collapsed="false">
      <c r="A237" s="531"/>
      <c r="B237" s="531"/>
      <c r="C237" s="531"/>
      <c r="D237" s="531"/>
      <c r="E237" s="531"/>
      <c r="F237" s="531"/>
      <c r="G237" s="531"/>
      <c r="H237" s="531"/>
      <c r="I237" s="531"/>
      <c r="J237" s="531"/>
      <c r="K237" s="531"/>
      <c r="L237" s="531"/>
      <c r="M237" s="531"/>
      <c r="N237" s="547" t="n">
        <f aca="false">IF('(1)예금승인내역'!H863="","",'(1)예금승인내역'!H863)</f>
        <v>45838</v>
      </c>
      <c r="O237" s="547" t="n">
        <f aca="false">IF('(1)예금승인내역'!G863="","",'(1)예금승인내역'!G863)</f>
        <v>45807</v>
      </c>
      <c r="P237" s="531" t="str">
        <f aca="false">IF('(1)예금승인내역'!F863="","",'(1)예금승인내역'!F863)</f>
        <v>㈜지엠메탈</v>
      </c>
      <c r="Q237" s="531" t="str">
        <f aca="false">IF('(1)예금승인내역'!C863="","",'(1)예금승인내역'!C863)</f>
        <v>이현공단영업부</v>
      </c>
      <c r="R237" s="531" t="str">
        <f aca="false">IF('(1)예금승인내역'!K863="","",'(1)예금승인내역'!K863)</f>
        <v>MMDA</v>
      </c>
      <c r="S237" s="548" t="n">
        <f aca="false">IF('(1)예금승인내역'!L863="","",'(1)예금승인내역'!L863)</f>
        <v>1.16</v>
      </c>
      <c r="T237" s="549" t="n">
        <f aca="false">IF('(1)예금승인내역'!AG863="","",'(1)예금승인내역'!AG863)</f>
        <v>0.035</v>
      </c>
      <c r="U237" s="549" t="n">
        <f aca="false">IF('(1)예금승인내역'!X863="","",'(1)예금승인내역'!X863)</f>
        <v>0.007048</v>
      </c>
      <c r="V237" s="531" t="n">
        <f aca="false">IF(ISNUMBER(N237),N237-$B$2,"")</f>
        <v>-351</v>
      </c>
      <c r="W237" s="531" t="str">
        <f aca="false">IF(AND(ISNUMBER(N237),N237&gt;=$B$2,N237&lt;=$B$2+10),N237*100000+ROW(),"")</f>
        <v/>
      </c>
      <c r="X237" s="531"/>
      <c r="Y237" s="531"/>
      <c r="Z237" s="531"/>
      <c r="AA237" s="531"/>
      <c r="AB237" s="531"/>
      <c r="AC237" s="531"/>
      <c r="AD237" s="531"/>
      <c r="AE237" s="531"/>
      <c r="AF237" s="531"/>
      <c r="AG237" s="531"/>
      <c r="AH237" s="531"/>
      <c r="AI237" s="531"/>
      <c r="AJ237" s="531"/>
      <c r="AK237" s="531"/>
      <c r="AL237" s="531"/>
      <c r="AM237" s="531"/>
      <c r="AN237" s="531"/>
    </row>
    <row r="238" customFormat="false" ht="16.5" hidden="false" customHeight="true" outlineLevel="0" collapsed="false">
      <c r="A238" s="531"/>
      <c r="B238" s="531"/>
      <c r="C238" s="531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  <c r="N238" s="547" t="n">
        <f aca="false">IF('(1)예금승인내역'!H864="","",'(1)예금승인내역'!H864)</f>
        <v>45904</v>
      </c>
      <c r="O238" s="547" t="n">
        <f aca="false">IF('(1)예금승인내역'!G864="","",'(1)예금승인내역'!G864)</f>
        <v>45812</v>
      </c>
      <c r="P238" s="531" t="str">
        <f aca="false">IF('(1)예금승인내역'!F864="","",'(1)예금승인내역'!F864)</f>
        <v>거림테크주식회사</v>
      </c>
      <c r="Q238" s="531" t="str">
        <f aca="false">IF('(1)예금승인내역'!C864="","",'(1)예금승인내역'!C864)</f>
        <v>죽전지점</v>
      </c>
      <c r="R238" s="531" t="str">
        <f aca="false">IF('(1)예금승인내역'!K864="","",'(1)예금승인내역'!K864)</f>
        <v>정기예금</v>
      </c>
      <c r="S238" s="548" t="n">
        <f aca="false">IF('(1)예금승인내역'!L864="","",'(1)예금승인내역'!L864)</f>
        <v>2</v>
      </c>
      <c r="T238" s="549" t="n">
        <f aca="false">IF('(1)예금승인내역'!AG864="","",'(1)예금승인내역'!AG864)</f>
        <v>0.043</v>
      </c>
      <c r="U238" s="549" t="n">
        <f aca="false">IF('(1)예금승인내역'!X864="","",'(1)예금승인내역'!X864)</f>
        <v>0.002062</v>
      </c>
      <c r="V238" s="531" t="n">
        <f aca="false">IF(ISNUMBER(N238),N238-$B$2,"")</f>
        <v>-285</v>
      </c>
      <c r="W238" s="531" t="str">
        <f aca="false">IF(AND(ISNUMBER(N238),N238&gt;=$B$2,N238&lt;=$B$2+10),N238*100000+ROW(),"")</f>
        <v/>
      </c>
      <c r="X238" s="531"/>
      <c r="Y238" s="531"/>
      <c r="Z238" s="531"/>
      <c r="AA238" s="531"/>
      <c r="AB238" s="531"/>
      <c r="AC238" s="531"/>
      <c r="AD238" s="531"/>
      <c r="AE238" s="531"/>
      <c r="AF238" s="531"/>
      <c r="AG238" s="531"/>
      <c r="AH238" s="531"/>
      <c r="AI238" s="531"/>
      <c r="AJ238" s="531"/>
      <c r="AK238" s="531"/>
      <c r="AL238" s="531"/>
      <c r="AM238" s="531"/>
      <c r="AN238" s="531"/>
    </row>
    <row r="239" customFormat="false" ht="16.5" hidden="false" customHeight="true" outlineLevel="0" collapsed="false">
      <c r="A239" s="531"/>
      <c r="B239" s="531"/>
      <c r="C239" s="531"/>
      <c r="D239" s="531"/>
      <c r="E239" s="531"/>
      <c r="F239" s="531"/>
      <c r="G239" s="531"/>
      <c r="H239" s="531"/>
      <c r="I239" s="531"/>
      <c r="J239" s="531"/>
      <c r="K239" s="531"/>
      <c r="L239" s="531"/>
      <c r="M239" s="531"/>
      <c r="N239" s="547" t="n">
        <f aca="false">IF('(1)예금승인내역'!H865="","",'(1)예금승인내역'!H865)</f>
        <v>45847</v>
      </c>
      <c r="O239" s="547" t="n">
        <f aca="false">IF('(1)예금승인내역'!G865="","",'(1)예금승인내역'!G865)</f>
        <v>45817</v>
      </c>
      <c r="P239" s="531" t="str">
        <f aca="false">IF('(1)예금승인내역'!F865="","",'(1)예금승인내역'!F865)</f>
        <v>주식회사 한국비앤씨</v>
      </c>
      <c r="Q239" s="531" t="str">
        <f aca="false">IF('(1)예금승인내역'!C865="","",'(1)예금승인내역'!C865)</f>
        <v>유통단지영업부</v>
      </c>
      <c r="R239" s="531" t="str">
        <f aca="false">IF('(1)예금승인내역'!K865="","",'(1)예금승인내역'!K865)</f>
        <v>MMDA</v>
      </c>
      <c r="S239" s="548" t="n">
        <f aca="false">IF('(1)예금승인내역'!L865="","",'(1)예금승인내역'!L865)</f>
        <v>4.5</v>
      </c>
      <c r="T239" s="549" t="n">
        <f aca="false">IF('(1)예금승인내역'!AG865="","",'(1)예금승인내역'!AG865)</f>
        <v>0.038</v>
      </c>
      <c r="U239" s="549" t="n">
        <f aca="false">IF('(1)예금승인내역'!X865="","",'(1)예금승인내역'!X865)</f>
        <v>0.0053</v>
      </c>
      <c r="V239" s="531" t="n">
        <f aca="false">IF(ISNUMBER(N239),N239-$B$2,"")</f>
        <v>-342</v>
      </c>
      <c r="W239" s="531" t="str">
        <f aca="false">IF(AND(ISNUMBER(N239),N239&gt;=$B$2,N239&lt;=$B$2+10),N239*100000+ROW(),"")</f>
        <v/>
      </c>
      <c r="X239" s="531"/>
      <c r="Y239" s="531"/>
      <c r="Z239" s="531"/>
      <c r="AA239" s="531"/>
      <c r="AB239" s="531"/>
      <c r="AC239" s="531"/>
      <c r="AD239" s="531"/>
      <c r="AE239" s="531"/>
      <c r="AF239" s="531"/>
      <c r="AG239" s="531"/>
      <c r="AH239" s="531"/>
      <c r="AI239" s="531"/>
      <c r="AJ239" s="531"/>
      <c r="AK239" s="531"/>
      <c r="AL239" s="531"/>
      <c r="AM239" s="531"/>
      <c r="AN239" s="531"/>
    </row>
    <row r="240" customFormat="false" ht="16.5" hidden="false" customHeight="true" outlineLevel="0" collapsed="false">
      <c r="A240" s="531"/>
      <c r="B240" s="531"/>
      <c r="C240" s="531"/>
      <c r="D240" s="531"/>
      <c r="E240" s="531"/>
      <c r="F240" s="531"/>
      <c r="G240" s="531"/>
      <c r="H240" s="531"/>
      <c r="I240" s="531"/>
      <c r="J240" s="531"/>
      <c r="K240" s="531"/>
      <c r="L240" s="531"/>
      <c r="M240" s="531"/>
      <c r="N240" s="547" t="n">
        <f aca="false">IF('(1)예금승인내역'!H866="","",'(1)예금승인내역'!H866)</f>
        <v>45848</v>
      </c>
      <c r="O240" s="547" t="n">
        <f aca="false">IF('(1)예금승인내역'!G866="","",'(1)예금승인내역'!G866)</f>
        <v>45817</v>
      </c>
      <c r="P240" s="531" t="str">
        <f aca="false">IF('(1)예금승인내역'!F866="","",'(1)예금승인내역'!F866)</f>
        <v>에스엠상선㈜</v>
      </c>
      <c r="Q240" s="531" t="str">
        <f aca="false">IF('(1)예금승인내역'!C866="","",'(1)예금승인내역'!C866)</f>
        <v>강남영업부</v>
      </c>
      <c r="R240" s="531" t="str">
        <f aca="false">IF('(1)예금승인내역'!K866="","",'(1)예금승인내역'!K866)</f>
        <v>정기예금</v>
      </c>
      <c r="S240" s="548" t="n">
        <f aca="false">IF('(1)예금승인내역'!L866="","",'(1)예금승인내역'!L866)</f>
        <v>10</v>
      </c>
      <c r="T240" s="549" t="n">
        <f aca="false">IF('(1)예금승인내역'!AG866="","",'(1)예금승인내역'!AG866)</f>
        <v>0.0414</v>
      </c>
      <c r="U240" s="549" t="n">
        <f aca="false">IF('(1)예금승인내역'!X866="","",'(1)예금승인내역'!X866)</f>
        <v>0.002059</v>
      </c>
      <c r="V240" s="531" t="n">
        <f aca="false">IF(ISNUMBER(N240),N240-$B$2,"")</f>
        <v>-341</v>
      </c>
      <c r="W240" s="531" t="str">
        <f aca="false">IF(AND(ISNUMBER(N240),N240&gt;=$B$2,N240&lt;=$B$2+10),N240*100000+ROW(),"")</f>
        <v/>
      </c>
      <c r="X240" s="531"/>
      <c r="Y240" s="531"/>
      <c r="Z240" s="531"/>
      <c r="AA240" s="531"/>
      <c r="AB240" s="531"/>
      <c r="AC240" s="531"/>
      <c r="AD240" s="531"/>
      <c r="AE240" s="531"/>
      <c r="AF240" s="531"/>
      <c r="AG240" s="531"/>
      <c r="AH240" s="531"/>
      <c r="AI240" s="531"/>
      <c r="AJ240" s="531"/>
      <c r="AK240" s="531"/>
      <c r="AL240" s="531"/>
      <c r="AM240" s="531"/>
      <c r="AN240" s="531"/>
    </row>
    <row r="241" customFormat="false" ht="16.5" hidden="false" customHeight="true" outlineLevel="0" collapsed="false">
      <c r="A241" s="531"/>
      <c r="B241" s="531"/>
      <c r="C241" s="531"/>
      <c r="D241" s="531"/>
      <c r="E241" s="531"/>
      <c r="F241" s="531"/>
      <c r="G241" s="531"/>
      <c r="H241" s="531"/>
      <c r="I241" s="531"/>
      <c r="J241" s="531"/>
      <c r="K241" s="531"/>
      <c r="L241" s="531"/>
      <c r="M241" s="531"/>
      <c r="N241" s="547" t="n">
        <f aca="false">IF('(1)예금승인내역'!H867="","",'(1)예금승인내역'!H867)</f>
        <v>45847</v>
      </c>
      <c r="O241" s="547" t="n">
        <f aca="false">IF('(1)예금승인내역'!G867="","",'(1)예금승인내역'!G867)</f>
        <v>45817</v>
      </c>
      <c r="P241" s="531" t="str">
        <f aca="false">IF('(1)예금승인내역'!F867="","",'(1)예금승인내역'!F867)</f>
        <v>㈜이수스페셜티케미컬</v>
      </c>
      <c r="Q241" s="531" t="str">
        <f aca="false">IF('(1)예금승인내역'!C867="","",'(1)예금승인내역'!C867)</f>
        <v>성남영업부</v>
      </c>
      <c r="R241" s="531" t="str">
        <f aca="false">IF('(1)예금승인내역'!K867="","",'(1)예금승인내역'!K867)</f>
        <v>MMDA</v>
      </c>
      <c r="S241" s="548" t="n">
        <f aca="false">IF('(1)예금승인내역'!L867="","",'(1)예금승인내역'!L867)</f>
        <v>1</v>
      </c>
      <c r="T241" s="549" t="n">
        <f aca="false">IF('(1)예금승인내역'!AG867="","",'(1)예금승인내역'!AG867)</f>
        <v>0.038</v>
      </c>
      <c r="U241" s="549" t="n">
        <f aca="false">IF('(1)예금승인내역'!X867="","",'(1)예금승인내역'!X867)</f>
        <v>0.0053</v>
      </c>
      <c r="V241" s="531" t="n">
        <f aca="false">IF(ISNUMBER(N241),N241-$B$2,"")</f>
        <v>-342</v>
      </c>
      <c r="W241" s="531" t="str">
        <f aca="false">IF(AND(ISNUMBER(N241),N241&gt;=$B$2,N241&lt;=$B$2+10),N241*100000+ROW(),"")</f>
        <v/>
      </c>
      <c r="X241" s="531"/>
      <c r="Y241" s="531"/>
      <c r="Z241" s="531"/>
      <c r="AA241" s="531"/>
      <c r="AB241" s="531"/>
      <c r="AC241" s="531"/>
      <c r="AD241" s="531"/>
      <c r="AE241" s="531"/>
      <c r="AF241" s="531"/>
      <c r="AG241" s="531"/>
      <c r="AH241" s="531"/>
      <c r="AI241" s="531"/>
      <c r="AJ241" s="531"/>
      <c r="AK241" s="531"/>
      <c r="AL241" s="531"/>
      <c r="AM241" s="531"/>
      <c r="AN241" s="531"/>
    </row>
    <row r="242" customFormat="false" ht="16.5" hidden="false" customHeight="true" outlineLevel="0" collapsed="false">
      <c r="A242" s="531"/>
      <c r="B242" s="531"/>
      <c r="C242" s="531"/>
      <c r="D242" s="531"/>
      <c r="E242" s="531"/>
      <c r="F242" s="531"/>
      <c r="G242" s="531"/>
      <c r="H242" s="531"/>
      <c r="I242" s="531"/>
      <c r="J242" s="531"/>
      <c r="K242" s="531"/>
      <c r="L242" s="531"/>
      <c r="M242" s="531"/>
      <c r="N242" s="547" t="n">
        <f aca="false">IF('(1)예금승인내역'!H868="","",'(1)예금승인내역'!H868)</f>
        <v>45832</v>
      </c>
      <c r="O242" s="547" t="n">
        <f aca="false">IF('(1)예금승인내역'!G868="","",'(1)예금승인내역'!G868)</f>
        <v>45818</v>
      </c>
      <c r="P242" s="531" t="str">
        <f aca="false">IF('(1)예금승인내역'!F868="","",'(1)예금승인내역'!F868)</f>
        <v>㈜일지테크</v>
      </c>
      <c r="Q242" s="531" t="str">
        <f aca="false">IF('(1)예금승인내역'!C868="","",'(1)예금승인내역'!C868)</f>
        <v>경산공단영업부</v>
      </c>
      <c r="R242" s="531" t="str">
        <f aca="false">IF('(1)예금승인내역'!K868="","",'(1)예금승인내역'!K868)</f>
        <v>정기예금</v>
      </c>
      <c r="S242" s="548" t="n">
        <f aca="false">IF('(1)예금승인내역'!L868="","",'(1)예금승인내역'!L868)</f>
        <v>9</v>
      </c>
      <c r="T242" s="549" t="n">
        <f aca="false">IF('(1)예금승인내역'!AG868="","",'(1)예금승인내역'!AG868)</f>
        <v>0.038</v>
      </c>
      <c r="U242" s="549" t="n">
        <f aca="false">IF('(1)예금승인내역'!X868="","",'(1)예금승인내역'!X868)</f>
        <v>0.002012</v>
      </c>
      <c r="V242" s="531" t="n">
        <f aca="false">IF(ISNUMBER(N242),N242-$B$2,"")</f>
        <v>-357</v>
      </c>
      <c r="W242" s="531" t="str">
        <f aca="false">IF(AND(ISNUMBER(N242),N242&gt;=$B$2,N242&lt;=$B$2+10),N242*100000+ROW(),"")</f>
        <v/>
      </c>
      <c r="X242" s="531"/>
      <c r="Y242" s="531"/>
      <c r="Z242" s="531"/>
      <c r="AA242" s="531"/>
      <c r="AB242" s="531"/>
      <c r="AC242" s="531"/>
      <c r="AD242" s="531"/>
      <c r="AE242" s="531"/>
      <c r="AF242" s="531"/>
      <c r="AG242" s="531"/>
      <c r="AH242" s="531"/>
      <c r="AI242" s="531"/>
      <c r="AJ242" s="531"/>
      <c r="AK242" s="531"/>
      <c r="AL242" s="531"/>
      <c r="AM242" s="531"/>
      <c r="AN242" s="531"/>
    </row>
    <row r="243" customFormat="false" ht="16.5" hidden="false" customHeight="true" outlineLevel="0" collapsed="false">
      <c r="A243" s="531"/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1"/>
      <c r="N243" s="547" t="n">
        <f aca="false">IF('(1)예금승인내역'!H869="","",'(1)예금승인내역'!H869)</f>
        <v>45910</v>
      </c>
      <c r="O243" s="547" t="n">
        <f aca="false">IF('(1)예금승인내역'!G869="","",'(1)예금승인내역'!G869)</f>
        <v>45818</v>
      </c>
      <c r="P243" s="531" t="str">
        <f aca="false">IF('(1)예금승인내역'!F869="","",'(1)예금승인내역'!F869)</f>
        <v>㈜비알팜</v>
      </c>
      <c r="Q243" s="531" t="str">
        <f aca="false">IF('(1)예금승인내역'!C869="","",'(1)예금승인내역'!C869)</f>
        <v>원주금융센터</v>
      </c>
      <c r="R243" s="531" t="str">
        <f aca="false">IF('(1)예금승인내역'!K869="","",'(1)예금승인내역'!K869)</f>
        <v>정기예금</v>
      </c>
      <c r="S243" s="548" t="n">
        <f aca="false">IF('(1)예금승인내역'!L869="","",'(1)예금승인내역'!L869)</f>
        <v>1.5</v>
      </c>
      <c r="T243" s="549" t="n">
        <f aca="false">IF('(1)예금승인내역'!AG869="","",'(1)예금승인내역'!AG869)</f>
        <v>0.043</v>
      </c>
      <c r="U243" s="549" t="n">
        <f aca="false">IF('(1)예금승인내역'!X869="","",'(1)예금승인내역'!X869)</f>
        <v>0.001901</v>
      </c>
      <c r="V243" s="531" t="n">
        <f aca="false">IF(ISNUMBER(N243),N243-$B$2,"")</f>
        <v>-279</v>
      </c>
      <c r="W243" s="531" t="str">
        <f aca="false">IF(AND(ISNUMBER(N243),N243&gt;=$B$2,N243&lt;=$B$2+10),N243*100000+ROW(),"")</f>
        <v/>
      </c>
      <c r="X243" s="531"/>
      <c r="Y243" s="531"/>
      <c r="Z243" s="531"/>
      <c r="AA243" s="531"/>
      <c r="AB243" s="531"/>
      <c r="AC243" s="531"/>
      <c r="AD243" s="531"/>
      <c r="AE243" s="531"/>
      <c r="AF243" s="531"/>
      <c r="AG243" s="531"/>
      <c r="AH243" s="531"/>
      <c r="AI243" s="531"/>
      <c r="AJ243" s="531"/>
      <c r="AK243" s="531"/>
      <c r="AL243" s="531"/>
      <c r="AM243" s="531"/>
      <c r="AN243" s="531"/>
    </row>
    <row r="244" customFormat="false" ht="16.5" hidden="false" customHeight="true" outlineLevel="0" collapsed="false">
      <c r="A244" s="531"/>
      <c r="B244" s="531"/>
      <c r="C244" s="531"/>
      <c r="D244" s="531"/>
      <c r="E244" s="531"/>
      <c r="F244" s="531"/>
      <c r="G244" s="531"/>
      <c r="H244" s="531"/>
      <c r="I244" s="531"/>
      <c r="J244" s="531"/>
      <c r="K244" s="531"/>
      <c r="L244" s="531"/>
      <c r="M244" s="531"/>
      <c r="N244" s="547" t="n">
        <f aca="false">IF('(1)예금승인내역'!H870="","",'(1)예금승인내역'!H870)</f>
        <v>45849</v>
      </c>
      <c r="O244" s="547" t="n">
        <f aca="false">IF('(1)예금승인내역'!G870="","",'(1)예금승인내역'!G870)</f>
        <v>45819</v>
      </c>
      <c r="P244" s="531" t="str">
        <f aca="false">IF('(1)예금승인내역'!F870="","",'(1)예금승인내역'!F870)</f>
        <v>한국비철㈜</v>
      </c>
      <c r="Q244" s="531" t="str">
        <f aca="false">IF('(1)예금승인내역'!C870="","",'(1)예금승인내역'!C870)</f>
        <v>달성공단영업부</v>
      </c>
      <c r="R244" s="531" t="str">
        <f aca="false">IF('(1)예금승인내역'!K870="","",'(1)예금승인내역'!K870)</f>
        <v>MMDA</v>
      </c>
      <c r="S244" s="548" t="n">
        <f aca="false">IF('(1)예금승인내역'!L870="","",'(1)예금승인내역'!L870)</f>
        <v>1.42</v>
      </c>
      <c r="T244" s="549" t="n">
        <f aca="false">IF('(1)예금승인내역'!AG870="","",'(1)예금승인내역'!AG870)</f>
        <v>0.038</v>
      </c>
      <c r="U244" s="549" t="n">
        <f aca="false">IF('(1)예금승인내역'!X870="","",'(1)예금승인내역'!X870)</f>
        <v>0.00557</v>
      </c>
      <c r="V244" s="531" t="n">
        <f aca="false">IF(ISNUMBER(N244),N244-$B$2,"")</f>
        <v>-340</v>
      </c>
      <c r="W244" s="531" t="str">
        <f aca="false">IF(AND(ISNUMBER(N244),N244&gt;=$B$2,N244&lt;=$B$2+10),N244*100000+ROW(),"")</f>
        <v/>
      </c>
      <c r="X244" s="531"/>
      <c r="Y244" s="531"/>
      <c r="Z244" s="531"/>
      <c r="AA244" s="531"/>
      <c r="AB244" s="531"/>
      <c r="AC244" s="531"/>
      <c r="AD244" s="531"/>
      <c r="AE244" s="531"/>
      <c r="AF244" s="531"/>
      <c r="AG244" s="531"/>
      <c r="AH244" s="531"/>
      <c r="AI244" s="531"/>
      <c r="AJ244" s="531"/>
      <c r="AK244" s="531"/>
      <c r="AL244" s="531"/>
      <c r="AM244" s="531"/>
      <c r="AN244" s="531"/>
    </row>
    <row r="245" customFormat="false" ht="16.5" hidden="false" customHeight="true" outlineLevel="0" collapsed="false">
      <c r="A245" s="531"/>
      <c r="B245" s="531"/>
      <c r="C245" s="531"/>
      <c r="D245" s="531"/>
      <c r="E245" s="531"/>
      <c r="F245" s="531"/>
      <c r="G245" s="531"/>
      <c r="H245" s="531"/>
      <c r="I245" s="531"/>
      <c r="J245" s="531"/>
      <c r="K245" s="531"/>
      <c r="L245" s="531"/>
      <c r="M245" s="531"/>
      <c r="N245" s="547" t="n">
        <f aca="false">IF('(1)예금승인내역'!H871="","",'(1)예금승인내역'!H871)</f>
        <v>45849</v>
      </c>
      <c r="O245" s="547" t="n">
        <f aca="false">IF('(1)예금승인내역'!G871="","",'(1)예금승인내역'!G871)</f>
        <v>45819</v>
      </c>
      <c r="P245" s="531" t="str">
        <f aca="false">IF('(1)예금승인내역'!F871="","",'(1)예금승인내역'!F871)</f>
        <v>한국비철㈜</v>
      </c>
      <c r="Q245" s="531" t="str">
        <f aca="false">IF('(1)예금승인내역'!C871="","",'(1)예금승인내역'!C871)</f>
        <v>달성공단영업부</v>
      </c>
      <c r="R245" s="531" t="str">
        <f aca="false">IF('(1)예금승인내역'!K871="","",'(1)예금승인내역'!K871)</f>
        <v>정기예금</v>
      </c>
      <c r="S245" s="548" t="n">
        <f aca="false">IF('(1)예금승인내역'!L871="","",'(1)예금승인내역'!L871)</f>
        <v>11</v>
      </c>
      <c r="T245" s="549" t="n">
        <f aca="false">IF('(1)예금승인내역'!AG871="","",'(1)예금승인내역'!AG871)</f>
        <v>0.0402</v>
      </c>
      <c r="U245" s="549" t="n">
        <f aca="false">IF('(1)예금승인내역'!X871="","",'(1)예금승인내역'!X871)</f>
        <v>0.003269</v>
      </c>
      <c r="V245" s="531" t="n">
        <f aca="false">IF(ISNUMBER(N245),N245-$B$2,"")</f>
        <v>-340</v>
      </c>
      <c r="W245" s="531" t="str">
        <f aca="false">IF(AND(ISNUMBER(N245),N245&gt;=$B$2,N245&lt;=$B$2+10),N245*100000+ROW(),"")</f>
        <v/>
      </c>
      <c r="X245" s="531"/>
      <c r="Y245" s="531"/>
      <c r="Z245" s="531"/>
      <c r="AA245" s="531"/>
      <c r="AB245" s="531"/>
      <c r="AC245" s="531"/>
      <c r="AD245" s="531"/>
      <c r="AE245" s="531"/>
      <c r="AF245" s="531"/>
      <c r="AG245" s="531"/>
      <c r="AH245" s="531"/>
      <c r="AI245" s="531"/>
      <c r="AJ245" s="531"/>
      <c r="AK245" s="531"/>
      <c r="AL245" s="531"/>
      <c r="AM245" s="531"/>
      <c r="AN245" s="531"/>
    </row>
    <row r="246" customFormat="false" ht="16.5" hidden="false" customHeight="true" outlineLevel="0" collapsed="false">
      <c r="A246" s="531"/>
      <c r="B246" s="531"/>
      <c r="C246" s="531"/>
      <c r="D246" s="531"/>
      <c r="E246" s="531"/>
      <c r="F246" s="531"/>
      <c r="G246" s="531"/>
      <c r="H246" s="531"/>
      <c r="I246" s="531"/>
      <c r="J246" s="531"/>
      <c r="K246" s="531"/>
      <c r="L246" s="531"/>
      <c r="M246" s="531"/>
      <c r="N246" s="547" t="n">
        <f aca="false">IF('(1)예금승인내역'!H872="","",'(1)예금승인내역'!H872)</f>
        <v>45849</v>
      </c>
      <c r="O246" s="547" t="n">
        <f aca="false">IF('(1)예금승인내역'!G872="","",'(1)예금승인내역'!G872)</f>
        <v>45819</v>
      </c>
      <c r="P246" s="531" t="str">
        <f aca="false">IF('(1)예금승인내역'!F872="","",'(1)예금승인내역'!F872)</f>
        <v>한국비철㈜</v>
      </c>
      <c r="Q246" s="531" t="str">
        <f aca="false">IF('(1)예금승인내역'!C872="","",'(1)예금승인내역'!C872)</f>
        <v>달성공단영업부</v>
      </c>
      <c r="R246" s="531" t="str">
        <f aca="false">IF('(1)예금승인내역'!K872="","",'(1)예금승인내역'!K872)</f>
        <v>정기예금</v>
      </c>
      <c r="S246" s="548" t="n">
        <f aca="false">IF('(1)예금승인내역'!L872="","",'(1)예금승인내역'!L872)</f>
        <v>1.5</v>
      </c>
      <c r="T246" s="549" t="n">
        <f aca="false">IF('(1)예금승인내역'!AG872="","",'(1)예금승인내역'!AG872)</f>
        <v>0.0402</v>
      </c>
      <c r="U246" s="549" t="n">
        <f aca="false">IF('(1)예금승인내역'!X872="","",'(1)예금승인내역'!X872)</f>
        <v>0.003269</v>
      </c>
      <c r="V246" s="531" t="n">
        <f aca="false">IF(ISNUMBER(N246),N246-$B$2,"")</f>
        <v>-340</v>
      </c>
      <c r="W246" s="531" t="str">
        <f aca="false">IF(AND(ISNUMBER(N246),N246&gt;=$B$2,N246&lt;=$B$2+10),N246*100000+ROW(),"")</f>
        <v/>
      </c>
      <c r="X246" s="531"/>
      <c r="Y246" s="531"/>
      <c r="Z246" s="531"/>
      <c r="AA246" s="531"/>
      <c r="AB246" s="531"/>
      <c r="AC246" s="531"/>
      <c r="AD246" s="531"/>
      <c r="AE246" s="531"/>
      <c r="AF246" s="531"/>
      <c r="AG246" s="531"/>
      <c r="AH246" s="531"/>
      <c r="AI246" s="531"/>
      <c r="AJ246" s="531"/>
      <c r="AK246" s="531"/>
      <c r="AL246" s="531"/>
      <c r="AM246" s="531"/>
      <c r="AN246" s="531"/>
    </row>
    <row r="247" customFormat="false" ht="16.5" hidden="false" customHeight="true" outlineLevel="0" collapsed="false">
      <c r="A247" s="531"/>
      <c r="B247" s="531"/>
      <c r="C247" s="531"/>
      <c r="D247" s="531"/>
      <c r="E247" s="531"/>
      <c r="F247" s="531"/>
      <c r="G247" s="531"/>
      <c r="H247" s="531"/>
      <c r="I247" s="531"/>
      <c r="J247" s="531"/>
      <c r="K247" s="531"/>
      <c r="L247" s="531"/>
      <c r="M247" s="531"/>
      <c r="N247" s="547" t="n">
        <f aca="false">IF('(1)예금승인내역'!H873="","",'(1)예금승인내역'!H873)</f>
        <v>45832</v>
      </c>
      <c r="O247" s="547" t="n">
        <f aca="false">IF('(1)예금승인내역'!G873="","",'(1)예금승인내역'!G873)</f>
        <v>45819</v>
      </c>
      <c r="P247" s="531" t="str">
        <f aca="false">IF('(1)예금승인내역'!F873="","",'(1)예금승인내역'!F873)</f>
        <v>㈜일지테크</v>
      </c>
      <c r="Q247" s="531" t="str">
        <f aca="false">IF('(1)예금승인내역'!C873="","",'(1)예금승인내역'!C873)</f>
        <v>경산공단영업부</v>
      </c>
      <c r="R247" s="531" t="str">
        <f aca="false">IF('(1)예금승인내역'!K873="","",'(1)예금승인내역'!K873)</f>
        <v>정기예금</v>
      </c>
      <c r="S247" s="548" t="n">
        <f aca="false">IF('(1)예금승인내역'!L873="","",'(1)예금승인내역'!L873)</f>
        <v>4.2</v>
      </c>
      <c r="T247" s="549" t="n">
        <f aca="false">IF('(1)예금승인내역'!AG873="","",'(1)예금승인내역'!AG873)</f>
        <v>0.038</v>
      </c>
      <c r="U247" s="549" t="n">
        <f aca="false">IF('(1)예금승인내역'!X873="","",'(1)예금승인내역'!X873)</f>
        <v>0.001952</v>
      </c>
      <c r="V247" s="531" t="n">
        <f aca="false">IF(ISNUMBER(N247),N247-$B$2,"")</f>
        <v>-357</v>
      </c>
      <c r="W247" s="531" t="str">
        <f aca="false">IF(AND(ISNUMBER(N247),N247&gt;=$B$2,N247&lt;=$B$2+10),N247*100000+ROW(),"")</f>
        <v/>
      </c>
      <c r="X247" s="531"/>
      <c r="Y247" s="531"/>
      <c r="Z247" s="531"/>
      <c r="AA247" s="531"/>
      <c r="AB247" s="531"/>
      <c r="AC247" s="531"/>
      <c r="AD247" s="531"/>
      <c r="AE247" s="531"/>
      <c r="AF247" s="531"/>
      <c r="AG247" s="531"/>
      <c r="AH247" s="531"/>
      <c r="AI247" s="531"/>
      <c r="AJ247" s="531"/>
      <c r="AK247" s="531"/>
      <c r="AL247" s="531"/>
      <c r="AM247" s="531"/>
      <c r="AN247" s="531"/>
    </row>
    <row r="248" customFormat="false" ht="16.5" hidden="false" customHeight="true" outlineLevel="0" collapsed="false">
      <c r="A248" s="531"/>
      <c r="B248" s="531"/>
      <c r="C248" s="531"/>
      <c r="D248" s="531"/>
      <c r="E248" s="531"/>
      <c r="F248" s="531"/>
      <c r="G248" s="531"/>
      <c r="H248" s="531"/>
      <c r="I248" s="531"/>
      <c r="J248" s="531"/>
      <c r="K248" s="531"/>
      <c r="L248" s="531"/>
      <c r="M248" s="531"/>
      <c r="N248" s="547" t="n">
        <f aca="false">IF('(1)예금승인내역'!H874="","",'(1)예금승인내역'!H874)</f>
        <v>45852</v>
      </c>
      <c r="O248" s="547" t="n">
        <f aca="false">IF('(1)예금승인내역'!G874="","",'(1)예금승인내역'!G874)</f>
        <v>45820</v>
      </c>
      <c r="P248" s="531" t="str">
        <f aca="false">IF('(1)예금승인내역'!F874="","",'(1)예금승인내역'!F874)</f>
        <v>대원지에스아이</v>
      </c>
      <c r="Q248" s="531" t="str">
        <f aca="false">IF('(1)예금승인내역'!C874="","",'(1)예금승인내역'!C874)</f>
        <v>유통단지영업부</v>
      </c>
      <c r="R248" s="531" t="str">
        <f aca="false">IF('(1)예금승인내역'!K874="","",'(1)예금승인내역'!K874)</f>
        <v>정기예금</v>
      </c>
      <c r="S248" s="548" t="n">
        <f aca="false">IF('(1)예금승인내역'!L874="","",'(1)예금승인내역'!L874)</f>
        <v>1.5</v>
      </c>
      <c r="T248" s="549" t="n">
        <f aca="false">IF('(1)예금승인내역'!AG874="","",'(1)예금승인내역'!AG874)</f>
        <v>0.041</v>
      </c>
      <c r="U248" s="549" t="n">
        <f aca="false">IF('(1)예금승인내역'!X874="","",'(1)예금승인내역'!X874)</f>
        <v>0.00247</v>
      </c>
      <c r="V248" s="531" t="n">
        <f aca="false">IF(ISNUMBER(N248),N248-$B$2,"")</f>
        <v>-337</v>
      </c>
      <c r="W248" s="531" t="str">
        <f aca="false">IF(AND(ISNUMBER(N248),N248&gt;=$B$2,N248&lt;=$B$2+10),N248*100000+ROW(),"")</f>
        <v/>
      </c>
      <c r="X248" s="531"/>
      <c r="Y248" s="531"/>
      <c r="Z248" s="531"/>
      <c r="AA248" s="531"/>
      <c r="AB248" s="531"/>
      <c r="AC248" s="531"/>
      <c r="AD248" s="531"/>
      <c r="AE248" s="531"/>
      <c r="AF248" s="531"/>
      <c r="AG248" s="531"/>
      <c r="AH248" s="531"/>
      <c r="AI248" s="531"/>
      <c r="AJ248" s="531"/>
      <c r="AK248" s="531"/>
      <c r="AL248" s="531"/>
      <c r="AM248" s="531"/>
      <c r="AN248" s="531"/>
    </row>
    <row r="249" customFormat="false" ht="16.5" hidden="false" customHeight="true" outlineLevel="0" collapsed="false">
      <c r="A249" s="531"/>
      <c r="B249" s="531"/>
      <c r="C249" s="531"/>
      <c r="D249" s="531"/>
      <c r="E249" s="531"/>
      <c r="F249" s="531"/>
      <c r="G249" s="531"/>
      <c r="H249" s="531"/>
      <c r="I249" s="531"/>
      <c r="J249" s="531"/>
      <c r="K249" s="531"/>
      <c r="L249" s="531"/>
      <c r="M249" s="531"/>
      <c r="N249" s="547" t="n">
        <f aca="false">IF('(1)예금승인내역'!H875="","",'(1)예금승인내역'!H875)</f>
        <v>45852</v>
      </c>
      <c r="O249" s="547" t="n">
        <f aca="false">IF('(1)예금승인내역'!G875="","",'(1)예금승인내역'!G875)</f>
        <v>45821</v>
      </c>
      <c r="P249" s="531" t="str">
        <f aca="false">IF('(1)예금승인내역'!F875="","",'(1)예금승인내역'!F875)</f>
        <v>와이투솔루션</v>
      </c>
      <c r="Q249" s="531" t="str">
        <f aca="false">IF('(1)예금승인내역'!C875="","",'(1)예금승인내역'!C875)</f>
        <v>화성금융센터</v>
      </c>
      <c r="R249" s="531" t="str">
        <f aca="false">IF('(1)예금승인내역'!K875="","",'(1)예금승인내역'!K875)</f>
        <v>MMDA</v>
      </c>
      <c r="S249" s="548" t="n">
        <f aca="false">IF('(1)예금승인내역'!L875="","",'(1)예금승인내역'!L875)</f>
        <v>1</v>
      </c>
      <c r="T249" s="549" t="n">
        <f aca="false">IF('(1)예금승인내역'!AG875="","",'(1)예금승인내역'!AG875)</f>
        <v>0.038</v>
      </c>
      <c r="U249" s="549" t="n">
        <f aca="false">IF('(1)예금승인내역'!X875="","",'(1)예금승인내역'!X875)</f>
        <v>0.003921</v>
      </c>
      <c r="V249" s="531" t="n">
        <f aca="false">IF(ISNUMBER(N249),N249-$B$2,"")</f>
        <v>-337</v>
      </c>
      <c r="W249" s="531" t="str">
        <f aca="false">IF(AND(ISNUMBER(N249),N249&gt;=$B$2,N249&lt;=$B$2+10),N249*100000+ROW(),"")</f>
        <v/>
      </c>
      <c r="X249" s="531"/>
      <c r="Y249" s="531"/>
      <c r="Z249" s="531"/>
      <c r="AA249" s="531"/>
      <c r="AB249" s="531"/>
      <c r="AC249" s="531"/>
      <c r="AD249" s="531"/>
      <c r="AE249" s="531"/>
      <c r="AF249" s="531"/>
      <c r="AG249" s="531"/>
      <c r="AH249" s="531"/>
      <c r="AI249" s="531"/>
      <c r="AJ249" s="531"/>
      <c r="AK249" s="531"/>
      <c r="AL249" s="531"/>
      <c r="AM249" s="531"/>
      <c r="AN249" s="531"/>
    </row>
    <row r="250" customFormat="false" ht="16.5" hidden="false" customHeight="true" outlineLevel="0" collapsed="false">
      <c r="A250" s="531"/>
      <c r="B250" s="531"/>
      <c r="C250" s="531"/>
      <c r="D250" s="531"/>
      <c r="E250" s="531"/>
      <c r="F250" s="531"/>
      <c r="G250" s="531"/>
      <c r="H250" s="531"/>
      <c r="I250" s="531"/>
      <c r="J250" s="531"/>
      <c r="K250" s="531"/>
      <c r="L250" s="531"/>
      <c r="M250" s="531"/>
      <c r="N250" s="547" t="n">
        <f aca="false">IF('(1)예금승인내역'!H876="","",'(1)예금승인내역'!H876)</f>
        <v>45915</v>
      </c>
      <c r="O250" s="547" t="n">
        <f aca="false">IF('(1)예금승인내역'!G876="","",'(1)예금승인내역'!G876)</f>
        <v>45821</v>
      </c>
      <c r="P250" s="531" t="str">
        <f aca="false">IF('(1)예금승인내역'!F876="","",'(1)예금승인내역'!F876)</f>
        <v>㈜에스앤에스텍</v>
      </c>
      <c r="Q250" s="531" t="str">
        <f aca="false">IF('(1)예금승인내역'!C876="","",'(1)예금승인내역'!C876)</f>
        <v>성서3단지영업부</v>
      </c>
      <c r="R250" s="531" t="str">
        <f aca="false">IF('(1)예금승인내역'!K876="","",'(1)예금승인내역'!K876)</f>
        <v>정기예금</v>
      </c>
      <c r="S250" s="548" t="n">
        <f aca="false">IF('(1)예금승인내역'!L876="","",'(1)예금승인내역'!L876)</f>
        <v>1</v>
      </c>
      <c r="T250" s="549" t="n">
        <f aca="false">IF('(1)예금승인내역'!AG876="","",'(1)예금승인내역'!AG876)</f>
        <v>0.042</v>
      </c>
      <c r="U250" s="549" t="n">
        <f aca="false">IF('(1)예금승인내역'!X876="","",'(1)예금승인내역'!X876)</f>
        <v>0.002295</v>
      </c>
      <c r="V250" s="531" t="n">
        <f aca="false">IF(ISNUMBER(N250),N250-$B$2,"")</f>
        <v>-274</v>
      </c>
      <c r="W250" s="531" t="str">
        <f aca="false">IF(AND(ISNUMBER(N250),N250&gt;=$B$2,N250&lt;=$B$2+10),N250*100000+ROW(),"")</f>
        <v/>
      </c>
      <c r="X250" s="531"/>
      <c r="Y250" s="531"/>
      <c r="Z250" s="531"/>
      <c r="AA250" s="531"/>
      <c r="AB250" s="531"/>
      <c r="AC250" s="531"/>
      <c r="AD250" s="531"/>
      <c r="AE250" s="531"/>
      <c r="AF250" s="531"/>
      <c r="AG250" s="531"/>
      <c r="AH250" s="531"/>
      <c r="AI250" s="531"/>
      <c r="AJ250" s="531"/>
      <c r="AK250" s="531"/>
      <c r="AL250" s="531"/>
      <c r="AM250" s="531"/>
      <c r="AN250" s="531"/>
    </row>
    <row r="251" customFormat="false" ht="16.5" hidden="false" customHeight="true" outlineLevel="0" collapsed="false">
      <c r="A251" s="531"/>
      <c r="B251" s="531"/>
      <c r="C251" s="531"/>
      <c r="D251" s="531"/>
      <c r="E251" s="531"/>
      <c r="F251" s="531"/>
      <c r="G251" s="531"/>
      <c r="H251" s="531"/>
      <c r="I251" s="531"/>
      <c r="J251" s="531"/>
      <c r="K251" s="531"/>
      <c r="L251" s="531"/>
      <c r="M251" s="531"/>
      <c r="N251" s="547" t="n">
        <f aca="false">IF('(1)예금승인내역'!H877="","",'(1)예금승인내역'!H877)</f>
        <v>45915</v>
      </c>
      <c r="O251" s="547" t="n">
        <f aca="false">IF('(1)예금승인내역'!G877="","",'(1)예금승인내역'!G877)</f>
        <v>45821</v>
      </c>
      <c r="P251" s="531" t="str">
        <f aca="false">IF('(1)예금승인내역'!F877="","",'(1)예금승인내역'!F877)</f>
        <v>㈜에스앤에스텍</v>
      </c>
      <c r="Q251" s="531" t="str">
        <f aca="false">IF('(1)예금승인내역'!C877="","",'(1)예금승인내역'!C877)</f>
        <v>성서3단지영업부</v>
      </c>
      <c r="R251" s="531" t="str">
        <f aca="false">IF('(1)예금승인내역'!K877="","",'(1)예금승인내역'!K877)</f>
        <v>정기예금</v>
      </c>
      <c r="S251" s="548" t="n">
        <f aca="false">IF('(1)예금승인내역'!L877="","",'(1)예금승인내역'!L877)</f>
        <v>1</v>
      </c>
      <c r="T251" s="549" t="n">
        <f aca="false">IF('(1)예금승인내역'!AG877="","",'(1)예금승인내역'!AG877)</f>
        <v>0.042</v>
      </c>
      <c r="U251" s="549" t="n">
        <f aca="false">IF('(1)예금승인내역'!X877="","",'(1)예금승인내역'!X877)</f>
        <v>0.002295</v>
      </c>
      <c r="V251" s="531" t="n">
        <f aca="false">IF(ISNUMBER(N251),N251-$B$2,"")</f>
        <v>-274</v>
      </c>
      <c r="W251" s="531" t="str">
        <f aca="false">IF(AND(ISNUMBER(N251),N251&gt;=$B$2,N251&lt;=$B$2+10),N251*100000+ROW(),"")</f>
        <v/>
      </c>
      <c r="X251" s="531"/>
      <c r="Y251" s="531"/>
      <c r="Z251" s="531"/>
      <c r="AA251" s="531"/>
      <c r="AB251" s="531"/>
      <c r="AC251" s="531"/>
      <c r="AD251" s="531"/>
      <c r="AE251" s="531"/>
      <c r="AF251" s="531"/>
      <c r="AG251" s="531"/>
      <c r="AH251" s="531"/>
      <c r="AI251" s="531"/>
      <c r="AJ251" s="531"/>
      <c r="AK251" s="531"/>
      <c r="AL251" s="531"/>
      <c r="AM251" s="531"/>
      <c r="AN251" s="531"/>
    </row>
    <row r="252" customFormat="false" ht="16.5" hidden="false" customHeight="true" outlineLevel="0" collapsed="false">
      <c r="A252" s="531"/>
      <c r="B252" s="531"/>
      <c r="C252" s="531"/>
      <c r="D252" s="531"/>
      <c r="E252" s="531"/>
      <c r="F252" s="531"/>
      <c r="G252" s="531"/>
      <c r="H252" s="531"/>
      <c r="I252" s="531"/>
      <c r="J252" s="531"/>
      <c r="K252" s="531"/>
      <c r="L252" s="531"/>
      <c r="M252" s="531"/>
      <c r="N252" s="547" t="n">
        <f aca="false">IF('(1)예금승인내역'!H878="","",'(1)예금승인내역'!H878)</f>
        <v>45854</v>
      </c>
      <c r="O252" s="547" t="n">
        <f aca="false">IF('(1)예금승인내역'!G878="","",'(1)예금승인내역'!G878)</f>
        <v>45824</v>
      </c>
      <c r="P252" s="531" t="str">
        <f aca="false">IF('(1)예금승인내역'!F878="","",'(1)예금승인내역'!F878)</f>
        <v>오스템임플란트㈜</v>
      </c>
      <c r="Q252" s="531" t="str">
        <f aca="false">IF('(1)예금승인내역'!C878="","",'(1)예금승인내역'!C878)</f>
        <v>성남금융센터</v>
      </c>
      <c r="R252" s="531" t="str">
        <f aca="false">IF('(1)예금승인내역'!K878="","",'(1)예금승인내역'!K878)</f>
        <v>MMDA</v>
      </c>
      <c r="S252" s="548" t="n">
        <f aca="false">IF('(1)예금승인내역'!L878="","",'(1)예금승인내역'!L878)</f>
        <v>5.5</v>
      </c>
      <c r="T252" s="549" t="n">
        <f aca="false">IF('(1)예금승인내역'!AG878="","",'(1)예금승인내역'!AG878)</f>
        <v>0.038</v>
      </c>
      <c r="U252" s="549" t="n">
        <f aca="false">IF('(1)예금승인내역'!X878="","",'(1)예금승인내역'!X878)</f>
        <v>0.00559</v>
      </c>
      <c r="V252" s="531" t="n">
        <f aca="false">IF(ISNUMBER(N252),N252-$B$2,"")</f>
        <v>-335</v>
      </c>
      <c r="W252" s="531" t="str">
        <f aca="false">IF(AND(ISNUMBER(N252),N252&gt;=$B$2,N252&lt;=$B$2+10),N252*100000+ROW(),"")</f>
        <v/>
      </c>
      <c r="X252" s="531"/>
      <c r="Y252" s="531"/>
      <c r="Z252" s="531"/>
      <c r="AA252" s="531"/>
      <c r="AB252" s="531"/>
      <c r="AC252" s="531"/>
      <c r="AD252" s="531"/>
      <c r="AE252" s="531"/>
      <c r="AF252" s="531"/>
      <c r="AG252" s="531"/>
      <c r="AH252" s="531"/>
      <c r="AI252" s="531"/>
      <c r="AJ252" s="531"/>
      <c r="AK252" s="531"/>
      <c r="AL252" s="531"/>
      <c r="AM252" s="531"/>
      <c r="AN252" s="531"/>
    </row>
    <row r="253" customFormat="false" ht="16.5" hidden="false" customHeight="true" outlineLevel="0" collapsed="false">
      <c r="A253" s="531"/>
      <c r="B253" s="531"/>
      <c r="C253" s="531"/>
      <c r="D253" s="531"/>
      <c r="E253" s="531"/>
      <c r="F253" s="531"/>
      <c r="G253" s="531"/>
      <c r="H253" s="531"/>
      <c r="I253" s="531"/>
      <c r="J253" s="531"/>
      <c r="K253" s="531"/>
      <c r="L253" s="531"/>
      <c r="M253" s="531"/>
      <c r="N253" s="547" t="n">
        <f aca="false">IF('(1)예금승인내역'!H879="","",'(1)예금승인내역'!H879)</f>
        <v>45854</v>
      </c>
      <c r="O253" s="547" t="n">
        <f aca="false">IF('(1)예금승인내역'!G879="","",'(1)예금승인내역'!G879)</f>
        <v>45824</v>
      </c>
      <c r="P253" s="531" t="str">
        <f aca="false">IF('(1)예금승인내역'!F879="","",'(1)예금승인내역'!F879)</f>
        <v>㈜ 광성</v>
      </c>
      <c r="Q253" s="531" t="str">
        <f aca="false">IF('(1)예금승인내역'!C879="","",'(1)예금승인내역'!C879)</f>
        <v>경산공단영업부</v>
      </c>
      <c r="R253" s="531" t="str">
        <f aca="false">IF('(1)예금승인내역'!K879="","",'(1)예금승인내역'!K879)</f>
        <v>MMDA</v>
      </c>
      <c r="S253" s="548" t="n">
        <f aca="false">IF('(1)예금승인내역'!L879="","",'(1)예금승인내역'!L879)</f>
        <v>1.5</v>
      </c>
      <c r="T253" s="549" t="n">
        <f aca="false">IF('(1)예금승인내역'!AG879="","",'(1)예금승인내역'!AG879)</f>
        <v>0.038</v>
      </c>
      <c r="U253" s="549" t="n">
        <f aca="false">IF('(1)예금승인내역'!X879="","",'(1)예금승인내역'!X879)</f>
        <v>0.00559</v>
      </c>
      <c r="V253" s="531" t="n">
        <f aca="false">IF(ISNUMBER(N253),N253-$B$2,"")</f>
        <v>-335</v>
      </c>
      <c r="W253" s="531" t="str">
        <f aca="false">IF(AND(ISNUMBER(N253),N253&gt;=$B$2,N253&lt;=$B$2+10),N253*100000+ROW(),"")</f>
        <v/>
      </c>
      <c r="X253" s="531"/>
      <c r="Y253" s="531"/>
      <c r="Z253" s="531"/>
      <c r="AA253" s="531"/>
      <c r="AB253" s="531"/>
      <c r="AC253" s="531"/>
      <c r="AD253" s="531"/>
      <c r="AE253" s="531"/>
      <c r="AF253" s="531"/>
      <c r="AG253" s="531"/>
      <c r="AH253" s="531"/>
      <c r="AI253" s="531"/>
      <c r="AJ253" s="531"/>
      <c r="AK253" s="531"/>
      <c r="AL253" s="531"/>
      <c r="AM253" s="531"/>
      <c r="AN253" s="531"/>
    </row>
    <row r="254" customFormat="false" ht="16.5" hidden="false" customHeight="true" outlineLevel="0" collapsed="false">
      <c r="A254" s="531"/>
      <c r="B254" s="531"/>
      <c r="C254" s="531"/>
      <c r="D254" s="531"/>
      <c r="E254" s="531"/>
      <c r="F254" s="531"/>
      <c r="G254" s="531"/>
      <c r="H254" s="531"/>
      <c r="I254" s="531"/>
      <c r="J254" s="531"/>
      <c r="K254" s="531"/>
      <c r="L254" s="531"/>
      <c r="M254" s="531"/>
      <c r="N254" s="547" t="n">
        <f aca="false">IF('(1)예금승인내역'!H880="","",'(1)예금승인내역'!H880)</f>
        <v>45854</v>
      </c>
      <c r="O254" s="547" t="n">
        <f aca="false">IF('(1)예금승인내역'!G880="","",'(1)예금승인내역'!G880)</f>
        <v>45824</v>
      </c>
      <c r="P254" s="531" t="str">
        <f aca="false">IF('(1)예금승인내역'!F880="","",'(1)예금승인내역'!F880)</f>
        <v>동화인더스트리</v>
      </c>
      <c r="Q254" s="531" t="str">
        <f aca="false">IF('(1)예금승인내역'!C880="","",'(1)예금승인내역'!C880)</f>
        <v>중동지점</v>
      </c>
      <c r="R254" s="531" t="str">
        <f aca="false">IF('(1)예금승인내역'!K880="","",'(1)예금승인내역'!K880)</f>
        <v>정기예금</v>
      </c>
      <c r="S254" s="548" t="n">
        <f aca="false">IF('(1)예금승인내역'!L880="","",'(1)예금승인내역'!L880)</f>
        <v>1</v>
      </c>
      <c r="T254" s="549" t="n">
        <f aca="false">IF('(1)예금승인내역'!AG880="","",'(1)예금승인내역'!AG880)</f>
        <v>0.041</v>
      </c>
      <c r="U254" s="549" t="n">
        <f aca="false">IF('(1)예금승인내역'!X880="","",'(1)예금승인내역'!X880)</f>
        <v>0.002443</v>
      </c>
      <c r="V254" s="531" t="n">
        <f aca="false">IF(ISNUMBER(N254),N254-$B$2,"")</f>
        <v>-335</v>
      </c>
      <c r="W254" s="531" t="str">
        <f aca="false">IF(AND(ISNUMBER(N254),N254&gt;=$B$2,N254&lt;=$B$2+10),N254*100000+ROW(),"")</f>
        <v/>
      </c>
      <c r="X254" s="531"/>
      <c r="Y254" s="531"/>
      <c r="Z254" s="531"/>
      <c r="AA254" s="531"/>
      <c r="AB254" s="531"/>
      <c r="AC254" s="531"/>
      <c r="AD254" s="531"/>
      <c r="AE254" s="531"/>
      <c r="AF254" s="531"/>
      <c r="AG254" s="531"/>
      <c r="AH254" s="531"/>
      <c r="AI254" s="531"/>
      <c r="AJ254" s="531"/>
      <c r="AK254" s="531"/>
      <c r="AL254" s="531"/>
      <c r="AM254" s="531"/>
      <c r="AN254" s="531"/>
    </row>
    <row r="255" customFormat="false" ht="16.5" hidden="false" customHeight="true" outlineLevel="0" collapsed="false">
      <c r="A255" s="531"/>
      <c r="B255" s="531"/>
      <c r="C255" s="531"/>
      <c r="D255" s="531"/>
      <c r="E255" s="531"/>
      <c r="F255" s="531"/>
      <c r="G255" s="531"/>
      <c r="H255" s="531"/>
      <c r="I255" s="531"/>
      <c r="J255" s="531"/>
      <c r="K255" s="531"/>
      <c r="L255" s="531"/>
      <c r="M255" s="531"/>
      <c r="N255" s="547" t="n">
        <f aca="false">IF('(1)예금승인내역'!H881="","",'(1)예금승인내역'!H881)</f>
        <v>45917</v>
      </c>
      <c r="O255" s="547" t="n">
        <f aca="false">IF('(1)예금승인내역'!G881="","",'(1)예금승인내역'!G881)</f>
        <v>45825</v>
      </c>
      <c r="P255" s="531" t="str">
        <f aca="false">IF('(1)예금승인내역'!F881="","",'(1)예금승인내역'!F881)</f>
        <v>거림테크주식회사</v>
      </c>
      <c r="Q255" s="531" t="str">
        <f aca="false">IF('(1)예금승인내역'!C881="","",'(1)예금승인내역'!C881)</f>
        <v>죽전지점</v>
      </c>
      <c r="R255" s="531" t="str">
        <f aca="false">IF('(1)예금승인내역'!K881="","",'(1)예금승인내역'!K881)</f>
        <v>정기예금</v>
      </c>
      <c r="S255" s="548" t="n">
        <f aca="false">IF('(1)예금승인내역'!L881="","",'(1)예금승인내역'!L881)</f>
        <v>1</v>
      </c>
      <c r="T255" s="549" t="n">
        <f aca="false">IF('(1)예금승인내역'!AG881="","",'(1)예금승인내역'!AG881)</f>
        <v>0.0427</v>
      </c>
      <c r="U255" s="549" t="n">
        <f aca="false">IF('(1)예금승인내역'!X881="","",'(1)예금승인내역'!X881)</f>
        <v>0.002224</v>
      </c>
      <c r="V255" s="531" t="n">
        <f aca="false">IF(ISNUMBER(N255),N255-$B$2,"")</f>
        <v>-272</v>
      </c>
      <c r="W255" s="531" t="str">
        <f aca="false">IF(AND(ISNUMBER(N255),N255&gt;=$B$2,N255&lt;=$B$2+10),N255*100000+ROW(),"")</f>
        <v/>
      </c>
      <c r="X255" s="531"/>
      <c r="Y255" s="531"/>
      <c r="Z255" s="531"/>
      <c r="AA255" s="531"/>
      <c r="AB255" s="531"/>
      <c r="AC255" s="531"/>
      <c r="AD255" s="531"/>
      <c r="AE255" s="531"/>
      <c r="AF255" s="531"/>
      <c r="AG255" s="531"/>
      <c r="AH255" s="531"/>
      <c r="AI255" s="531"/>
      <c r="AJ255" s="531"/>
      <c r="AK255" s="531"/>
      <c r="AL255" s="531"/>
      <c r="AM255" s="531"/>
      <c r="AN255" s="531"/>
    </row>
    <row r="256" customFormat="false" ht="16.5" hidden="false" customHeight="true" outlineLevel="0" collapsed="false">
      <c r="A256" s="531"/>
      <c r="B256" s="531"/>
      <c r="C256" s="531"/>
      <c r="D256" s="531"/>
      <c r="E256" s="531"/>
      <c r="F256" s="531"/>
      <c r="G256" s="531"/>
      <c r="H256" s="531"/>
      <c r="I256" s="531"/>
      <c r="J256" s="531"/>
      <c r="K256" s="531"/>
      <c r="L256" s="531"/>
      <c r="M256" s="531"/>
      <c r="N256" s="547" t="n">
        <f aca="false">IF('(1)예금승인내역'!H882="","",'(1)예금승인내역'!H882)</f>
        <v>45922</v>
      </c>
      <c r="O256" s="547" t="n">
        <f aca="false">IF('(1)예금승인내역'!G882="","",'(1)예금승인내역'!G882)</f>
        <v>45828</v>
      </c>
      <c r="P256" s="531" t="str">
        <f aca="false">IF('(1)예금승인내역'!F882="","",'(1)예금승인내역'!F882)</f>
        <v>㈜비앤에프</v>
      </c>
      <c r="Q256" s="531" t="str">
        <f aca="false">IF('(1)예금승인내역'!C882="","",'(1)예금승인내역'!C882)</f>
        <v>죽전지점</v>
      </c>
      <c r="R256" s="531" t="str">
        <f aca="false">IF('(1)예금승인내역'!K882="","",'(1)예금승인내역'!K882)</f>
        <v>정기예금</v>
      </c>
      <c r="S256" s="548" t="n">
        <f aca="false">IF('(1)예금승인내역'!L882="","",'(1)예금승인내역'!L882)</f>
        <v>2</v>
      </c>
      <c r="T256" s="549" t="n">
        <f aca="false">IF('(1)예금승인내역'!AG882="","",'(1)예금승인내역'!AG882)</f>
        <v>0.0427</v>
      </c>
      <c r="U256" s="549" t="n">
        <f aca="false">IF('(1)예금승인내역'!X882="","",'(1)예금승인내역'!X882)</f>
        <v>0.00236</v>
      </c>
      <c r="V256" s="531" t="n">
        <f aca="false">IF(ISNUMBER(N256),N256-$B$2,"")</f>
        <v>-267</v>
      </c>
      <c r="W256" s="531" t="str">
        <f aca="false">IF(AND(ISNUMBER(N256),N256&gt;=$B$2,N256&lt;=$B$2+10),N256*100000+ROW(),"")</f>
        <v/>
      </c>
      <c r="X256" s="531"/>
      <c r="Y256" s="531"/>
      <c r="Z256" s="531"/>
      <c r="AA256" s="531"/>
      <c r="AB256" s="531"/>
      <c r="AC256" s="531"/>
      <c r="AD256" s="531"/>
      <c r="AE256" s="531"/>
      <c r="AF256" s="531"/>
      <c r="AG256" s="531"/>
      <c r="AH256" s="531"/>
      <c r="AI256" s="531"/>
      <c r="AJ256" s="531"/>
      <c r="AK256" s="531"/>
      <c r="AL256" s="531"/>
      <c r="AM256" s="531"/>
      <c r="AN256" s="531"/>
    </row>
    <row r="257" customFormat="false" ht="16.5" hidden="false" customHeight="true" outlineLevel="0" collapsed="false">
      <c r="A257" s="531"/>
      <c r="B257" s="531"/>
      <c r="C257" s="531"/>
      <c r="D257" s="531"/>
      <c r="E257" s="531"/>
      <c r="F257" s="531"/>
      <c r="G257" s="531"/>
      <c r="H257" s="531"/>
      <c r="I257" s="531"/>
      <c r="J257" s="531"/>
      <c r="K257" s="531"/>
      <c r="L257" s="531"/>
      <c r="M257" s="531"/>
      <c r="N257" s="547" t="n">
        <f aca="false">IF('(1)예금승인내역'!H883="","",'(1)예금승인내역'!H883)</f>
        <v>45923</v>
      </c>
      <c r="O257" s="547" t="n">
        <f aca="false">IF('(1)예금승인내역'!G883="","",'(1)예금승인내역'!G883)</f>
        <v>45831</v>
      </c>
      <c r="P257" s="531" t="str">
        <f aca="false">IF('(1)예금승인내역'!F883="","",'(1)예금승인내역'!F883)</f>
        <v>㈜에스앤에스텍</v>
      </c>
      <c r="Q257" s="531" t="str">
        <f aca="false">IF('(1)예금승인내역'!C883="","",'(1)예금승인내역'!C883)</f>
        <v>성서3단지영업부</v>
      </c>
      <c r="R257" s="531" t="str">
        <f aca="false">IF('(1)예금승인내역'!K883="","",'(1)예금승인내역'!K883)</f>
        <v>정기예금</v>
      </c>
      <c r="S257" s="548" t="n">
        <f aca="false">IF('(1)예금승인내역'!L883="","",'(1)예금승인내역'!L883)</f>
        <v>1</v>
      </c>
      <c r="T257" s="549" t="n">
        <f aca="false">IF('(1)예금승인내역'!AG883="","",'(1)예금승인내역'!AG883)</f>
        <v>0.042</v>
      </c>
      <c r="U257" s="549" t="n">
        <f aca="false">IF('(1)예금승인내역'!X883="","",'(1)예금승인내역'!X883)</f>
        <v>0.00306</v>
      </c>
      <c r="V257" s="531" t="n">
        <f aca="false">IF(ISNUMBER(N257),N257-$B$2,"")</f>
        <v>-266</v>
      </c>
      <c r="W257" s="531" t="str">
        <f aca="false">IF(AND(ISNUMBER(N257),N257&gt;=$B$2,N257&lt;=$B$2+10),N257*100000+ROW(),"")</f>
        <v/>
      </c>
      <c r="X257" s="531"/>
      <c r="Y257" s="531"/>
      <c r="Z257" s="531"/>
      <c r="AA257" s="531"/>
      <c r="AB257" s="531"/>
      <c r="AC257" s="531"/>
      <c r="AD257" s="531"/>
      <c r="AE257" s="531"/>
      <c r="AF257" s="531"/>
      <c r="AG257" s="531"/>
      <c r="AH257" s="531"/>
      <c r="AI257" s="531"/>
      <c r="AJ257" s="531"/>
      <c r="AK257" s="531"/>
      <c r="AL257" s="531"/>
      <c r="AM257" s="531"/>
      <c r="AN257" s="531"/>
    </row>
    <row r="258" customFormat="false" ht="16.5" hidden="false" customHeight="true" outlineLevel="0" collapsed="false">
      <c r="A258" s="531"/>
      <c r="B258" s="531"/>
      <c r="C258" s="531"/>
      <c r="D258" s="531"/>
      <c r="E258" s="531"/>
      <c r="F258" s="531"/>
      <c r="G258" s="531"/>
      <c r="H258" s="531"/>
      <c r="I258" s="531"/>
      <c r="J258" s="531"/>
      <c r="K258" s="531"/>
      <c r="L258" s="531"/>
      <c r="M258" s="531"/>
      <c r="N258" s="547" t="n">
        <f aca="false">IF('(1)예금승인내역'!H884="","",'(1)예금승인내역'!H884)</f>
        <v>45861</v>
      </c>
      <c r="O258" s="547" t="n">
        <f aca="false">IF('(1)예금승인내역'!G884="","",'(1)예금승인내역'!G884)</f>
        <v>45831</v>
      </c>
      <c r="P258" s="531" t="str">
        <f aca="false">IF('(1)예금승인내역'!F884="","",'(1)예금승인내역'!F884)</f>
        <v>㈜약진통상</v>
      </c>
      <c r="Q258" s="531" t="str">
        <f aca="false">IF('(1)예금승인내역'!C884="","",'(1)예금승인내역'!C884)</f>
        <v>반월공단지점</v>
      </c>
      <c r="R258" s="531" t="str">
        <f aca="false">IF('(1)예금승인내역'!K884="","",'(1)예금승인내역'!K884)</f>
        <v>MMDA</v>
      </c>
      <c r="S258" s="548" t="n">
        <f aca="false">IF('(1)예금승인내역'!L884="","",'(1)예금승인내역'!L884)</f>
        <v>4.78</v>
      </c>
      <c r="T258" s="549" t="n">
        <f aca="false">IF('(1)예금승인내역'!AG884="","",'(1)예금승인내역'!AG884)</f>
        <v>0.0375</v>
      </c>
      <c r="U258" s="549" t="n">
        <f aca="false">IF('(1)예금승인내역'!X884="","",'(1)예금승인내역'!X884)</f>
        <v>0.006011</v>
      </c>
      <c r="V258" s="531" t="n">
        <f aca="false">IF(ISNUMBER(N258),N258-$B$2,"")</f>
        <v>-328</v>
      </c>
      <c r="W258" s="531" t="str">
        <f aca="false">IF(AND(ISNUMBER(N258),N258&gt;=$B$2,N258&lt;=$B$2+10),N258*100000+ROW(),"")</f>
        <v/>
      </c>
      <c r="X258" s="531"/>
      <c r="Y258" s="531"/>
      <c r="Z258" s="531"/>
      <c r="AA258" s="531"/>
      <c r="AB258" s="531"/>
      <c r="AC258" s="531"/>
      <c r="AD258" s="531"/>
      <c r="AE258" s="531"/>
      <c r="AF258" s="531"/>
      <c r="AG258" s="531"/>
      <c r="AH258" s="531"/>
      <c r="AI258" s="531"/>
      <c r="AJ258" s="531"/>
      <c r="AK258" s="531"/>
      <c r="AL258" s="531"/>
      <c r="AM258" s="531"/>
      <c r="AN258" s="531"/>
    </row>
    <row r="259" customFormat="false" ht="16.5" hidden="false" customHeight="true" outlineLevel="0" collapsed="false">
      <c r="A259" s="531"/>
      <c r="B259" s="531"/>
      <c r="C259" s="531"/>
      <c r="D259" s="531"/>
      <c r="E259" s="531"/>
      <c r="F259" s="531"/>
      <c r="G259" s="531"/>
      <c r="H259" s="531"/>
      <c r="I259" s="531"/>
      <c r="J259" s="531"/>
      <c r="K259" s="531"/>
      <c r="L259" s="531"/>
      <c r="M259" s="531"/>
      <c r="N259" s="547" t="n">
        <f aca="false">IF('(1)예금승인내역'!H885="","",'(1)예금승인내역'!H885)</f>
        <v>45839</v>
      </c>
      <c r="O259" s="547" t="n">
        <f aca="false">IF('(1)예금승인내역'!G885="","",'(1)예금승인내역'!G885)</f>
        <v>45832</v>
      </c>
      <c r="P259" s="531" t="str">
        <f aca="false">IF('(1)예금승인내역'!F885="","",'(1)예금승인내역'!F885)</f>
        <v>㈜일지테크</v>
      </c>
      <c r="Q259" s="531" t="str">
        <f aca="false">IF('(1)예금승인내역'!C885="","",'(1)예금승인내역'!C885)</f>
        <v>경산공단영업부</v>
      </c>
      <c r="R259" s="531" t="str">
        <f aca="false">IF('(1)예금승인내역'!K885="","",'(1)예금승인내역'!K885)</f>
        <v>정기예금</v>
      </c>
      <c r="S259" s="548" t="n">
        <f aca="false">IF('(1)예금승인내역'!L885="","",'(1)예금승인내역'!L885)</f>
        <v>9.011</v>
      </c>
      <c r="T259" s="549" t="n">
        <f aca="false">IF('(1)예금승인내역'!AG885="","",'(1)예금승인내역'!AG885)</f>
        <v>0.038</v>
      </c>
      <c r="U259" s="549" t="n">
        <f aca="false">IF('(1)예금승인내역'!X885="","",'(1)예금승인내역'!X885)</f>
        <v>0.001462</v>
      </c>
      <c r="V259" s="531" t="n">
        <f aca="false">IF(ISNUMBER(N259),N259-$B$2,"")</f>
        <v>-350</v>
      </c>
      <c r="W259" s="531" t="str">
        <f aca="false">IF(AND(ISNUMBER(N259),N259&gt;=$B$2,N259&lt;=$B$2+10),N259*100000+ROW(),"")</f>
        <v/>
      </c>
      <c r="X259" s="531"/>
      <c r="Y259" s="531"/>
      <c r="Z259" s="531"/>
      <c r="AA259" s="531"/>
      <c r="AB259" s="531"/>
      <c r="AC259" s="531"/>
      <c r="AD259" s="531"/>
      <c r="AE259" s="531"/>
      <c r="AF259" s="531"/>
      <c r="AG259" s="531"/>
      <c r="AH259" s="531"/>
      <c r="AI259" s="531"/>
      <c r="AJ259" s="531"/>
      <c r="AK259" s="531"/>
      <c r="AL259" s="531"/>
      <c r="AM259" s="531"/>
      <c r="AN259" s="531"/>
    </row>
    <row r="260" customFormat="false" ht="16.5" hidden="false" customHeight="true" outlineLevel="0" collapsed="false">
      <c r="A260" s="531"/>
      <c r="B260" s="531"/>
      <c r="C260" s="531"/>
      <c r="D260" s="531"/>
      <c r="E260" s="531"/>
      <c r="F260" s="531"/>
      <c r="G260" s="531"/>
      <c r="H260" s="531"/>
      <c r="I260" s="531"/>
      <c r="J260" s="531"/>
      <c r="K260" s="531"/>
      <c r="L260" s="531"/>
      <c r="M260" s="531"/>
      <c r="N260" s="547" t="n">
        <f aca="false">IF('(1)예금승인내역'!H886="","",'(1)예금승인내역'!H886)</f>
        <v>45839</v>
      </c>
      <c r="O260" s="547" t="n">
        <f aca="false">IF('(1)예금승인내역'!G886="","",'(1)예금승인내역'!G886)</f>
        <v>45832</v>
      </c>
      <c r="P260" s="531" t="str">
        <f aca="false">IF('(1)예금승인내역'!F886="","",'(1)예금승인내역'!F886)</f>
        <v>㈜일지테크</v>
      </c>
      <c r="Q260" s="531" t="str">
        <f aca="false">IF('(1)예금승인내역'!C886="","",'(1)예금승인내역'!C886)</f>
        <v>경산공단영업부</v>
      </c>
      <c r="R260" s="531" t="str">
        <f aca="false">IF('(1)예금승인내역'!K886="","",'(1)예금승인내역'!K886)</f>
        <v>정기예금</v>
      </c>
      <c r="S260" s="548" t="n">
        <f aca="false">IF('(1)예금승인내역'!L886="","",'(1)예금승인내역'!L886)</f>
        <v>10</v>
      </c>
      <c r="T260" s="549" t="n">
        <f aca="false">IF('(1)예금승인내역'!AG886="","",'(1)예금승인내역'!AG886)</f>
        <v>0.038</v>
      </c>
      <c r="U260" s="549" t="n">
        <f aca="false">IF('(1)예금승인내역'!X886="","",'(1)예금승인내역'!X886)</f>
        <v>0.001462</v>
      </c>
      <c r="V260" s="531" t="n">
        <f aca="false">IF(ISNUMBER(N260),N260-$B$2,"")</f>
        <v>-350</v>
      </c>
      <c r="W260" s="531" t="str">
        <f aca="false">IF(AND(ISNUMBER(N260),N260&gt;=$B$2,N260&lt;=$B$2+10),N260*100000+ROW(),"")</f>
        <v/>
      </c>
      <c r="X260" s="531"/>
      <c r="Y260" s="531"/>
      <c r="Z260" s="531"/>
      <c r="AA260" s="531"/>
      <c r="AB260" s="531"/>
      <c r="AC260" s="531"/>
      <c r="AD260" s="531"/>
      <c r="AE260" s="531"/>
      <c r="AF260" s="531"/>
      <c r="AG260" s="531"/>
      <c r="AH260" s="531"/>
      <c r="AI260" s="531"/>
      <c r="AJ260" s="531"/>
      <c r="AK260" s="531"/>
      <c r="AL260" s="531"/>
      <c r="AM260" s="531"/>
      <c r="AN260" s="531"/>
    </row>
    <row r="261" customFormat="false" ht="16.5" hidden="false" customHeight="true" outlineLevel="0" collapsed="false">
      <c r="A261" s="531"/>
      <c r="B261" s="531"/>
      <c r="C261" s="531"/>
      <c r="D261" s="531"/>
      <c r="E261" s="531"/>
      <c r="F261" s="531"/>
      <c r="G261" s="531"/>
      <c r="H261" s="531"/>
      <c r="I261" s="531"/>
      <c r="J261" s="531"/>
      <c r="K261" s="531"/>
      <c r="L261" s="531"/>
      <c r="M261" s="531"/>
      <c r="N261" s="547" t="n">
        <f aca="false">IF('(1)예금승인내역'!H887="","",'(1)예금승인내역'!H887)</f>
        <v>45839</v>
      </c>
      <c r="O261" s="547" t="n">
        <f aca="false">IF('(1)예금승인내역'!G887="","",'(1)예금승인내역'!G887)</f>
        <v>45832</v>
      </c>
      <c r="P261" s="531" t="str">
        <f aca="false">IF('(1)예금승인내역'!F887="","",'(1)예금승인내역'!F887)</f>
        <v>㈜일지테크</v>
      </c>
      <c r="Q261" s="531" t="str">
        <f aca="false">IF('(1)예금승인내역'!C887="","",'(1)예금승인내역'!C887)</f>
        <v>경산공단영업부</v>
      </c>
      <c r="R261" s="531" t="str">
        <f aca="false">IF('(1)예금승인내역'!K887="","",'(1)예금승인내역'!K887)</f>
        <v>정기예금</v>
      </c>
      <c r="S261" s="548" t="n">
        <f aca="false">IF('(1)예금승인내역'!L887="","",'(1)예금승인내역'!L887)</f>
        <v>10</v>
      </c>
      <c r="T261" s="549" t="n">
        <f aca="false">IF('(1)예금승인내역'!AG887="","",'(1)예금승인내역'!AG887)</f>
        <v>0.038</v>
      </c>
      <c r="U261" s="549" t="n">
        <f aca="false">IF('(1)예금승인내역'!X887="","",'(1)예금승인내역'!X887)</f>
        <v>0.001462</v>
      </c>
      <c r="V261" s="531" t="n">
        <f aca="false">IF(ISNUMBER(N261),N261-$B$2,"")</f>
        <v>-350</v>
      </c>
      <c r="W261" s="531" t="str">
        <f aca="false">IF(AND(ISNUMBER(N261),N261&gt;=$B$2,N261&lt;=$B$2+10),N261*100000+ROW(),"")</f>
        <v/>
      </c>
      <c r="X261" s="531"/>
      <c r="Y261" s="531"/>
      <c r="Z261" s="531"/>
      <c r="AA261" s="531"/>
      <c r="AB261" s="531"/>
      <c r="AC261" s="531"/>
      <c r="AD261" s="531"/>
      <c r="AE261" s="531"/>
      <c r="AF261" s="531"/>
      <c r="AG261" s="531"/>
      <c r="AH261" s="531"/>
      <c r="AI261" s="531"/>
      <c r="AJ261" s="531"/>
      <c r="AK261" s="531"/>
      <c r="AL261" s="531"/>
      <c r="AM261" s="531"/>
      <c r="AN261" s="531"/>
    </row>
    <row r="262" customFormat="false" ht="16.5" hidden="false" customHeight="true" outlineLevel="0" collapsed="false">
      <c r="A262" s="531"/>
      <c r="B262" s="531"/>
      <c r="C262" s="531"/>
      <c r="D262" s="531"/>
      <c r="E262" s="531"/>
      <c r="F262" s="531"/>
      <c r="G262" s="531"/>
      <c r="H262" s="531"/>
      <c r="I262" s="531"/>
      <c r="J262" s="531"/>
      <c r="K262" s="531"/>
      <c r="L262" s="531"/>
      <c r="M262" s="531"/>
      <c r="N262" s="547" t="n">
        <f aca="false">IF('(1)예금승인내역'!H888="","",'(1)예금승인내역'!H888)</f>
        <v>45862</v>
      </c>
      <c r="O262" s="547" t="n">
        <f aca="false">IF('(1)예금승인내역'!G888="","",'(1)예금승인내역'!G888)</f>
        <v>45831</v>
      </c>
      <c r="P262" s="531" t="str">
        <f aca="false">IF('(1)예금승인내역'!F888="","",'(1)예금승인내역'!F888)</f>
        <v>한화오션㈜</v>
      </c>
      <c r="Q262" s="531" t="str">
        <f aca="false">IF('(1)예금승인내역'!C888="","",'(1)예금승인내역'!C888)</f>
        <v>서울영업부</v>
      </c>
      <c r="R262" s="531" t="str">
        <f aca="false">IF('(1)예금승인내역'!K888="","",'(1)예금승인내역'!K888)</f>
        <v>MMDA</v>
      </c>
      <c r="S262" s="548" t="n">
        <f aca="false">IF('(1)예금승인내역'!L888="","",'(1)예금승인내역'!L888)</f>
        <v>10</v>
      </c>
      <c r="T262" s="549" t="n">
        <f aca="false">IF('(1)예금승인내역'!AG888="","",'(1)예금승인내역'!AG888)</f>
        <v>0.0383</v>
      </c>
      <c r="U262" s="549" t="n">
        <f aca="false">IF('(1)예금승인내역'!X888="","",'(1)예금승인내역'!X888)</f>
        <v>0.005395</v>
      </c>
      <c r="V262" s="531" t="n">
        <f aca="false">IF(ISNUMBER(N262),N262-$B$2,"")</f>
        <v>-327</v>
      </c>
      <c r="W262" s="531" t="str">
        <f aca="false">IF(AND(ISNUMBER(N262),N262&gt;=$B$2,N262&lt;=$B$2+10),N262*100000+ROW(),"")</f>
        <v/>
      </c>
      <c r="X262" s="531"/>
      <c r="Y262" s="531"/>
      <c r="Z262" s="531"/>
      <c r="AA262" s="531"/>
      <c r="AB262" s="531"/>
      <c r="AC262" s="531"/>
      <c r="AD262" s="531"/>
      <c r="AE262" s="531"/>
      <c r="AF262" s="531"/>
      <c r="AG262" s="531"/>
      <c r="AH262" s="531"/>
      <c r="AI262" s="531"/>
      <c r="AJ262" s="531"/>
      <c r="AK262" s="531"/>
      <c r="AL262" s="531"/>
      <c r="AM262" s="531"/>
      <c r="AN262" s="531"/>
    </row>
    <row r="263" customFormat="false" ht="16.5" hidden="false" customHeight="true" outlineLevel="0" collapsed="false">
      <c r="A263" s="531"/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1"/>
      <c r="N263" s="547" t="n">
        <f aca="false">IF('(1)예금승인내역'!H889="","",'(1)예금승인내역'!H889)</f>
        <v>45866</v>
      </c>
      <c r="O263" s="547" t="n">
        <f aca="false">IF('(1)예금승인내역'!G889="","",'(1)예금승인내역'!G889)</f>
        <v>45834</v>
      </c>
      <c r="P263" s="531" t="str">
        <f aca="false">IF('(1)예금승인내역'!F889="","",'(1)예금승인내역'!F889)</f>
        <v>미래에셋컨설팅</v>
      </c>
      <c r="Q263" s="531" t="str">
        <f aca="false">IF('(1)예금승인내역'!C889="","",'(1)예금승인내역'!C889)</f>
        <v>서울영업부</v>
      </c>
      <c r="R263" s="531" t="str">
        <f aca="false">IF('(1)예금승인내역'!K889="","",'(1)예금승인내역'!K889)</f>
        <v>정기예금</v>
      </c>
      <c r="S263" s="548" t="n">
        <f aca="false">IF('(1)예금승인내역'!L889="","",'(1)예금승인내역'!L889)</f>
        <v>2</v>
      </c>
      <c r="T263" s="549" t="n">
        <f aca="false">IF('(1)예금승인내역'!AG889="","",'(1)예금승인내역'!AG889)</f>
        <v>0.041</v>
      </c>
      <c r="U263" s="549" t="n">
        <f aca="false">IF('(1)예금승인내역'!X889="","",'(1)예금승인내역'!X889)</f>
        <v>0.002535</v>
      </c>
      <c r="V263" s="531" t="n">
        <f aca="false">IF(ISNUMBER(N263),N263-$B$2,"")</f>
        <v>-323</v>
      </c>
      <c r="W263" s="531" t="str">
        <f aca="false">IF(AND(ISNUMBER(N263),N263&gt;=$B$2,N263&lt;=$B$2+10),N263*100000+ROW(),"")</f>
        <v/>
      </c>
      <c r="X263" s="531"/>
      <c r="Y263" s="531"/>
      <c r="Z263" s="531"/>
      <c r="AA263" s="531"/>
      <c r="AB263" s="531"/>
      <c r="AC263" s="531"/>
      <c r="AD263" s="531"/>
      <c r="AE263" s="531"/>
      <c r="AF263" s="531"/>
      <c r="AG263" s="531"/>
      <c r="AH263" s="531"/>
      <c r="AI263" s="531"/>
      <c r="AJ263" s="531"/>
      <c r="AK263" s="531"/>
      <c r="AL263" s="531"/>
      <c r="AM263" s="531"/>
      <c r="AN263" s="531"/>
    </row>
    <row r="264" customFormat="false" ht="16.5" hidden="false" customHeight="true" outlineLevel="0" collapsed="false">
      <c r="A264" s="531"/>
      <c r="B264" s="531"/>
      <c r="C264" s="531"/>
      <c r="D264" s="531"/>
      <c r="E264" s="531"/>
      <c r="F264" s="531"/>
      <c r="G264" s="531"/>
      <c r="H264" s="531"/>
      <c r="I264" s="531"/>
      <c r="J264" s="531"/>
      <c r="K264" s="531"/>
      <c r="L264" s="531"/>
      <c r="M264" s="531"/>
      <c r="N264" s="547" t="n">
        <f aca="false">IF('(1)예금승인내역'!H890="","",'(1)예금승인내역'!H890)</f>
        <v>45867</v>
      </c>
      <c r="O264" s="547" t="n">
        <f aca="false">IF('(1)예금승인내역'!G890="","",'(1)예금승인내역'!G890)</f>
        <v>45834</v>
      </c>
      <c r="P264" s="531" t="str">
        <f aca="false">IF('(1)예금승인내역'!F890="","",'(1)예금승인내역'!F890)</f>
        <v>대한전선㈜</v>
      </c>
      <c r="Q264" s="531" t="str">
        <f aca="false">IF('(1)예금승인내역'!C890="","",'(1)예금승인내역'!C890)</f>
        <v>성남영업부</v>
      </c>
      <c r="R264" s="531" t="str">
        <f aca="false">IF('(1)예금승인내역'!K890="","",'(1)예금승인내역'!K890)</f>
        <v>정기예금</v>
      </c>
      <c r="S264" s="548" t="n">
        <f aca="false">IF('(1)예금승인내역'!L890="","",'(1)예금승인내역'!L890)</f>
        <v>10</v>
      </c>
      <c r="T264" s="549" t="n">
        <f aca="false">IF('(1)예금승인내역'!AG890="","",'(1)예금승인내역'!AG890)</f>
        <v>0.041</v>
      </c>
      <c r="U264" s="549" t="n">
        <f aca="false">IF('(1)예금승인내역'!X890="","",'(1)예금승인내역'!X890)</f>
        <v>0.002535</v>
      </c>
      <c r="V264" s="531" t="n">
        <f aca="false">IF(ISNUMBER(N264),N264-$B$2,"")</f>
        <v>-322</v>
      </c>
      <c r="W264" s="531" t="str">
        <f aca="false">IF(AND(ISNUMBER(N264),N264&gt;=$B$2,N264&lt;=$B$2+10),N264*100000+ROW(),"")</f>
        <v/>
      </c>
      <c r="X264" s="531"/>
      <c r="Y264" s="531"/>
      <c r="Z264" s="531"/>
      <c r="AA264" s="531"/>
      <c r="AB264" s="531"/>
      <c r="AC264" s="531"/>
      <c r="AD264" s="531"/>
      <c r="AE264" s="531"/>
      <c r="AF264" s="531"/>
      <c r="AG264" s="531"/>
      <c r="AH264" s="531"/>
      <c r="AI264" s="531"/>
      <c r="AJ264" s="531"/>
      <c r="AK264" s="531"/>
      <c r="AL264" s="531"/>
      <c r="AM264" s="531"/>
      <c r="AN264" s="531"/>
    </row>
    <row r="265" customFormat="false" ht="16.5" hidden="false" customHeight="true" outlineLevel="0" collapsed="false">
      <c r="A265" s="531"/>
      <c r="B265" s="531"/>
      <c r="C265" s="531"/>
      <c r="D265" s="531"/>
      <c r="E265" s="531"/>
      <c r="F265" s="531"/>
      <c r="G265" s="531"/>
      <c r="H265" s="531"/>
      <c r="I265" s="531"/>
      <c r="J265" s="531"/>
      <c r="K265" s="531"/>
      <c r="L265" s="531"/>
      <c r="M265" s="531"/>
      <c r="N265" s="547" t="n">
        <f aca="false">IF('(1)예금승인내역'!H891="","",'(1)예금승인내역'!H891)</f>
        <v>45866</v>
      </c>
      <c r="O265" s="547" t="n">
        <f aca="false">IF('(1)예금승인내역'!G891="","",'(1)예금승인내역'!G891)</f>
        <v>45834</v>
      </c>
      <c r="P265" s="531" t="str">
        <f aca="false">IF('(1)예금승인내역'!F891="","",'(1)예금승인내역'!F891)</f>
        <v>에이치엘만도</v>
      </c>
      <c r="Q265" s="531" t="str">
        <f aca="false">IF('(1)예금승인내역'!C891="","",'(1)예금승인내역'!C891)</f>
        <v>삼덕영업부</v>
      </c>
      <c r="R265" s="531" t="str">
        <f aca="false">IF('(1)예금승인내역'!K891="","",'(1)예금승인내역'!K891)</f>
        <v>MMDA</v>
      </c>
      <c r="S265" s="548" t="n">
        <f aca="false">IF('(1)예금승인내역'!L891="","",'(1)예금승인내역'!L891)</f>
        <v>9</v>
      </c>
      <c r="T265" s="549" t="n">
        <f aca="false">IF('(1)예금승인내역'!AG891="","",'(1)예금승인내역'!AG891)</f>
        <v>0.037</v>
      </c>
      <c r="U265" s="549" t="n">
        <f aca="false">IF('(1)예금승인내역'!X891="","",'(1)예금승인내역'!X891)</f>
        <v>0.006553</v>
      </c>
      <c r="V265" s="531" t="n">
        <f aca="false">IF(ISNUMBER(N265),N265-$B$2,"")</f>
        <v>-323</v>
      </c>
      <c r="W265" s="531" t="str">
        <f aca="false">IF(AND(ISNUMBER(N265),N265&gt;=$B$2,N265&lt;=$B$2+10),N265*100000+ROW(),"")</f>
        <v/>
      </c>
      <c r="X265" s="531"/>
      <c r="Y265" s="531"/>
      <c r="Z265" s="531"/>
      <c r="AA265" s="531"/>
      <c r="AB265" s="531"/>
      <c r="AC265" s="531"/>
      <c r="AD265" s="531"/>
      <c r="AE265" s="531"/>
      <c r="AF265" s="531"/>
      <c r="AG265" s="531"/>
      <c r="AH265" s="531"/>
      <c r="AI265" s="531"/>
      <c r="AJ265" s="531"/>
      <c r="AK265" s="531"/>
      <c r="AL265" s="531"/>
      <c r="AM265" s="531"/>
      <c r="AN265" s="531"/>
    </row>
    <row r="266" customFormat="false" ht="16.5" hidden="false" customHeight="true" outlineLevel="0" collapsed="false">
      <c r="A266" s="531"/>
      <c r="B266" s="531"/>
      <c r="C266" s="531"/>
      <c r="D266" s="531"/>
      <c r="E266" s="531"/>
      <c r="F266" s="531"/>
      <c r="G266" s="531"/>
      <c r="H266" s="531"/>
      <c r="I266" s="531"/>
      <c r="J266" s="531"/>
      <c r="K266" s="531"/>
      <c r="L266" s="531"/>
      <c r="M266" s="531"/>
      <c r="N266" s="547" t="n">
        <f aca="false">IF('(1)예금승인내역'!H892="","",'(1)예금승인내역'!H892)</f>
        <v>45863</v>
      </c>
      <c r="O266" s="547" t="n">
        <f aca="false">IF('(1)예금승인내역'!G892="","",'(1)예금승인내역'!G892)</f>
        <v>45834</v>
      </c>
      <c r="P266" s="531" t="str">
        <f aca="false">IF('(1)예금승인내역'!F892="","",'(1)예금승인내역'!F892)</f>
        <v>윤상락</v>
      </c>
      <c r="Q266" s="531" t="str">
        <f aca="false">IF('(1)예금승인내역'!C892="","",'(1)예금승인내역'!C892)</f>
        <v>본점PB센터</v>
      </c>
      <c r="R266" s="531" t="str">
        <f aca="false">IF('(1)예금승인내역'!K892="","",'(1)예금승인내역'!K892)</f>
        <v>MMDA</v>
      </c>
      <c r="S266" s="548" t="n">
        <f aca="false">IF('(1)예금승인내역'!L892="","",'(1)예금승인내역'!L892)</f>
        <v>1</v>
      </c>
      <c r="T266" s="549" t="n">
        <f aca="false">IF('(1)예금승인내역'!AG892="","",'(1)예금승인내역'!AG892)</f>
        <v>0.038</v>
      </c>
      <c r="U266" s="549" t="n">
        <f aca="false">IF('(1)예금승인내역'!X892="","",'(1)예금승인내역'!X892)</f>
        <v>0.005553</v>
      </c>
      <c r="V266" s="531" t="n">
        <f aca="false">IF(ISNUMBER(N266),N266-$B$2,"")</f>
        <v>-326</v>
      </c>
      <c r="W266" s="531" t="str">
        <f aca="false">IF(AND(ISNUMBER(N266),N266&gt;=$B$2,N266&lt;=$B$2+10),N266*100000+ROW(),"")</f>
        <v/>
      </c>
      <c r="X266" s="531"/>
      <c r="Y266" s="531"/>
      <c r="Z266" s="531"/>
      <c r="AA266" s="531"/>
      <c r="AB266" s="531"/>
      <c r="AC266" s="531"/>
      <c r="AD266" s="531"/>
      <c r="AE266" s="531"/>
      <c r="AF266" s="531"/>
      <c r="AG266" s="531"/>
      <c r="AH266" s="531"/>
      <c r="AI266" s="531"/>
      <c r="AJ266" s="531"/>
      <c r="AK266" s="531"/>
      <c r="AL266" s="531"/>
      <c r="AM266" s="531"/>
      <c r="AN266" s="531"/>
    </row>
    <row r="267" customFormat="false" ht="16.5" hidden="false" customHeight="true" outlineLevel="0" collapsed="false">
      <c r="A267" s="531"/>
      <c r="B267" s="531"/>
      <c r="C267" s="531"/>
      <c r="D267" s="531"/>
      <c r="E267" s="531"/>
      <c r="F267" s="531"/>
      <c r="G267" s="531"/>
      <c r="H267" s="531"/>
      <c r="I267" s="531"/>
      <c r="J267" s="531"/>
      <c r="K267" s="531"/>
      <c r="L267" s="531"/>
      <c r="M267" s="531"/>
      <c r="N267" s="547" t="n">
        <f aca="false">IF('(1)예금승인내역'!H893="","",'(1)예금승인내역'!H893)</f>
        <v>45866</v>
      </c>
      <c r="O267" s="547" t="n">
        <f aca="false">IF('(1)예금승인내역'!G893="","",'(1)예금승인내역'!G893)</f>
        <v>45835</v>
      </c>
      <c r="P267" s="531" t="str">
        <f aca="false">IF('(1)예금승인내역'!F893="","",'(1)예금승인내역'!F893)</f>
        <v>㈜디오 </v>
      </c>
      <c r="Q267" s="531" t="str">
        <f aca="false">IF('(1)예금승인내역'!C893="","",'(1)예금승인내역'!C893)</f>
        <v>부산동부금융센터 </v>
      </c>
      <c r="R267" s="531" t="str">
        <f aca="false">IF('(1)예금승인내역'!K893="","",'(1)예금승인내역'!K893)</f>
        <v>정기예금</v>
      </c>
      <c r="S267" s="548" t="n">
        <f aca="false">IF('(1)예금승인내역'!L893="","",'(1)예금승인내역'!L893)</f>
        <v>2</v>
      </c>
      <c r="T267" s="549" t="n">
        <f aca="false">IF('(1)예금승인내역'!AG893="","",'(1)예금승인내역'!AG893)</f>
        <v>0.041</v>
      </c>
      <c r="U267" s="549" t="n">
        <f aca="false">IF('(1)예금승인내역'!X893="","",'(1)예금승인내역'!X893)</f>
        <v>0.00254</v>
      </c>
      <c r="V267" s="531" t="n">
        <f aca="false">IF(ISNUMBER(N267),N267-$B$2,"")</f>
        <v>-323</v>
      </c>
      <c r="W267" s="531" t="str">
        <f aca="false">IF(AND(ISNUMBER(N267),N267&gt;=$B$2,N267&lt;=$B$2+10),N267*100000+ROW(),"")</f>
        <v/>
      </c>
      <c r="X267" s="531"/>
      <c r="Y267" s="531"/>
      <c r="Z267" s="531"/>
      <c r="AA267" s="531"/>
      <c r="AB267" s="531"/>
      <c r="AC267" s="531"/>
      <c r="AD267" s="531"/>
      <c r="AE267" s="531"/>
      <c r="AF267" s="531"/>
      <c r="AG267" s="531"/>
      <c r="AH267" s="531"/>
      <c r="AI267" s="531"/>
      <c r="AJ267" s="531"/>
      <c r="AK267" s="531"/>
      <c r="AL267" s="531"/>
      <c r="AM267" s="531"/>
      <c r="AN267" s="531"/>
    </row>
    <row r="268" customFormat="false" ht="16.5" hidden="false" customHeight="true" outlineLevel="0" collapsed="false">
      <c r="A268" s="531"/>
      <c r="B268" s="531"/>
      <c r="C268" s="531"/>
      <c r="D268" s="531"/>
      <c r="E268" s="531"/>
      <c r="F268" s="531"/>
      <c r="G268" s="531"/>
      <c r="H268" s="531"/>
      <c r="I268" s="531"/>
      <c r="J268" s="531"/>
      <c r="K268" s="531"/>
      <c r="L268" s="531"/>
      <c r="M268" s="531"/>
      <c r="N268" s="547" t="n">
        <f aca="false">IF('(1)예금승인내역'!H894="","",'(1)예금승인내역'!H894)</f>
        <v>45869</v>
      </c>
      <c r="O268" s="547" t="n">
        <f aca="false">IF('(1)예금승인내역'!G894="","",'(1)예금승인내역'!G894)</f>
        <v>45838</v>
      </c>
      <c r="P268" s="531" t="str">
        <f aca="false">IF('(1)예금승인내역'!F894="","",'(1)예금승인내역'!F894)</f>
        <v>㈜지엠메탈</v>
      </c>
      <c r="Q268" s="531" t="str">
        <f aca="false">IF('(1)예금승인내역'!C894="","",'(1)예금승인내역'!C894)</f>
        <v>이현공단영업부</v>
      </c>
      <c r="R268" s="531" t="str">
        <f aca="false">IF('(1)예금승인내역'!K894="","",'(1)예금승인내역'!K894)</f>
        <v>MMDA</v>
      </c>
      <c r="S268" s="548" t="n">
        <f aca="false">IF('(1)예금승인내역'!L894="","",'(1)예금승인내역'!L894)</f>
        <v>1.24</v>
      </c>
      <c r="T268" s="549" t="n">
        <f aca="false">IF('(1)예금승인내역'!AG894="","",'(1)예금승인내역'!AG894)</f>
        <v>0.035</v>
      </c>
      <c r="U268" s="549" t="n">
        <f aca="false">IF('(1)예금승인내역'!X894="","",'(1)예금승인내역'!X894)</f>
        <v>0.008083</v>
      </c>
      <c r="V268" s="531" t="n">
        <f aca="false">IF(ISNUMBER(N268),N268-$B$2,"")</f>
        <v>-320</v>
      </c>
      <c r="W268" s="531" t="str">
        <f aca="false">IF(AND(ISNUMBER(N268),N268&gt;=$B$2,N268&lt;=$B$2+10),N268*100000+ROW(),"")</f>
        <v/>
      </c>
      <c r="X268" s="531"/>
      <c r="Y268" s="531"/>
      <c r="Z268" s="531"/>
      <c r="AA268" s="531"/>
      <c r="AB268" s="531"/>
      <c r="AC268" s="531"/>
      <c r="AD268" s="531"/>
      <c r="AE268" s="531"/>
      <c r="AF268" s="531"/>
      <c r="AG268" s="531"/>
      <c r="AH268" s="531"/>
      <c r="AI268" s="531"/>
      <c r="AJ268" s="531"/>
      <c r="AK268" s="531"/>
      <c r="AL268" s="531"/>
      <c r="AM268" s="531"/>
      <c r="AN268" s="531"/>
    </row>
    <row r="269" customFormat="false" ht="16.5" hidden="false" customHeight="true" outlineLevel="0" collapsed="false">
      <c r="A269" s="531"/>
      <c r="B269" s="531"/>
      <c r="C269" s="531"/>
      <c r="D269" s="531"/>
      <c r="E269" s="531"/>
      <c r="F269" s="531"/>
      <c r="G269" s="531"/>
      <c r="H269" s="531"/>
      <c r="I269" s="531"/>
      <c r="J269" s="531"/>
      <c r="K269" s="531"/>
      <c r="L269" s="531"/>
      <c r="M269" s="531"/>
      <c r="N269" s="547" t="n">
        <f aca="false">IF('(1)예금승인내역'!H895="","",'(1)예금승인내역'!H895)</f>
        <v>45846</v>
      </c>
      <c r="O269" s="547" t="n">
        <f aca="false">IF('(1)예금승인내역'!G895="","",'(1)예금승인내역'!G895)</f>
        <v>45839</v>
      </c>
      <c r="P269" s="531" t="str">
        <f aca="false">IF('(1)예금승인내역'!F895="","",'(1)예금승인내역'!F895)</f>
        <v>㈜일지테크</v>
      </c>
      <c r="Q269" s="531" t="str">
        <f aca="false">IF('(1)예금승인내역'!C895="","",'(1)예금승인내역'!C895)</f>
        <v>경산공단영업부</v>
      </c>
      <c r="R269" s="531" t="str">
        <f aca="false">IF('(1)예금승인내역'!K895="","",'(1)예금승인내역'!K895)</f>
        <v>정기예금</v>
      </c>
      <c r="S269" s="548" t="n">
        <f aca="false">IF('(1)예금승인내역'!L895="","",'(1)예금승인내역'!L895)</f>
        <v>8.43</v>
      </c>
      <c r="T269" s="549" t="n">
        <f aca="false">IF('(1)예금승인내역'!AG895="","",'(1)예금승인내역'!AG895)</f>
        <v>0.038</v>
      </c>
      <c r="U269" s="549" t="n">
        <f aca="false">IF('(1)예금승인내역'!X895="","",'(1)예금승인내역'!X895)</f>
        <v>0.002365</v>
      </c>
      <c r="V269" s="531" t="n">
        <f aca="false">IF(ISNUMBER(N269),N269-$B$2,"")</f>
        <v>-343</v>
      </c>
      <c r="W269" s="531" t="str">
        <f aca="false">IF(AND(ISNUMBER(N269),N269&gt;=$B$2,N269&lt;=$B$2+10),N269*100000+ROW(),"")</f>
        <v/>
      </c>
      <c r="X269" s="531"/>
      <c r="Y269" s="531"/>
      <c r="Z269" s="531"/>
      <c r="AA269" s="531"/>
      <c r="AB269" s="531"/>
      <c r="AC269" s="531"/>
      <c r="AD269" s="531"/>
      <c r="AE269" s="531"/>
      <c r="AF269" s="531"/>
      <c r="AG269" s="531"/>
      <c r="AH269" s="531"/>
      <c r="AI269" s="531"/>
      <c r="AJ269" s="531"/>
      <c r="AK269" s="531"/>
      <c r="AL269" s="531"/>
      <c r="AM269" s="531"/>
      <c r="AN269" s="531"/>
    </row>
    <row r="270" customFormat="false" ht="16.5" hidden="false" customHeight="true" outlineLevel="0" collapsed="false">
      <c r="A270" s="531"/>
      <c r="B270" s="531"/>
      <c r="C270" s="531"/>
      <c r="D270" s="531"/>
      <c r="E270" s="531"/>
      <c r="F270" s="531"/>
      <c r="G270" s="531"/>
      <c r="H270" s="531"/>
      <c r="I270" s="531"/>
      <c r="J270" s="531"/>
      <c r="K270" s="531"/>
      <c r="L270" s="531"/>
      <c r="M270" s="531"/>
      <c r="N270" s="547" t="n">
        <f aca="false">IF('(1)예금승인내역'!H896="","",'(1)예금승인내역'!H896)</f>
        <v>45846</v>
      </c>
      <c r="O270" s="547" t="n">
        <f aca="false">IF('(1)예금승인내역'!G896="","",'(1)예금승인내역'!G896)</f>
        <v>45839</v>
      </c>
      <c r="P270" s="531" t="str">
        <f aca="false">IF('(1)예금승인내역'!F896="","",'(1)예금승인내역'!F896)</f>
        <v>㈜일지테크</v>
      </c>
      <c r="Q270" s="531" t="str">
        <f aca="false">IF('(1)예금승인내역'!C896="","",'(1)예금승인내역'!C896)</f>
        <v>경산공단영업부</v>
      </c>
      <c r="R270" s="531" t="str">
        <f aca="false">IF('(1)예금승인내역'!K896="","",'(1)예금승인내역'!K896)</f>
        <v>정기예금</v>
      </c>
      <c r="S270" s="548" t="n">
        <f aca="false">IF('(1)예금승인내역'!L896="","",'(1)예금승인내역'!L896)</f>
        <v>10</v>
      </c>
      <c r="T270" s="549" t="n">
        <f aca="false">IF('(1)예금승인내역'!AG896="","",'(1)예금승인내역'!AG896)</f>
        <v>0.038</v>
      </c>
      <c r="U270" s="549" t="n">
        <f aca="false">IF('(1)예금승인내역'!X896="","",'(1)예금승인내역'!X896)</f>
        <v>0.002365</v>
      </c>
      <c r="V270" s="531" t="n">
        <f aca="false">IF(ISNUMBER(N270),N270-$B$2,"")</f>
        <v>-343</v>
      </c>
      <c r="W270" s="531" t="str">
        <f aca="false">IF(AND(ISNUMBER(N270),N270&gt;=$B$2,N270&lt;=$B$2+10),N270*100000+ROW(),"")</f>
        <v/>
      </c>
      <c r="X270" s="531"/>
      <c r="Y270" s="531"/>
      <c r="Z270" s="531"/>
      <c r="AA270" s="531"/>
      <c r="AB270" s="531"/>
      <c r="AC270" s="531"/>
      <c r="AD270" s="531"/>
      <c r="AE270" s="531"/>
      <c r="AF270" s="531"/>
      <c r="AG270" s="531"/>
      <c r="AH270" s="531"/>
      <c r="AI270" s="531"/>
      <c r="AJ270" s="531"/>
      <c r="AK270" s="531"/>
      <c r="AL270" s="531"/>
      <c r="AM270" s="531"/>
      <c r="AN270" s="531"/>
    </row>
    <row r="271" customFormat="false" ht="16.5" hidden="false" customHeight="true" outlineLevel="0" collapsed="false">
      <c r="A271" s="531"/>
      <c r="B271" s="531"/>
      <c r="C271" s="531"/>
      <c r="D271" s="531"/>
      <c r="E271" s="531"/>
      <c r="F271" s="531"/>
      <c r="G271" s="531"/>
      <c r="H271" s="531"/>
      <c r="I271" s="531"/>
      <c r="J271" s="531"/>
      <c r="K271" s="531"/>
      <c r="L271" s="531"/>
      <c r="M271" s="531"/>
      <c r="N271" s="547" t="n">
        <f aca="false">IF('(1)예금승인내역'!H897="","",'(1)예금승인내역'!H897)</f>
        <v>45846</v>
      </c>
      <c r="O271" s="547" t="n">
        <f aca="false">IF('(1)예금승인내역'!G897="","",'(1)예금승인내역'!G897)</f>
        <v>45839</v>
      </c>
      <c r="P271" s="531" t="str">
        <f aca="false">IF('(1)예금승인내역'!F897="","",'(1)예금승인내역'!F897)</f>
        <v>㈜일지테크</v>
      </c>
      <c r="Q271" s="531" t="str">
        <f aca="false">IF('(1)예금승인내역'!C897="","",'(1)예금승인내역'!C897)</f>
        <v>경산공단영업부</v>
      </c>
      <c r="R271" s="531" t="str">
        <f aca="false">IF('(1)예금승인내역'!K897="","",'(1)예금승인내역'!K897)</f>
        <v>정기예금</v>
      </c>
      <c r="S271" s="548" t="n">
        <f aca="false">IF('(1)예금승인내역'!L897="","",'(1)예금승인내역'!L897)</f>
        <v>10</v>
      </c>
      <c r="T271" s="549" t="n">
        <f aca="false">IF('(1)예금승인내역'!AG897="","",'(1)예금승인내역'!AG897)</f>
        <v>0.038</v>
      </c>
      <c r="U271" s="549" t="n">
        <f aca="false">IF('(1)예금승인내역'!X897="","",'(1)예금승인내역'!X897)</f>
        <v>0.002365</v>
      </c>
      <c r="V271" s="531" t="n">
        <f aca="false">IF(ISNUMBER(N271),N271-$B$2,"")</f>
        <v>-343</v>
      </c>
      <c r="W271" s="531" t="str">
        <f aca="false">IF(AND(ISNUMBER(N271),N271&gt;=$B$2,N271&lt;=$B$2+10),N271*100000+ROW(),"")</f>
        <v/>
      </c>
      <c r="X271" s="531"/>
      <c r="Y271" s="531"/>
      <c r="Z271" s="531"/>
      <c r="AA271" s="531"/>
      <c r="AB271" s="531"/>
      <c r="AC271" s="531"/>
      <c r="AD271" s="531"/>
      <c r="AE271" s="531"/>
      <c r="AF271" s="531"/>
      <c r="AG271" s="531"/>
      <c r="AH271" s="531"/>
      <c r="AI271" s="531"/>
      <c r="AJ271" s="531"/>
      <c r="AK271" s="531"/>
      <c r="AL271" s="531"/>
      <c r="AM271" s="531"/>
      <c r="AN271" s="531"/>
    </row>
    <row r="272" customFormat="false" ht="16.5" hidden="false" customHeight="true" outlineLevel="0" collapsed="false">
      <c r="A272" s="531"/>
      <c r="B272" s="531"/>
      <c r="C272" s="531"/>
      <c r="D272" s="531"/>
      <c r="E272" s="531"/>
      <c r="F272" s="531"/>
      <c r="G272" s="531"/>
      <c r="H272" s="531"/>
      <c r="I272" s="531"/>
      <c r="J272" s="531"/>
      <c r="K272" s="531"/>
      <c r="L272" s="531"/>
      <c r="M272" s="531"/>
      <c r="N272" s="547" t="n">
        <f aca="false">IF('(1)예금승인내역'!H898="","",'(1)예금승인내역'!H898)</f>
        <v>45931</v>
      </c>
      <c r="O272" s="547" t="n">
        <f aca="false">IF('(1)예금승인내역'!G898="","",'(1)예금승인내역'!G898)</f>
        <v>45842</v>
      </c>
      <c r="P272" s="531" t="str">
        <f aca="false">IF('(1)예금승인내역'!F898="","",'(1)예금승인내역'!F898)</f>
        <v>에스엠상선㈜</v>
      </c>
      <c r="Q272" s="531" t="str">
        <f aca="false">IF('(1)예금승인내역'!C898="","",'(1)예금승인내역'!C898)</f>
        <v>강남영업부</v>
      </c>
      <c r="R272" s="531" t="str">
        <f aca="false">IF('(1)예금승인내역'!K898="","",'(1)예금승인내역'!K898)</f>
        <v>정기예금</v>
      </c>
      <c r="S272" s="548" t="n">
        <f aca="false">IF('(1)예금승인내역'!L898="","",'(1)예금승인내역'!L898)</f>
        <v>10</v>
      </c>
      <c r="T272" s="549" t="n">
        <f aca="false">IF('(1)예금승인내역'!AG898="","",'(1)예금승인내역'!AG898)</f>
        <v>0.0425</v>
      </c>
      <c r="U272" s="549" t="n">
        <f aca="false">IF('(1)예금승인내역'!X898="","",'(1)예금승인내역'!X898)</f>
        <v>0.002152</v>
      </c>
      <c r="V272" s="531" t="n">
        <f aca="false">IF(ISNUMBER(N272),N272-$B$2,"")</f>
        <v>-258</v>
      </c>
      <c r="W272" s="531" t="str">
        <f aca="false">IF(AND(ISNUMBER(N272),N272&gt;=$B$2,N272&lt;=$B$2+10),N272*100000+ROW(),"")</f>
        <v/>
      </c>
      <c r="X272" s="531"/>
      <c r="Y272" s="531"/>
      <c r="Z272" s="531"/>
      <c r="AA272" s="531"/>
      <c r="AB272" s="531"/>
      <c r="AC272" s="531"/>
      <c r="AD272" s="531"/>
      <c r="AE272" s="531"/>
      <c r="AF272" s="531"/>
      <c r="AG272" s="531"/>
      <c r="AH272" s="531"/>
      <c r="AI272" s="531"/>
      <c r="AJ272" s="531"/>
      <c r="AK272" s="531"/>
      <c r="AL272" s="531"/>
      <c r="AM272" s="531"/>
      <c r="AN272" s="531"/>
    </row>
    <row r="273" customFormat="false" ht="16.5" hidden="false" customHeight="true" outlineLevel="0" collapsed="false">
      <c r="A273" s="531"/>
      <c r="B273" s="531"/>
      <c r="C273" s="531"/>
      <c r="D273" s="531"/>
      <c r="E273" s="531"/>
      <c r="F273" s="531"/>
      <c r="G273" s="531"/>
      <c r="H273" s="531"/>
      <c r="I273" s="531"/>
      <c r="J273" s="531"/>
      <c r="K273" s="531"/>
      <c r="L273" s="531"/>
      <c r="M273" s="531"/>
      <c r="N273" s="547" t="n">
        <f aca="false">IF('(1)예금승인내역'!H899="","",'(1)예금승인내역'!H899)</f>
        <v>45853</v>
      </c>
      <c r="O273" s="547" t="n">
        <f aca="false">IF('(1)예금승인내역'!G899="","",'(1)예금승인내역'!G899)</f>
        <v>45846</v>
      </c>
      <c r="P273" s="531" t="str">
        <f aca="false">IF('(1)예금승인내역'!F899="","",'(1)예금승인내역'!F899)</f>
        <v>㈜일지테크</v>
      </c>
      <c r="Q273" s="531" t="str">
        <f aca="false">IF('(1)예금승인내역'!C899="","",'(1)예금승인내역'!C899)</f>
        <v>경산공단영업부</v>
      </c>
      <c r="R273" s="531" t="str">
        <f aca="false">IF('(1)예금승인내역'!K899="","",'(1)예금승인내역'!K899)</f>
        <v>정기예금</v>
      </c>
      <c r="S273" s="548" t="n">
        <f aca="false">IF('(1)예금승인내역'!L899="","",'(1)예금승인내역'!L899)</f>
        <v>10</v>
      </c>
      <c r="T273" s="549" t="n">
        <f aca="false">IF('(1)예금승인내역'!AG899="","",'(1)예금승인내역'!AG899)</f>
        <v>0.038</v>
      </c>
      <c r="U273" s="549" t="n">
        <f aca="false">IF('(1)예금승인내역'!X899="","",'(1)예금승인내역'!X899)</f>
        <v>0.002357</v>
      </c>
      <c r="V273" s="531" t="n">
        <f aca="false">IF(ISNUMBER(N273),N273-$B$2,"")</f>
        <v>-336</v>
      </c>
      <c r="W273" s="531" t="str">
        <f aca="false">IF(AND(ISNUMBER(N273),N273&gt;=$B$2,N273&lt;=$B$2+10),N273*100000+ROW(),"")</f>
        <v/>
      </c>
      <c r="X273" s="531"/>
      <c r="Y273" s="531"/>
      <c r="Z273" s="531"/>
      <c r="AA273" s="531"/>
      <c r="AB273" s="531"/>
      <c r="AC273" s="531"/>
      <c r="AD273" s="531"/>
      <c r="AE273" s="531"/>
      <c r="AF273" s="531"/>
      <c r="AG273" s="531"/>
      <c r="AH273" s="531"/>
      <c r="AI273" s="531"/>
      <c r="AJ273" s="531"/>
      <c r="AK273" s="531"/>
      <c r="AL273" s="531"/>
      <c r="AM273" s="531"/>
      <c r="AN273" s="531"/>
    </row>
    <row r="274" customFormat="false" ht="16.5" hidden="false" customHeight="true" outlineLevel="0" collapsed="false">
      <c r="A274" s="531"/>
      <c r="B274" s="531"/>
      <c r="C274" s="531"/>
      <c r="D274" s="531"/>
      <c r="E274" s="531"/>
      <c r="F274" s="531"/>
      <c r="G274" s="531"/>
      <c r="H274" s="531"/>
      <c r="I274" s="531"/>
      <c r="J274" s="531"/>
      <c r="K274" s="531"/>
      <c r="L274" s="531"/>
      <c r="M274" s="531"/>
      <c r="N274" s="547" t="n">
        <f aca="false">IF('(1)예금승인내역'!H900="","",'(1)예금승인내역'!H900)</f>
        <v>45880</v>
      </c>
      <c r="O274" s="547" t="n">
        <f aca="false">IF('(1)예금승인내역'!G900="","",'(1)예금승인내역'!G900)</f>
        <v>45847</v>
      </c>
      <c r="P274" s="531" t="str">
        <f aca="false">IF('(1)예금승인내역'!F900="","",'(1)예금승인내역'!F900)</f>
        <v>주식회사 한국비앤씨</v>
      </c>
      <c r="Q274" s="531" t="str">
        <f aca="false">IF('(1)예금승인내역'!C900="","",'(1)예금승인내역'!C900)</f>
        <v>유통단지영업부</v>
      </c>
      <c r="R274" s="531" t="str">
        <f aca="false">IF('(1)예금승인내역'!K900="","",'(1)예금승인내역'!K900)</f>
        <v>MMDA</v>
      </c>
      <c r="S274" s="548" t="n">
        <f aca="false">IF('(1)예금승인내역'!L900="","",'(1)예금승인내역'!L900)</f>
        <v>6.56</v>
      </c>
      <c r="T274" s="549" t="n">
        <f aca="false">IF('(1)예금승인내역'!AG900="","",'(1)예금승인내역'!AG900)</f>
        <v>0.0375</v>
      </c>
      <c r="U274" s="549" t="n">
        <f aca="false">IF('(1)예금승인내역'!X900="","",'(1)예금승인내역'!X900)</f>
        <v>0.005873</v>
      </c>
      <c r="V274" s="531" t="n">
        <f aca="false">IF(ISNUMBER(N274),N274-$B$2,"")</f>
        <v>-309</v>
      </c>
      <c r="W274" s="531" t="str">
        <f aca="false">IF(AND(ISNUMBER(N274),N274&gt;=$B$2,N274&lt;=$B$2+10),N274*100000+ROW(),"")</f>
        <v/>
      </c>
      <c r="X274" s="531"/>
      <c r="Y274" s="531"/>
      <c r="Z274" s="531"/>
      <c r="AA274" s="531"/>
      <c r="AB274" s="531"/>
      <c r="AC274" s="531"/>
      <c r="AD274" s="531"/>
      <c r="AE274" s="531"/>
      <c r="AF274" s="531"/>
      <c r="AG274" s="531"/>
      <c r="AH274" s="531"/>
      <c r="AI274" s="531"/>
      <c r="AJ274" s="531"/>
      <c r="AK274" s="531"/>
      <c r="AL274" s="531"/>
      <c r="AM274" s="531"/>
      <c r="AN274" s="531"/>
    </row>
    <row r="275" customFormat="false" ht="16.5" hidden="false" customHeight="true" outlineLevel="0" collapsed="false">
      <c r="A275" s="531"/>
      <c r="B275" s="531"/>
      <c r="C275" s="531"/>
      <c r="D275" s="531"/>
      <c r="E275" s="531"/>
      <c r="F275" s="531"/>
      <c r="G275" s="531"/>
      <c r="H275" s="531"/>
      <c r="I275" s="531"/>
      <c r="J275" s="531"/>
      <c r="K275" s="531"/>
      <c r="L275" s="531"/>
      <c r="M275" s="531"/>
      <c r="N275" s="547" t="n">
        <f aca="false">IF('(1)예금승인내역'!H901="","",'(1)예금승인내역'!H901)</f>
        <v>45877</v>
      </c>
      <c r="O275" s="547" t="n">
        <f aca="false">IF('(1)예금승인내역'!G901="","",'(1)예금승인내역'!G901)</f>
        <v>45847</v>
      </c>
      <c r="P275" s="531" t="str">
        <f aca="false">IF('(1)예금승인내역'!F901="","",'(1)예금승인내역'!F901)</f>
        <v>㈜이수스페셜티케미컬</v>
      </c>
      <c r="Q275" s="531" t="str">
        <f aca="false">IF('(1)예금승인내역'!C901="","",'(1)예금승인내역'!C901)</f>
        <v>성남영업부</v>
      </c>
      <c r="R275" s="531" t="str">
        <f aca="false">IF('(1)예금승인내역'!K901="","",'(1)예금승인내역'!K901)</f>
        <v>MMDA</v>
      </c>
      <c r="S275" s="548" t="n">
        <f aca="false">IF('(1)예금승인내역'!L901="","",'(1)예금승인내역'!L901)</f>
        <v>2.5</v>
      </c>
      <c r="T275" s="549" t="n">
        <f aca="false">IF('(1)예금승인내역'!AG901="","",'(1)예금승인내역'!AG901)</f>
        <v>0.0375</v>
      </c>
      <c r="U275" s="549" t="n">
        <f aca="false">IF('(1)예금승인내역'!X901="","",'(1)예금승인내역'!X901)</f>
        <v>0.005873</v>
      </c>
      <c r="V275" s="531" t="n">
        <f aca="false">IF(ISNUMBER(N275),N275-$B$2,"")</f>
        <v>-312</v>
      </c>
      <c r="W275" s="531" t="str">
        <f aca="false">IF(AND(ISNUMBER(N275),N275&gt;=$B$2,N275&lt;=$B$2+10),N275*100000+ROW(),"")</f>
        <v/>
      </c>
      <c r="X275" s="531"/>
      <c r="Y275" s="531"/>
      <c r="Z275" s="531"/>
      <c r="AA275" s="531"/>
      <c r="AB275" s="531"/>
      <c r="AC275" s="531"/>
      <c r="AD275" s="531"/>
      <c r="AE275" s="531"/>
      <c r="AF275" s="531"/>
      <c r="AG275" s="531"/>
      <c r="AH275" s="531"/>
      <c r="AI275" s="531"/>
      <c r="AJ275" s="531"/>
      <c r="AK275" s="531"/>
      <c r="AL275" s="531"/>
      <c r="AM275" s="531"/>
      <c r="AN275" s="531"/>
    </row>
    <row r="276" customFormat="false" ht="16.5" hidden="false" customHeight="true" outlineLevel="0" collapsed="false">
      <c r="A276" s="531"/>
      <c r="B276" s="531"/>
      <c r="C276" s="531"/>
      <c r="D276" s="531"/>
      <c r="E276" s="531"/>
      <c r="F276" s="531"/>
      <c r="G276" s="531"/>
      <c r="H276" s="531"/>
      <c r="I276" s="531"/>
      <c r="J276" s="531"/>
      <c r="K276" s="531"/>
      <c r="L276" s="531"/>
      <c r="M276" s="531"/>
      <c r="N276" s="547" t="n">
        <f aca="false">IF('(1)예금승인내역'!H902="","",'(1)예금승인내역'!H902)</f>
        <v>45882</v>
      </c>
      <c r="O276" s="547" t="n">
        <f aca="false">IF('(1)예금승인내역'!G902="","",'(1)예금승인내역'!G902)</f>
        <v>45848</v>
      </c>
      <c r="P276" s="531" t="str">
        <f aca="false">IF('(1)예금승인내역'!F902="","",'(1)예금승인내역'!F902)</f>
        <v>에스엠상선㈜</v>
      </c>
      <c r="Q276" s="531" t="str">
        <f aca="false">IF('(1)예금승인내역'!C902="","",'(1)예금승인내역'!C902)</f>
        <v>강남영업부</v>
      </c>
      <c r="R276" s="531" t="str">
        <f aca="false">IF('(1)예금승인내역'!K902="","",'(1)예금승인내역'!K902)</f>
        <v>정기예금</v>
      </c>
      <c r="S276" s="548" t="n">
        <f aca="false">IF('(1)예금승인내역'!L902="","",'(1)예금승인내역'!L902)</f>
        <v>10</v>
      </c>
      <c r="T276" s="549" t="n">
        <f aca="false">IF('(1)예금승인내역'!AG902="","",'(1)예금승인내역'!AG902)</f>
        <v>0.0415</v>
      </c>
      <c r="U276" s="549" t="n">
        <f aca="false">IF('(1)예금승인내역'!X902="","",'(1)예금승인내역'!X902)</f>
        <v>0.002315</v>
      </c>
      <c r="V276" s="531" t="n">
        <f aca="false">IF(ISNUMBER(N276),N276-$B$2,"")</f>
        <v>-307</v>
      </c>
      <c r="W276" s="531" t="str">
        <f aca="false">IF(AND(ISNUMBER(N276),N276&gt;=$B$2,N276&lt;=$B$2+10),N276*100000+ROW(),"")</f>
        <v/>
      </c>
      <c r="X276" s="531"/>
      <c r="Y276" s="531"/>
      <c r="Z276" s="531"/>
      <c r="AA276" s="531"/>
      <c r="AB276" s="531"/>
      <c r="AC276" s="531"/>
      <c r="AD276" s="531"/>
      <c r="AE276" s="531"/>
      <c r="AF276" s="531"/>
      <c r="AG276" s="531"/>
      <c r="AH276" s="531"/>
      <c r="AI276" s="531"/>
      <c r="AJ276" s="531"/>
      <c r="AK276" s="531"/>
      <c r="AL276" s="531"/>
      <c r="AM276" s="531"/>
      <c r="AN276" s="531"/>
    </row>
    <row r="277" customFormat="false" ht="16.5" hidden="false" customHeight="true" outlineLevel="0" collapsed="false">
      <c r="A277" s="531"/>
      <c r="B277" s="531"/>
      <c r="C277" s="531"/>
      <c r="D277" s="531"/>
      <c r="E277" s="531"/>
      <c r="F277" s="531"/>
      <c r="G277" s="531"/>
      <c r="H277" s="531"/>
      <c r="I277" s="531"/>
      <c r="J277" s="531"/>
      <c r="K277" s="531"/>
      <c r="L277" s="531"/>
      <c r="M277" s="531"/>
      <c r="N277" s="547" t="n">
        <f aca="false">IF('(1)예금승인내역'!H903="","",'(1)예금승인내역'!H903)</f>
        <v>45880</v>
      </c>
      <c r="O277" s="547" t="n">
        <f aca="false">IF('(1)예금승인내역'!G903="","",'(1)예금승인내역'!G903)</f>
        <v>45849</v>
      </c>
      <c r="P277" s="531" t="str">
        <f aca="false">IF('(1)예금승인내역'!F903="","",'(1)예금승인내역'!F903)</f>
        <v>한국비철㈜</v>
      </c>
      <c r="Q277" s="531" t="str">
        <f aca="false">IF('(1)예금승인내역'!C903="","",'(1)예금승인내역'!C903)</f>
        <v>달성공단영업부</v>
      </c>
      <c r="R277" s="531" t="str">
        <f aca="false">IF('(1)예금승인내역'!K903="","",'(1)예금승인내역'!K903)</f>
        <v>MMDA</v>
      </c>
      <c r="S277" s="548" t="n">
        <f aca="false">IF('(1)예금승인내역'!L903="","",'(1)예금승인내역'!L903)</f>
        <v>1.8</v>
      </c>
      <c r="T277" s="549" t="n">
        <f aca="false">IF('(1)예금승인내역'!AG903="","",'(1)예금승인내역'!AG903)</f>
        <v>0.0375</v>
      </c>
      <c r="U277" s="549" t="n">
        <f aca="false">IF('(1)예금승인내역'!X903="","",'(1)예금승인내역'!X903)</f>
        <v>0.004622</v>
      </c>
      <c r="V277" s="531" t="n">
        <f aca="false">IF(ISNUMBER(N277),N277-$B$2,"")</f>
        <v>-309</v>
      </c>
      <c r="W277" s="531" t="str">
        <f aca="false">IF(AND(ISNUMBER(N277),N277&gt;=$B$2,N277&lt;=$B$2+10),N277*100000+ROW(),"")</f>
        <v/>
      </c>
      <c r="X277" s="531"/>
      <c r="Y277" s="531"/>
      <c r="Z277" s="531"/>
      <c r="AA277" s="531"/>
      <c r="AB277" s="531"/>
      <c r="AC277" s="531"/>
      <c r="AD277" s="531"/>
      <c r="AE277" s="531"/>
      <c r="AF277" s="531"/>
      <c r="AG277" s="531"/>
      <c r="AH277" s="531"/>
      <c r="AI277" s="531"/>
      <c r="AJ277" s="531"/>
      <c r="AK277" s="531"/>
      <c r="AL277" s="531"/>
      <c r="AM277" s="531"/>
      <c r="AN277" s="531"/>
    </row>
    <row r="278" customFormat="false" ht="16.5" hidden="false" customHeight="true" outlineLevel="0" collapsed="false">
      <c r="A278" s="531"/>
      <c r="B278" s="531"/>
      <c r="C278" s="531"/>
      <c r="D278" s="531"/>
      <c r="E278" s="531"/>
      <c r="F278" s="531"/>
      <c r="G278" s="531"/>
      <c r="H278" s="531"/>
      <c r="I278" s="531"/>
      <c r="J278" s="531"/>
      <c r="K278" s="531"/>
      <c r="L278" s="531"/>
      <c r="M278" s="531"/>
      <c r="N278" s="547" t="n">
        <f aca="false">IF('(1)예금승인내역'!H904="","",'(1)예금승인내역'!H904)</f>
        <v>45880</v>
      </c>
      <c r="O278" s="547" t="n">
        <f aca="false">IF('(1)예금승인내역'!G904="","",'(1)예금승인내역'!G904)</f>
        <v>45849</v>
      </c>
      <c r="P278" s="531" t="str">
        <f aca="false">IF('(1)예금승인내역'!F904="","",'(1)예금승인내역'!F904)</f>
        <v>한국비철㈜</v>
      </c>
      <c r="Q278" s="531" t="str">
        <f aca="false">IF('(1)예금승인내역'!C904="","",'(1)예금승인내역'!C904)</f>
        <v>달성공단영업부</v>
      </c>
      <c r="R278" s="531" t="str">
        <f aca="false">IF('(1)예금승인내역'!K904="","",'(1)예금승인내역'!K904)</f>
        <v>정기예금</v>
      </c>
      <c r="S278" s="548" t="n">
        <f aca="false">IF('(1)예금승인내역'!L904="","",'(1)예금승인내역'!L904)</f>
        <v>11</v>
      </c>
      <c r="T278" s="549" t="n">
        <f aca="false">IF('(1)예금승인내역'!AG904="","",'(1)예금승인내역'!AG904)</f>
        <v>0.0402</v>
      </c>
      <c r="U278" s="549" t="n">
        <f aca="false">IF('(1)예금승인내역'!X904="","",'(1)예금승인내역'!X904)</f>
        <v>0.003627</v>
      </c>
      <c r="V278" s="531" t="n">
        <f aca="false">IF(ISNUMBER(N278),N278-$B$2,"")</f>
        <v>-309</v>
      </c>
      <c r="W278" s="531" t="str">
        <f aca="false">IF(AND(ISNUMBER(N278),N278&gt;=$B$2,N278&lt;=$B$2+10),N278*100000+ROW(),"")</f>
        <v/>
      </c>
      <c r="X278" s="531"/>
      <c r="Y278" s="531"/>
      <c r="Z278" s="531"/>
      <c r="AA278" s="531"/>
      <c r="AB278" s="531"/>
      <c r="AC278" s="531"/>
      <c r="AD278" s="531"/>
      <c r="AE278" s="531"/>
      <c r="AF278" s="531"/>
      <c r="AG278" s="531"/>
      <c r="AH278" s="531"/>
      <c r="AI278" s="531"/>
      <c r="AJ278" s="531"/>
      <c r="AK278" s="531"/>
      <c r="AL278" s="531"/>
      <c r="AM278" s="531"/>
      <c r="AN278" s="531"/>
    </row>
    <row r="279" customFormat="false" ht="16.5" hidden="false" customHeight="true" outlineLevel="0" collapsed="false">
      <c r="A279" s="531"/>
      <c r="B279" s="531"/>
      <c r="C279" s="531"/>
      <c r="D279" s="531"/>
      <c r="E279" s="531"/>
      <c r="F279" s="531"/>
      <c r="G279" s="531"/>
      <c r="H279" s="531"/>
      <c r="I279" s="531"/>
      <c r="J279" s="531"/>
      <c r="K279" s="531"/>
      <c r="L279" s="531"/>
      <c r="M279" s="531"/>
      <c r="N279" s="547" t="n">
        <f aca="false">IF('(1)예금승인내역'!H905="","",'(1)예금승인내역'!H905)</f>
        <v>45880</v>
      </c>
      <c r="O279" s="547" t="n">
        <f aca="false">IF('(1)예금승인내역'!G905="","",'(1)예금승인내역'!G905)</f>
        <v>45849</v>
      </c>
      <c r="P279" s="531" t="str">
        <f aca="false">IF('(1)예금승인내역'!F905="","",'(1)예금승인내역'!F905)</f>
        <v>한국비철㈜</v>
      </c>
      <c r="Q279" s="531" t="str">
        <f aca="false">IF('(1)예금승인내역'!C905="","",'(1)예금승인내역'!C905)</f>
        <v>달성공단영업부</v>
      </c>
      <c r="R279" s="531" t="str">
        <f aca="false">IF('(1)예금승인내역'!K905="","",'(1)예금승인내역'!K905)</f>
        <v>정기예금</v>
      </c>
      <c r="S279" s="548" t="n">
        <f aca="false">IF('(1)예금승인내역'!L905="","",'(1)예금승인내역'!L905)</f>
        <v>1.5</v>
      </c>
      <c r="T279" s="549" t="n">
        <f aca="false">IF('(1)예금승인내역'!AG905="","",'(1)예금승인내역'!AG905)</f>
        <v>0.0402</v>
      </c>
      <c r="U279" s="549" t="n">
        <f aca="false">IF('(1)예금승인내역'!X905="","",'(1)예금승인내역'!X905)</f>
        <v>0.003627</v>
      </c>
      <c r="V279" s="531" t="n">
        <f aca="false">IF(ISNUMBER(N279),N279-$B$2,"")</f>
        <v>-309</v>
      </c>
      <c r="W279" s="531" t="str">
        <f aca="false">IF(AND(ISNUMBER(N279),N279&gt;=$B$2,N279&lt;=$B$2+10),N279*100000+ROW(),"")</f>
        <v/>
      </c>
      <c r="X279" s="531"/>
      <c r="Y279" s="531"/>
      <c r="Z279" s="531"/>
      <c r="AA279" s="531"/>
      <c r="AB279" s="531"/>
      <c r="AC279" s="531"/>
      <c r="AD279" s="531"/>
      <c r="AE279" s="531"/>
      <c r="AF279" s="531"/>
      <c r="AG279" s="531"/>
      <c r="AH279" s="531"/>
      <c r="AI279" s="531"/>
      <c r="AJ279" s="531"/>
      <c r="AK279" s="531"/>
      <c r="AL279" s="531"/>
      <c r="AM279" s="531"/>
      <c r="AN279" s="531"/>
    </row>
    <row r="280" customFormat="false" ht="16.5" hidden="false" customHeight="true" outlineLevel="0" collapsed="false">
      <c r="A280" s="531"/>
      <c r="B280" s="531"/>
      <c r="C280" s="531"/>
      <c r="D280" s="531"/>
      <c r="E280" s="531"/>
      <c r="F280" s="531"/>
      <c r="G280" s="531"/>
      <c r="H280" s="531"/>
      <c r="I280" s="531"/>
      <c r="J280" s="531"/>
      <c r="K280" s="531"/>
      <c r="L280" s="531"/>
      <c r="M280" s="531"/>
      <c r="N280" s="547" t="n">
        <f aca="false">IF('(1)예금승인내역'!H906="","",'(1)예금승인내역'!H906)</f>
        <v>45883</v>
      </c>
      <c r="O280" s="547" t="n">
        <f aca="false">IF('(1)예금승인내역'!G906="","",'(1)예금승인내역'!G906)</f>
        <v>45852</v>
      </c>
      <c r="P280" s="531" t="str">
        <f aca="false">IF('(1)예금승인내역'!F906="","",'(1)예금승인내역'!F906)</f>
        <v>대원지에스아이</v>
      </c>
      <c r="Q280" s="531" t="str">
        <f aca="false">IF('(1)예금승인내역'!C906="","",'(1)예금승인내역'!C906)</f>
        <v>유통단지영업부</v>
      </c>
      <c r="R280" s="531" t="str">
        <f aca="false">IF('(1)예금승인내역'!K906="","",'(1)예금승인내역'!K906)</f>
        <v>정기예금</v>
      </c>
      <c r="S280" s="548" t="n">
        <f aca="false">IF('(1)예금승인내역'!L906="","",'(1)예금승인내역'!L906)</f>
        <v>1.5</v>
      </c>
      <c r="T280" s="549" t="n">
        <f aca="false">IF('(1)예금승인내역'!AG906="","",'(1)예금승인내역'!AG906)</f>
        <v>0.041</v>
      </c>
      <c r="U280" s="549" t="n">
        <f aca="false">IF('(1)예금승인내역'!X906="","",'(1)예금승인내역'!X906)</f>
        <v>0.002741</v>
      </c>
      <c r="V280" s="531" t="n">
        <f aca="false">IF(ISNUMBER(N280),N280-$B$2,"")</f>
        <v>-306</v>
      </c>
      <c r="W280" s="531" t="str">
        <f aca="false">IF(AND(ISNUMBER(N280),N280&gt;=$B$2,N280&lt;=$B$2+10),N280*100000+ROW(),"")</f>
        <v/>
      </c>
      <c r="X280" s="531"/>
      <c r="Y280" s="531"/>
      <c r="Z280" s="531"/>
      <c r="AA280" s="531"/>
      <c r="AB280" s="531"/>
      <c r="AC280" s="531"/>
      <c r="AD280" s="531"/>
      <c r="AE280" s="531"/>
      <c r="AF280" s="531"/>
      <c r="AG280" s="531"/>
      <c r="AH280" s="531"/>
      <c r="AI280" s="531"/>
      <c r="AJ280" s="531"/>
      <c r="AK280" s="531"/>
      <c r="AL280" s="531"/>
      <c r="AM280" s="531"/>
      <c r="AN280" s="531"/>
    </row>
    <row r="281" customFormat="false" ht="16.5" hidden="false" customHeight="true" outlineLevel="0" collapsed="false">
      <c r="A281" s="531"/>
      <c r="B281" s="531"/>
      <c r="C281" s="531"/>
      <c r="D281" s="531"/>
      <c r="E281" s="531"/>
      <c r="F281" s="531"/>
      <c r="G281" s="531"/>
      <c r="H281" s="531"/>
      <c r="I281" s="531"/>
      <c r="J281" s="531"/>
      <c r="K281" s="531"/>
      <c r="L281" s="531"/>
      <c r="M281" s="531"/>
      <c r="N281" s="547" t="n">
        <f aca="false">IF('(1)예금승인내역'!H907="","",'(1)예금승인내역'!H907)</f>
        <v>45883</v>
      </c>
      <c r="O281" s="547" t="n">
        <f aca="false">IF('(1)예금승인내역'!G907="","",'(1)예금승인내역'!G907)</f>
        <v>45852</v>
      </c>
      <c r="P281" s="531" t="str">
        <f aca="false">IF('(1)예금승인내역'!F907="","",'(1)예금승인내역'!F907)</f>
        <v>와이투솔루션</v>
      </c>
      <c r="Q281" s="531" t="str">
        <f aca="false">IF('(1)예금승인내역'!C907="","",'(1)예금승인내역'!C907)</f>
        <v>화성금융센터</v>
      </c>
      <c r="R281" s="531" t="str">
        <f aca="false">IF('(1)예금승인내역'!K907="","",'(1)예금승인내역'!K907)</f>
        <v>MMDA</v>
      </c>
      <c r="S281" s="548" t="n">
        <f aca="false">IF('(1)예금승인내역'!L907="","",'(1)예금승인내역'!L907)</f>
        <v>1</v>
      </c>
      <c r="T281" s="549" t="n">
        <f aca="false">IF('(1)예금승인내역'!AG907="","",'(1)예금승인내역'!AG907)</f>
        <v>0.0375</v>
      </c>
      <c r="U281" s="549" t="n">
        <f aca="false">IF('(1)예금승인내역'!X907="","",'(1)예금승인내역'!X907)</f>
        <v>0.004508</v>
      </c>
      <c r="V281" s="531" t="n">
        <f aca="false">IF(ISNUMBER(N281),N281-$B$2,"")</f>
        <v>-306</v>
      </c>
      <c r="W281" s="531" t="str">
        <f aca="false">IF(AND(ISNUMBER(N281),N281&gt;=$B$2,N281&lt;=$B$2+10),N281*100000+ROW(),"")</f>
        <v/>
      </c>
      <c r="X281" s="531"/>
      <c r="Y281" s="531"/>
      <c r="Z281" s="531"/>
      <c r="AA281" s="531"/>
      <c r="AB281" s="531"/>
      <c r="AC281" s="531"/>
      <c r="AD281" s="531"/>
      <c r="AE281" s="531"/>
      <c r="AF281" s="531"/>
      <c r="AG281" s="531"/>
      <c r="AH281" s="531"/>
      <c r="AI281" s="531"/>
      <c r="AJ281" s="531"/>
      <c r="AK281" s="531"/>
      <c r="AL281" s="531"/>
      <c r="AM281" s="531"/>
      <c r="AN281" s="531"/>
    </row>
    <row r="282" customFormat="false" ht="16.5" hidden="false" customHeight="true" outlineLevel="0" collapsed="false">
      <c r="A282" s="531"/>
      <c r="B282" s="531"/>
      <c r="C282" s="531"/>
      <c r="D282" s="531"/>
      <c r="E282" s="531"/>
      <c r="F282" s="531"/>
      <c r="G282" s="531"/>
      <c r="H282" s="531"/>
      <c r="I282" s="531"/>
      <c r="J282" s="531"/>
      <c r="K282" s="531"/>
      <c r="L282" s="531"/>
      <c r="M282" s="531"/>
      <c r="N282" s="547" t="n">
        <f aca="false">IF('(1)예금승인내역'!H908="","",'(1)예금승인내역'!H908)</f>
        <v>45860</v>
      </c>
      <c r="O282" s="547" t="n">
        <f aca="false">IF('(1)예금승인내역'!G908="","",'(1)예금승인내역'!G908)</f>
        <v>45853</v>
      </c>
      <c r="P282" s="531" t="str">
        <f aca="false">IF('(1)예금승인내역'!F908="","",'(1)예금승인내역'!F908)</f>
        <v>㈜일지테크</v>
      </c>
      <c r="Q282" s="531" t="str">
        <f aca="false">IF('(1)예금승인내역'!C908="","",'(1)예금승인내역'!C908)</f>
        <v>경산공단영업부</v>
      </c>
      <c r="R282" s="531" t="str">
        <f aca="false">IF('(1)예금승인내역'!K908="","",'(1)예금승인내역'!K908)</f>
        <v>정기예금</v>
      </c>
      <c r="S282" s="548" t="n">
        <f aca="false">IF('(1)예금승인내역'!L908="","",'(1)예금승인내역'!L908)</f>
        <v>10</v>
      </c>
      <c r="T282" s="549" t="n">
        <f aca="false">IF('(1)예금승인내역'!AG908="","",'(1)예금승인내역'!AG908)</f>
        <v>0.0376</v>
      </c>
      <c r="U282" s="549" t="n">
        <f aca="false">IF('(1)예금승인내역'!X908="","",'(1)예금승인내역'!X908)</f>
        <v>0.00207</v>
      </c>
      <c r="V282" s="531" t="n">
        <f aca="false">IF(ISNUMBER(N282),N282-$B$2,"")</f>
        <v>-329</v>
      </c>
      <c r="W282" s="531" t="str">
        <f aca="false">IF(AND(ISNUMBER(N282),N282&gt;=$B$2,N282&lt;=$B$2+10),N282*100000+ROW(),"")</f>
        <v/>
      </c>
      <c r="X282" s="531"/>
      <c r="Y282" s="531"/>
      <c r="Z282" s="531"/>
      <c r="AA282" s="531"/>
      <c r="AB282" s="531"/>
      <c r="AC282" s="531"/>
      <c r="AD282" s="531"/>
      <c r="AE282" s="531"/>
      <c r="AF282" s="531"/>
      <c r="AG282" s="531"/>
      <c r="AH282" s="531"/>
      <c r="AI282" s="531"/>
      <c r="AJ282" s="531"/>
      <c r="AK282" s="531"/>
      <c r="AL282" s="531"/>
      <c r="AM282" s="531"/>
      <c r="AN282" s="531"/>
    </row>
    <row r="283" customFormat="false" ht="16.5" hidden="false" customHeight="true" outlineLevel="0" collapsed="false">
      <c r="A283" s="531"/>
      <c r="B283" s="531"/>
      <c r="C283" s="531"/>
      <c r="D283" s="531"/>
      <c r="E283" s="531"/>
      <c r="F283" s="531"/>
      <c r="G283" s="531"/>
      <c r="H283" s="531"/>
      <c r="I283" s="531"/>
      <c r="J283" s="531"/>
      <c r="K283" s="531"/>
      <c r="L283" s="531"/>
      <c r="M283" s="531"/>
      <c r="N283" s="547" t="n">
        <f aca="false">IF('(1)예금승인내역'!H909="","",'(1)예금승인내역'!H909)</f>
        <v>45887</v>
      </c>
      <c r="O283" s="547" t="n">
        <f aca="false">IF('(1)예금승인내역'!G909="","",'(1)예금승인내역'!G909)</f>
        <v>45854</v>
      </c>
      <c r="P283" s="531" t="str">
        <f aca="false">IF('(1)예금승인내역'!F909="","",'(1)예금승인내역'!F909)</f>
        <v>오스템임플란트㈜</v>
      </c>
      <c r="Q283" s="531" t="str">
        <f aca="false">IF('(1)예금승인내역'!C909="","",'(1)예금승인내역'!C909)</f>
        <v>성남금융센터</v>
      </c>
      <c r="R283" s="531" t="str">
        <f aca="false">IF('(1)예금승인내역'!K909="","",'(1)예금승인내역'!K909)</f>
        <v>MMDA</v>
      </c>
      <c r="S283" s="548" t="n">
        <f aca="false">IF('(1)예금승인내역'!L909="","",'(1)예금승인내역'!L909)</f>
        <v>5.5</v>
      </c>
      <c r="T283" s="549" t="n">
        <f aca="false">IF('(1)예금승인내역'!AG909="","",'(1)예금승인내역'!AG909)</f>
        <v>0.0378</v>
      </c>
      <c r="U283" s="549" t="n">
        <f aca="false">IF('(1)예금승인내역'!X909="","",'(1)예금승인내역'!X909)</f>
        <v>0.004181</v>
      </c>
      <c r="V283" s="531" t="n">
        <f aca="false">IF(ISNUMBER(N283),N283-$B$2,"")</f>
        <v>-302</v>
      </c>
      <c r="W283" s="531" t="str">
        <f aca="false">IF(AND(ISNUMBER(N283),N283&gt;=$B$2,N283&lt;=$B$2+10),N283*100000+ROW(),"")</f>
        <v/>
      </c>
      <c r="X283" s="531"/>
      <c r="Y283" s="531"/>
      <c r="Z283" s="531"/>
      <c r="AA283" s="531"/>
      <c r="AB283" s="531"/>
      <c r="AC283" s="531"/>
      <c r="AD283" s="531"/>
      <c r="AE283" s="531"/>
      <c r="AF283" s="531"/>
      <c r="AG283" s="531"/>
      <c r="AH283" s="531"/>
      <c r="AI283" s="531"/>
      <c r="AJ283" s="531"/>
      <c r="AK283" s="531"/>
      <c r="AL283" s="531"/>
      <c r="AM283" s="531"/>
      <c r="AN283" s="531"/>
    </row>
    <row r="284" customFormat="false" ht="16.5" hidden="false" customHeight="true" outlineLevel="0" collapsed="false">
      <c r="A284" s="531"/>
      <c r="B284" s="531"/>
      <c r="C284" s="531"/>
      <c r="D284" s="531"/>
      <c r="E284" s="531"/>
      <c r="F284" s="531"/>
      <c r="G284" s="531"/>
      <c r="H284" s="531"/>
      <c r="I284" s="531"/>
      <c r="J284" s="531"/>
      <c r="K284" s="531"/>
      <c r="L284" s="531"/>
      <c r="M284" s="531"/>
      <c r="N284" s="547" t="n">
        <f aca="false">IF('(1)예금승인내역'!H910="","",'(1)예금승인내역'!H910)</f>
        <v>45887</v>
      </c>
      <c r="O284" s="547" t="n">
        <f aca="false">IF('(1)예금승인내역'!G910="","",'(1)예금승인내역'!G910)</f>
        <v>45854</v>
      </c>
      <c r="P284" s="531" t="str">
        <f aca="false">IF('(1)예금승인내역'!F910="","",'(1)예금승인내역'!F910)</f>
        <v>㈜ 광성</v>
      </c>
      <c r="Q284" s="531" t="str">
        <f aca="false">IF('(1)예금승인내역'!C910="","",'(1)예금승인내역'!C910)</f>
        <v>경산공단영업부</v>
      </c>
      <c r="R284" s="531" t="str">
        <f aca="false">IF('(1)예금승인내역'!K910="","",'(1)예금승인내역'!K910)</f>
        <v>MMDA</v>
      </c>
      <c r="S284" s="548" t="n">
        <f aca="false">IF('(1)예금승인내역'!L910="","",'(1)예금승인내역'!L910)</f>
        <v>1.5</v>
      </c>
      <c r="T284" s="549" t="n">
        <f aca="false">IF('(1)예금승인내역'!AG910="","",'(1)예금승인내역'!AG910)</f>
        <v>0.0378</v>
      </c>
      <c r="U284" s="549" t="n">
        <f aca="false">IF('(1)예금승인내역'!X910="","",'(1)예금승인내역'!X910)</f>
        <v>0.004181</v>
      </c>
      <c r="V284" s="531" t="n">
        <f aca="false">IF(ISNUMBER(N284),N284-$B$2,"")</f>
        <v>-302</v>
      </c>
      <c r="W284" s="531" t="str">
        <f aca="false">IF(AND(ISNUMBER(N284),N284&gt;=$B$2,N284&lt;=$B$2+10),N284*100000+ROW(),"")</f>
        <v/>
      </c>
      <c r="X284" s="531"/>
      <c r="Y284" s="531"/>
      <c r="Z284" s="531"/>
      <c r="AA284" s="531"/>
      <c r="AB284" s="531"/>
      <c r="AC284" s="531"/>
      <c r="AD284" s="531"/>
      <c r="AE284" s="531"/>
      <c r="AF284" s="531"/>
      <c r="AG284" s="531"/>
      <c r="AH284" s="531"/>
      <c r="AI284" s="531"/>
      <c r="AJ284" s="531"/>
      <c r="AK284" s="531"/>
      <c r="AL284" s="531"/>
      <c r="AM284" s="531"/>
      <c r="AN284" s="531"/>
    </row>
    <row r="285" customFormat="false" ht="16.5" hidden="false" customHeight="true" outlineLevel="0" collapsed="false">
      <c r="A285" s="531"/>
      <c r="B285" s="531"/>
      <c r="C285" s="531"/>
      <c r="D285" s="531"/>
      <c r="E285" s="531"/>
      <c r="F285" s="531"/>
      <c r="G285" s="531"/>
      <c r="H285" s="531"/>
      <c r="I285" s="531"/>
      <c r="J285" s="531"/>
      <c r="K285" s="531"/>
      <c r="L285" s="531"/>
      <c r="M285" s="531"/>
      <c r="N285" s="547" t="n">
        <f aca="false">IF('(1)예금승인내역'!H911="","",'(1)예금승인내역'!H911)</f>
        <v>45887</v>
      </c>
      <c r="O285" s="547" t="n">
        <f aca="false">IF('(1)예금승인내역'!G911="","",'(1)예금승인내역'!G911)</f>
        <v>45854</v>
      </c>
      <c r="P285" s="531" t="str">
        <f aca="false">IF('(1)예금승인내역'!F911="","",'(1)예금승인내역'!F911)</f>
        <v>동화인더스트리</v>
      </c>
      <c r="Q285" s="531" t="str">
        <f aca="false">IF('(1)예금승인내역'!C911="","",'(1)예금승인내역'!C911)</f>
        <v>중동지점</v>
      </c>
      <c r="R285" s="531" t="str">
        <f aca="false">IF('(1)예금승인내역'!K911="","",'(1)예금승인내역'!K911)</f>
        <v>정기예금</v>
      </c>
      <c r="S285" s="548" t="n">
        <f aca="false">IF('(1)예금승인내역'!L911="","",'(1)예금승인내역'!L911)</f>
        <v>1</v>
      </c>
      <c r="T285" s="549" t="n">
        <f aca="false">IF('(1)예금승인내역'!AG911="","",'(1)예금승인내역'!AG911)</f>
        <v>0.041</v>
      </c>
      <c r="U285" s="549" t="n">
        <f aca="false">IF('(1)예금승인내역'!X911="","",'(1)예금승인내역'!X911)</f>
        <v>0.002708</v>
      </c>
      <c r="V285" s="531" t="n">
        <f aca="false">IF(ISNUMBER(N285),N285-$B$2,"")</f>
        <v>-302</v>
      </c>
      <c r="W285" s="531" t="str">
        <f aca="false">IF(AND(ISNUMBER(N285),N285&gt;=$B$2,N285&lt;=$B$2+10),N285*100000+ROW(),"")</f>
        <v/>
      </c>
      <c r="X285" s="531"/>
      <c r="Y285" s="531"/>
      <c r="Z285" s="531"/>
      <c r="AA285" s="531"/>
      <c r="AB285" s="531"/>
      <c r="AC285" s="531"/>
      <c r="AD285" s="531"/>
      <c r="AE285" s="531"/>
      <c r="AF285" s="531"/>
      <c r="AG285" s="531"/>
      <c r="AH285" s="531"/>
      <c r="AI285" s="531"/>
      <c r="AJ285" s="531"/>
      <c r="AK285" s="531"/>
      <c r="AL285" s="531"/>
      <c r="AM285" s="531"/>
      <c r="AN285" s="531"/>
    </row>
    <row r="286" customFormat="false" ht="16.5" hidden="false" customHeight="true" outlineLevel="0" collapsed="false">
      <c r="A286" s="531"/>
      <c r="B286" s="531"/>
      <c r="C286" s="531"/>
      <c r="D286" s="531"/>
      <c r="E286" s="531"/>
      <c r="F286" s="531"/>
      <c r="G286" s="531"/>
      <c r="H286" s="531"/>
      <c r="I286" s="531"/>
      <c r="J286" s="531"/>
      <c r="K286" s="531"/>
      <c r="L286" s="531"/>
      <c r="M286" s="531"/>
      <c r="N286" s="547" t="n">
        <f aca="false">IF('(1)예금승인내역'!H912="","",'(1)예금승인내역'!H912)</f>
        <v>45873</v>
      </c>
      <c r="O286" s="547" t="n">
        <f aca="false">IF('(1)예금승인내역'!G912="","",'(1)예금승인내역'!G912)</f>
        <v>45860</v>
      </c>
      <c r="P286" s="531" t="str">
        <f aca="false">IF('(1)예금승인내역'!F912="","",'(1)예금승인내역'!F912)</f>
        <v>㈜일지테크</v>
      </c>
      <c r="Q286" s="531" t="str">
        <f aca="false">IF('(1)예금승인내역'!C912="","",'(1)예금승인내역'!C912)</f>
        <v>경산공단영업부</v>
      </c>
      <c r="R286" s="531" t="str">
        <f aca="false">IF('(1)예금승인내역'!K912="","",'(1)예금승인내역'!K912)</f>
        <v>정기예금</v>
      </c>
      <c r="S286" s="548" t="n">
        <f aca="false">IF('(1)예금승인내역'!L912="","",'(1)예금승인내역'!L912)</f>
        <v>10</v>
      </c>
      <c r="T286" s="549" t="n">
        <f aca="false">IF('(1)예금승인내역'!AG912="","",'(1)예금승인내역'!AG912)</f>
        <v>0.038</v>
      </c>
      <c r="U286" s="549" t="n">
        <f aca="false">IF('(1)예금승인내역'!X912="","",'(1)예금승인내역'!X912)</f>
        <v>0.002325</v>
      </c>
      <c r="V286" s="531" t="n">
        <f aca="false">IF(ISNUMBER(N286),N286-$B$2,"")</f>
        <v>-316</v>
      </c>
      <c r="W286" s="531" t="str">
        <f aca="false">IF(AND(ISNUMBER(N286),N286&gt;=$B$2,N286&lt;=$B$2+10),N286*100000+ROW(),"")</f>
        <v/>
      </c>
      <c r="X286" s="531"/>
      <c r="Y286" s="531"/>
      <c r="Z286" s="531"/>
      <c r="AA286" s="531"/>
      <c r="AB286" s="531"/>
      <c r="AC286" s="531"/>
      <c r="AD286" s="531"/>
      <c r="AE286" s="531"/>
      <c r="AF286" s="531"/>
      <c r="AG286" s="531"/>
      <c r="AH286" s="531"/>
      <c r="AI286" s="531"/>
      <c r="AJ286" s="531"/>
      <c r="AK286" s="531"/>
      <c r="AL286" s="531"/>
      <c r="AM286" s="531"/>
      <c r="AN286" s="531"/>
    </row>
    <row r="287" customFormat="false" ht="16.5" hidden="false" customHeight="true" outlineLevel="0" collapsed="false">
      <c r="A287" s="531"/>
      <c r="B287" s="531"/>
      <c r="C287" s="531"/>
      <c r="D287" s="531"/>
      <c r="E287" s="531"/>
      <c r="F287" s="531"/>
      <c r="G287" s="531"/>
      <c r="H287" s="531"/>
      <c r="I287" s="531"/>
      <c r="J287" s="531"/>
      <c r="K287" s="531"/>
      <c r="L287" s="531"/>
      <c r="M287" s="531"/>
      <c r="N287" s="547" t="n">
        <f aca="false">IF('(1)예금승인내역'!H913="","",'(1)예금승인내역'!H913)</f>
        <v>45873</v>
      </c>
      <c r="O287" s="547" t="n">
        <f aca="false">IF('(1)예금승인내역'!G913="","",'(1)예금승인내역'!G913)</f>
        <v>45860</v>
      </c>
      <c r="P287" s="531" t="str">
        <f aca="false">IF('(1)예금승인내역'!F913="","",'(1)예금승인내역'!F913)</f>
        <v>㈜일지테크</v>
      </c>
      <c r="Q287" s="531" t="str">
        <f aca="false">IF('(1)예금승인내역'!C913="","",'(1)예금승인내역'!C913)</f>
        <v>경산공단영업부</v>
      </c>
      <c r="R287" s="531" t="str">
        <f aca="false">IF('(1)예금승인내역'!K913="","",'(1)예금승인내역'!K913)</f>
        <v>정기예금</v>
      </c>
      <c r="S287" s="548" t="n">
        <f aca="false">IF('(1)예금승인내역'!L913="","",'(1)예금승인내역'!L913)</f>
        <v>10</v>
      </c>
      <c r="T287" s="549" t="n">
        <f aca="false">IF('(1)예금승인내역'!AG913="","",'(1)예금승인내역'!AG913)</f>
        <v>0.038</v>
      </c>
      <c r="U287" s="549" t="n">
        <f aca="false">IF('(1)예금승인내역'!X913="","",'(1)예금승인내역'!X913)</f>
        <v>0.002325</v>
      </c>
      <c r="V287" s="531" t="n">
        <f aca="false">IF(ISNUMBER(N287),N287-$B$2,"")</f>
        <v>-316</v>
      </c>
      <c r="W287" s="531" t="str">
        <f aca="false">IF(AND(ISNUMBER(N287),N287&gt;=$B$2,N287&lt;=$B$2+10),N287*100000+ROW(),"")</f>
        <v/>
      </c>
      <c r="X287" s="531"/>
      <c r="Y287" s="531"/>
      <c r="Z287" s="531"/>
      <c r="AA287" s="531"/>
      <c r="AB287" s="531"/>
      <c r="AC287" s="531"/>
      <c r="AD287" s="531"/>
      <c r="AE287" s="531"/>
      <c r="AF287" s="531"/>
      <c r="AG287" s="531"/>
      <c r="AH287" s="531"/>
      <c r="AI287" s="531"/>
      <c r="AJ287" s="531"/>
      <c r="AK287" s="531"/>
      <c r="AL287" s="531"/>
      <c r="AM287" s="531"/>
      <c r="AN287" s="531"/>
    </row>
    <row r="288" customFormat="false" ht="16.5" hidden="false" customHeight="true" outlineLevel="0" collapsed="false">
      <c r="A288" s="531"/>
      <c r="B288" s="531"/>
      <c r="C288" s="531"/>
      <c r="D288" s="531"/>
      <c r="E288" s="531"/>
      <c r="F288" s="531"/>
      <c r="G288" s="531"/>
      <c r="H288" s="531"/>
      <c r="I288" s="531"/>
      <c r="J288" s="531"/>
      <c r="K288" s="531"/>
      <c r="L288" s="531"/>
      <c r="M288" s="531"/>
      <c r="N288" s="547" t="n">
        <f aca="false">IF('(1)예금승인내역'!H914="","",'(1)예금승인내역'!H914)</f>
        <v>45891</v>
      </c>
      <c r="O288" s="547" t="n">
        <f aca="false">IF('(1)예금승인내역'!G914="","",'(1)예금승인내역'!G914)</f>
        <v>45861</v>
      </c>
      <c r="P288" s="531" t="str">
        <f aca="false">IF('(1)예금승인내역'!F914="","",'(1)예금승인내역'!F914)</f>
        <v>㈜약진통상</v>
      </c>
      <c r="Q288" s="531" t="str">
        <f aca="false">IF('(1)예금승인내역'!C914="","",'(1)예금승인내역'!C914)</f>
        <v>반월공단지점</v>
      </c>
      <c r="R288" s="531" t="str">
        <f aca="false">IF('(1)예금승인내역'!K914="","",'(1)예금승인내역'!K914)</f>
        <v>MMDA</v>
      </c>
      <c r="S288" s="548" t="n">
        <f aca="false">IF('(1)예금승인내역'!L914="","",'(1)예금승인내역'!L914)</f>
        <v>9.37</v>
      </c>
      <c r="T288" s="549" t="n">
        <f aca="false">IF('(1)예금승인내역'!AG914="","",'(1)예금승인내역'!AG914)</f>
        <v>0.0375</v>
      </c>
      <c r="U288" s="549" t="n">
        <f aca="false">IF('(1)예금승인내역'!X914="","",'(1)예금승인내역'!X914)</f>
        <v>0.004528</v>
      </c>
      <c r="V288" s="531" t="n">
        <f aca="false">IF(ISNUMBER(N288),N288-$B$2,"")</f>
        <v>-298</v>
      </c>
      <c r="W288" s="531" t="str">
        <f aca="false">IF(AND(ISNUMBER(N288),N288&gt;=$B$2,N288&lt;=$B$2+10),N288*100000+ROW(),"")</f>
        <v/>
      </c>
      <c r="X288" s="531"/>
      <c r="Y288" s="531"/>
      <c r="Z288" s="531"/>
      <c r="AA288" s="531"/>
      <c r="AB288" s="531"/>
      <c r="AC288" s="531"/>
      <c r="AD288" s="531"/>
      <c r="AE288" s="531"/>
      <c r="AF288" s="531"/>
      <c r="AG288" s="531"/>
      <c r="AH288" s="531"/>
      <c r="AI288" s="531"/>
      <c r="AJ288" s="531"/>
      <c r="AK288" s="531"/>
      <c r="AL288" s="531"/>
      <c r="AM288" s="531"/>
      <c r="AN288" s="531"/>
    </row>
    <row r="289" customFormat="false" ht="16.5" hidden="false" customHeight="true" outlineLevel="0" collapsed="false">
      <c r="A289" s="531"/>
      <c r="B289" s="531"/>
      <c r="C289" s="531"/>
      <c r="D289" s="531"/>
      <c r="E289" s="531"/>
      <c r="F289" s="531"/>
      <c r="G289" s="531"/>
      <c r="H289" s="531"/>
      <c r="I289" s="531"/>
      <c r="J289" s="531"/>
      <c r="K289" s="531"/>
      <c r="L289" s="531"/>
      <c r="M289" s="531"/>
      <c r="N289" s="547" t="n">
        <f aca="false">IF('(1)예금승인내역'!H915="","",'(1)예금승인내역'!H915)</f>
        <v>45953</v>
      </c>
      <c r="O289" s="547" t="n">
        <f aca="false">IF('(1)예금승인내역'!G915="","",'(1)예금승인내역'!G915)</f>
        <v>45861</v>
      </c>
      <c r="P289" s="531" t="str">
        <f aca="false">IF('(1)예금승인내역'!F915="","",'(1)예금승인내역'!F915)</f>
        <v>와이엠에스에이</v>
      </c>
      <c r="Q289" s="531" t="str">
        <f aca="false">IF('(1)예금승인내역'!C915="","",'(1)예금승인내역'!C915)</f>
        <v>본점영업부</v>
      </c>
      <c r="R289" s="531" t="str">
        <f aca="false">IF('(1)예금승인내역'!K915="","",'(1)예금승인내역'!K915)</f>
        <v>정기예금</v>
      </c>
      <c r="S289" s="548" t="n">
        <f aca="false">IF('(1)예금승인내역'!L915="","",'(1)예금승인내역'!L915)</f>
        <v>2</v>
      </c>
      <c r="T289" s="549" t="n">
        <f aca="false">IF('(1)예금승인내역'!AG915="","",'(1)예금승인내역'!AG915)</f>
        <v>0.042</v>
      </c>
      <c r="U289" s="549" t="n">
        <f aca="false">IF('(1)예금승인내역'!X915="","",'(1)예금승인내역'!X915)</f>
        <v>0.002955</v>
      </c>
      <c r="V289" s="531" t="n">
        <f aca="false">IF(ISNUMBER(N289),N289-$B$2,"")</f>
        <v>-236</v>
      </c>
      <c r="W289" s="531" t="str">
        <f aca="false">IF(AND(ISNUMBER(N289),N289&gt;=$B$2,N289&lt;=$B$2+10),N289*100000+ROW(),"")</f>
        <v/>
      </c>
      <c r="X289" s="531"/>
      <c r="Y289" s="531"/>
      <c r="Z289" s="531"/>
      <c r="AA289" s="531"/>
      <c r="AB289" s="531"/>
      <c r="AC289" s="531"/>
      <c r="AD289" s="531"/>
      <c r="AE289" s="531"/>
      <c r="AF289" s="531"/>
      <c r="AG289" s="531"/>
      <c r="AH289" s="531"/>
      <c r="AI289" s="531"/>
      <c r="AJ289" s="531"/>
      <c r="AK289" s="531"/>
      <c r="AL289" s="531"/>
      <c r="AM289" s="531"/>
      <c r="AN289" s="531"/>
    </row>
    <row r="290" customFormat="false" ht="16.5" hidden="false" customHeight="true" outlineLevel="0" collapsed="false">
      <c r="A290" s="531"/>
      <c r="B290" s="531"/>
      <c r="C290" s="531"/>
      <c r="D290" s="531"/>
      <c r="E290" s="531"/>
      <c r="F290" s="531"/>
      <c r="G290" s="531"/>
      <c r="H290" s="531"/>
      <c r="I290" s="531"/>
      <c r="J290" s="531"/>
      <c r="K290" s="531"/>
      <c r="L290" s="531"/>
      <c r="M290" s="531"/>
      <c r="N290" s="547" t="n">
        <f aca="false">IF('(1)예금승인내역'!H916="","",'(1)예금승인내역'!H916)</f>
        <v>45891</v>
      </c>
      <c r="O290" s="547" t="n">
        <f aca="false">IF('(1)예금승인내역'!G916="","",'(1)예금승인내역'!G916)</f>
        <v>45861</v>
      </c>
      <c r="P290" s="531" t="str">
        <f aca="false">IF('(1)예금승인내역'!F916="","",'(1)예금승인내역'!F916)</f>
        <v>와이엠에스에이</v>
      </c>
      <c r="Q290" s="531" t="str">
        <f aca="false">IF('(1)예금승인내역'!C916="","",'(1)예금승인내역'!C916)</f>
        <v>본점영업부</v>
      </c>
      <c r="R290" s="531" t="str">
        <f aca="false">IF('(1)예금승인내역'!K916="","",'(1)예금승인내역'!K916)</f>
        <v>MMDA</v>
      </c>
      <c r="S290" s="548" t="n">
        <f aca="false">IF('(1)예금승인내역'!L916="","",'(1)예금승인내역'!L916)</f>
        <v>2</v>
      </c>
      <c r="T290" s="549" t="n">
        <f aca="false">IF('(1)예금승인내역'!AG916="","",'(1)예금승인내역'!AG916)</f>
        <v>0.0365</v>
      </c>
      <c r="U290" s="549" t="n">
        <f aca="false">IF('(1)예금승인내역'!X916="","",'(1)예금승인내역'!X916)</f>
        <v>0.005528</v>
      </c>
      <c r="V290" s="531" t="n">
        <f aca="false">IF(ISNUMBER(N290),N290-$B$2,"")</f>
        <v>-298</v>
      </c>
      <c r="W290" s="531" t="str">
        <f aca="false">IF(AND(ISNUMBER(N290),N290&gt;=$B$2,N290&lt;=$B$2+10),N290*100000+ROW(),"")</f>
        <v/>
      </c>
      <c r="X290" s="531"/>
      <c r="Y290" s="531"/>
      <c r="Z290" s="531"/>
      <c r="AA290" s="531"/>
      <c r="AB290" s="531"/>
      <c r="AC290" s="531"/>
      <c r="AD290" s="531"/>
      <c r="AE290" s="531"/>
      <c r="AF290" s="531"/>
      <c r="AG290" s="531"/>
      <c r="AH290" s="531"/>
      <c r="AI290" s="531"/>
      <c r="AJ290" s="531"/>
      <c r="AK290" s="531"/>
      <c r="AL290" s="531"/>
      <c r="AM290" s="531"/>
      <c r="AN290" s="531"/>
    </row>
    <row r="291" customFormat="false" ht="16.5" hidden="false" customHeight="true" outlineLevel="0" collapsed="false">
      <c r="A291" s="531"/>
      <c r="B291" s="531"/>
      <c r="C291" s="531"/>
      <c r="D291" s="531"/>
      <c r="E291" s="531"/>
      <c r="F291" s="531"/>
      <c r="G291" s="531"/>
      <c r="H291" s="531"/>
      <c r="I291" s="531"/>
      <c r="J291" s="531"/>
      <c r="K291" s="531"/>
      <c r="L291" s="531"/>
      <c r="M291" s="531"/>
      <c r="N291" s="547" t="n">
        <f aca="false">IF('(1)예금승인내역'!H917="","",'(1)예금승인내역'!H917)</f>
        <v>45954</v>
      </c>
      <c r="O291" s="547" t="n">
        <f aca="false">IF('(1)예금승인내역'!G917="","",'(1)예금승인내역'!G917)</f>
        <v>45862</v>
      </c>
      <c r="P291" s="531" t="str">
        <f aca="false">IF('(1)예금승인내역'!F917="","",'(1)예금승인내역'!F917)</f>
        <v>㈜ 동아홀딩스 </v>
      </c>
      <c r="Q291" s="531" t="str">
        <f aca="false">IF('(1)예금승인내역'!C917="","",'(1)예금승인내역'!C917)</f>
        <v>달성공단영업부</v>
      </c>
      <c r="R291" s="531" t="str">
        <f aca="false">IF('(1)예금승인내역'!K917="","",'(1)예금승인내역'!K917)</f>
        <v>정기예금</v>
      </c>
      <c r="S291" s="548" t="n">
        <f aca="false">IF('(1)예금승인내역'!L917="","",'(1)예금승인내역'!L917)</f>
        <v>1.8</v>
      </c>
      <c r="T291" s="549" t="n">
        <f aca="false">IF('(1)예금승인내역'!AG917="","",'(1)예금승인내역'!AG917)</f>
        <v>0.042</v>
      </c>
      <c r="U291" s="549" t="n">
        <f aca="false">IF('(1)예금승인내역'!X917="","",'(1)예금승인내역'!X917)</f>
        <v>0.002952</v>
      </c>
      <c r="V291" s="531" t="n">
        <f aca="false">IF(ISNUMBER(N291),N291-$B$2,"")</f>
        <v>-235</v>
      </c>
      <c r="W291" s="531" t="str">
        <f aca="false">IF(AND(ISNUMBER(N291),N291&gt;=$B$2,N291&lt;=$B$2+10),N291*100000+ROW(),"")</f>
        <v/>
      </c>
      <c r="X291" s="531"/>
      <c r="Y291" s="531"/>
      <c r="Z291" s="531"/>
      <c r="AA291" s="531"/>
      <c r="AB291" s="531"/>
      <c r="AC291" s="531"/>
      <c r="AD291" s="531"/>
      <c r="AE291" s="531"/>
      <c r="AF291" s="531"/>
      <c r="AG291" s="531"/>
      <c r="AH291" s="531"/>
      <c r="AI291" s="531"/>
      <c r="AJ291" s="531"/>
      <c r="AK291" s="531"/>
      <c r="AL291" s="531"/>
      <c r="AM291" s="531"/>
      <c r="AN291" s="531"/>
    </row>
    <row r="292" customFormat="false" ht="16.5" hidden="false" customHeight="true" outlineLevel="0" collapsed="false">
      <c r="A292" s="531"/>
      <c r="B292" s="531"/>
      <c r="C292" s="531"/>
      <c r="D292" s="531"/>
      <c r="E292" s="531"/>
      <c r="F292" s="531"/>
      <c r="G292" s="531"/>
      <c r="H292" s="531"/>
      <c r="I292" s="531"/>
      <c r="J292" s="531"/>
      <c r="K292" s="531"/>
      <c r="L292" s="531"/>
      <c r="M292" s="531"/>
      <c r="N292" s="547" t="n">
        <f aca="false">IF('(1)예금승인내역'!H918="","",'(1)예금승인내역'!H918)</f>
        <v>45894</v>
      </c>
      <c r="O292" s="547" t="n">
        <f aca="false">IF('(1)예금승인내역'!G918="","",'(1)예금승인내역'!G918)</f>
        <v>45863</v>
      </c>
      <c r="P292" s="531" t="str">
        <f aca="false">IF('(1)예금승인내역'!F918="","",'(1)예금승인내역'!F918)</f>
        <v>윤상락</v>
      </c>
      <c r="Q292" s="531" t="str">
        <f aca="false">IF('(1)예금승인내역'!C918="","",'(1)예금승인내역'!C918)</f>
        <v>본점PB센터</v>
      </c>
      <c r="R292" s="531" t="str">
        <f aca="false">IF('(1)예금승인내역'!K918="","",'(1)예금승인내역'!K918)</f>
        <v>MMDA</v>
      </c>
      <c r="S292" s="548" t="n">
        <f aca="false">IF('(1)예금승인내역'!L918="","",'(1)예금승인내역'!L918)</f>
        <v>1</v>
      </c>
      <c r="T292" s="549" t="n">
        <f aca="false">IF('(1)예금승인내역'!AG918="","",'(1)예금승인내역'!AG918)</f>
        <v>0.037</v>
      </c>
      <c r="U292" s="549" t="n">
        <f aca="false">IF('(1)예금승인내역'!X918="","",'(1)예금승인내역'!X918)</f>
        <v>0.005041</v>
      </c>
      <c r="V292" s="531" t="n">
        <f aca="false">IF(ISNUMBER(N292),N292-$B$2,"")</f>
        <v>-295</v>
      </c>
      <c r="W292" s="531" t="str">
        <f aca="false">IF(AND(ISNUMBER(N292),N292&gt;=$B$2,N292&lt;=$B$2+10),N292*100000+ROW(),"")</f>
        <v/>
      </c>
      <c r="X292" s="531"/>
      <c r="Y292" s="531"/>
      <c r="Z292" s="531"/>
      <c r="AA292" s="531"/>
      <c r="AB292" s="531"/>
      <c r="AC292" s="531"/>
      <c r="AD292" s="531"/>
      <c r="AE292" s="531"/>
      <c r="AF292" s="531"/>
      <c r="AG292" s="531"/>
      <c r="AH292" s="531"/>
      <c r="AI292" s="531"/>
      <c r="AJ292" s="531"/>
      <c r="AK292" s="531"/>
      <c r="AL292" s="531"/>
      <c r="AM292" s="531"/>
      <c r="AN292" s="531"/>
    </row>
    <row r="293" customFormat="false" ht="16.5" hidden="false" customHeight="true" outlineLevel="0" collapsed="false">
      <c r="A293" s="531"/>
      <c r="B293" s="531"/>
      <c r="C293" s="531"/>
      <c r="D293" s="531"/>
      <c r="E293" s="531"/>
      <c r="F293" s="531"/>
      <c r="G293" s="531"/>
      <c r="H293" s="531"/>
      <c r="I293" s="531"/>
      <c r="J293" s="531"/>
      <c r="K293" s="531"/>
      <c r="L293" s="531"/>
      <c r="M293" s="531"/>
      <c r="N293" s="547" t="n">
        <f aca="false">IF('(1)예금승인내역'!H919="","",'(1)예금승인내역'!H919)</f>
        <v>45897</v>
      </c>
      <c r="O293" s="547" t="n">
        <f aca="false">IF('(1)예금승인내역'!G919="","",'(1)예금승인내역'!G919)</f>
        <v>45866</v>
      </c>
      <c r="P293" s="531" t="str">
        <f aca="false">IF('(1)예금승인내역'!F919="","",'(1)예금승인내역'!F919)</f>
        <v>㈜디오 </v>
      </c>
      <c r="Q293" s="531" t="str">
        <f aca="false">IF('(1)예금승인내역'!C919="","",'(1)예금승인내역'!C919)</f>
        <v>화성금융센터</v>
      </c>
      <c r="R293" s="531" t="str">
        <f aca="false">IF('(1)예금승인내역'!K919="","",'(1)예금승인내역'!K919)</f>
        <v>정기예금</v>
      </c>
      <c r="S293" s="548" t="n">
        <f aca="false">IF('(1)예금승인내역'!L919="","",'(1)예금승인내역'!L919)</f>
        <v>2</v>
      </c>
      <c r="T293" s="549" t="n">
        <f aca="false">IF('(1)예금승인내역'!AG919="","",'(1)예금승인내역'!AG919)</f>
        <v>0.041</v>
      </c>
      <c r="U293" s="549" t="n">
        <f aca="false">IF('(1)예금승인내역'!X919="","",'(1)예금승인내역'!X919)</f>
        <v>0.002832</v>
      </c>
      <c r="V293" s="531" t="n">
        <f aca="false">IF(ISNUMBER(N293),N293-$B$2,"")</f>
        <v>-292</v>
      </c>
      <c r="W293" s="531" t="str">
        <f aca="false">IF(AND(ISNUMBER(N293),N293&gt;=$B$2,N293&lt;=$B$2+10),N293*100000+ROW(),"")</f>
        <v/>
      </c>
      <c r="X293" s="531"/>
      <c r="Y293" s="531"/>
      <c r="Z293" s="531"/>
      <c r="AA293" s="531"/>
      <c r="AB293" s="531"/>
      <c r="AC293" s="531"/>
      <c r="AD293" s="531"/>
      <c r="AE293" s="531"/>
      <c r="AF293" s="531"/>
      <c r="AG293" s="531"/>
      <c r="AH293" s="531"/>
      <c r="AI293" s="531"/>
      <c r="AJ293" s="531"/>
      <c r="AK293" s="531"/>
      <c r="AL293" s="531"/>
      <c r="AM293" s="531"/>
      <c r="AN293" s="531"/>
    </row>
    <row r="294" customFormat="false" ht="16.5" hidden="false" customHeight="true" outlineLevel="0" collapsed="false">
      <c r="A294" s="531"/>
      <c r="B294" s="531"/>
      <c r="C294" s="531"/>
      <c r="D294" s="531"/>
      <c r="E294" s="531"/>
      <c r="F294" s="531"/>
      <c r="G294" s="531"/>
      <c r="H294" s="531"/>
      <c r="I294" s="531"/>
      <c r="J294" s="531"/>
      <c r="K294" s="531"/>
      <c r="L294" s="531"/>
      <c r="M294" s="531"/>
      <c r="N294" s="547" t="n">
        <f aca="false">IF('(1)예금승인내역'!H920="","",'(1)예금승인내역'!H920)</f>
        <v>45897</v>
      </c>
      <c r="O294" s="547" t="n">
        <f aca="false">IF('(1)예금승인내역'!G920="","",'(1)예금승인내역'!G920)</f>
        <v>45866</v>
      </c>
      <c r="P294" s="531" t="str">
        <f aca="false">IF('(1)예금승인내역'!F920="","",'(1)예금승인내역'!F920)</f>
        <v>미래에셋컨설팅</v>
      </c>
      <c r="Q294" s="531" t="str">
        <f aca="false">IF('(1)예금승인내역'!C920="","",'(1)예금승인내역'!C920)</f>
        <v>서울영업부</v>
      </c>
      <c r="R294" s="531" t="str">
        <f aca="false">IF('(1)예금승인내역'!K920="","",'(1)예금승인내역'!K920)</f>
        <v>정기예금</v>
      </c>
      <c r="S294" s="548" t="n">
        <f aca="false">IF('(1)예금승인내역'!L920="","",'(1)예금승인내역'!L920)</f>
        <v>2</v>
      </c>
      <c r="T294" s="549" t="n">
        <f aca="false">IF('(1)예금승인내역'!AG920="","",'(1)예금승인내역'!AG920)</f>
        <v>0.041</v>
      </c>
      <c r="U294" s="549" t="n">
        <f aca="false">IF('(1)예금승인내역'!X920="","",'(1)예금승인내역'!X920)</f>
        <v>0.002832</v>
      </c>
      <c r="V294" s="531" t="n">
        <f aca="false">IF(ISNUMBER(N294),N294-$B$2,"")</f>
        <v>-292</v>
      </c>
      <c r="W294" s="531" t="str">
        <f aca="false">IF(AND(ISNUMBER(N294),N294&gt;=$B$2,N294&lt;=$B$2+10),N294*100000+ROW(),"")</f>
        <v/>
      </c>
      <c r="X294" s="531"/>
      <c r="Y294" s="531"/>
      <c r="Z294" s="531"/>
      <c r="AA294" s="531"/>
      <c r="AB294" s="531"/>
      <c r="AC294" s="531"/>
      <c r="AD294" s="531"/>
      <c r="AE294" s="531"/>
      <c r="AF294" s="531"/>
      <c r="AG294" s="531"/>
      <c r="AH294" s="531"/>
      <c r="AI294" s="531"/>
      <c r="AJ294" s="531"/>
      <c r="AK294" s="531"/>
      <c r="AL294" s="531"/>
      <c r="AM294" s="531"/>
      <c r="AN294" s="531"/>
    </row>
    <row r="295" customFormat="false" ht="16.5" hidden="false" customHeight="true" outlineLevel="0" collapsed="false">
      <c r="A295" s="531"/>
      <c r="B295" s="531"/>
      <c r="C295" s="531"/>
      <c r="D295" s="531"/>
      <c r="E295" s="531"/>
      <c r="F295" s="531"/>
      <c r="G295" s="531"/>
      <c r="H295" s="531"/>
      <c r="I295" s="531"/>
      <c r="J295" s="531"/>
      <c r="K295" s="531"/>
      <c r="L295" s="531"/>
      <c r="M295" s="531"/>
      <c r="N295" s="547" t="n">
        <f aca="false">IF('(1)예금승인내역'!H921="","",'(1)예금승인내역'!H921)</f>
        <v>45897</v>
      </c>
      <c r="O295" s="547" t="n">
        <f aca="false">IF('(1)예금승인내역'!G921="","",'(1)예금승인내역'!G921)</f>
        <v>45866</v>
      </c>
      <c r="P295" s="531" t="str">
        <f aca="false">IF('(1)예금승인내역'!F921="","",'(1)예금승인내역'!F921)</f>
        <v>에이치엘만도</v>
      </c>
      <c r="Q295" s="531" t="str">
        <f aca="false">IF('(1)예금승인내역'!C921="","",'(1)예금승인내역'!C921)</f>
        <v>삼덕영업부</v>
      </c>
      <c r="R295" s="531" t="str">
        <f aca="false">IF('(1)예금승인내역'!K921="","",'(1)예금승인내역'!K921)</f>
        <v>MMDA</v>
      </c>
      <c r="S295" s="548" t="n">
        <f aca="false">IF('(1)예금승인내역'!L921="","",'(1)예금승인내역'!L921)</f>
        <v>9</v>
      </c>
      <c r="T295" s="549" t="n">
        <f aca="false">IF('(1)예금승인내역'!AG921="","",'(1)예금승인내역'!AG921)</f>
        <v>0.037</v>
      </c>
      <c r="U295" s="549" t="n">
        <f aca="false">IF('(1)예금승인내역'!X921="","",'(1)예금승인내역'!X921)</f>
        <v>0.005033</v>
      </c>
      <c r="V295" s="531" t="n">
        <f aca="false">IF(ISNUMBER(N295),N295-$B$2,"")</f>
        <v>-292</v>
      </c>
      <c r="W295" s="531" t="str">
        <f aca="false">IF(AND(ISNUMBER(N295),N295&gt;=$B$2,N295&lt;=$B$2+10),N295*100000+ROW(),"")</f>
        <v/>
      </c>
      <c r="X295" s="531"/>
      <c r="Y295" s="531"/>
      <c r="Z295" s="531"/>
      <c r="AA295" s="531"/>
      <c r="AB295" s="531"/>
      <c r="AC295" s="531"/>
      <c r="AD295" s="531"/>
      <c r="AE295" s="531"/>
      <c r="AF295" s="531"/>
      <c r="AG295" s="531"/>
      <c r="AH295" s="531"/>
      <c r="AI295" s="531"/>
      <c r="AJ295" s="531"/>
      <c r="AK295" s="531"/>
      <c r="AL295" s="531"/>
      <c r="AM295" s="531"/>
      <c r="AN295" s="531"/>
    </row>
    <row r="296" customFormat="false" ht="16.5" hidden="false" customHeight="true" outlineLevel="0" collapsed="false">
      <c r="A296" s="531"/>
      <c r="B296" s="531"/>
      <c r="C296" s="531"/>
      <c r="D296" s="531"/>
      <c r="E296" s="531"/>
      <c r="F296" s="531"/>
      <c r="G296" s="531"/>
      <c r="H296" s="531"/>
      <c r="I296" s="531"/>
      <c r="J296" s="531"/>
      <c r="K296" s="531"/>
      <c r="L296" s="531"/>
      <c r="M296" s="531"/>
      <c r="N296" s="547" t="n">
        <f aca="false">IF('(1)예금승인내역'!H922="","",'(1)예금승인내역'!H922)</f>
        <v>45901</v>
      </c>
      <c r="O296" s="547" t="n">
        <f aca="false">IF('(1)예금승인내역'!G922="","",'(1)예금승인내역'!G922)</f>
        <v>45868</v>
      </c>
      <c r="P296" s="531" t="str">
        <f aca="false">IF('(1)예금승인내역'!F922="","",'(1)예금승인내역'!F922)</f>
        <v>와이투솔루션</v>
      </c>
      <c r="Q296" s="531" t="str">
        <f aca="false">IF('(1)예금승인내역'!C922="","",'(1)예금승인내역'!C922)</f>
        <v>화성금융센터</v>
      </c>
      <c r="R296" s="531" t="str">
        <f aca="false">IF('(1)예금승인내역'!K922="","",'(1)예금승인내역'!K922)</f>
        <v>정기예금</v>
      </c>
      <c r="S296" s="548" t="n">
        <f aca="false">IF('(1)예금승인내역'!L922="","",'(1)예금승인내역'!L922)</f>
        <v>3</v>
      </c>
      <c r="T296" s="549" t="n">
        <f aca="false">IF('(1)예금승인내역'!AG922="","",'(1)예금승인내역'!AG922)</f>
        <v>0.041</v>
      </c>
      <c r="U296" s="549" t="n">
        <f aca="false">IF('(1)예금승인내역'!X922="","",'(1)예금승인내역'!X922)</f>
        <v>0.002883</v>
      </c>
      <c r="V296" s="531" t="n">
        <f aca="false">IF(ISNUMBER(N296),N296-$B$2,"")</f>
        <v>-288</v>
      </c>
      <c r="W296" s="531" t="str">
        <f aca="false">IF(AND(ISNUMBER(N296),N296&gt;=$B$2,N296&lt;=$B$2+10),N296*100000+ROW(),"")</f>
        <v/>
      </c>
      <c r="X296" s="531"/>
      <c r="Y296" s="531"/>
      <c r="Z296" s="531"/>
      <c r="AA296" s="531"/>
      <c r="AB296" s="531"/>
      <c r="AC296" s="531"/>
      <c r="AD296" s="531"/>
      <c r="AE296" s="531"/>
      <c r="AF296" s="531"/>
      <c r="AG296" s="531"/>
      <c r="AH296" s="531"/>
      <c r="AI296" s="531"/>
      <c r="AJ296" s="531"/>
      <c r="AK296" s="531"/>
      <c r="AL296" s="531"/>
      <c r="AM296" s="531"/>
      <c r="AN296" s="531"/>
    </row>
    <row r="297" customFormat="false" ht="16.5" hidden="false" customHeight="true" outlineLevel="0" collapsed="false">
      <c r="A297" s="531"/>
      <c r="B297" s="531"/>
      <c r="C297" s="531"/>
      <c r="D297" s="531"/>
      <c r="E297" s="531"/>
      <c r="F297" s="531"/>
      <c r="G297" s="531"/>
      <c r="H297" s="531"/>
      <c r="I297" s="531"/>
      <c r="J297" s="531"/>
      <c r="K297" s="531"/>
      <c r="L297" s="531"/>
      <c r="M297" s="531"/>
      <c r="N297" s="547" t="n">
        <f aca="false">IF('(1)예금승인내역'!H923="","",'(1)예금승인내역'!H923)</f>
        <v>45901</v>
      </c>
      <c r="O297" s="547" t="n">
        <f aca="false">IF('(1)예금승인내역'!G923="","",'(1)예금승인내역'!G923)</f>
        <v>45868</v>
      </c>
      <c r="P297" s="531" t="str">
        <f aca="false">IF('(1)예금승인내역'!F923="","",'(1)예금승인내역'!F923)</f>
        <v>와이투솔루션</v>
      </c>
      <c r="Q297" s="531" t="str">
        <f aca="false">IF('(1)예금승인내역'!C923="","",'(1)예금승인내역'!C923)</f>
        <v>화성금융센터</v>
      </c>
      <c r="R297" s="531" t="str">
        <f aca="false">IF('(1)예금승인내역'!K923="","",'(1)예금승인내역'!K923)</f>
        <v>정기예금</v>
      </c>
      <c r="S297" s="548" t="n">
        <f aca="false">IF('(1)예금승인내역'!L923="","",'(1)예금승인내역'!L923)</f>
        <v>1</v>
      </c>
      <c r="T297" s="549" t="n">
        <f aca="false">IF('(1)예금승인내역'!AG923="","",'(1)예금승인내역'!AG923)</f>
        <v>0.041</v>
      </c>
      <c r="U297" s="549" t="n">
        <f aca="false">IF('(1)예금승인내역'!X923="","",'(1)예금승인내역'!X923)</f>
        <v>0.002883</v>
      </c>
      <c r="V297" s="531" t="n">
        <f aca="false">IF(ISNUMBER(N297),N297-$B$2,"")</f>
        <v>-288</v>
      </c>
      <c r="W297" s="531" t="str">
        <f aca="false">IF(AND(ISNUMBER(N297),N297&gt;=$B$2,N297&lt;=$B$2+10),N297*100000+ROW(),"")</f>
        <v/>
      </c>
      <c r="X297" s="531"/>
      <c r="Y297" s="531"/>
      <c r="Z297" s="531"/>
      <c r="AA297" s="531"/>
      <c r="AB297" s="531"/>
      <c r="AC297" s="531"/>
      <c r="AD297" s="531"/>
      <c r="AE297" s="531"/>
      <c r="AF297" s="531"/>
      <c r="AG297" s="531"/>
      <c r="AH297" s="531"/>
      <c r="AI297" s="531"/>
      <c r="AJ297" s="531"/>
      <c r="AK297" s="531"/>
      <c r="AL297" s="531"/>
      <c r="AM297" s="531"/>
      <c r="AN297" s="531"/>
    </row>
    <row r="298" customFormat="false" ht="16.5" hidden="false" customHeight="true" outlineLevel="0" collapsed="false">
      <c r="A298" s="531"/>
      <c r="B298" s="531"/>
      <c r="C298" s="531"/>
      <c r="D298" s="531"/>
      <c r="E298" s="531"/>
      <c r="F298" s="531"/>
      <c r="G298" s="531"/>
      <c r="H298" s="531"/>
      <c r="I298" s="531"/>
      <c r="J298" s="531"/>
      <c r="K298" s="531"/>
      <c r="L298" s="531"/>
      <c r="M298" s="531"/>
      <c r="N298" s="547" t="n">
        <f aca="false">IF('(1)예금승인내역'!H924="","",'(1)예금승인내역'!H924)</f>
        <v>45901</v>
      </c>
      <c r="O298" s="547" t="n">
        <f aca="false">IF('(1)예금승인내역'!G924="","",'(1)예금승인내역'!G924)</f>
        <v>45869</v>
      </c>
      <c r="P298" s="531" t="str">
        <f aca="false">IF('(1)예금승인내역'!F924="","",'(1)예금승인내역'!F924)</f>
        <v>㈜지엠메탈</v>
      </c>
      <c r="Q298" s="531" t="str">
        <f aca="false">IF('(1)예금승인내역'!C924="","",'(1)예금승인내역'!C924)</f>
        <v>이현공단영업부</v>
      </c>
      <c r="R298" s="531" t="str">
        <f aca="false">IF('(1)예금승인내역'!K924="","",'(1)예금승인내역'!K924)</f>
        <v>MMDA</v>
      </c>
      <c r="S298" s="548" t="n">
        <f aca="false">IF('(1)예금승인내역'!L924="","",'(1)예금승인내역'!L924)</f>
        <v>1.25</v>
      </c>
      <c r="T298" s="549" t="n">
        <f aca="false">IF('(1)예금승인내역'!AG924="","",'(1)예금승인내역'!AG924)</f>
        <v>0.035</v>
      </c>
      <c r="U298" s="549" t="n">
        <f aca="false">IF('(1)예금승인내역'!X924="","",'(1)예금승인내역'!X924)</f>
        <v>0.007027</v>
      </c>
      <c r="V298" s="531" t="n">
        <f aca="false">IF(ISNUMBER(N298),N298-$B$2,"")</f>
        <v>-288</v>
      </c>
      <c r="W298" s="531" t="str">
        <f aca="false">IF(AND(ISNUMBER(N298),N298&gt;=$B$2,N298&lt;=$B$2+10),N298*100000+ROW(),"")</f>
        <v/>
      </c>
      <c r="X298" s="531"/>
      <c r="Y298" s="531"/>
      <c r="Z298" s="531"/>
      <c r="AA298" s="531"/>
      <c r="AB298" s="531"/>
      <c r="AC298" s="531"/>
      <c r="AD298" s="531"/>
      <c r="AE298" s="531"/>
      <c r="AF298" s="531"/>
      <c r="AG298" s="531"/>
      <c r="AH298" s="531"/>
      <c r="AI298" s="531"/>
      <c r="AJ298" s="531"/>
      <c r="AK298" s="531"/>
      <c r="AL298" s="531"/>
      <c r="AM298" s="531"/>
      <c r="AN298" s="531"/>
    </row>
    <row r="299" customFormat="false" ht="16.5" hidden="false" customHeight="true" outlineLevel="0" collapsed="false">
      <c r="A299" s="531"/>
      <c r="B299" s="531"/>
      <c r="C299" s="531"/>
      <c r="D299" s="531"/>
      <c r="E299" s="531"/>
      <c r="F299" s="531"/>
      <c r="G299" s="531"/>
      <c r="H299" s="531"/>
      <c r="I299" s="531"/>
      <c r="J299" s="531"/>
      <c r="K299" s="531"/>
      <c r="L299" s="531"/>
      <c r="M299" s="531"/>
      <c r="N299" s="547" t="n">
        <f aca="false">IF('(1)예금승인내역'!H925="","",'(1)예금승인내역'!H925)</f>
        <v>45901</v>
      </c>
      <c r="O299" s="547" t="n">
        <f aca="false">IF('(1)예금승인내역'!G925="","",'(1)예금승인내역'!G925)</f>
        <v>45870</v>
      </c>
      <c r="P299" s="531" t="str">
        <f aca="false">IF('(1)예금승인내역'!F925="","",'(1)예금승인내역'!F925)</f>
        <v>국제금속</v>
      </c>
      <c r="Q299" s="531" t="str">
        <f aca="false">IF('(1)예금승인내역'!C925="","",'(1)예금승인내역'!C925)</f>
        <v>영천영업부</v>
      </c>
      <c r="R299" s="531" t="str">
        <f aca="false">IF('(1)예금승인내역'!K925="","",'(1)예금승인내역'!K925)</f>
        <v>MMDA</v>
      </c>
      <c r="S299" s="548" t="n">
        <f aca="false">IF('(1)예금승인내역'!L925="","",'(1)예금승인내역'!L925)</f>
        <v>7.86</v>
      </c>
      <c r="T299" s="549" t="n">
        <f aca="false">IF('(1)예금승인내역'!AG925="","",'(1)예금승인내역'!AG925)</f>
        <v>0.0355</v>
      </c>
      <c r="U299" s="549" t="n">
        <f aca="false">IF('(1)예금승인내역'!X925="","",'(1)예금승인내역'!X925)</f>
        <v>0.006441</v>
      </c>
      <c r="V299" s="531" t="n">
        <f aca="false">IF(ISNUMBER(N299),N299-$B$2,"")</f>
        <v>-288</v>
      </c>
      <c r="W299" s="531" t="str">
        <f aca="false">IF(AND(ISNUMBER(N299),N299&gt;=$B$2,N299&lt;=$B$2+10),N299*100000+ROW(),"")</f>
        <v/>
      </c>
      <c r="X299" s="531"/>
      <c r="Y299" s="531"/>
      <c r="Z299" s="531"/>
      <c r="AA299" s="531"/>
      <c r="AB299" s="531"/>
      <c r="AC299" s="531"/>
      <c r="AD299" s="531"/>
      <c r="AE299" s="531"/>
      <c r="AF299" s="531"/>
      <c r="AG299" s="531"/>
      <c r="AH299" s="531"/>
      <c r="AI299" s="531"/>
      <c r="AJ299" s="531"/>
      <c r="AK299" s="531"/>
      <c r="AL299" s="531"/>
      <c r="AM299" s="531"/>
      <c r="AN299" s="531"/>
    </row>
    <row r="300" customFormat="false" ht="16.5" hidden="false" customHeight="true" outlineLevel="0" collapsed="false">
      <c r="A300" s="531"/>
      <c r="B300" s="531"/>
      <c r="C300" s="531"/>
      <c r="D300" s="531"/>
      <c r="E300" s="531"/>
      <c r="F300" s="531"/>
      <c r="G300" s="531"/>
      <c r="H300" s="531"/>
      <c r="I300" s="531"/>
      <c r="J300" s="531"/>
      <c r="K300" s="531"/>
      <c r="L300" s="531"/>
      <c r="M300" s="531"/>
      <c r="N300" s="547" t="n">
        <f aca="false">IF('(1)예금승인내역'!H926="","",'(1)예금승인내역'!H926)</f>
        <v>45965</v>
      </c>
      <c r="O300" s="547" t="n">
        <f aca="false">IF('(1)예금승인내역'!G926="","",'(1)예금승인내역'!G926)</f>
        <v>45873</v>
      </c>
      <c r="P300" s="531" t="str">
        <f aca="false">IF('(1)예금승인내역'!F926="","",'(1)예금승인내역'!F926)</f>
        <v>해내다컨트리클럽</v>
      </c>
      <c r="Q300" s="531" t="str">
        <f aca="false">IF('(1)예금승인내역'!C926="","",'(1)예금승인내역'!C926)</f>
        <v>달성공단영업부</v>
      </c>
      <c r="R300" s="531" t="str">
        <f aca="false">IF('(1)예금승인내역'!K926="","",'(1)예금승인내역'!K926)</f>
        <v>자유적립예금</v>
      </c>
      <c r="S300" s="548" t="n">
        <f aca="false">IF('(1)예금승인내역'!L926="","",'(1)예금승인내역'!L926)</f>
        <v>2.13</v>
      </c>
      <c r="T300" s="549" t="n">
        <f aca="false">IF('(1)예금승인내역'!AG926="","",'(1)예금승인내역'!AG926)</f>
        <v>0.042</v>
      </c>
      <c r="U300" s="549" t="n">
        <f aca="false">IF('(1)예금승인내역'!X926="","",'(1)예금승인내역'!X926)</f>
        <v>0.002774</v>
      </c>
      <c r="V300" s="531" t="n">
        <f aca="false">IF(ISNUMBER(N300),N300-$B$2,"")</f>
        <v>-224</v>
      </c>
      <c r="W300" s="531" t="str">
        <f aca="false">IF(AND(ISNUMBER(N300),N300&gt;=$B$2,N300&lt;=$B$2+10),N300*100000+ROW(),"")</f>
        <v/>
      </c>
      <c r="X300" s="531"/>
      <c r="Y300" s="531"/>
      <c r="Z300" s="531"/>
      <c r="AA300" s="531"/>
      <c r="AB300" s="531"/>
      <c r="AC300" s="531"/>
      <c r="AD300" s="531"/>
      <c r="AE300" s="531"/>
      <c r="AF300" s="531"/>
      <c r="AG300" s="531"/>
      <c r="AH300" s="531"/>
      <c r="AI300" s="531"/>
      <c r="AJ300" s="531"/>
      <c r="AK300" s="531"/>
      <c r="AL300" s="531"/>
      <c r="AM300" s="531"/>
      <c r="AN300" s="531"/>
    </row>
    <row r="301" customFormat="false" ht="16.5" hidden="false" customHeight="true" outlineLevel="0" collapsed="false">
      <c r="A301" s="531"/>
      <c r="B301" s="531"/>
      <c r="C301" s="531"/>
      <c r="D301" s="531"/>
      <c r="E301" s="531"/>
      <c r="F301" s="531"/>
      <c r="G301" s="531"/>
      <c r="H301" s="531"/>
      <c r="I301" s="531"/>
      <c r="J301" s="531"/>
      <c r="K301" s="531"/>
      <c r="L301" s="531"/>
      <c r="M301" s="531"/>
      <c r="N301" s="547" t="n">
        <f aca="false">IF('(1)예금승인내역'!H927="","",'(1)예금승인내역'!H927)</f>
        <v>45971</v>
      </c>
      <c r="O301" s="547" t="n">
        <f aca="false">IF('(1)예금승인내역'!G927="","",'(1)예금승인내역'!G927)</f>
        <v>45877</v>
      </c>
      <c r="P301" s="531" t="str">
        <f aca="false">IF('(1)예금승인내역'!F927="","",'(1)예금승인내역'!F927)</f>
        <v>미래나노텍㈜</v>
      </c>
      <c r="Q301" s="531" t="str">
        <f aca="false">IF('(1)예금승인내역'!C927="","",'(1)예금승인내역'!C927)</f>
        <v>본점PB센터</v>
      </c>
      <c r="R301" s="531" t="str">
        <f aca="false">IF('(1)예금승인내역'!K927="","",'(1)예금승인내역'!K927)</f>
        <v>정기예금</v>
      </c>
      <c r="S301" s="548" t="n">
        <f aca="false">IF('(1)예금승인내역'!L927="","",'(1)예금승인내역'!L927)</f>
        <v>2.01</v>
      </c>
      <c r="T301" s="549" t="n">
        <f aca="false">IF('(1)예금승인내역'!AG927="","",'(1)예금승인내역'!AG927)</f>
        <v>0.0415</v>
      </c>
      <c r="U301" s="549" t="n">
        <f aca="false">IF('(1)예금승인내역'!X927="","",'(1)예금승인내역'!X927)</f>
        <v>0.002621</v>
      </c>
      <c r="V301" s="531" t="n">
        <f aca="false">IF(ISNUMBER(N301),N301-$B$2,"")</f>
        <v>-218</v>
      </c>
      <c r="W301" s="531" t="str">
        <f aca="false">IF(AND(ISNUMBER(N301),N301&gt;=$B$2,N301&lt;=$B$2+10),N301*100000+ROW(),"")</f>
        <v/>
      </c>
      <c r="X301" s="531"/>
      <c r="Y301" s="531"/>
      <c r="Z301" s="531"/>
      <c r="AA301" s="531"/>
      <c r="AB301" s="531"/>
      <c r="AC301" s="531"/>
      <c r="AD301" s="531"/>
      <c r="AE301" s="531"/>
      <c r="AF301" s="531"/>
      <c r="AG301" s="531"/>
      <c r="AH301" s="531"/>
      <c r="AI301" s="531"/>
      <c r="AJ301" s="531"/>
      <c r="AK301" s="531"/>
      <c r="AL301" s="531"/>
      <c r="AM301" s="531"/>
      <c r="AN301" s="531"/>
    </row>
    <row r="302" customFormat="false" ht="16.5" hidden="false" customHeight="true" outlineLevel="0" collapsed="false">
      <c r="A302" s="531"/>
      <c r="B302" s="531"/>
      <c r="C302" s="531"/>
      <c r="D302" s="531"/>
      <c r="E302" s="531"/>
      <c r="F302" s="531"/>
      <c r="G302" s="531"/>
      <c r="H302" s="531"/>
      <c r="I302" s="531"/>
      <c r="J302" s="531"/>
      <c r="K302" s="531"/>
      <c r="L302" s="531"/>
      <c r="M302" s="531"/>
      <c r="N302" s="547" t="n">
        <f aca="false">IF('(1)예금승인내역'!H928="","",'(1)예금승인내역'!H928)</f>
        <v>45908</v>
      </c>
      <c r="O302" s="547" t="n">
        <f aca="false">IF('(1)예금승인내역'!G928="","",'(1)예금승인내역'!G928)</f>
        <v>45877</v>
      </c>
      <c r="P302" s="531" t="str">
        <f aca="false">IF('(1)예금승인내역'!F928="","",'(1)예금승인내역'!F928)</f>
        <v>㈜현대그린푸드</v>
      </c>
      <c r="Q302" s="531" t="str">
        <f aca="false">IF('(1)예금승인내역'!C928="","",'(1)예금승인내역'!C928)</f>
        <v>성남영업부</v>
      </c>
      <c r="R302" s="531" t="str">
        <f aca="false">IF('(1)예금승인내역'!K928="","",'(1)예금승인내역'!K928)</f>
        <v>MMDA</v>
      </c>
      <c r="S302" s="548" t="n">
        <f aca="false">IF('(1)예금승인내역'!L928="","",'(1)예금승인내역'!L928)</f>
        <v>2</v>
      </c>
      <c r="T302" s="549" t="n">
        <f aca="false">IF('(1)예금승인내역'!AG928="","",'(1)예금승인내역'!AG928)</f>
        <v>0.0385</v>
      </c>
      <c r="U302" s="549" t="n">
        <f aca="false">IF('(1)예금승인내역'!X928="","",'(1)예금승인내역'!X928)</f>
        <v>0.003139</v>
      </c>
      <c r="V302" s="531" t="n">
        <f aca="false">IF(ISNUMBER(N302),N302-$B$2,"")</f>
        <v>-281</v>
      </c>
      <c r="W302" s="531" t="str">
        <f aca="false">IF(AND(ISNUMBER(N302),N302&gt;=$B$2,N302&lt;=$B$2+10),N302*100000+ROW(),"")</f>
        <v/>
      </c>
      <c r="X302" s="531"/>
      <c r="Y302" s="531"/>
      <c r="Z302" s="531"/>
      <c r="AA302" s="531"/>
      <c r="AB302" s="531"/>
      <c r="AC302" s="531"/>
      <c r="AD302" s="531"/>
      <c r="AE302" s="531"/>
      <c r="AF302" s="531"/>
      <c r="AG302" s="531"/>
      <c r="AH302" s="531"/>
      <c r="AI302" s="531"/>
      <c r="AJ302" s="531"/>
      <c r="AK302" s="531"/>
      <c r="AL302" s="531"/>
      <c r="AM302" s="531"/>
      <c r="AN302" s="531"/>
    </row>
    <row r="303" customFormat="false" ht="16.5" hidden="false" customHeight="true" outlineLevel="0" collapsed="false">
      <c r="A303" s="531"/>
      <c r="B303" s="531"/>
      <c r="C303" s="531"/>
      <c r="D303" s="531"/>
      <c r="E303" s="531"/>
      <c r="F303" s="531"/>
      <c r="G303" s="531"/>
      <c r="H303" s="531"/>
      <c r="I303" s="531"/>
      <c r="J303" s="531"/>
      <c r="K303" s="531"/>
      <c r="L303" s="531"/>
      <c r="M303" s="531"/>
      <c r="N303" s="547" t="n">
        <f aca="false">IF('(1)예금승인내역'!H929="","",'(1)예금승인내역'!H929)</f>
        <v>45908</v>
      </c>
      <c r="O303" s="547" t="n">
        <f aca="false">IF('(1)예금승인내역'!G929="","",'(1)예금승인내역'!G929)</f>
        <v>45877</v>
      </c>
      <c r="P303" s="531" t="str">
        <f aca="false">IF('(1)예금승인내역'!F929="","",'(1)예금승인내역'!F929)</f>
        <v>㈜이수스페셜티케미컬</v>
      </c>
      <c r="Q303" s="531" t="str">
        <f aca="false">IF('(1)예금승인내역'!C929="","",'(1)예금승인내역'!C929)</f>
        <v>성남영업부</v>
      </c>
      <c r="R303" s="531" t="str">
        <f aca="false">IF('(1)예금승인내역'!K929="","",'(1)예금승인내역'!K929)</f>
        <v>MMDA</v>
      </c>
      <c r="S303" s="548" t="n">
        <f aca="false">IF('(1)예금승인내역'!L929="","",'(1)예금승인내역'!L929)</f>
        <v>1.5</v>
      </c>
      <c r="T303" s="549" t="n">
        <f aca="false">IF('(1)예금승인내역'!AG929="","",'(1)예금승인내역'!AG929)</f>
        <v>0.0375</v>
      </c>
      <c r="U303" s="549" t="n">
        <f aca="false">IF('(1)예금승인내역'!X929="","",'(1)예금승인내역'!X929)</f>
        <v>0.004139</v>
      </c>
      <c r="V303" s="531" t="n">
        <f aca="false">IF(ISNUMBER(N303),N303-$B$2,"")</f>
        <v>-281</v>
      </c>
      <c r="W303" s="531" t="str">
        <f aca="false">IF(AND(ISNUMBER(N303),N303&gt;=$B$2,N303&lt;=$B$2+10),N303*100000+ROW(),"")</f>
        <v/>
      </c>
      <c r="X303" s="531"/>
      <c r="Y303" s="531"/>
      <c r="Z303" s="531"/>
      <c r="AA303" s="531"/>
      <c r="AB303" s="531"/>
      <c r="AC303" s="531"/>
      <c r="AD303" s="531"/>
      <c r="AE303" s="531"/>
      <c r="AF303" s="531"/>
      <c r="AG303" s="531"/>
      <c r="AH303" s="531"/>
      <c r="AI303" s="531"/>
      <c r="AJ303" s="531"/>
      <c r="AK303" s="531"/>
      <c r="AL303" s="531"/>
      <c r="AM303" s="531"/>
      <c r="AN303" s="531"/>
    </row>
    <row r="304" customFormat="false" ht="16.5" hidden="false" customHeight="true" outlineLevel="0" collapsed="false">
      <c r="A304" s="531"/>
      <c r="B304" s="531"/>
      <c r="C304" s="531"/>
      <c r="D304" s="531"/>
      <c r="E304" s="531"/>
      <c r="F304" s="531"/>
      <c r="G304" s="531"/>
      <c r="H304" s="531"/>
      <c r="I304" s="531"/>
      <c r="J304" s="531"/>
      <c r="K304" s="531"/>
      <c r="L304" s="531"/>
      <c r="M304" s="531"/>
      <c r="N304" s="547" t="n">
        <f aca="false">IF('(1)예금승인내역'!H930="","",'(1)예금승인내역'!H930)</f>
        <v>45911</v>
      </c>
      <c r="O304" s="547" t="n">
        <f aca="false">IF('(1)예금승인내역'!G930="","",'(1)예금승인내역'!G930)</f>
        <v>45880</v>
      </c>
      <c r="P304" s="531" t="str">
        <f aca="false">IF('(1)예금승인내역'!F930="","",'(1)예금승인내역'!F930)</f>
        <v>한국비철㈜</v>
      </c>
      <c r="Q304" s="531" t="str">
        <f aca="false">IF('(1)예금승인내역'!C930="","",'(1)예금승인내역'!C930)</f>
        <v>달성공단영업부</v>
      </c>
      <c r="R304" s="531" t="str">
        <f aca="false">IF('(1)예금승인내역'!K930="","",'(1)예금승인내역'!K930)</f>
        <v>정기예금</v>
      </c>
      <c r="S304" s="548" t="n">
        <f aca="false">IF('(1)예금승인내역'!L930="","",'(1)예금승인내역'!L930)</f>
        <v>11.07</v>
      </c>
      <c r="T304" s="549" t="n">
        <f aca="false">IF('(1)예금승인내역'!AG930="","",'(1)예금승인내역'!AG930)</f>
        <v>0.0402</v>
      </c>
      <c r="U304" s="549" t="n">
        <f aca="false">IF('(1)예금승인내역'!X930="","",'(1)예금승인내역'!X930)</f>
        <v>0.003666</v>
      </c>
      <c r="V304" s="531" t="n">
        <f aca="false">IF(ISNUMBER(N304),N304-$B$2,"")</f>
        <v>-278</v>
      </c>
      <c r="W304" s="531" t="str">
        <f aca="false">IF(AND(ISNUMBER(N304),N304&gt;=$B$2,N304&lt;=$B$2+10),N304*100000+ROW(),"")</f>
        <v/>
      </c>
      <c r="X304" s="531"/>
      <c r="Y304" s="531"/>
      <c r="Z304" s="531"/>
      <c r="AA304" s="531"/>
      <c r="AB304" s="531"/>
      <c r="AC304" s="531"/>
      <c r="AD304" s="531"/>
      <c r="AE304" s="531"/>
      <c r="AF304" s="531"/>
      <c r="AG304" s="531"/>
      <c r="AH304" s="531"/>
      <c r="AI304" s="531"/>
      <c r="AJ304" s="531"/>
      <c r="AK304" s="531"/>
      <c r="AL304" s="531"/>
      <c r="AM304" s="531"/>
      <c r="AN304" s="531"/>
    </row>
    <row r="305" customFormat="false" ht="16.5" hidden="false" customHeight="true" outlineLevel="0" collapsed="false">
      <c r="A305" s="531"/>
      <c r="B305" s="531"/>
      <c r="C305" s="531"/>
      <c r="D305" s="531"/>
      <c r="E305" s="531"/>
      <c r="F305" s="531"/>
      <c r="G305" s="531"/>
      <c r="H305" s="531"/>
      <c r="I305" s="531"/>
      <c r="J305" s="531"/>
      <c r="K305" s="531"/>
      <c r="L305" s="531"/>
      <c r="M305" s="531"/>
      <c r="N305" s="547" t="n">
        <f aca="false">IF('(1)예금승인내역'!H931="","",'(1)예금승인내역'!H931)</f>
        <v>45911</v>
      </c>
      <c r="O305" s="547" t="n">
        <f aca="false">IF('(1)예금승인내역'!G931="","",'(1)예금승인내역'!G931)</f>
        <v>45880</v>
      </c>
      <c r="P305" s="531" t="str">
        <f aca="false">IF('(1)예금승인내역'!F931="","",'(1)예금승인내역'!F931)</f>
        <v>한국비철㈜</v>
      </c>
      <c r="Q305" s="531" t="str">
        <f aca="false">IF('(1)예금승인내역'!C931="","",'(1)예금승인내역'!C931)</f>
        <v>달성공단영업부</v>
      </c>
      <c r="R305" s="531" t="str">
        <f aca="false">IF('(1)예금승인내역'!K931="","",'(1)예금승인내역'!K931)</f>
        <v>MMDA</v>
      </c>
      <c r="S305" s="548" t="n">
        <f aca="false">IF('(1)예금승인내역'!L931="","",'(1)예금승인내역'!L931)</f>
        <v>11</v>
      </c>
      <c r="T305" s="549" t="n">
        <f aca="false">IF('(1)예금승인내역'!AG931="","",'(1)예금승인내역'!AG931)</f>
        <v>0.036</v>
      </c>
      <c r="U305" s="549" t="n">
        <f aca="false">IF('(1)예금승인내역'!X931="","",'(1)예금승인내역'!X931)</f>
        <v>0.005624</v>
      </c>
      <c r="V305" s="531" t="n">
        <f aca="false">IF(ISNUMBER(N305),N305-$B$2,"")</f>
        <v>-278</v>
      </c>
      <c r="W305" s="531" t="str">
        <f aca="false">IF(AND(ISNUMBER(N305),N305&gt;=$B$2,N305&lt;=$B$2+10),N305*100000+ROW(),"")</f>
        <v/>
      </c>
      <c r="X305" s="531"/>
      <c r="Y305" s="531"/>
      <c r="Z305" s="531"/>
      <c r="AA305" s="531"/>
      <c r="AB305" s="531"/>
      <c r="AC305" s="531"/>
      <c r="AD305" s="531"/>
      <c r="AE305" s="531"/>
      <c r="AF305" s="531"/>
      <c r="AG305" s="531"/>
      <c r="AH305" s="531"/>
      <c r="AI305" s="531"/>
      <c r="AJ305" s="531"/>
      <c r="AK305" s="531"/>
      <c r="AL305" s="531"/>
      <c r="AM305" s="531"/>
      <c r="AN305" s="531"/>
    </row>
    <row r="306" customFormat="false" ht="16.5" hidden="false" customHeight="true" outlineLevel="0" collapsed="false">
      <c r="A306" s="531"/>
      <c r="B306" s="531"/>
      <c r="C306" s="531"/>
      <c r="D306" s="531"/>
      <c r="E306" s="531"/>
      <c r="F306" s="531"/>
      <c r="G306" s="531"/>
      <c r="H306" s="531"/>
      <c r="I306" s="531"/>
      <c r="J306" s="531"/>
      <c r="K306" s="531"/>
      <c r="L306" s="531"/>
      <c r="M306" s="531"/>
      <c r="N306" s="547" t="n">
        <f aca="false">IF('(1)예금승인내역'!H932="","",'(1)예금승인내역'!H932)</f>
        <v>45911</v>
      </c>
      <c r="O306" s="547" t="n">
        <f aca="false">IF('(1)예금승인내역'!G932="","",'(1)예금승인내역'!G932)</f>
        <v>45880</v>
      </c>
      <c r="P306" s="531" t="str">
        <f aca="false">IF('(1)예금승인내역'!F932="","",'(1)예금승인내역'!F932)</f>
        <v>주식회사 한국비앤씨</v>
      </c>
      <c r="Q306" s="531" t="str">
        <f aca="false">IF('(1)예금승인내역'!C932="","",'(1)예금승인내역'!C932)</f>
        <v>유통단지영업부</v>
      </c>
      <c r="R306" s="531" t="str">
        <f aca="false">IF('(1)예금승인내역'!K932="","",'(1)예금승인내역'!K932)</f>
        <v>MMDA</v>
      </c>
      <c r="S306" s="548" t="n">
        <f aca="false">IF('(1)예금승인내역'!L932="","",'(1)예금승인내역'!L932)</f>
        <v>6.56</v>
      </c>
      <c r="T306" s="549" t="n">
        <f aca="false">IF('(1)예금승인내역'!AG932="","",'(1)예금승인내역'!AG932)</f>
        <v>0.0375</v>
      </c>
      <c r="U306" s="549" t="n">
        <f aca="false">IF('(1)예금승인내역'!X932="","",'(1)예금승인내역'!X932)</f>
        <v>0.004124</v>
      </c>
      <c r="V306" s="531" t="n">
        <f aca="false">IF(ISNUMBER(N306),N306-$B$2,"")</f>
        <v>-278</v>
      </c>
      <c r="W306" s="531" t="str">
        <f aca="false">IF(AND(ISNUMBER(N306),N306&gt;=$B$2,N306&lt;=$B$2+10),N306*100000+ROW(),"")</f>
        <v/>
      </c>
      <c r="X306" s="531"/>
      <c r="Y306" s="531"/>
      <c r="Z306" s="531"/>
      <c r="AA306" s="531"/>
      <c r="AB306" s="531"/>
      <c r="AC306" s="531"/>
      <c r="AD306" s="531"/>
      <c r="AE306" s="531"/>
      <c r="AF306" s="531"/>
      <c r="AG306" s="531"/>
      <c r="AH306" s="531"/>
      <c r="AI306" s="531"/>
      <c r="AJ306" s="531"/>
      <c r="AK306" s="531"/>
      <c r="AL306" s="531"/>
      <c r="AM306" s="531"/>
      <c r="AN306" s="531"/>
    </row>
    <row r="307" customFormat="false" ht="16.5" hidden="false" customHeight="true" outlineLevel="0" collapsed="false">
      <c r="A307" s="531"/>
      <c r="B307" s="531"/>
      <c r="C307" s="531"/>
      <c r="D307" s="531"/>
      <c r="E307" s="531"/>
      <c r="F307" s="531"/>
      <c r="G307" s="531"/>
      <c r="H307" s="531"/>
      <c r="I307" s="531"/>
      <c r="J307" s="531"/>
      <c r="K307" s="531"/>
      <c r="L307" s="531"/>
      <c r="M307" s="531"/>
      <c r="N307" s="547" t="n">
        <f aca="false">IF('(1)예금승인내역'!H933="","",'(1)예금승인내역'!H933)</f>
        <v>45915</v>
      </c>
      <c r="O307" s="547" t="n">
        <f aca="false">IF('(1)예금승인내역'!G933="","",'(1)예금승인내역'!G933)</f>
        <v>45882</v>
      </c>
      <c r="P307" s="531" t="str">
        <f aca="false">IF('(1)예금승인내역'!F933="","",'(1)예금승인내역'!F933)</f>
        <v>에스엠상선㈜</v>
      </c>
      <c r="Q307" s="531" t="str">
        <f aca="false">IF('(1)예금승인내역'!C933="","",'(1)예금승인내역'!C933)</f>
        <v>강남영업부</v>
      </c>
      <c r="R307" s="531" t="str">
        <f aca="false">IF('(1)예금승인내역'!K933="","",'(1)예금승인내역'!K933)</f>
        <v>정기예금</v>
      </c>
      <c r="S307" s="548" t="n">
        <f aca="false">IF('(1)예금승인내역'!L933="","",'(1)예금승인내역'!L933)</f>
        <v>10</v>
      </c>
      <c r="T307" s="549" t="n">
        <f aca="false">IF('(1)예금승인내역'!AG933="","",'(1)예금승인내역'!AG933)</f>
        <v>0.0415</v>
      </c>
      <c r="U307" s="549" t="n">
        <f aca="false">IF('(1)예금승인내역'!X933="","",'(1)예금승인내역'!X933)</f>
        <v>0.003658</v>
      </c>
      <c r="V307" s="531" t="n">
        <f aca="false">IF(ISNUMBER(N307),N307-$B$2,"")</f>
        <v>-274</v>
      </c>
      <c r="W307" s="531" t="str">
        <f aca="false">IF(AND(ISNUMBER(N307),N307&gt;=$B$2,N307&lt;=$B$2+10),N307*100000+ROW(),"")</f>
        <v/>
      </c>
      <c r="X307" s="531"/>
      <c r="Y307" s="531"/>
      <c r="Z307" s="531"/>
      <c r="AA307" s="531"/>
      <c r="AB307" s="531"/>
      <c r="AC307" s="531"/>
      <c r="AD307" s="531"/>
      <c r="AE307" s="531"/>
      <c r="AF307" s="531"/>
      <c r="AG307" s="531"/>
      <c r="AH307" s="531"/>
      <c r="AI307" s="531"/>
      <c r="AJ307" s="531"/>
      <c r="AK307" s="531"/>
      <c r="AL307" s="531"/>
      <c r="AM307" s="531"/>
      <c r="AN307" s="531"/>
    </row>
    <row r="308" customFormat="false" ht="16.5" hidden="false" customHeight="true" outlineLevel="0" collapsed="false">
      <c r="A308" s="531"/>
      <c r="B308" s="531"/>
      <c r="C308" s="531"/>
      <c r="D308" s="531"/>
      <c r="E308" s="531"/>
      <c r="F308" s="531"/>
      <c r="G308" s="531"/>
      <c r="H308" s="531"/>
      <c r="I308" s="531"/>
      <c r="J308" s="531"/>
      <c r="K308" s="531"/>
      <c r="L308" s="531"/>
      <c r="M308" s="531"/>
      <c r="N308" s="547" t="n">
        <f aca="false">IF('(1)예금승인내역'!H934="","",'(1)예금승인내역'!H934)</f>
        <v>45974</v>
      </c>
      <c r="O308" s="547" t="n">
        <f aca="false">IF('(1)예금승인내역'!G934="","",'(1)예금승인내역'!G934)</f>
        <v>45882</v>
      </c>
      <c r="P308" s="531" t="str">
        <f aca="false">IF('(1)예금승인내역'!F934="","",'(1)예금승인내역'!F934)</f>
        <v>동아홀딩스</v>
      </c>
      <c r="Q308" s="531" t="str">
        <f aca="false">IF('(1)예금승인내역'!C934="","",'(1)예금승인내역'!C934)</f>
        <v>달성공단영업부</v>
      </c>
      <c r="R308" s="531" t="str">
        <f aca="false">IF('(1)예금승인내역'!K934="","",'(1)예금승인내역'!K934)</f>
        <v>정기예금</v>
      </c>
      <c r="S308" s="548" t="n">
        <f aca="false">IF('(1)예금승인내역'!L934="","",'(1)예금승인내역'!L934)</f>
        <v>1.44</v>
      </c>
      <c r="T308" s="549" t="n">
        <f aca="false">IF('(1)예금승인내역'!AG934="","",'(1)예금승인내역'!AG934)</f>
        <v>0.042</v>
      </c>
      <c r="U308" s="549" t="n">
        <f aca="false">IF('(1)예금승인내역'!X934="","",'(1)예금승인내역'!X934)</f>
        <v>0.002064</v>
      </c>
      <c r="V308" s="531" t="n">
        <f aca="false">IF(ISNUMBER(N308),N308-$B$2,"")</f>
        <v>-215</v>
      </c>
      <c r="W308" s="531" t="str">
        <f aca="false">IF(AND(ISNUMBER(N308),N308&gt;=$B$2,N308&lt;=$B$2+10),N308*100000+ROW(),"")</f>
        <v/>
      </c>
      <c r="X308" s="531"/>
      <c r="Y308" s="531"/>
      <c r="Z308" s="531"/>
      <c r="AA308" s="531"/>
      <c r="AB308" s="531"/>
      <c r="AC308" s="531"/>
      <c r="AD308" s="531"/>
      <c r="AE308" s="531"/>
      <c r="AF308" s="531"/>
      <c r="AG308" s="531"/>
      <c r="AH308" s="531"/>
      <c r="AI308" s="531"/>
      <c r="AJ308" s="531"/>
      <c r="AK308" s="531"/>
      <c r="AL308" s="531"/>
      <c r="AM308" s="531"/>
      <c r="AN308" s="531"/>
    </row>
    <row r="309" customFormat="false" ht="16.5" hidden="false" customHeight="true" outlineLevel="0" collapsed="false">
      <c r="A309" s="531"/>
      <c r="B309" s="531"/>
      <c r="C309" s="531"/>
      <c r="D309" s="531"/>
      <c r="E309" s="531"/>
      <c r="F309" s="531"/>
      <c r="G309" s="531"/>
      <c r="H309" s="531"/>
      <c r="I309" s="531"/>
      <c r="J309" s="531"/>
      <c r="K309" s="531"/>
      <c r="L309" s="531"/>
      <c r="M309" s="531"/>
      <c r="N309" s="547" t="n">
        <f aca="false">IF('(1)예금승인내역'!H935="","",'(1)예금승인내역'!H935)</f>
        <v>45974</v>
      </c>
      <c r="O309" s="547" t="n">
        <f aca="false">IF('(1)예금승인내역'!G935="","",'(1)예금승인내역'!G935)</f>
        <v>45882</v>
      </c>
      <c r="P309" s="531" t="str">
        <f aca="false">IF('(1)예금승인내역'!F935="","",'(1)예금승인내역'!F935)</f>
        <v>해내다컨트리클럽</v>
      </c>
      <c r="Q309" s="531" t="str">
        <f aca="false">IF('(1)예금승인내역'!C935="","",'(1)예금승인내역'!C935)</f>
        <v>달성공단영업부</v>
      </c>
      <c r="R309" s="531" t="str">
        <f aca="false">IF('(1)예금승인내역'!K935="","",'(1)예금승인내역'!K935)</f>
        <v>정기예금</v>
      </c>
      <c r="S309" s="548" t="n">
        <f aca="false">IF('(1)예금승인내역'!L935="","",'(1)예금승인내역'!L935)</f>
        <v>1.44</v>
      </c>
      <c r="T309" s="549" t="n">
        <f aca="false">IF('(1)예금승인내역'!AG935="","",'(1)예금승인내역'!AG935)</f>
        <v>0.042</v>
      </c>
      <c r="U309" s="549" t="n">
        <f aca="false">IF('(1)예금승인내역'!X935="","",'(1)예금승인내역'!X935)</f>
        <v>0.002064</v>
      </c>
      <c r="V309" s="531" t="n">
        <f aca="false">IF(ISNUMBER(N309),N309-$B$2,"")</f>
        <v>-215</v>
      </c>
      <c r="W309" s="531" t="str">
        <f aca="false">IF(AND(ISNUMBER(N309),N309&gt;=$B$2,N309&lt;=$B$2+10),N309*100000+ROW(),"")</f>
        <v/>
      </c>
      <c r="X309" s="531"/>
      <c r="Y309" s="531"/>
      <c r="Z309" s="531"/>
      <c r="AA309" s="531"/>
      <c r="AB309" s="531"/>
      <c r="AC309" s="531"/>
      <c r="AD309" s="531"/>
      <c r="AE309" s="531"/>
      <c r="AF309" s="531"/>
      <c r="AG309" s="531"/>
      <c r="AH309" s="531"/>
      <c r="AI309" s="531"/>
      <c r="AJ309" s="531"/>
      <c r="AK309" s="531"/>
      <c r="AL309" s="531"/>
      <c r="AM309" s="531"/>
      <c r="AN309" s="531"/>
    </row>
    <row r="310" customFormat="false" ht="16.5" hidden="false" customHeight="true" outlineLevel="0" collapsed="false">
      <c r="A310" s="531"/>
      <c r="B310" s="531"/>
      <c r="C310" s="531"/>
      <c r="D310" s="531"/>
      <c r="E310" s="531"/>
      <c r="F310" s="531"/>
      <c r="G310" s="531"/>
      <c r="H310" s="531"/>
      <c r="I310" s="531"/>
      <c r="J310" s="531"/>
      <c r="K310" s="531"/>
      <c r="L310" s="531"/>
      <c r="M310" s="531"/>
      <c r="N310" s="547" t="n">
        <f aca="false">IF('(1)예금승인내역'!H936="","",'(1)예금승인내역'!H936)</f>
        <v>45915</v>
      </c>
      <c r="O310" s="547" t="n">
        <f aca="false">IF('(1)예금승인내역'!G936="","",'(1)예금승인내역'!G936)</f>
        <v>45883</v>
      </c>
      <c r="P310" s="531" t="str">
        <f aca="false">IF('(1)예금승인내역'!F936="","",'(1)예금승인내역'!F936)</f>
        <v>대원지에스아이</v>
      </c>
      <c r="Q310" s="531" t="str">
        <f aca="false">IF('(1)예금승인내역'!C936="","",'(1)예금승인내역'!C936)</f>
        <v>유통단지영업부</v>
      </c>
      <c r="R310" s="531" t="str">
        <f aca="false">IF('(1)예금승인내역'!K936="","",'(1)예금승인내역'!K936)</f>
        <v>정기예금</v>
      </c>
      <c r="S310" s="548" t="n">
        <f aca="false">IF('(1)예금승인내역'!L936="","",'(1)예금승인내역'!L936)</f>
        <v>1.5</v>
      </c>
      <c r="T310" s="549" t="n">
        <f aca="false">IF('(1)예금승인내역'!AG936="","",'(1)예금승인내역'!AG936)</f>
        <v>0.0414</v>
      </c>
      <c r="U310" s="549" t="n">
        <f aca="false">IF('(1)예금승인내역'!X936="","",'(1)예금승인내역'!X936)</f>
        <v>0.002551</v>
      </c>
      <c r="V310" s="531" t="n">
        <f aca="false">IF(ISNUMBER(N310),N310-$B$2,"")</f>
        <v>-274</v>
      </c>
      <c r="W310" s="531" t="str">
        <f aca="false">IF(AND(ISNUMBER(N310),N310&gt;=$B$2,N310&lt;=$B$2+10),N310*100000+ROW(),"")</f>
        <v/>
      </c>
      <c r="X310" s="531"/>
      <c r="Y310" s="531"/>
      <c r="Z310" s="531"/>
      <c r="AA310" s="531"/>
      <c r="AB310" s="531"/>
      <c r="AC310" s="531"/>
      <c r="AD310" s="531"/>
      <c r="AE310" s="531"/>
      <c r="AF310" s="531"/>
      <c r="AG310" s="531"/>
      <c r="AH310" s="531"/>
      <c r="AI310" s="531"/>
      <c r="AJ310" s="531"/>
      <c r="AK310" s="531"/>
      <c r="AL310" s="531"/>
      <c r="AM310" s="531"/>
      <c r="AN310" s="531"/>
    </row>
    <row r="311" customFormat="false" ht="16.5" hidden="false" customHeight="true" outlineLevel="0" collapsed="false">
      <c r="A311" s="531"/>
      <c r="B311" s="531"/>
      <c r="C311" s="531"/>
      <c r="D311" s="531"/>
      <c r="E311" s="531"/>
      <c r="F311" s="531"/>
      <c r="G311" s="531"/>
      <c r="H311" s="531"/>
      <c r="I311" s="531"/>
      <c r="J311" s="531"/>
      <c r="K311" s="531"/>
      <c r="L311" s="531"/>
      <c r="M311" s="531"/>
      <c r="N311" s="547" t="n">
        <f aca="false">IF('(1)예금승인내역'!H937="","",'(1)예금승인내역'!H937)</f>
        <v>45975</v>
      </c>
      <c r="O311" s="547" t="n">
        <f aca="false">IF('(1)예금승인내역'!G937="","",'(1)예금승인내역'!G937)</f>
        <v>45883</v>
      </c>
      <c r="P311" s="531" t="str">
        <f aca="false">IF('(1)예금승인내역'!F937="","",'(1)예금승인내역'!F937)</f>
        <v>동아홀딩스</v>
      </c>
      <c r="Q311" s="531" t="str">
        <f aca="false">IF('(1)예금승인내역'!C937="","",'(1)예금승인내역'!C937)</f>
        <v>달성공단영업부</v>
      </c>
      <c r="R311" s="531" t="str">
        <f aca="false">IF('(1)예금승인내역'!K937="","",'(1)예금승인내역'!K937)</f>
        <v>정기예금</v>
      </c>
      <c r="S311" s="548" t="n">
        <f aca="false">IF('(1)예금승인내역'!L937="","",'(1)예금승인내역'!L937)</f>
        <v>3.61</v>
      </c>
      <c r="T311" s="549" t="n">
        <f aca="false">IF('(1)예금승인내역'!AG937="","",'(1)예금승인내역'!AG937)</f>
        <v>0.0415</v>
      </c>
      <c r="U311" s="549" t="n">
        <f aca="false">IF('(1)예금승인내역'!X937="","",'(1)예금승인내역'!X937)</f>
        <v>0.002608</v>
      </c>
      <c r="V311" s="531" t="n">
        <f aca="false">IF(ISNUMBER(N311),N311-$B$2,"")</f>
        <v>-214</v>
      </c>
      <c r="W311" s="531" t="str">
        <f aca="false">IF(AND(ISNUMBER(N311),N311&gt;=$B$2,N311&lt;=$B$2+10),N311*100000+ROW(),"")</f>
        <v/>
      </c>
      <c r="X311" s="531"/>
      <c r="Y311" s="531"/>
      <c r="Z311" s="531"/>
      <c r="AA311" s="531"/>
      <c r="AB311" s="531"/>
      <c r="AC311" s="531"/>
      <c r="AD311" s="531"/>
      <c r="AE311" s="531"/>
      <c r="AF311" s="531"/>
      <c r="AG311" s="531"/>
      <c r="AH311" s="531"/>
      <c r="AI311" s="531"/>
      <c r="AJ311" s="531"/>
      <c r="AK311" s="531"/>
      <c r="AL311" s="531"/>
      <c r="AM311" s="531"/>
      <c r="AN311" s="531"/>
    </row>
    <row r="312" customFormat="false" ht="16.5" hidden="false" customHeight="true" outlineLevel="0" collapsed="false">
      <c r="A312" s="531"/>
      <c r="B312" s="531"/>
      <c r="C312" s="531"/>
      <c r="D312" s="531"/>
      <c r="E312" s="531"/>
      <c r="F312" s="531"/>
      <c r="G312" s="531"/>
      <c r="H312" s="531"/>
      <c r="I312" s="531"/>
      <c r="J312" s="531"/>
      <c r="K312" s="531"/>
      <c r="L312" s="531"/>
      <c r="M312" s="531"/>
      <c r="N312" s="547" t="n">
        <f aca="false">IF('(1)예금승인내역'!H938="","",'(1)예금승인내역'!H938)</f>
        <v>45918</v>
      </c>
      <c r="O312" s="547" t="n">
        <f aca="false">IF('(1)예금승인내역'!G938="","",'(1)예금승인내역'!G938)</f>
        <v>45887</v>
      </c>
      <c r="P312" s="531" t="str">
        <f aca="false">IF('(1)예금승인내역'!F938="","",'(1)예금승인내역'!F938)</f>
        <v>오스템임플란트㈜</v>
      </c>
      <c r="Q312" s="531" t="str">
        <f aca="false">IF('(1)예금승인내역'!C938="","",'(1)예금승인내역'!C938)</f>
        <v>성남금융센터</v>
      </c>
      <c r="R312" s="531" t="str">
        <f aca="false">IF('(1)예금승인내역'!K938="","",'(1)예금승인내역'!K938)</f>
        <v>MMDA</v>
      </c>
      <c r="S312" s="548" t="n">
        <f aca="false">IF('(1)예금승인내역'!L938="","",'(1)예금승인내역'!L938)</f>
        <v>3.7</v>
      </c>
      <c r="T312" s="549" t="n">
        <f aca="false">IF('(1)예금승인내역'!AG938="","",'(1)예금승인내역'!AG938)</f>
        <v>0.0378</v>
      </c>
      <c r="U312" s="549" t="n">
        <f aca="false">IF('(1)예금승인내역'!X938="","",'(1)예금승인내역'!X938)</f>
        <v>0.003782</v>
      </c>
      <c r="V312" s="531" t="n">
        <f aca="false">IF(ISNUMBER(N312),N312-$B$2,"")</f>
        <v>-271</v>
      </c>
      <c r="W312" s="531" t="str">
        <f aca="false">IF(AND(ISNUMBER(N312),N312&gt;=$B$2,N312&lt;=$B$2+10),N312*100000+ROW(),"")</f>
        <v/>
      </c>
      <c r="X312" s="531"/>
      <c r="Y312" s="531"/>
      <c r="Z312" s="531"/>
      <c r="AA312" s="531"/>
      <c r="AB312" s="531"/>
      <c r="AC312" s="531"/>
      <c r="AD312" s="531"/>
      <c r="AE312" s="531"/>
      <c r="AF312" s="531"/>
      <c r="AG312" s="531"/>
      <c r="AH312" s="531"/>
      <c r="AI312" s="531"/>
      <c r="AJ312" s="531"/>
      <c r="AK312" s="531"/>
      <c r="AL312" s="531"/>
      <c r="AM312" s="531"/>
      <c r="AN312" s="531"/>
    </row>
    <row r="313" customFormat="false" ht="16.5" hidden="false" customHeight="true" outlineLevel="0" collapsed="false">
      <c r="A313" s="531"/>
      <c r="B313" s="531"/>
      <c r="C313" s="531"/>
      <c r="D313" s="531"/>
      <c r="E313" s="531"/>
      <c r="F313" s="531"/>
      <c r="G313" s="531"/>
      <c r="H313" s="531"/>
      <c r="I313" s="531"/>
      <c r="J313" s="531"/>
      <c r="K313" s="531"/>
      <c r="L313" s="531"/>
      <c r="M313" s="531"/>
      <c r="N313" s="547" t="n">
        <f aca="false">IF('(1)예금승인내역'!H939="","",'(1)예금승인내역'!H939)</f>
        <v>45918</v>
      </c>
      <c r="O313" s="547" t="n">
        <f aca="false">IF('(1)예금승인내역'!G939="","",'(1)예금승인내역'!G939)</f>
        <v>45887</v>
      </c>
      <c r="P313" s="531" t="str">
        <f aca="false">IF('(1)예금승인내역'!F939="","",'(1)예금승인내역'!F939)</f>
        <v>㈜ 광성</v>
      </c>
      <c r="Q313" s="531" t="str">
        <f aca="false">IF('(1)예금승인내역'!C939="","",'(1)예금승인내역'!C939)</f>
        <v>경산공단영업부</v>
      </c>
      <c r="R313" s="531" t="str">
        <f aca="false">IF('(1)예금승인내역'!K939="","",'(1)예금승인내역'!K939)</f>
        <v>MMDA</v>
      </c>
      <c r="S313" s="548" t="n">
        <f aca="false">IF('(1)예금승인내역'!L939="","",'(1)예금승인내역'!L939)</f>
        <v>3.16</v>
      </c>
      <c r="T313" s="549" t="n">
        <f aca="false">IF('(1)예금승인내역'!AG939="","",'(1)예금승인내역'!AG939)</f>
        <v>0.0378</v>
      </c>
      <c r="U313" s="549" t="n">
        <f aca="false">IF('(1)예금승인내역'!X939="","",'(1)예금승인내역'!X939)</f>
        <v>0.003782</v>
      </c>
      <c r="V313" s="531" t="n">
        <f aca="false">IF(ISNUMBER(N313),N313-$B$2,"")</f>
        <v>-271</v>
      </c>
      <c r="W313" s="531" t="str">
        <f aca="false">IF(AND(ISNUMBER(N313),N313&gt;=$B$2,N313&lt;=$B$2+10),N313*100000+ROW(),"")</f>
        <v/>
      </c>
      <c r="X313" s="531"/>
      <c r="Y313" s="531"/>
      <c r="Z313" s="531"/>
      <c r="AA313" s="531"/>
      <c r="AB313" s="531"/>
      <c r="AC313" s="531"/>
      <c r="AD313" s="531"/>
      <c r="AE313" s="531"/>
      <c r="AF313" s="531"/>
      <c r="AG313" s="531"/>
      <c r="AH313" s="531"/>
      <c r="AI313" s="531"/>
      <c r="AJ313" s="531"/>
      <c r="AK313" s="531"/>
      <c r="AL313" s="531"/>
      <c r="AM313" s="531"/>
      <c r="AN313" s="531"/>
    </row>
    <row r="314" customFormat="false" ht="16.5" hidden="false" customHeight="true" outlineLevel="0" collapsed="false">
      <c r="A314" s="531"/>
      <c r="B314" s="531"/>
      <c r="C314" s="531"/>
      <c r="D314" s="531"/>
      <c r="E314" s="531"/>
      <c r="F314" s="531"/>
      <c r="G314" s="531"/>
      <c r="H314" s="531"/>
      <c r="I314" s="531"/>
      <c r="J314" s="531"/>
      <c r="K314" s="531"/>
      <c r="L314" s="531"/>
      <c r="M314" s="531"/>
      <c r="N314" s="547" t="n">
        <f aca="false">IF('(1)예금승인내역'!H940="","",'(1)예금승인내역'!H940)</f>
        <v>45979</v>
      </c>
      <c r="O314" s="547" t="n">
        <f aca="false">IF('(1)예금승인내역'!G940="","",'(1)예금승인내역'!G940)</f>
        <v>45887</v>
      </c>
      <c r="P314" s="531" t="str">
        <f aca="false">IF('(1)예금승인내역'!F940="","",'(1)예금승인내역'!F940)</f>
        <v>㈜비알팜</v>
      </c>
      <c r="Q314" s="531" t="str">
        <f aca="false">IF('(1)예금승인내역'!C940="","",'(1)예금승인내역'!C940)</f>
        <v>원주금융센터</v>
      </c>
      <c r="R314" s="531" t="str">
        <f aca="false">IF('(1)예금승인내역'!K940="","",'(1)예금승인내역'!K940)</f>
        <v>정기예금</v>
      </c>
      <c r="S314" s="548" t="n">
        <f aca="false">IF('(1)예금승인내역'!L940="","",'(1)예금승인내역'!L940)</f>
        <v>1</v>
      </c>
      <c r="T314" s="549" t="n">
        <f aca="false">IF('(1)예금승인내역'!AG940="","",'(1)예금승인내역'!AG940)</f>
        <v>0.0415</v>
      </c>
      <c r="U314" s="549" t="n">
        <f aca="false">IF('(1)예금승인내역'!X940="","",'(1)예금승인내역'!X940)</f>
        <v>0.002396</v>
      </c>
      <c r="V314" s="531" t="n">
        <f aca="false">IF(ISNUMBER(N314),N314-$B$2,"")</f>
        <v>-210</v>
      </c>
      <c r="W314" s="531" t="str">
        <f aca="false">IF(AND(ISNUMBER(N314),N314&gt;=$B$2,N314&lt;=$B$2+10),N314*100000+ROW(),"")</f>
        <v/>
      </c>
      <c r="X314" s="531"/>
      <c r="Y314" s="531"/>
      <c r="Z314" s="531"/>
      <c r="AA314" s="531"/>
      <c r="AB314" s="531"/>
      <c r="AC314" s="531"/>
      <c r="AD314" s="531"/>
      <c r="AE314" s="531"/>
      <c r="AF314" s="531"/>
      <c r="AG314" s="531"/>
      <c r="AH314" s="531"/>
      <c r="AI314" s="531"/>
      <c r="AJ314" s="531"/>
      <c r="AK314" s="531"/>
      <c r="AL314" s="531"/>
      <c r="AM314" s="531"/>
      <c r="AN314" s="531"/>
    </row>
    <row r="315" customFormat="false" ht="16.5" hidden="false" customHeight="true" outlineLevel="0" collapsed="false">
      <c r="A315" s="531"/>
      <c r="B315" s="531"/>
      <c r="C315" s="531"/>
      <c r="D315" s="531"/>
      <c r="E315" s="531"/>
      <c r="F315" s="531"/>
      <c r="G315" s="531"/>
      <c r="H315" s="531"/>
      <c r="I315" s="531"/>
      <c r="J315" s="531"/>
      <c r="K315" s="531"/>
      <c r="L315" s="531"/>
      <c r="M315" s="531"/>
      <c r="N315" s="547" t="n">
        <f aca="false">IF('(1)예금승인내역'!H941="","",'(1)예금승인내역'!H941)</f>
        <v>45918</v>
      </c>
      <c r="O315" s="547" t="n">
        <f aca="false">IF('(1)예금승인내역'!G941="","",'(1)예금승인내역'!G941)</f>
        <v>45887</v>
      </c>
      <c r="P315" s="531" t="str">
        <f aca="false">IF('(1)예금승인내역'!F941="","",'(1)예금승인내역'!F941)</f>
        <v>동화인더스트리</v>
      </c>
      <c r="Q315" s="531" t="str">
        <f aca="false">IF('(1)예금승인내역'!C941="","",'(1)예금승인내역'!C941)</f>
        <v>중동지점</v>
      </c>
      <c r="R315" s="531" t="str">
        <f aca="false">IF('(1)예금승인내역'!K941="","",'(1)예금승인내역'!K941)</f>
        <v>정기예금</v>
      </c>
      <c r="S315" s="548" t="n">
        <f aca="false">IF('(1)예금승인내역'!L941="","",'(1)예금승인내역'!L941)</f>
        <v>1</v>
      </c>
      <c r="T315" s="549" t="n">
        <f aca="false">IF('(1)예금승인내역'!AG941="","",'(1)예금승인내역'!AG941)</f>
        <v>0.0415</v>
      </c>
      <c r="U315" s="549" t="n">
        <f aca="false">IF('(1)예금승인내역'!X941="","",'(1)예금승인내역'!X941)</f>
        <v>0.002422</v>
      </c>
      <c r="V315" s="531" t="n">
        <f aca="false">IF(ISNUMBER(N315),N315-$B$2,"")</f>
        <v>-271</v>
      </c>
      <c r="W315" s="531" t="str">
        <f aca="false">IF(AND(ISNUMBER(N315),N315&gt;=$B$2,N315&lt;=$B$2+10),N315*100000+ROW(),"")</f>
        <v/>
      </c>
      <c r="X315" s="531"/>
      <c r="Y315" s="531"/>
      <c r="Z315" s="531"/>
      <c r="AA315" s="531"/>
      <c r="AB315" s="531"/>
      <c r="AC315" s="531"/>
      <c r="AD315" s="531"/>
      <c r="AE315" s="531"/>
      <c r="AF315" s="531"/>
      <c r="AG315" s="531"/>
      <c r="AH315" s="531"/>
      <c r="AI315" s="531"/>
      <c r="AJ315" s="531"/>
      <c r="AK315" s="531"/>
      <c r="AL315" s="531"/>
      <c r="AM315" s="531"/>
      <c r="AN315" s="531"/>
    </row>
    <row r="316" customFormat="false" ht="16.5" hidden="false" customHeight="true" outlineLevel="0" collapsed="false">
      <c r="A316" s="531"/>
      <c r="B316" s="531"/>
      <c r="C316" s="531"/>
      <c r="D316" s="531"/>
      <c r="E316" s="531"/>
      <c r="F316" s="531"/>
      <c r="G316" s="531"/>
      <c r="H316" s="531"/>
      <c r="I316" s="531"/>
      <c r="J316" s="531"/>
      <c r="K316" s="531"/>
      <c r="L316" s="531"/>
      <c r="M316" s="531"/>
      <c r="N316" s="547" t="n">
        <f aca="false">IF('(1)예금승인내역'!H942="","",'(1)예금승인내역'!H942)</f>
        <v>45980</v>
      </c>
      <c r="O316" s="547" t="n">
        <f aca="false">IF('(1)예금승인내역'!G942="","",'(1)예금승인내역'!G942)</f>
        <v>45888</v>
      </c>
      <c r="P316" s="531" t="str">
        <f aca="false">IF('(1)예금승인내역'!F942="","",'(1)예금승인내역'!F942)</f>
        <v>㈜세도캠핑</v>
      </c>
      <c r="Q316" s="531" t="str">
        <f aca="false">IF('(1)예금승인내역'!C942="","",'(1)예금승인내역'!C942)</f>
        <v>강남영업부</v>
      </c>
      <c r="R316" s="531" t="str">
        <f aca="false">IF('(1)예금승인내역'!K942="","",'(1)예금승인내역'!K942)</f>
        <v>정기예금</v>
      </c>
      <c r="S316" s="548" t="n">
        <f aca="false">IF('(1)예금승인내역'!L942="","",'(1)예금승인내역'!L942)</f>
        <v>2.08</v>
      </c>
      <c r="T316" s="549" t="n">
        <f aca="false">IF('(1)예금승인내역'!AG942="","",'(1)예금승인내역'!AG942)</f>
        <v>0.0415</v>
      </c>
      <c r="U316" s="549" t="n">
        <f aca="false">IF('(1)예금승인내역'!X942="","",'(1)예금승인내역'!X942)</f>
        <v>0.002232</v>
      </c>
      <c r="V316" s="531" t="n">
        <f aca="false">IF(ISNUMBER(N316),N316-$B$2,"")</f>
        <v>-209</v>
      </c>
      <c r="W316" s="531" t="str">
        <f aca="false">IF(AND(ISNUMBER(N316),N316&gt;=$B$2,N316&lt;=$B$2+10),N316*100000+ROW(),"")</f>
        <v/>
      </c>
      <c r="X316" s="531"/>
      <c r="Y316" s="531"/>
      <c r="Z316" s="531"/>
      <c r="AA316" s="531"/>
      <c r="AB316" s="531"/>
      <c r="AC316" s="531"/>
      <c r="AD316" s="531"/>
      <c r="AE316" s="531"/>
      <c r="AF316" s="531"/>
      <c r="AG316" s="531"/>
      <c r="AH316" s="531"/>
      <c r="AI316" s="531"/>
      <c r="AJ316" s="531"/>
      <c r="AK316" s="531"/>
      <c r="AL316" s="531"/>
      <c r="AM316" s="531"/>
      <c r="AN316" s="531"/>
    </row>
    <row r="317" customFormat="false" ht="16.5" hidden="false" customHeight="true" outlineLevel="0" collapsed="false">
      <c r="A317" s="531"/>
      <c r="B317" s="531"/>
      <c r="C317" s="531"/>
      <c r="D317" s="531"/>
      <c r="E317" s="531"/>
      <c r="F317" s="531"/>
      <c r="G317" s="531"/>
      <c r="H317" s="531"/>
      <c r="I317" s="531"/>
      <c r="J317" s="531"/>
      <c r="K317" s="531"/>
      <c r="L317" s="531"/>
      <c r="M317" s="531"/>
      <c r="N317" s="547" t="n">
        <f aca="false">IF('(1)예금승인내역'!H943="","",'(1)예금승인내역'!H943)</f>
        <v>45922</v>
      </c>
      <c r="O317" s="547" t="n">
        <f aca="false">IF('(1)예금승인내역'!G943="","",'(1)예금승인내역'!G943)</f>
        <v>45891</v>
      </c>
      <c r="P317" s="531" t="str">
        <f aca="false">IF('(1)예금승인내역'!F943="","",'(1)예금승인내역'!F943)</f>
        <v>와이엠에스에이</v>
      </c>
      <c r="Q317" s="531" t="str">
        <f aca="false">IF('(1)예금승인내역'!C943="","",'(1)예금승인내역'!C943)</f>
        <v>본점영업부</v>
      </c>
      <c r="R317" s="531" t="str">
        <f aca="false">IF('(1)예금승인내역'!K943="","",'(1)예금승인내역'!K943)</f>
        <v>MMDA</v>
      </c>
      <c r="S317" s="548" t="n">
        <f aca="false">IF('(1)예금승인내역'!L943="","",'(1)예금승인내역'!L943)</f>
        <v>2</v>
      </c>
      <c r="T317" s="549" t="n">
        <f aca="false">IF('(1)예금승인내역'!AG943="","",'(1)예금승인내역'!AG943)</f>
        <v>0.0365</v>
      </c>
      <c r="U317" s="549" t="n">
        <f aca="false">IF('(1)예금승인내역'!X943="","",'(1)예금승인내역'!X943)</f>
        <v>0.004937</v>
      </c>
      <c r="V317" s="531" t="n">
        <f aca="false">IF(ISNUMBER(N317),N317-$B$2,"")</f>
        <v>-267</v>
      </c>
      <c r="W317" s="531" t="str">
        <f aca="false">IF(AND(ISNUMBER(N317),N317&gt;=$B$2,N317&lt;=$B$2+10),N317*100000+ROW(),"")</f>
        <v/>
      </c>
      <c r="X317" s="531"/>
      <c r="Y317" s="531"/>
      <c r="Z317" s="531"/>
      <c r="AA317" s="531"/>
      <c r="AB317" s="531"/>
      <c r="AC317" s="531"/>
      <c r="AD317" s="531"/>
      <c r="AE317" s="531"/>
      <c r="AF317" s="531"/>
      <c r="AG317" s="531"/>
      <c r="AH317" s="531"/>
      <c r="AI317" s="531"/>
      <c r="AJ317" s="531"/>
      <c r="AK317" s="531"/>
      <c r="AL317" s="531"/>
      <c r="AM317" s="531"/>
      <c r="AN317" s="531"/>
    </row>
    <row r="318" customFormat="false" ht="16.5" hidden="false" customHeight="true" outlineLevel="0" collapsed="false">
      <c r="A318" s="531"/>
      <c r="B318" s="531"/>
      <c r="C318" s="531"/>
      <c r="D318" s="531"/>
      <c r="E318" s="531"/>
      <c r="F318" s="531"/>
      <c r="G318" s="531"/>
      <c r="H318" s="531"/>
      <c r="I318" s="531"/>
      <c r="J318" s="531"/>
      <c r="K318" s="531"/>
      <c r="L318" s="531"/>
      <c r="M318" s="531"/>
      <c r="N318" s="547" t="n">
        <f aca="false">IF('(1)예금승인내역'!H944="","",'(1)예금승인내역'!H944)</f>
        <v>45922</v>
      </c>
      <c r="O318" s="547" t="n">
        <f aca="false">IF('(1)예금승인내역'!G944="","",'(1)예금승인내역'!G944)</f>
        <v>45891</v>
      </c>
      <c r="P318" s="531" t="str">
        <f aca="false">IF('(1)예금승인내역'!F944="","",'(1)예금승인내역'!F944)</f>
        <v>㈜약진통상</v>
      </c>
      <c r="Q318" s="531" t="str">
        <f aca="false">IF('(1)예금승인내역'!C944="","",'(1)예금승인내역'!C944)</f>
        <v>반월공단지점</v>
      </c>
      <c r="R318" s="531" t="str">
        <f aca="false">IF('(1)예금승인내역'!K944="","",'(1)예금승인내역'!K944)</f>
        <v>MMDA</v>
      </c>
      <c r="S318" s="548" t="n">
        <f aca="false">IF('(1)예금승인내역'!L944="","",'(1)예금승인내역'!L944)</f>
        <v>5.74</v>
      </c>
      <c r="T318" s="549" t="n">
        <f aca="false">IF('(1)예금승인내역'!AG944="","",'(1)예금승인내역'!AG944)</f>
        <v>0.0375</v>
      </c>
      <c r="U318" s="549" t="n">
        <f aca="false">IF('(1)예금승인내역'!X944="","",'(1)예금승인내역'!X944)</f>
        <v>0.003937</v>
      </c>
      <c r="V318" s="531" t="n">
        <f aca="false">IF(ISNUMBER(N318),N318-$B$2,"")</f>
        <v>-267</v>
      </c>
      <c r="W318" s="531" t="str">
        <f aca="false">IF(AND(ISNUMBER(N318),N318&gt;=$B$2,N318&lt;=$B$2+10),N318*100000+ROW(),"")</f>
        <v/>
      </c>
      <c r="X318" s="531"/>
      <c r="Y318" s="531"/>
      <c r="Z318" s="531"/>
      <c r="AA318" s="531"/>
      <c r="AB318" s="531"/>
      <c r="AC318" s="531"/>
      <c r="AD318" s="531"/>
      <c r="AE318" s="531"/>
      <c r="AF318" s="531"/>
      <c r="AG318" s="531"/>
      <c r="AH318" s="531"/>
      <c r="AI318" s="531"/>
      <c r="AJ318" s="531"/>
      <c r="AK318" s="531"/>
      <c r="AL318" s="531"/>
      <c r="AM318" s="531"/>
      <c r="AN318" s="531"/>
    </row>
    <row r="319" customFormat="false" ht="16.5" hidden="false" customHeight="true" outlineLevel="0" collapsed="false">
      <c r="A319" s="531"/>
      <c r="B319" s="531"/>
      <c r="C319" s="531"/>
      <c r="D319" s="531"/>
      <c r="E319" s="531"/>
      <c r="F319" s="531"/>
      <c r="G319" s="531"/>
      <c r="H319" s="531"/>
      <c r="I319" s="531"/>
      <c r="J319" s="531"/>
      <c r="K319" s="531"/>
      <c r="L319" s="531"/>
      <c r="M319" s="531"/>
      <c r="N319" s="547" t="n">
        <f aca="false">IF('(1)예금승인내역'!H945="","",'(1)예금승인내역'!H945)</f>
        <v>45925</v>
      </c>
      <c r="O319" s="547" t="n">
        <f aca="false">IF('(1)예금승인내역'!G945="","",'(1)예금승인내역'!G945)</f>
        <v>45894</v>
      </c>
      <c r="P319" s="531" t="str">
        <f aca="false">IF('(1)예금승인내역'!F945="","",'(1)예금승인내역'!F945)</f>
        <v>와이투솔루션</v>
      </c>
      <c r="Q319" s="531" t="str">
        <f aca="false">IF('(1)예금승인내역'!C945="","",'(1)예금승인내역'!C945)</f>
        <v>화성금융센터</v>
      </c>
      <c r="R319" s="531" t="str">
        <f aca="false">IF('(1)예금승인내역'!K945="","",'(1)예금승인내역'!K945)</f>
        <v>MMDA</v>
      </c>
      <c r="S319" s="548" t="n">
        <f aca="false">IF('(1)예금승인내역'!L945="","",'(1)예금승인내역'!L945)</f>
        <v>1</v>
      </c>
      <c r="T319" s="549" t="n">
        <f aca="false">IF('(1)예금승인내역'!AG945="","",'(1)예금승인내역'!AG945)</f>
        <v>0.037</v>
      </c>
      <c r="U319" s="549" t="n">
        <f aca="false">IF('(1)예금승인내역'!X945="","",'(1)예금승인내역'!X945)</f>
        <v>0.004324</v>
      </c>
      <c r="V319" s="531" t="n">
        <f aca="false">IF(ISNUMBER(N319),N319-$B$2,"")</f>
        <v>-264</v>
      </c>
      <c r="W319" s="531" t="str">
        <f aca="false">IF(AND(ISNUMBER(N319),N319&gt;=$B$2,N319&lt;=$B$2+10),N319*100000+ROW(),"")</f>
        <v/>
      </c>
      <c r="X319" s="531"/>
      <c r="Y319" s="531"/>
      <c r="Z319" s="531"/>
      <c r="AA319" s="531"/>
      <c r="AB319" s="531"/>
      <c r="AC319" s="531"/>
      <c r="AD319" s="531"/>
      <c r="AE319" s="531"/>
      <c r="AF319" s="531"/>
      <c r="AG319" s="531"/>
      <c r="AH319" s="531"/>
      <c r="AI319" s="531"/>
      <c r="AJ319" s="531"/>
      <c r="AK319" s="531"/>
      <c r="AL319" s="531"/>
      <c r="AM319" s="531"/>
      <c r="AN319" s="531"/>
    </row>
    <row r="320" customFormat="false" ht="16.5" hidden="false" customHeight="true" outlineLevel="0" collapsed="false">
      <c r="A320" s="531"/>
      <c r="B320" s="531"/>
      <c r="C320" s="531"/>
      <c r="D320" s="531"/>
      <c r="E320" s="531"/>
      <c r="F320" s="531"/>
      <c r="G320" s="531"/>
      <c r="H320" s="531"/>
      <c r="I320" s="531"/>
      <c r="J320" s="531"/>
      <c r="K320" s="531"/>
      <c r="L320" s="531"/>
      <c r="M320" s="531"/>
      <c r="N320" s="547" t="n">
        <f aca="false">IF('(1)예금승인내역'!H946="","",'(1)예금승인내역'!H946)</f>
        <v>45957</v>
      </c>
      <c r="O320" s="547" t="n">
        <f aca="false">IF('(1)예금승인내역'!G946="","",'(1)예금승인내역'!G946)</f>
        <v>45896</v>
      </c>
      <c r="P320" s="531" t="str">
        <f aca="false">IF('(1)예금승인내역'!F946="","",'(1)예금승인내역'!F946)</f>
        <v>대한전선㈜</v>
      </c>
      <c r="Q320" s="531" t="str">
        <f aca="false">IF('(1)예금승인내역'!C946="","",'(1)예금승인내역'!C946)</f>
        <v>성남영업부</v>
      </c>
      <c r="R320" s="531" t="str">
        <f aca="false">IF('(1)예금승인내역'!K946="","",'(1)예금승인내역'!K946)</f>
        <v>정기예금</v>
      </c>
      <c r="S320" s="548" t="n">
        <f aca="false">IF('(1)예금승인내역'!L946="","",'(1)예금승인내역'!L946)</f>
        <v>10</v>
      </c>
      <c r="T320" s="549" t="n">
        <f aca="false">IF('(1)예금승인내역'!AG946="","",'(1)예금승인내역'!AG946)</f>
        <v>0.0415</v>
      </c>
      <c r="U320" s="549" t="n">
        <f aca="false">IF('(1)예금승인내역'!X946="","",'(1)예금승인내역'!X946)</f>
        <v>0.002114</v>
      </c>
      <c r="V320" s="531" t="n">
        <f aca="false">IF(ISNUMBER(N320),N320-$B$2,"")</f>
        <v>-232</v>
      </c>
      <c r="W320" s="531" t="str">
        <f aca="false">IF(AND(ISNUMBER(N320),N320&gt;=$B$2,N320&lt;=$B$2+10),N320*100000+ROW(),"")</f>
        <v/>
      </c>
      <c r="X320" s="531"/>
      <c r="Y320" s="531"/>
      <c r="Z320" s="531"/>
      <c r="AA320" s="531"/>
      <c r="AB320" s="531"/>
      <c r="AC320" s="531"/>
      <c r="AD320" s="531"/>
      <c r="AE320" s="531"/>
      <c r="AF320" s="531"/>
      <c r="AG320" s="531"/>
      <c r="AH320" s="531"/>
      <c r="AI320" s="531"/>
      <c r="AJ320" s="531"/>
      <c r="AK320" s="531"/>
      <c r="AL320" s="531"/>
      <c r="AM320" s="531"/>
      <c r="AN320" s="531"/>
    </row>
    <row r="321" customFormat="false" ht="16.5" hidden="false" customHeight="true" outlineLevel="0" collapsed="false">
      <c r="A321" s="531"/>
      <c r="B321" s="531"/>
      <c r="C321" s="531"/>
      <c r="D321" s="531"/>
      <c r="E321" s="531"/>
      <c r="F321" s="531"/>
      <c r="G321" s="531"/>
      <c r="H321" s="531"/>
      <c r="I321" s="531"/>
      <c r="J321" s="531"/>
      <c r="K321" s="531"/>
      <c r="L321" s="531"/>
      <c r="M321" s="531"/>
      <c r="N321" s="547" t="n">
        <f aca="false">IF('(1)예금승인내역'!H947="","",'(1)예금승인내역'!H947)</f>
        <v>45929</v>
      </c>
      <c r="O321" s="547" t="n">
        <f aca="false">IF('(1)예금승인내역'!G947="","",'(1)예금승인내역'!G947)</f>
        <v>45897</v>
      </c>
      <c r="P321" s="531" t="str">
        <f aca="false">IF('(1)예금승인내역'!F947="","",'(1)예금승인내역'!F947)</f>
        <v>㈜디오 </v>
      </c>
      <c r="Q321" s="531" t="str">
        <f aca="false">IF('(1)예금승인내역'!C947="","",'(1)예금승인내역'!C947)</f>
        <v>화성금융센터</v>
      </c>
      <c r="R321" s="531" t="str">
        <f aca="false">IF('(1)예금승인내역'!K947="","",'(1)예금승인내역'!K947)</f>
        <v>정기예금</v>
      </c>
      <c r="S321" s="548" t="n">
        <f aca="false">IF('(1)예금승인내역'!L947="","",'(1)예금승인내역'!L947)</f>
        <v>2</v>
      </c>
      <c r="T321" s="549" t="n">
        <f aca="false">IF('(1)예금승인내역'!AG947="","",'(1)예금승인내역'!AG947)</f>
        <v>0.041</v>
      </c>
      <c r="U321" s="549" t="n">
        <f aca="false">IF('(1)예금승인내역'!X947="","",'(1)예금승인내역'!X947)</f>
        <v>0.002532</v>
      </c>
      <c r="V321" s="531" t="n">
        <f aca="false">IF(ISNUMBER(N321),N321-$B$2,"")</f>
        <v>-260</v>
      </c>
      <c r="W321" s="531" t="str">
        <f aca="false">IF(AND(ISNUMBER(N321),N321&gt;=$B$2,N321&lt;=$B$2+10),N321*100000+ROW(),"")</f>
        <v/>
      </c>
      <c r="X321" s="531"/>
      <c r="Y321" s="531"/>
      <c r="Z321" s="531"/>
      <c r="AA321" s="531"/>
      <c r="AB321" s="531"/>
      <c r="AC321" s="531"/>
      <c r="AD321" s="531"/>
      <c r="AE321" s="531"/>
      <c r="AF321" s="531"/>
      <c r="AG321" s="531"/>
      <c r="AH321" s="531"/>
      <c r="AI321" s="531"/>
      <c r="AJ321" s="531"/>
      <c r="AK321" s="531"/>
      <c r="AL321" s="531"/>
      <c r="AM321" s="531"/>
      <c r="AN321" s="531"/>
    </row>
    <row r="322" customFormat="false" ht="16.5" hidden="false" customHeight="true" outlineLevel="0" collapsed="false">
      <c r="A322" s="531"/>
      <c r="B322" s="531"/>
      <c r="C322" s="531"/>
      <c r="D322" s="531"/>
      <c r="E322" s="531"/>
      <c r="F322" s="531"/>
      <c r="G322" s="531"/>
      <c r="H322" s="531"/>
      <c r="I322" s="531"/>
      <c r="J322" s="531"/>
      <c r="K322" s="531"/>
      <c r="L322" s="531"/>
      <c r="M322" s="531"/>
      <c r="N322" s="547" t="n">
        <f aca="false">IF('(1)예금승인내역'!H948="","",'(1)예금승인내역'!H948)</f>
        <v>45929</v>
      </c>
      <c r="O322" s="547" t="n">
        <f aca="false">IF('(1)예금승인내역'!G948="","",'(1)예금승인내역'!G948)</f>
        <v>45897</v>
      </c>
      <c r="P322" s="531" t="str">
        <f aca="false">IF('(1)예금승인내역'!F948="","",'(1)예금승인내역'!F948)</f>
        <v>미래에셋컨설팅</v>
      </c>
      <c r="Q322" s="531" t="str">
        <f aca="false">IF('(1)예금승인내역'!C948="","",'(1)예금승인내역'!C948)</f>
        <v>서울영업부</v>
      </c>
      <c r="R322" s="531" t="str">
        <f aca="false">IF('(1)예금승인내역'!K948="","",'(1)예금승인내역'!K948)</f>
        <v>정기예금</v>
      </c>
      <c r="S322" s="548" t="n">
        <f aca="false">IF('(1)예금승인내역'!L948="","",'(1)예금승인내역'!L948)</f>
        <v>2</v>
      </c>
      <c r="T322" s="549" t="n">
        <f aca="false">IF('(1)예금승인내역'!AG948="","",'(1)예금승인내역'!AG948)</f>
        <v>0.0405</v>
      </c>
      <c r="U322" s="549" t="n">
        <f aca="false">IF('(1)예금승인내역'!X948="","",'(1)예금승인내역'!X948)</f>
        <v>0.003032</v>
      </c>
      <c r="V322" s="531" t="n">
        <f aca="false">IF(ISNUMBER(N322),N322-$B$2,"")</f>
        <v>-260</v>
      </c>
      <c r="W322" s="531" t="str">
        <f aca="false">IF(AND(ISNUMBER(N322),N322&gt;=$B$2,N322&lt;=$B$2+10),N322*100000+ROW(),"")</f>
        <v/>
      </c>
      <c r="X322" s="531"/>
      <c r="Y322" s="531"/>
      <c r="Z322" s="531"/>
      <c r="AA322" s="531"/>
      <c r="AB322" s="531"/>
      <c r="AC322" s="531"/>
      <c r="AD322" s="531"/>
      <c r="AE322" s="531"/>
      <c r="AF322" s="531"/>
      <c r="AG322" s="531"/>
      <c r="AH322" s="531"/>
      <c r="AI322" s="531"/>
      <c r="AJ322" s="531"/>
      <c r="AK322" s="531"/>
      <c r="AL322" s="531"/>
      <c r="AM322" s="531"/>
      <c r="AN322" s="531"/>
    </row>
    <row r="323" customFormat="false" ht="16.5" hidden="false" customHeight="true" outlineLevel="0" collapsed="false">
      <c r="A323" s="531"/>
      <c r="B323" s="531"/>
      <c r="C323" s="531"/>
      <c r="D323" s="531"/>
      <c r="E323" s="531"/>
      <c r="F323" s="531"/>
      <c r="G323" s="531"/>
      <c r="H323" s="531"/>
      <c r="I323" s="531"/>
      <c r="J323" s="531"/>
      <c r="K323" s="531"/>
      <c r="L323" s="531"/>
      <c r="M323" s="531"/>
      <c r="N323" s="547" t="n">
        <f aca="false">IF('(1)예금승인내역'!H949="","",'(1)예금승인내역'!H949)</f>
        <v>45929</v>
      </c>
      <c r="O323" s="547" t="n">
        <f aca="false">IF('(1)예금승인내역'!G949="","",'(1)예금승인내역'!G949)</f>
        <v>45897</v>
      </c>
      <c r="P323" s="531" t="str">
        <f aca="false">IF('(1)예금승인내역'!F949="","",'(1)예금승인내역'!F949)</f>
        <v>한화에어로스페이스</v>
      </c>
      <c r="Q323" s="531" t="str">
        <f aca="false">IF('(1)예금승인내역'!C949="","",'(1)예금승인내역'!C949)</f>
        <v>서울영업부</v>
      </c>
      <c r="R323" s="531" t="str">
        <f aca="false">IF('(1)예금승인내역'!K949="","",'(1)예금승인내역'!K949)</f>
        <v>정기예금</v>
      </c>
      <c r="S323" s="548" t="n">
        <f aca="false">IF('(1)예금승인내역'!L949="","",'(1)예금승인내역'!L949)</f>
        <v>10</v>
      </c>
      <c r="T323" s="549" t="n">
        <f aca="false">IF('(1)예금승인내역'!AG949="","",'(1)예금승인내역'!AG949)</f>
        <v>0.041</v>
      </c>
      <c r="U323" s="549" t="n">
        <f aca="false">IF('(1)예금승인내역'!X949="","",'(1)예금승인내역'!X949)</f>
        <v>0.002532</v>
      </c>
      <c r="V323" s="531" t="n">
        <f aca="false">IF(ISNUMBER(N323),N323-$B$2,"")</f>
        <v>-260</v>
      </c>
      <c r="W323" s="531" t="str">
        <f aca="false">IF(AND(ISNUMBER(N323),N323&gt;=$B$2,N323&lt;=$B$2+10),N323*100000+ROW(),"")</f>
        <v/>
      </c>
      <c r="X323" s="531"/>
      <c r="Y323" s="531"/>
      <c r="Z323" s="531"/>
      <c r="AA323" s="531"/>
      <c r="AB323" s="531"/>
      <c r="AC323" s="531"/>
      <c r="AD323" s="531"/>
      <c r="AE323" s="531"/>
      <c r="AF323" s="531"/>
      <c r="AG323" s="531"/>
      <c r="AH323" s="531"/>
      <c r="AI323" s="531"/>
      <c r="AJ323" s="531"/>
      <c r="AK323" s="531"/>
      <c r="AL323" s="531"/>
      <c r="AM323" s="531"/>
      <c r="AN323" s="531"/>
    </row>
    <row r="324" customFormat="false" ht="16.5" hidden="false" customHeight="true" outlineLevel="0" collapsed="false">
      <c r="A324" s="531"/>
      <c r="B324" s="531"/>
      <c r="C324" s="531"/>
      <c r="D324" s="531"/>
      <c r="E324" s="531"/>
      <c r="F324" s="531"/>
      <c r="G324" s="531"/>
      <c r="H324" s="531"/>
      <c r="I324" s="531"/>
      <c r="J324" s="531"/>
      <c r="K324" s="531"/>
      <c r="L324" s="531"/>
      <c r="M324" s="531"/>
      <c r="N324" s="547" t="n">
        <f aca="false">IF('(1)예금승인내역'!H950="","",'(1)예금승인내역'!H950)</f>
        <v>45931</v>
      </c>
      <c r="O324" s="547" t="n">
        <f aca="false">IF('(1)예금승인내역'!G950="","",'(1)예금승인내역'!G950)</f>
        <v>45901</v>
      </c>
      <c r="P324" s="531" t="str">
        <f aca="false">IF('(1)예금승인내역'!F950="","",'(1)예금승인내역'!F950)</f>
        <v>와이투솔루션</v>
      </c>
      <c r="Q324" s="531" t="str">
        <f aca="false">IF('(1)예금승인내역'!C950="","",'(1)예금승인내역'!C950)</f>
        <v>화성금융센터</v>
      </c>
      <c r="R324" s="531" t="str">
        <f aca="false">IF('(1)예금승인내역'!K950="","",'(1)예금승인내역'!K950)</f>
        <v>정기예금</v>
      </c>
      <c r="S324" s="548" t="n">
        <f aca="false">IF('(1)예금승인내역'!L950="","",'(1)예금승인내역'!L950)</f>
        <v>3</v>
      </c>
      <c r="T324" s="549" t="n">
        <f aca="false">IF('(1)예금승인내역'!AG950="","",'(1)예금승인내역'!AG950)</f>
        <v>0.0402</v>
      </c>
      <c r="U324" s="549" t="n">
        <f aca="false">IF('(1)예금승인내역'!X950="","",'(1)예금승인내역'!X950)</f>
        <v>0.002893</v>
      </c>
      <c r="V324" s="531" t="n">
        <f aca="false">IF(ISNUMBER(N324),N324-$B$2,"")</f>
        <v>-258</v>
      </c>
      <c r="W324" s="531" t="str">
        <f aca="false">IF(AND(ISNUMBER(N324),N324&gt;=$B$2,N324&lt;=$B$2+10),N324*100000+ROW(),"")</f>
        <v/>
      </c>
      <c r="X324" s="531"/>
      <c r="Y324" s="531"/>
      <c r="Z324" s="531"/>
      <c r="AA324" s="531"/>
      <c r="AB324" s="531"/>
      <c r="AC324" s="531"/>
      <c r="AD324" s="531"/>
      <c r="AE324" s="531"/>
      <c r="AF324" s="531"/>
      <c r="AG324" s="531"/>
      <c r="AH324" s="531"/>
      <c r="AI324" s="531"/>
      <c r="AJ324" s="531"/>
      <c r="AK324" s="531"/>
      <c r="AL324" s="531"/>
      <c r="AM324" s="531"/>
      <c r="AN324" s="531"/>
    </row>
    <row r="325" customFormat="false" ht="16.5" hidden="false" customHeight="true" outlineLevel="0" collapsed="false">
      <c r="A325" s="531"/>
      <c r="B325" s="531"/>
      <c r="C325" s="531"/>
      <c r="D325" s="531"/>
      <c r="E325" s="531"/>
      <c r="F325" s="531"/>
      <c r="G325" s="531"/>
      <c r="H325" s="531"/>
      <c r="I325" s="531"/>
      <c r="J325" s="531"/>
      <c r="K325" s="531"/>
      <c r="L325" s="531"/>
      <c r="M325" s="531"/>
      <c r="N325" s="547" t="n">
        <f aca="false">IF('(1)예금승인내역'!H951="","",'(1)예금승인내역'!H951)</f>
        <v>45931</v>
      </c>
      <c r="O325" s="547" t="n">
        <f aca="false">IF('(1)예금승인내역'!G951="","",'(1)예금승인내역'!G951)</f>
        <v>45901</v>
      </c>
      <c r="P325" s="531" t="str">
        <f aca="false">IF('(1)예금승인내역'!F951="","",'(1)예금승인내역'!F951)</f>
        <v>와이투솔루션</v>
      </c>
      <c r="Q325" s="531" t="str">
        <f aca="false">IF('(1)예금승인내역'!C951="","",'(1)예금승인내역'!C951)</f>
        <v>화성금융센터</v>
      </c>
      <c r="R325" s="531" t="str">
        <f aca="false">IF('(1)예금승인내역'!K951="","",'(1)예금승인내역'!K951)</f>
        <v>정기예금</v>
      </c>
      <c r="S325" s="548" t="n">
        <f aca="false">IF('(1)예금승인내역'!L951="","",'(1)예금승인내역'!L951)</f>
        <v>1</v>
      </c>
      <c r="T325" s="549" t="n">
        <f aca="false">IF('(1)예금승인내역'!AG951="","",'(1)예금승인내역'!AG951)</f>
        <v>0.0402</v>
      </c>
      <c r="U325" s="549" t="n">
        <f aca="false">IF('(1)예금승인내역'!X951="","",'(1)예금승인내역'!X951)</f>
        <v>0.002893</v>
      </c>
      <c r="V325" s="531" t="n">
        <f aca="false">IF(ISNUMBER(N325),N325-$B$2,"")</f>
        <v>-258</v>
      </c>
      <c r="W325" s="531" t="str">
        <f aca="false">IF(AND(ISNUMBER(N325),N325&gt;=$B$2,N325&lt;=$B$2+10),N325*100000+ROW(),"")</f>
        <v/>
      </c>
      <c r="X325" s="531"/>
      <c r="Y325" s="531"/>
      <c r="Z325" s="531"/>
      <c r="AA325" s="531"/>
      <c r="AB325" s="531"/>
      <c r="AC325" s="531"/>
      <c r="AD325" s="531"/>
      <c r="AE325" s="531"/>
      <c r="AF325" s="531"/>
      <c r="AG325" s="531"/>
      <c r="AH325" s="531"/>
      <c r="AI325" s="531"/>
      <c r="AJ325" s="531"/>
      <c r="AK325" s="531"/>
      <c r="AL325" s="531"/>
      <c r="AM325" s="531"/>
      <c r="AN325" s="531"/>
    </row>
    <row r="326" customFormat="false" ht="16.5" hidden="false" customHeight="true" outlineLevel="0" collapsed="false">
      <c r="A326" s="531"/>
      <c r="B326" s="531"/>
      <c r="C326" s="531"/>
      <c r="D326" s="531"/>
      <c r="E326" s="531"/>
      <c r="F326" s="531"/>
      <c r="G326" s="531"/>
      <c r="H326" s="531"/>
      <c r="I326" s="531"/>
      <c r="J326" s="531"/>
      <c r="K326" s="531"/>
      <c r="L326" s="531"/>
      <c r="M326" s="531"/>
      <c r="N326" s="547" t="n">
        <f aca="false">IF('(1)예금승인내역'!H952="","",'(1)예금승인내역'!H952)</f>
        <v>45931</v>
      </c>
      <c r="O326" s="547" t="n">
        <f aca="false">IF('(1)예금승인내역'!G952="","",'(1)예금승인내역'!G952)</f>
        <v>45901</v>
      </c>
      <c r="P326" s="531" t="str">
        <f aca="false">IF('(1)예금승인내역'!F952="","",'(1)예금승인내역'!F952)</f>
        <v>㈜지엠메탈</v>
      </c>
      <c r="Q326" s="531" t="str">
        <f aca="false">IF('(1)예금승인내역'!C952="","",'(1)예금승인내역'!C952)</f>
        <v>이현공단영업부</v>
      </c>
      <c r="R326" s="531" t="str">
        <f aca="false">IF('(1)예금승인내역'!K952="","",'(1)예금승인내역'!K952)</f>
        <v>MMDA</v>
      </c>
      <c r="S326" s="548" t="n">
        <f aca="false">IF('(1)예금승인내역'!L952="","",'(1)예금승인내역'!L952)</f>
        <v>1.25</v>
      </c>
      <c r="T326" s="549" t="n">
        <f aca="false">IF('(1)예금승인내역'!AG952="","",'(1)예금승인내역'!AG952)</f>
        <v>0.035</v>
      </c>
      <c r="U326" s="549" t="n">
        <f aca="false">IF('(1)예금승인내역'!X952="","",'(1)예금승인내역'!X952)</f>
        <v>0.006894</v>
      </c>
      <c r="V326" s="531" t="n">
        <f aca="false">IF(ISNUMBER(N326),N326-$B$2,"")</f>
        <v>-258</v>
      </c>
      <c r="W326" s="531" t="str">
        <f aca="false">IF(AND(ISNUMBER(N326),N326&gt;=$B$2,N326&lt;=$B$2+10),N326*100000+ROW(),"")</f>
        <v/>
      </c>
      <c r="X326" s="531"/>
      <c r="Y326" s="531"/>
      <c r="Z326" s="531"/>
      <c r="AA326" s="531"/>
      <c r="AB326" s="531"/>
      <c r="AC326" s="531"/>
      <c r="AD326" s="531"/>
      <c r="AE326" s="531"/>
      <c r="AF326" s="531"/>
      <c r="AG326" s="531"/>
      <c r="AH326" s="531"/>
      <c r="AI326" s="531"/>
      <c r="AJ326" s="531"/>
      <c r="AK326" s="531"/>
      <c r="AL326" s="531"/>
      <c r="AM326" s="531"/>
      <c r="AN326" s="531"/>
    </row>
    <row r="327" customFormat="false" ht="16.5" hidden="false" customHeight="true" outlineLevel="0" collapsed="false">
      <c r="A327" s="531"/>
      <c r="B327" s="531"/>
      <c r="C327" s="531"/>
      <c r="D327" s="531"/>
      <c r="E327" s="531"/>
      <c r="F327" s="531"/>
      <c r="G327" s="531"/>
      <c r="H327" s="531"/>
      <c r="I327" s="531"/>
      <c r="J327" s="531"/>
      <c r="K327" s="531"/>
      <c r="L327" s="531"/>
      <c r="M327" s="531"/>
      <c r="N327" s="547" t="n">
        <f aca="false">IF('(1)예금승인내역'!H953="","",'(1)예금승인내역'!H953)</f>
        <v>45931</v>
      </c>
      <c r="O327" s="547" t="n">
        <f aca="false">IF('(1)예금승인내역'!G953="","",'(1)예금승인내역'!G953)</f>
        <v>45901</v>
      </c>
      <c r="P327" s="531" t="str">
        <f aca="false">IF('(1)예금승인내역'!F953="","",'(1)예금승인내역'!F953)</f>
        <v>국제금속</v>
      </c>
      <c r="Q327" s="531" t="str">
        <f aca="false">IF('(1)예금승인내역'!C953="","",'(1)예금승인내역'!C953)</f>
        <v>영천영업부</v>
      </c>
      <c r="R327" s="531" t="str">
        <f aca="false">IF('(1)예금승인내역'!K953="","",'(1)예금승인내역'!K953)</f>
        <v>MMDA</v>
      </c>
      <c r="S327" s="548" t="n">
        <f aca="false">IF('(1)예금승인내역'!L953="","",'(1)예금승인내역'!L953)</f>
        <v>10.41</v>
      </c>
      <c r="T327" s="549" t="n">
        <f aca="false">IF('(1)예금승인내역'!AG953="","",'(1)예금승인내역'!AG953)</f>
        <v>0.0355</v>
      </c>
      <c r="U327" s="549" t="n">
        <f aca="false">IF('(1)예금승인내역'!X953="","",'(1)예금승인내역'!X953)</f>
        <v>0.006394</v>
      </c>
      <c r="V327" s="531" t="n">
        <f aca="false">IF(ISNUMBER(N327),N327-$B$2,"")</f>
        <v>-258</v>
      </c>
      <c r="W327" s="531" t="str">
        <f aca="false">IF(AND(ISNUMBER(N327),N327&gt;=$B$2,N327&lt;=$B$2+10),N327*100000+ROW(),"")</f>
        <v/>
      </c>
      <c r="X327" s="531"/>
      <c r="Y327" s="531"/>
      <c r="Z327" s="531"/>
      <c r="AA327" s="531"/>
      <c r="AB327" s="531"/>
      <c r="AC327" s="531"/>
      <c r="AD327" s="531"/>
      <c r="AE327" s="531"/>
      <c r="AF327" s="531"/>
      <c r="AG327" s="531"/>
      <c r="AH327" s="531"/>
      <c r="AI327" s="531"/>
      <c r="AJ327" s="531"/>
      <c r="AK327" s="531"/>
      <c r="AL327" s="531"/>
      <c r="AM327" s="531"/>
      <c r="AN327" s="531"/>
    </row>
    <row r="328" customFormat="false" ht="16.5" hidden="false" customHeight="true" outlineLevel="0" collapsed="false">
      <c r="A328" s="531"/>
      <c r="B328" s="531"/>
      <c r="C328" s="531"/>
      <c r="D328" s="531"/>
      <c r="E328" s="531"/>
      <c r="F328" s="531"/>
      <c r="G328" s="531"/>
      <c r="H328" s="531"/>
      <c r="I328" s="531"/>
      <c r="J328" s="531"/>
      <c r="K328" s="531"/>
      <c r="L328" s="531"/>
      <c r="M328" s="531"/>
      <c r="N328" s="547" t="n">
        <f aca="false">IF('(1)예금승인내역'!H954="","",'(1)예금승인내역'!H954)</f>
        <v>45995</v>
      </c>
      <c r="O328" s="547" t="n">
        <f aca="false">IF('(1)예금승인내역'!G954="","",'(1)예금승인내역'!G954)</f>
        <v>45904</v>
      </c>
      <c r="P328" s="531" t="str">
        <f aca="false">IF('(1)예금승인내역'!F954="","",'(1)예금승인내역'!F954)</f>
        <v>거림테크주식회사</v>
      </c>
      <c r="Q328" s="531" t="str">
        <f aca="false">IF('(1)예금승인내역'!C954="","",'(1)예금승인내역'!C954)</f>
        <v>죽전지점</v>
      </c>
      <c r="R328" s="531" t="str">
        <f aca="false">IF('(1)예금승인내역'!K954="","",'(1)예금승인내역'!K954)</f>
        <v>정기예금</v>
      </c>
      <c r="S328" s="548" t="n">
        <f aca="false">IF('(1)예금승인내역'!L954="","",'(1)예금승인내역'!L954)</f>
        <v>2</v>
      </c>
      <c r="T328" s="549" t="n">
        <f aca="false">IF('(1)예금승인내역'!AG954="","",'(1)예금승인내역'!AG954)</f>
        <v>0.0414</v>
      </c>
      <c r="U328" s="549" t="n">
        <f aca="false">IF('(1)예금승인내역'!X954="","",'(1)예금승인내역'!X954)</f>
        <v>0.002004</v>
      </c>
      <c r="V328" s="531" t="n">
        <f aca="false">IF(ISNUMBER(N328),N328-$B$2,"")</f>
        <v>-194</v>
      </c>
      <c r="W328" s="531" t="str">
        <f aca="false">IF(AND(ISNUMBER(N328),N328&gt;=$B$2,N328&lt;=$B$2+10),N328*100000+ROW(),"")</f>
        <v/>
      </c>
      <c r="X328" s="531"/>
      <c r="Y328" s="531"/>
      <c r="Z328" s="531"/>
      <c r="AA328" s="531"/>
      <c r="AB328" s="531"/>
      <c r="AC328" s="531"/>
      <c r="AD328" s="531"/>
      <c r="AE328" s="531"/>
      <c r="AF328" s="531"/>
      <c r="AG328" s="531"/>
      <c r="AH328" s="531"/>
      <c r="AI328" s="531"/>
      <c r="AJ328" s="531"/>
      <c r="AK328" s="531"/>
      <c r="AL328" s="531"/>
      <c r="AM328" s="531"/>
      <c r="AN328" s="531"/>
    </row>
    <row r="329" customFormat="false" ht="16.5" hidden="false" customHeight="true" outlineLevel="0" collapsed="false">
      <c r="A329" s="531"/>
      <c r="B329" s="531"/>
      <c r="C329" s="531"/>
      <c r="D329" s="531"/>
      <c r="E329" s="531"/>
      <c r="F329" s="531"/>
      <c r="G329" s="531"/>
      <c r="H329" s="531"/>
      <c r="I329" s="531"/>
      <c r="J329" s="531"/>
      <c r="K329" s="531"/>
      <c r="L329" s="531"/>
      <c r="M329" s="531"/>
      <c r="N329" s="547" t="n">
        <f aca="false">IF('(1)예금승인내역'!H955="","",'(1)예금승인내역'!H955)</f>
        <v>45940</v>
      </c>
      <c r="O329" s="547" t="n">
        <f aca="false">IF('(1)예금승인내역'!G955="","",'(1)예금승인내역'!G955)</f>
        <v>45908</v>
      </c>
      <c r="P329" s="531" t="str">
        <f aca="false">IF('(1)예금승인내역'!F955="","",'(1)예금승인내역'!F955)</f>
        <v>㈜현대그린푸드</v>
      </c>
      <c r="Q329" s="531" t="str">
        <f aca="false">IF('(1)예금승인내역'!C955="","",'(1)예금승인내역'!C955)</f>
        <v>성남영업부</v>
      </c>
      <c r="R329" s="531" t="str">
        <f aca="false">IF('(1)예금승인내역'!K955="","",'(1)예금승인내역'!K955)</f>
        <v>MMDA</v>
      </c>
      <c r="S329" s="548" t="n">
        <f aca="false">IF('(1)예금승인내역'!L955="","",'(1)예금승인내역'!L955)</f>
        <v>2</v>
      </c>
      <c r="T329" s="549" t="n">
        <f aca="false">IF('(1)예금승인내역'!AG955="","",'(1)예금승인내역'!AG955)</f>
        <v>0.0375</v>
      </c>
      <c r="U329" s="549" t="n">
        <f aca="false">IF('(1)예금승인내역'!X955="","",'(1)예금승인내역'!X955)</f>
        <v>0.003311</v>
      </c>
      <c r="V329" s="531" t="n">
        <f aca="false">IF(ISNUMBER(N329),N329-$B$2,"")</f>
        <v>-249</v>
      </c>
      <c r="W329" s="531" t="str">
        <f aca="false">IF(AND(ISNUMBER(N329),N329&gt;=$B$2,N329&lt;=$B$2+10),N329*100000+ROW(),"")</f>
        <v/>
      </c>
      <c r="X329" s="531"/>
      <c r="Y329" s="531"/>
      <c r="Z329" s="531"/>
      <c r="AA329" s="531"/>
      <c r="AB329" s="531"/>
      <c r="AC329" s="531"/>
      <c r="AD329" s="531"/>
      <c r="AE329" s="531"/>
      <c r="AF329" s="531"/>
      <c r="AG329" s="531"/>
      <c r="AH329" s="531"/>
      <c r="AI329" s="531"/>
      <c r="AJ329" s="531"/>
      <c r="AK329" s="531"/>
      <c r="AL329" s="531"/>
      <c r="AM329" s="531"/>
      <c r="AN329" s="531"/>
    </row>
    <row r="330" customFormat="false" ht="16.5" hidden="false" customHeight="true" outlineLevel="0" collapsed="false">
      <c r="A330" s="531"/>
      <c r="B330" s="531"/>
      <c r="C330" s="531"/>
      <c r="D330" s="531"/>
      <c r="E330" s="531"/>
      <c r="F330" s="531"/>
      <c r="G330" s="531"/>
      <c r="H330" s="531"/>
      <c r="I330" s="531"/>
      <c r="J330" s="531"/>
      <c r="K330" s="531"/>
      <c r="L330" s="531"/>
      <c r="M330" s="531"/>
      <c r="N330" s="547" t="n">
        <f aca="false">IF('(1)예금승인내역'!H956="","",'(1)예금승인내역'!H956)</f>
        <v>45940</v>
      </c>
      <c r="O330" s="547" t="n">
        <f aca="false">IF('(1)예금승인내역'!G956="","",'(1)예금승인내역'!G956)</f>
        <v>45908</v>
      </c>
      <c r="P330" s="531" t="str">
        <f aca="false">IF('(1)예금승인내역'!F956="","",'(1)예금승인내역'!F956)</f>
        <v>㈜이수스페셜티케미컬</v>
      </c>
      <c r="Q330" s="531" t="str">
        <f aca="false">IF('(1)예금승인내역'!C956="","",'(1)예금승인내역'!C956)</f>
        <v>성남영업부</v>
      </c>
      <c r="R330" s="531" t="str">
        <f aca="false">IF('(1)예금승인내역'!K956="","",'(1)예금승인내역'!K956)</f>
        <v>MMDA</v>
      </c>
      <c r="S330" s="548" t="n">
        <f aca="false">IF('(1)예금승인내역'!L956="","",'(1)예금승인내역'!L956)</f>
        <v>4</v>
      </c>
      <c r="T330" s="549" t="n">
        <f aca="false">IF('(1)예금승인내역'!AG956="","",'(1)예금승인내역'!AG956)</f>
        <v>0.037</v>
      </c>
      <c r="U330" s="549" t="n">
        <f aca="false">IF('(1)예금승인내역'!X956="","",'(1)예금승인내역'!X956)</f>
        <v>0.003811</v>
      </c>
      <c r="V330" s="531" t="n">
        <f aca="false">IF(ISNUMBER(N330),N330-$B$2,"")</f>
        <v>-249</v>
      </c>
      <c r="W330" s="531" t="str">
        <f aca="false">IF(AND(ISNUMBER(N330),N330&gt;=$B$2,N330&lt;=$B$2+10),N330*100000+ROW(),"")</f>
        <v/>
      </c>
      <c r="X330" s="531"/>
      <c r="Y330" s="531"/>
      <c r="Z330" s="531"/>
      <c r="AA330" s="531"/>
      <c r="AB330" s="531"/>
      <c r="AC330" s="531"/>
      <c r="AD330" s="531"/>
      <c r="AE330" s="531"/>
      <c r="AF330" s="531"/>
      <c r="AG330" s="531"/>
      <c r="AH330" s="531"/>
      <c r="AI330" s="531"/>
      <c r="AJ330" s="531"/>
      <c r="AK330" s="531"/>
      <c r="AL330" s="531"/>
      <c r="AM330" s="531"/>
      <c r="AN330" s="531"/>
    </row>
    <row r="331" customFormat="false" ht="16.5" hidden="false" customHeight="true" outlineLevel="0" collapsed="false">
      <c r="A331" s="531"/>
      <c r="B331" s="531"/>
      <c r="C331" s="531"/>
      <c r="D331" s="531"/>
      <c r="E331" s="531"/>
      <c r="F331" s="531"/>
      <c r="G331" s="531"/>
      <c r="H331" s="531"/>
      <c r="I331" s="531"/>
      <c r="J331" s="531"/>
      <c r="K331" s="531"/>
      <c r="L331" s="531"/>
      <c r="M331" s="531"/>
      <c r="N331" s="547" t="n">
        <f aca="false">IF('(1)예금승인내역'!H957="","",'(1)예금승인내역'!H957)</f>
        <v>46000</v>
      </c>
      <c r="O331" s="547" t="n">
        <f aca="false">IF('(1)예금승인내역'!G957="","",'(1)예금승인내역'!G957)</f>
        <v>45909</v>
      </c>
      <c r="P331" s="531" t="str">
        <f aca="false">IF('(1)예금승인내역'!F957="","",'(1)예금승인내역'!F957)</f>
        <v>에이치라인해운㈜ </v>
      </c>
      <c r="Q331" s="531" t="str">
        <f aca="false">IF('(1)예금승인내역'!C957="","",'(1)예금승인내역'!C957)</f>
        <v>강남영업부</v>
      </c>
      <c r="R331" s="531" t="str">
        <f aca="false">IF('(1)예금승인내역'!K957="","",'(1)예금승인내역'!K957)</f>
        <v>정기예금</v>
      </c>
      <c r="S331" s="548" t="n">
        <f aca="false">IF('(1)예금승인내역'!L957="","",'(1)예금승인내역'!L957)</f>
        <v>20</v>
      </c>
      <c r="T331" s="549" t="n">
        <f aca="false">IF('(1)예금승인내역'!AG957="","",'(1)예금승인내역'!AG957)</f>
        <v>0.0401</v>
      </c>
      <c r="U331" s="549" t="n">
        <f aca="false">IF('(1)예금승인내역'!X957="","",'(1)예금승인내역'!X957)</f>
        <v>0.002939</v>
      </c>
      <c r="V331" s="531" t="n">
        <f aca="false">IF(ISNUMBER(N331),N331-$B$2,"")</f>
        <v>-189</v>
      </c>
      <c r="W331" s="531" t="str">
        <f aca="false">IF(AND(ISNUMBER(N331),N331&gt;=$B$2,N331&lt;=$B$2+10),N331*100000+ROW(),"")</f>
        <v/>
      </c>
      <c r="X331" s="531"/>
      <c r="Y331" s="531"/>
      <c r="Z331" s="531"/>
      <c r="AA331" s="531"/>
      <c r="AB331" s="531"/>
      <c r="AC331" s="531"/>
      <c r="AD331" s="531"/>
      <c r="AE331" s="531"/>
      <c r="AF331" s="531"/>
      <c r="AG331" s="531"/>
      <c r="AH331" s="531"/>
      <c r="AI331" s="531"/>
      <c r="AJ331" s="531"/>
      <c r="AK331" s="531"/>
      <c r="AL331" s="531"/>
      <c r="AM331" s="531"/>
      <c r="AN331" s="531"/>
    </row>
    <row r="332" customFormat="false" ht="16.5" hidden="false" customHeight="true" outlineLevel="0" collapsed="false">
      <c r="A332" s="531"/>
      <c r="B332" s="531"/>
      <c r="C332" s="531"/>
      <c r="D332" s="531"/>
      <c r="E332" s="531"/>
      <c r="F332" s="531"/>
      <c r="G332" s="531"/>
      <c r="H332" s="531"/>
      <c r="I332" s="531"/>
      <c r="J332" s="531"/>
      <c r="K332" s="531"/>
      <c r="L332" s="531"/>
      <c r="M332" s="531"/>
      <c r="N332" s="547" t="n">
        <f aca="false">IF('(1)예금승인내역'!H958="","",'(1)예금승인내역'!H958)</f>
        <v>46001</v>
      </c>
      <c r="O332" s="547" t="n">
        <f aca="false">IF('(1)예금승인내역'!G958="","",'(1)예금승인내역'!G958)</f>
        <v>45910</v>
      </c>
      <c r="P332" s="531" t="str">
        <f aca="false">IF('(1)예금승인내역'!F958="","",'(1)예금승인내역'!F958)</f>
        <v>㈜비알팜</v>
      </c>
      <c r="Q332" s="531" t="str">
        <f aca="false">IF('(1)예금승인내역'!C958="","",'(1)예금승인내역'!C958)</f>
        <v>원주금융센터</v>
      </c>
      <c r="R332" s="531" t="str">
        <f aca="false">IF('(1)예금승인내역'!K958="","",'(1)예금승인내역'!K958)</f>
        <v>정기예금</v>
      </c>
      <c r="S332" s="548" t="n">
        <f aca="false">IF('(1)예금승인내역'!L958="","",'(1)예금승인내역'!L958)</f>
        <v>1.5</v>
      </c>
      <c r="T332" s="549" t="n">
        <f aca="false">IF('(1)예금승인내역'!AG958="","",'(1)예금승인내역'!AG958)</f>
        <v>0.0405</v>
      </c>
      <c r="U332" s="549" t="n">
        <f aca="false">IF('(1)예금승인내역'!X958="","",'(1)예금승인내역'!X958)</f>
        <v>0.002018</v>
      </c>
      <c r="V332" s="531" t="n">
        <f aca="false">IF(ISNUMBER(N332),N332-$B$2,"")</f>
        <v>-188</v>
      </c>
      <c r="W332" s="531" t="str">
        <f aca="false">IF(AND(ISNUMBER(N332),N332&gt;=$B$2,N332&lt;=$B$2+10),N332*100000+ROW(),"")</f>
        <v/>
      </c>
      <c r="X332" s="531"/>
      <c r="Y332" s="531"/>
      <c r="Z332" s="531"/>
      <c r="AA332" s="531"/>
      <c r="AB332" s="531"/>
      <c r="AC332" s="531"/>
      <c r="AD332" s="531"/>
      <c r="AE332" s="531"/>
      <c r="AF332" s="531"/>
      <c r="AG332" s="531"/>
      <c r="AH332" s="531"/>
      <c r="AI332" s="531"/>
      <c r="AJ332" s="531"/>
      <c r="AK332" s="531"/>
      <c r="AL332" s="531"/>
      <c r="AM332" s="531"/>
      <c r="AN332" s="531"/>
    </row>
    <row r="333" customFormat="false" ht="16.5" hidden="false" customHeight="true" outlineLevel="0" collapsed="false">
      <c r="A333" s="531"/>
      <c r="B333" s="531"/>
      <c r="C333" s="531"/>
      <c r="D333" s="531"/>
      <c r="E333" s="531"/>
      <c r="F333" s="531"/>
      <c r="G333" s="531"/>
      <c r="H333" s="531"/>
      <c r="I333" s="531"/>
      <c r="J333" s="531"/>
      <c r="K333" s="531"/>
      <c r="L333" s="531"/>
      <c r="M333" s="531"/>
      <c r="N333" s="547" t="n">
        <f aca="false">IF('(1)예금승인내역'!H959="","",'(1)예금승인내역'!H959)</f>
        <v>45943</v>
      </c>
      <c r="O333" s="547" t="n">
        <f aca="false">IF('(1)예금승인내역'!G959="","",'(1)예금승인내역'!G959)</f>
        <v>45911</v>
      </c>
      <c r="P333" s="531" t="str">
        <f aca="false">IF('(1)예금승인내역'!F959="","",'(1)예금승인내역'!F959)</f>
        <v>한국비철㈜</v>
      </c>
      <c r="Q333" s="531" t="str">
        <f aca="false">IF('(1)예금승인내역'!C959="","",'(1)예금승인내역'!C959)</f>
        <v>달성공단영업부</v>
      </c>
      <c r="R333" s="531" t="str">
        <f aca="false">IF('(1)예금승인내역'!K959="","",'(1)예금승인내역'!K959)</f>
        <v>정기예금</v>
      </c>
      <c r="S333" s="548" t="n">
        <f aca="false">IF('(1)예금승인내역'!L959="","",'(1)예금승인내역'!L959)</f>
        <v>11.07</v>
      </c>
      <c r="T333" s="549" t="n">
        <f aca="false">IF('(1)예금승인내역'!AG959="","",'(1)예금승인내역'!AG959)</f>
        <v>0.0392</v>
      </c>
      <c r="U333" s="549" t="n">
        <f aca="false">IF('(1)예금승인내역'!X959="","",'(1)예금승인내역'!X959)</f>
        <v>0.002886</v>
      </c>
      <c r="V333" s="531" t="n">
        <f aca="false">IF(ISNUMBER(N333),N333-$B$2,"")</f>
        <v>-246</v>
      </c>
      <c r="W333" s="531" t="str">
        <f aca="false">IF(AND(ISNUMBER(N333),N333&gt;=$B$2,N333&lt;=$B$2+10),N333*100000+ROW(),"")</f>
        <v/>
      </c>
      <c r="X333" s="531"/>
      <c r="Y333" s="531"/>
      <c r="Z333" s="531"/>
      <c r="AA333" s="531"/>
      <c r="AB333" s="531"/>
      <c r="AC333" s="531"/>
      <c r="AD333" s="531"/>
      <c r="AE333" s="531"/>
      <c r="AF333" s="531"/>
      <c r="AG333" s="531"/>
      <c r="AH333" s="531"/>
      <c r="AI333" s="531"/>
      <c r="AJ333" s="531"/>
      <c r="AK333" s="531"/>
      <c r="AL333" s="531"/>
      <c r="AM333" s="531"/>
      <c r="AN333" s="531"/>
    </row>
    <row r="334" customFormat="false" ht="16.5" hidden="false" customHeight="true" outlineLevel="0" collapsed="false">
      <c r="A334" s="531"/>
      <c r="B334" s="531"/>
      <c r="C334" s="531"/>
      <c r="D334" s="531"/>
      <c r="E334" s="531"/>
      <c r="F334" s="531"/>
      <c r="G334" s="531"/>
      <c r="H334" s="531"/>
      <c r="I334" s="531"/>
      <c r="J334" s="531"/>
      <c r="K334" s="531"/>
      <c r="L334" s="531"/>
      <c r="M334" s="531"/>
      <c r="N334" s="547" t="n">
        <f aca="false">IF('(1)예금승인내역'!H960="","",'(1)예금승인내역'!H960)</f>
        <v>45943</v>
      </c>
      <c r="O334" s="547" t="n">
        <f aca="false">IF('(1)예금승인내역'!G960="","",'(1)예금승인내역'!G960)</f>
        <v>45911</v>
      </c>
      <c r="P334" s="531" t="str">
        <f aca="false">IF('(1)예금승인내역'!F960="","",'(1)예금승인내역'!F960)</f>
        <v>한국비철㈜</v>
      </c>
      <c r="Q334" s="531" t="str">
        <f aca="false">IF('(1)예금승인내역'!C960="","",'(1)예금승인내역'!C960)</f>
        <v>달성공단영업부</v>
      </c>
      <c r="R334" s="531" t="str">
        <f aca="false">IF('(1)예금승인내역'!K960="","",'(1)예금승인내역'!K960)</f>
        <v>정기예금</v>
      </c>
      <c r="S334" s="548" t="n">
        <f aca="false">IF('(1)예금승인내역'!L960="","",'(1)예금승인내역'!L960)</f>
        <v>1.6</v>
      </c>
      <c r="T334" s="549" t="n">
        <f aca="false">IF('(1)예금승인내역'!AG960="","",'(1)예금승인내역'!AG960)</f>
        <v>0.0392</v>
      </c>
      <c r="U334" s="549" t="n">
        <f aca="false">IF('(1)예금승인내역'!X960="","",'(1)예금승인내역'!X960)</f>
        <v>0.002886</v>
      </c>
      <c r="V334" s="531" t="n">
        <f aca="false">IF(ISNUMBER(N334),N334-$B$2,"")</f>
        <v>-246</v>
      </c>
      <c r="W334" s="531" t="str">
        <f aca="false">IF(AND(ISNUMBER(N334),N334&gt;=$B$2,N334&lt;=$B$2+10),N334*100000+ROW(),"")</f>
        <v/>
      </c>
      <c r="X334" s="531"/>
      <c r="Y334" s="531"/>
      <c r="Z334" s="531"/>
      <c r="AA334" s="531"/>
      <c r="AB334" s="531"/>
      <c r="AC334" s="531"/>
      <c r="AD334" s="531"/>
      <c r="AE334" s="531"/>
      <c r="AF334" s="531"/>
      <c r="AG334" s="531"/>
      <c r="AH334" s="531"/>
      <c r="AI334" s="531"/>
      <c r="AJ334" s="531"/>
      <c r="AK334" s="531"/>
      <c r="AL334" s="531"/>
      <c r="AM334" s="531"/>
      <c r="AN334" s="531"/>
    </row>
    <row r="335" customFormat="false" ht="16.5" hidden="false" customHeight="true" outlineLevel="0" collapsed="false">
      <c r="A335" s="531"/>
      <c r="B335" s="531"/>
      <c r="C335" s="531"/>
      <c r="D335" s="531"/>
      <c r="E335" s="531"/>
      <c r="F335" s="531"/>
      <c r="G335" s="531"/>
      <c r="H335" s="531"/>
      <c r="I335" s="531"/>
      <c r="J335" s="531"/>
      <c r="K335" s="531"/>
      <c r="L335" s="531"/>
      <c r="M335" s="531"/>
      <c r="N335" s="547" t="n">
        <f aca="false">IF('(1)예금승인내역'!H961="","",'(1)예금승인내역'!H961)</f>
        <v>45943</v>
      </c>
      <c r="O335" s="547" t="n">
        <f aca="false">IF('(1)예금승인내역'!G961="","",'(1)예금승인내역'!G961)</f>
        <v>45911</v>
      </c>
      <c r="P335" s="531" t="str">
        <f aca="false">IF('(1)예금승인내역'!F961="","",'(1)예금승인내역'!F961)</f>
        <v>한국비철㈜</v>
      </c>
      <c r="Q335" s="531" t="str">
        <f aca="false">IF('(1)예금승인내역'!C961="","",'(1)예금승인내역'!C961)</f>
        <v>달성공단영업부</v>
      </c>
      <c r="R335" s="531" t="str">
        <f aca="false">IF('(1)예금승인내역'!K961="","",'(1)예금승인내역'!K961)</f>
        <v>MMDA</v>
      </c>
      <c r="S335" s="548" t="n">
        <f aca="false">IF('(1)예금승인내역'!L961="","",'(1)예금승인내역'!L961)</f>
        <v>1.54</v>
      </c>
      <c r="T335" s="549" t="n">
        <f aca="false">IF('(1)예금승인내역'!AG961="","",'(1)예금승인내역'!AG961)</f>
        <v>0.035</v>
      </c>
      <c r="U335" s="549" t="n">
        <f aca="false">IF('(1)예금승인내역'!X961="","",'(1)예금승인내역'!X961)</f>
        <v>0.004821</v>
      </c>
      <c r="V335" s="531" t="n">
        <f aca="false">IF(ISNUMBER(N335),N335-$B$2,"")</f>
        <v>-246</v>
      </c>
      <c r="W335" s="531" t="str">
        <f aca="false">IF(AND(ISNUMBER(N335),N335&gt;=$B$2,N335&lt;=$B$2+10),N335*100000+ROW(),"")</f>
        <v/>
      </c>
      <c r="X335" s="531"/>
      <c r="Y335" s="531"/>
      <c r="Z335" s="531"/>
      <c r="AA335" s="531"/>
      <c r="AB335" s="531"/>
      <c r="AC335" s="531"/>
      <c r="AD335" s="531"/>
      <c r="AE335" s="531"/>
      <c r="AF335" s="531"/>
      <c r="AG335" s="531"/>
      <c r="AH335" s="531"/>
      <c r="AI335" s="531"/>
      <c r="AJ335" s="531"/>
      <c r="AK335" s="531"/>
      <c r="AL335" s="531"/>
      <c r="AM335" s="531"/>
      <c r="AN335" s="531"/>
    </row>
    <row r="336" customFormat="false" ht="16.5" hidden="false" customHeight="true" outlineLevel="0" collapsed="false">
      <c r="A336" s="531"/>
      <c r="B336" s="531"/>
      <c r="C336" s="531"/>
      <c r="D336" s="531"/>
      <c r="E336" s="531"/>
      <c r="F336" s="531"/>
      <c r="G336" s="531"/>
      <c r="H336" s="531"/>
      <c r="I336" s="531"/>
      <c r="J336" s="531"/>
      <c r="K336" s="531"/>
      <c r="L336" s="531"/>
      <c r="M336" s="531"/>
      <c r="N336" s="547" t="n">
        <f aca="false">IF('(1)예금승인내역'!H962="","",'(1)예금승인내역'!H962)</f>
        <v>45943</v>
      </c>
      <c r="O336" s="547" t="n">
        <f aca="false">IF('(1)예금승인내역'!G962="","",'(1)예금승인내역'!G962)</f>
        <v>45911</v>
      </c>
      <c r="P336" s="531" t="str">
        <f aca="false">IF('(1)예금승인내역'!F962="","",'(1)예금승인내역'!F962)</f>
        <v>주식회사 한국비앤씨</v>
      </c>
      <c r="Q336" s="531" t="str">
        <f aca="false">IF('(1)예금승인내역'!C962="","",'(1)예금승인내역'!C962)</f>
        <v>유통단지영업부</v>
      </c>
      <c r="R336" s="531" t="str">
        <f aca="false">IF('(1)예금승인내역'!K962="","",'(1)예금승인내역'!K962)</f>
        <v>MMDA</v>
      </c>
      <c r="S336" s="548" t="n">
        <f aca="false">IF('(1)예금승인내역'!L962="","",'(1)예금승인내역'!L962)</f>
        <v>6.56</v>
      </c>
      <c r="T336" s="549" t="n">
        <f aca="false">IF('(1)예금승인내역'!AG962="","",'(1)예금승인내역'!AG962)</f>
        <v>0.036</v>
      </c>
      <c r="U336" s="549" t="n">
        <f aca="false">IF('(1)예금승인내역'!X962="","",'(1)예금승인내역'!X962)</f>
        <v>0.003821</v>
      </c>
      <c r="V336" s="531" t="n">
        <f aca="false">IF(ISNUMBER(N336),N336-$B$2,"")</f>
        <v>-246</v>
      </c>
      <c r="W336" s="531" t="str">
        <f aca="false">IF(AND(ISNUMBER(N336),N336&gt;=$B$2,N336&lt;=$B$2+10),N336*100000+ROW(),"")</f>
        <v/>
      </c>
      <c r="X336" s="531"/>
      <c r="Y336" s="531"/>
      <c r="Z336" s="531"/>
      <c r="AA336" s="531"/>
      <c r="AB336" s="531"/>
      <c r="AC336" s="531"/>
      <c r="AD336" s="531"/>
      <c r="AE336" s="531"/>
      <c r="AF336" s="531"/>
      <c r="AG336" s="531"/>
      <c r="AH336" s="531"/>
      <c r="AI336" s="531"/>
      <c r="AJ336" s="531"/>
      <c r="AK336" s="531"/>
      <c r="AL336" s="531"/>
      <c r="AM336" s="531"/>
      <c r="AN336" s="531"/>
    </row>
    <row r="337" customFormat="false" ht="16.5" hidden="false" customHeight="true" outlineLevel="0" collapsed="false">
      <c r="A337" s="531"/>
      <c r="B337" s="531"/>
      <c r="C337" s="531"/>
      <c r="D337" s="531"/>
      <c r="E337" s="531"/>
      <c r="F337" s="531"/>
      <c r="G337" s="531"/>
      <c r="H337" s="531"/>
      <c r="I337" s="531"/>
      <c r="J337" s="531"/>
      <c r="K337" s="531"/>
      <c r="L337" s="531"/>
      <c r="M337" s="531"/>
      <c r="N337" s="547" t="n">
        <f aca="false">IF('(1)예금승인내역'!H963="","",'(1)예금승인내역'!H963)</f>
        <v>45951</v>
      </c>
      <c r="O337" s="547" t="n">
        <f aca="false">IF('(1)예금승인내역'!G963="","",'(1)예금승인내역'!G963)</f>
        <v>45915</v>
      </c>
      <c r="P337" s="531" t="str">
        <f aca="false">IF('(1)예금승인내역'!F963="","",'(1)예금승인내역'!F963)</f>
        <v>에스엠상선㈜</v>
      </c>
      <c r="Q337" s="531" t="str">
        <f aca="false">IF('(1)예금승인내역'!C963="","",'(1)예금승인내역'!C963)</f>
        <v>강남영업부</v>
      </c>
      <c r="R337" s="531" t="str">
        <f aca="false">IF('(1)예금승인내역'!K963="","",'(1)예금승인내역'!K963)</f>
        <v>정기예금</v>
      </c>
      <c r="S337" s="548" t="n">
        <f aca="false">IF('(1)예금승인내역'!L963="","",'(1)예금승인내역'!L963)</f>
        <v>10</v>
      </c>
      <c r="T337" s="549" t="n">
        <f aca="false">IF('(1)예금승인내역'!AG963="","",'(1)예금승인내역'!AG963)</f>
        <v>0.0395</v>
      </c>
      <c r="U337" s="549" t="n">
        <f aca="false">IF('(1)예금승인내역'!X963="","",'(1)예금승인내역'!X963)</f>
        <v>0.002341</v>
      </c>
      <c r="V337" s="531" t="n">
        <f aca="false">IF(ISNUMBER(N337),N337-$B$2,"")</f>
        <v>-238</v>
      </c>
      <c r="W337" s="531" t="str">
        <f aca="false">IF(AND(ISNUMBER(N337),N337&gt;=$B$2,N337&lt;=$B$2+10),N337*100000+ROW(),"")</f>
        <v/>
      </c>
      <c r="X337" s="531"/>
      <c r="Y337" s="531"/>
      <c r="Z337" s="531"/>
      <c r="AA337" s="531"/>
      <c r="AB337" s="531"/>
      <c r="AC337" s="531"/>
      <c r="AD337" s="531"/>
      <c r="AE337" s="531"/>
      <c r="AF337" s="531"/>
      <c r="AG337" s="531"/>
      <c r="AH337" s="531"/>
      <c r="AI337" s="531"/>
      <c r="AJ337" s="531"/>
      <c r="AK337" s="531"/>
      <c r="AL337" s="531"/>
      <c r="AM337" s="531"/>
      <c r="AN337" s="531"/>
    </row>
    <row r="338" customFormat="false" ht="16.5" hidden="false" customHeight="true" outlineLevel="0" collapsed="false">
      <c r="A338" s="531"/>
      <c r="B338" s="531"/>
      <c r="C338" s="531"/>
      <c r="D338" s="531"/>
      <c r="E338" s="531"/>
      <c r="F338" s="531"/>
      <c r="G338" s="531"/>
      <c r="H338" s="531"/>
      <c r="I338" s="531"/>
      <c r="J338" s="531"/>
      <c r="K338" s="531"/>
      <c r="L338" s="531"/>
      <c r="M338" s="531"/>
      <c r="N338" s="547" t="n">
        <f aca="false">IF('(1)예금승인내역'!H964="","",'(1)예금승인내역'!H964)</f>
        <v>45945</v>
      </c>
      <c r="O338" s="547" t="n">
        <f aca="false">IF('(1)예금승인내역'!G964="","",'(1)예금승인내역'!G964)</f>
        <v>45915</v>
      </c>
      <c r="P338" s="531" t="str">
        <f aca="false">IF('(1)예금승인내역'!F964="","",'(1)예금승인내역'!F964)</f>
        <v>대원지에스아이</v>
      </c>
      <c r="Q338" s="531" t="str">
        <f aca="false">IF('(1)예금승인내역'!C964="","",'(1)예금승인내역'!C964)</f>
        <v>유통단지영업부</v>
      </c>
      <c r="R338" s="531" t="str">
        <f aca="false">IF('(1)예금승인내역'!K964="","",'(1)예금승인내역'!K964)</f>
        <v>정기예금</v>
      </c>
      <c r="S338" s="548" t="n">
        <f aca="false">IF('(1)예금승인내역'!L964="","",'(1)예금승인내역'!L964)</f>
        <v>1.5</v>
      </c>
      <c r="T338" s="549" t="n">
        <f aca="false">IF('(1)예금승인내역'!AG964="","",'(1)예금승인내역'!AG964)</f>
        <v>0.0392</v>
      </c>
      <c r="U338" s="549" t="n">
        <f aca="false">IF('(1)예금승인내역'!X964="","",'(1)예금승인내역'!X964)</f>
        <v>0.002641</v>
      </c>
      <c r="V338" s="531" t="n">
        <f aca="false">IF(ISNUMBER(N338),N338-$B$2,"")</f>
        <v>-244</v>
      </c>
      <c r="W338" s="531" t="str">
        <f aca="false">IF(AND(ISNUMBER(N338),N338&gt;=$B$2,N338&lt;=$B$2+10),N338*100000+ROW(),"")</f>
        <v/>
      </c>
      <c r="X338" s="531"/>
      <c r="Y338" s="531"/>
      <c r="Z338" s="531"/>
      <c r="AA338" s="531"/>
      <c r="AB338" s="531"/>
      <c r="AC338" s="531"/>
      <c r="AD338" s="531"/>
      <c r="AE338" s="531"/>
      <c r="AF338" s="531"/>
      <c r="AG338" s="531"/>
      <c r="AH338" s="531"/>
      <c r="AI338" s="531"/>
      <c r="AJ338" s="531"/>
      <c r="AK338" s="531"/>
      <c r="AL338" s="531"/>
      <c r="AM338" s="531"/>
      <c r="AN338" s="531"/>
    </row>
    <row r="339" customFormat="false" ht="16.5" hidden="false" customHeight="true" outlineLevel="0" collapsed="false">
      <c r="A339" s="531"/>
      <c r="B339" s="531"/>
      <c r="C339" s="531"/>
      <c r="D339" s="531"/>
      <c r="E339" s="531"/>
      <c r="F339" s="531"/>
      <c r="G339" s="531"/>
      <c r="H339" s="531"/>
      <c r="I339" s="531"/>
      <c r="J339" s="531"/>
      <c r="K339" s="531"/>
      <c r="L339" s="531"/>
      <c r="M339" s="531"/>
      <c r="N339" s="547" t="n">
        <f aca="false">IF('(1)예금승인내역'!H965="","",'(1)예금승인내역'!H965)</f>
        <v>46007</v>
      </c>
      <c r="O339" s="547" t="n">
        <f aca="false">IF('(1)예금승인내역'!G965="","",'(1)예금승인내역'!G965)</f>
        <v>45916</v>
      </c>
      <c r="P339" s="531" t="str">
        <f aca="false">IF('(1)예금승인내역'!F965="","",'(1)예금승인내역'!F965)</f>
        <v>㈜ 동아홀딩스 </v>
      </c>
      <c r="Q339" s="531" t="str">
        <f aca="false">IF('(1)예금승인내역'!C965="","",'(1)예금승인내역'!C965)</f>
        <v>달성공단영업부</v>
      </c>
      <c r="R339" s="531" t="str">
        <f aca="false">IF('(1)예금승인내역'!K965="","",'(1)예금승인내역'!K965)</f>
        <v>정기예금</v>
      </c>
      <c r="S339" s="548" t="n">
        <f aca="false">IF('(1)예금승인내역'!L965="","",'(1)예금승인내역'!L965)</f>
        <v>2.17</v>
      </c>
      <c r="T339" s="549" t="n">
        <f aca="false">IF('(1)예금승인내역'!AG965="","",'(1)예금승인내역'!AG965)</f>
        <v>0.0393</v>
      </c>
      <c r="U339" s="549" t="n">
        <f aca="false">IF('(1)예금승인내역'!X965="","",'(1)예금승인내역'!X965)</f>
        <v>0.002735</v>
      </c>
      <c r="V339" s="531" t="n">
        <f aca="false">IF(ISNUMBER(N339),N339-$B$2,"")</f>
        <v>-182</v>
      </c>
      <c r="W339" s="531" t="str">
        <f aca="false">IF(AND(ISNUMBER(N339),N339&gt;=$B$2,N339&lt;=$B$2+10),N339*100000+ROW(),"")</f>
        <v/>
      </c>
      <c r="X339" s="531"/>
      <c r="Y339" s="531"/>
      <c r="Z339" s="531"/>
      <c r="AA339" s="531"/>
      <c r="AB339" s="531"/>
      <c r="AC339" s="531"/>
      <c r="AD339" s="531"/>
      <c r="AE339" s="531"/>
      <c r="AF339" s="531"/>
      <c r="AG339" s="531"/>
      <c r="AH339" s="531"/>
      <c r="AI339" s="531"/>
      <c r="AJ339" s="531"/>
      <c r="AK339" s="531"/>
      <c r="AL339" s="531"/>
      <c r="AM339" s="531"/>
      <c r="AN339" s="531"/>
    </row>
    <row r="340" customFormat="false" ht="16.5" hidden="false" customHeight="true" outlineLevel="0" collapsed="false">
      <c r="A340" s="531"/>
      <c r="B340" s="531"/>
      <c r="C340" s="531"/>
      <c r="D340" s="531"/>
      <c r="E340" s="531"/>
      <c r="F340" s="531"/>
      <c r="G340" s="531"/>
      <c r="H340" s="531"/>
      <c r="I340" s="531"/>
      <c r="J340" s="531"/>
      <c r="K340" s="531"/>
      <c r="L340" s="531"/>
      <c r="M340" s="531"/>
      <c r="N340" s="547" t="n">
        <f aca="false">IF('(1)예금승인내역'!H966="","",'(1)예금승인내역'!H966)</f>
        <v>46007</v>
      </c>
      <c r="O340" s="547" t="n">
        <f aca="false">IF('(1)예금승인내역'!G966="","",'(1)예금승인내역'!G966)</f>
        <v>45916</v>
      </c>
      <c r="P340" s="531" t="str">
        <f aca="false">IF('(1)예금승인내역'!F966="","",'(1)예금승인내역'!F966)</f>
        <v>해내다컨트리클럽</v>
      </c>
      <c r="Q340" s="531" t="str">
        <f aca="false">IF('(1)예금승인내역'!C966="","",'(1)예금승인내역'!C966)</f>
        <v>달성공단영업부</v>
      </c>
      <c r="R340" s="531" t="str">
        <f aca="false">IF('(1)예금승인내역'!K966="","",'(1)예금승인내역'!K966)</f>
        <v>정기예금</v>
      </c>
      <c r="S340" s="548" t="n">
        <f aca="false">IF('(1)예금승인내역'!L966="","",'(1)예금승인내역'!L966)</f>
        <v>3.622</v>
      </c>
      <c r="T340" s="549" t="n">
        <f aca="false">IF('(1)예금승인내역'!AG966="","",'(1)예금승인내역'!AG966)</f>
        <v>0.0393</v>
      </c>
      <c r="U340" s="549" t="n">
        <f aca="false">IF('(1)예금승인내역'!X966="","",'(1)예금승인내역'!X966)</f>
        <v>0.002735</v>
      </c>
      <c r="V340" s="531" t="n">
        <f aca="false">IF(ISNUMBER(N340),N340-$B$2,"")</f>
        <v>-182</v>
      </c>
      <c r="W340" s="531" t="str">
        <f aca="false">IF(AND(ISNUMBER(N340),N340&gt;=$B$2,N340&lt;=$B$2+10),N340*100000+ROW(),"")</f>
        <v/>
      </c>
      <c r="X340" s="531"/>
      <c r="Y340" s="531"/>
      <c r="Z340" s="531"/>
      <c r="AA340" s="531"/>
      <c r="AB340" s="531"/>
      <c r="AC340" s="531"/>
      <c r="AD340" s="531"/>
      <c r="AE340" s="531"/>
      <c r="AF340" s="531"/>
      <c r="AG340" s="531"/>
      <c r="AH340" s="531"/>
      <c r="AI340" s="531"/>
      <c r="AJ340" s="531"/>
      <c r="AK340" s="531"/>
      <c r="AL340" s="531"/>
      <c r="AM340" s="531"/>
      <c r="AN340" s="531"/>
    </row>
    <row r="341" customFormat="false" ht="16.5" hidden="false" customHeight="true" outlineLevel="0" collapsed="false">
      <c r="A341" s="531"/>
      <c r="B341" s="531"/>
      <c r="C341" s="531"/>
      <c r="D341" s="531"/>
      <c r="E341" s="531"/>
      <c r="F341" s="531"/>
      <c r="G341" s="531"/>
      <c r="H341" s="531"/>
      <c r="I341" s="531"/>
      <c r="J341" s="531"/>
      <c r="K341" s="531"/>
      <c r="L341" s="531"/>
      <c r="M341" s="531"/>
      <c r="N341" s="547" t="n">
        <f aca="false">IF('(1)예금승인내역'!H967="","",'(1)예금승인내역'!H967)</f>
        <v>46008</v>
      </c>
      <c r="O341" s="547" t="n">
        <f aca="false">IF('(1)예금승인내역'!G967="","",'(1)예금승인내역'!G967)</f>
        <v>45917</v>
      </c>
      <c r="P341" s="531" t="str">
        <f aca="false">IF('(1)예금승인내역'!F967="","",'(1)예금승인내역'!F967)</f>
        <v>거림테크주식회사</v>
      </c>
      <c r="Q341" s="531" t="str">
        <f aca="false">IF('(1)예금승인내역'!C967="","",'(1)예금승인내역'!C967)</f>
        <v>죽전지점</v>
      </c>
      <c r="R341" s="531" t="str">
        <f aca="false">IF('(1)예금승인내역'!K967="","",'(1)예금승인내역'!K967)</f>
        <v>정기예금</v>
      </c>
      <c r="S341" s="548" t="n">
        <f aca="false">IF('(1)예금승인내역'!L967="","",'(1)예금승인내역'!L967)</f>
        <v>1</v>
      </c>
      <c r="T341" s="549" t="n">
        <f aca="false">IF('(1)예금승인내역'!AG967="","",'(1)예금승인내역'!AG967)</f>
        <v>0.04</v>
      </c>
      <c r="U341" s="549" t="n">
        <f aca="false">IF('(1)예금승인내역'!X967="","",'(1)예금승인내역'!X967)</f>
        <v>0.002061</v>
      </c>
      <c r="V341" s="531" t="n">
        <f aca="false">IF(ISNUMBER(N341),N341-$B$2,"")</f>
        <v>-181</v>
      </c>
      <c r="W341" s="531" t="str">
        <f aca="false">IF(AND(ISNUMBER(N341),N341&gt;=$B$2,N341&lt;=$B$2+10),N341*100000+ROW(),"")</f>
        <v/>
      </c>
      <c r="X341" s="531"/>
      <c r="Y341" s="531"/>
      <c r="Z341" s="531"/>
      <c r="AA341" s="531"/>
      <c r="AB341" s="531"/>
      <c r="AC341" s="531"/>
      <c r="AD341" s="531"/>
      <c r="AE341" s="531"/>
      <c r="AF341" s="531"/>
      <c r="AG341" s="531"/>
      <c r="AH341" s="531"/>
      <c r="AI341" s="531"/>
      <c r="AJ341" s="531"/>
      <c r="AK341" s="531"/>
      <c r="AL341" s="531"/>
      <c r="AM341" s="531"/>
      <c r="AN341" s="531"/>
    </row>
    <row r="342" customFormat="false" ht="16.5" hidden="false" customHeight="true" outlineLevel="0" collapsed="false">
      <c r="A342" s="531"/>
      <c r="B342" s="531"/>
      <c r="C342" s="531"/>
      <c r="D342" s="531"/>
      <c r="E342" s="531"/>
      <c r="F342" s="531"/>
      <c r="G342" s="531"/>
      <c r="H342" s="531"/>
      <c r="I342" s="531"/>
      <c r="J342" s="531"/>
      <c r="K342" s="531"/>
      <c r="L342" s="531"/>
      <c r="M342" s="531"/>
      <c r="N342" s="547" t="n">
        <f aca="false">IF('(1)예금승인내역'!H968="","",'(1)예금승인내역'!H968)</f>
        <v>46008</v>
      </c>
      <c r="O342" s="547" t="n">
        <f aca="false">IF('(1)예금승인내역'!G968="","",'(1)예금승인내역'!G968)</f>
        <v>45917</v>
      </c>
      <c r="P342" s="531" t="str">
        <f aca="false">IF('(1)예금승인내역'!F968="","",'(1)예금승인내역'!F968)</f>
        <v>거림테크주식회사</v>
      </c>
      <c r="Q342" s="531" t="str">
        <f aca="false">IF('(1)예금승인내역'!C968="","",'(1)예금승인내역'!C968)</f>
        <v>죽전지점</v>
      </c>
      <c r="R342" s="531" t="str">
        <f aca="false">IF('(1)예금승인내역'!K968="","",'(1)예금승인내역'!K968)</f>
        <v>정기예금</v>
      </c>
      <c r="S342" s="548" t="n">
        <f aca="false">IF('(1)예금승인내역'!L968="","",'(1)예금승인내역'!L968)</f>
        <v>1</v>
      </c>
      <c r="T342" s="549" t="n">
        <f aca="false">IF('(1)예금승인내역'!AG968="","",'(1)예금승인내역'!AG968)</f>
        <v>0.04</v>
      </c>
      <c r="U342" s="549" t="n">
        <f aca="false">IF('(1)예금승인내역'!X968="","",'(1)예금승인내역'!X968)</f>
        <v>0.002061</v>
      </c>
      <c r="V342" s="531" t="n">
        <f aca="false">IF(ISNUMBER(N342),N342-$B$2,"")</f>
        <v>-181</v>
      </c>
      <c r="W342" s="531" t="str">
        <f aca="false">IF(AND(ISNUMBER(N342),N342&gt;=$B$2,N342&lt;=$B$2+10),N342*100000+ROW(),"")</f>
        <v/>
      </c>
      <c r="X342" s="531"/>
      <c r="Y342" s="531"/>
      <c r="Z342" s="531"/>
      <c r="AA342" s="531"/>
      <c r="AB342" s="531"/>
      <c r="AC342" s="531"/>
      <c r="AD342" s="531"/>
      <c r="AE342" s="531"/>
      <c r="AF342" s="531"/>
      <c r="AG342" s="531"/>
      <c r="AH342" s="531"/>
      <c r="AI342" s="531"/>
      <c r="AJ342" s="531"/>
      <c r="AK342" s="531"/>
      <c r="AL342" s="531"/>
      <c r="AM342" s="531"/>
      <c r="AN342" s="531"/>
    </row>
    <row r="343" customFormat="false" ht="16.5" hidden="false" customHeight="true" outlineLevel="0" collapsed="false">
      <c r="A343" s="531"/>
      <c r="B343" s="531"/>
      <c r="C343" s="531"/>
      <c r="D343" s="531"/>
      <c r="E343" s="531"/>
      <c r="F343" s="531"/>
      <c r="G343" s="531"/>
      <c r="H343" s="531"/>
      <c r="I343" s="531"/>
      <c r="J343" s="531"/>
      <c r="K343" s="531"/>
      <c r="L343" s="531"/>
      <c r="M343" s="531"/>
      <c r="N343" s="547" t="n">
        <f aca="false">IF('(1)예금승인내역'!H969="","",'(1)예금승인내역'!H969)</f>
        <v>45947</v>
      </c>
      <c r="O343" s="547" t="n">
        <f aca="false">IF('(1)예금승인내역'!G969="","",'(1)예금승인내역'!G969)</f>
        <v>45917</v>
      </c>
      <c r="P343" s="531" t="str">
        <f aca="false">IF('(1)예금승인내역'!F969="","",'(1)예금승인내역'!F969)</f>
        <v>엘아이지넥스원 </v>
      </c>
      <c r="Q343" s="531" t="str">
        <f aca="false">IF('(1)예금승인내역'!C969="","",'(1)예금승인내역'!C969)</f>
        <v>강남영업부</v>
      </c>
      <c r="R343" s="531" t="str">
        <f aca="false">IF('(1)예금승인내역'!K969="","",'(1)예금승인내역'!K969)</f>
        <v>MMDA</v>
      </c>
      <c r="S343" s="548" t="n">
        <f aca="false">IF('(1)예금승인내역'!L969="","",'(1)예금승인내역'!L969)</f>
        <v>41.86</v>
      </c>
      <c r="T343" s="549" t="n">
        <f aca="false">IF('(1)예금승인내역'!AG969="","",'(1)예금승인내역'!AG969)</f>
        <v>0.0364</v>
      </c>
      <c r="U343" s="549" t="n">
        <f aca="false">IF('(1)예금승인내역'!X969="","",'(1)예금승인내역'!X969)</f>
        <v>0.002737</v>
      </c>
      <c r="V343" s="531" t="n">
        <f aca="false">IF(ISNUMBER(N343),N343-$B$2,"")</f>
        <v>-242</v>
      </c>
      <c r="W343" s="531" t="str">
        <f aca="false">IF(AND(ISNUMBER(N343),N343&gt;=$B$2,N343&lt;=$B$2+10),N343*100000+ROW(),"")</f>
        <v/>
      </c>
      <c r="X343" s="531"/>
      <c r="Y343" s="531"/>
      <c r="Z343" s="531"/>
      <c r="AA343" s="531"/>
      <c r="AB343" s="531"/>
      <c r="AC343" s="531"/>
      <c r="AD343" s="531"/>
      <c r="AE343" s="531"/>
      <c r="AF343" s="531"/>
      <c r="AG343" s="531"/>
      <c r="AH343" s="531"/>
      <c r="AI343" s="531"/>
      <c r="AJ343" s="531"/>
      <c r="AK343" s="531"/>
      <c r="AL343" s="531"/>
      <c r="AM343" s="531"/>
      <c r="AN343" s="531"/>
    </row>
    <row r="344" customFormat="false" ht="16.5" hidden="false" customHeight="true" outlineLevel="0" collapsed="false">
      <c r="A344" s="531"/>
      <c r="B344" s="531"/>
      <c r="C344" s="531"/>
      <c r="D344" s="531"/>
      <c r="E344" s="531"/>
      <c r="F344" s="531"/>
      <c r="G344" s="531"/>
      <c r="H344" s="531"/>
      <c r="I344" s="531"/>
      <c r="J344" s="531"/>
      <c r="K344" s="531"/>
      <c r="L344" s="531"/>
      <c r="M344" s="531"/>
      <c r="N344" s="547" t="n">
        <f aca="false">IF('(1)예금승인내역'!H970="","",'(1)예금승인내역'!H970)</f>
        <v>45950</v>
      </c>
      <c r="O344" s="547" t="n">
        <f aca="false">IF('(1)예금승인내역'!G970="","",'(1)예금승인내역'!G970)</f>
        <v>45918</v>
      </c>
      <c r="P344" s="531" t="str">
        <f aca="false">IF('(1)예금승인내역'!F970="","",'(1)예금승인내역'!F970)</f>
        <v>오스템임플란트㈜</v>
      </c>
      <c r="Q344" s="531" t="str">
        <f aca="false">IF('(1)예금승인내역'!C970="","",'(1)예금승인내역'!C970)</f>
        <v>성남금융센터</v>
      </c>
      <c r="R344" s="531" t="str">
        <f aca="false">IF('(1)예금승인내역'!K970="","",'(1)예금승인내역'!K970)</f>
        <v>MMDA</v>
      </c>
      <c r="S344" s="548" t="n">
        <f aca="false">IF('(1)예금승인내역'!L970="","",'(1)예금승인내역'!L970)</f>
        <v>3.9</v>
      </c>
      <c r="T344" s="549" t="n">
        <f aca="false">IF('(1)예금승인내역'!AG970="","",'(1)예금승인내역'!AG970)</f>
        <v>0.0355</v>
      </c>
      <c r="U344" s="549" t="n">
        <f aca="false">IF('(1)예금승인내역'!X970="","",'(1)예금승인내역'!X970)</f>
        <v>0.002913</v>
      </c>
      <c r="V344" s="531" t="n">
        <f aca="false">IF(ISNUMBER(N344),N344-$B$2,"")</f>
        <v>-239</v>
      </c>
      <c r="W344" s="531" t="str">
        <f aca="false">IF(AND(ISNUMBER(N344),N344&gt;=$B$2,N344&lt;=$B$2+10),N344*100000+ROW(),"")</f>
        <v/>
      </c>
      <c r="X344" s="531"/>
      <c r="Y344" s="531"/>
      <c r="Z344" s="531"/>
      <c r="AA344" s="531"/>
      <c r="AB344" s="531"/>
      <c r="AC344" s="531"/>
      <c r="AD344" s="531"/>
      <c r="AE344" s="531"/>
      <c r="AF344" s="531"/>
      <c r="AG344" s="531"/>
      <c r="AH344" s="531"/>
      <c r="AI344" s="531"/>
      <c r="AJ344" s="531"/>
      <c r="AK344" s="531"/>
      <c r="AL344" s="531"/>
      <c r="AM344" s="531"/>
      <c r="AN344" s="531"/>
    </row>
    <row r="345" customFormat="false" ht="16.5" hidden="false" customHeight="true" outlineLevel="0" collapsed="false">
      <c r="A345" s="531"/>
      <c r="B345" s="531"/>
      <c r="C345" s="531"/>
      <c r="D345" s="531"/>
      <c r="E345" s="531"/>
      <c r="F345" s="531"/>
      <c r="G345" s="531"/>
      <c r="H345" s="531"/>
      <c r="I345" s="531"/>
      <c r="J345" s="531"/>
      <c r="K345" s="531"/>
      <c r="L345" s="531"/>
      <c r="M345" s="531"/>
      <c r="N345" s="547" t="n">
        <f aca="false">IF('(1)예금승인내역'!H971="","",'(1)예금승인내역'!H971)</f>
        <v>45950</v>
      </c>
      <c r="O345" s="547" t="n">
        <f aca="false">IF('(1)예금승인내역'!G971="","",'(1)예금승인내역'!G971)</f>
        <v>45918</v>
      </c>
      <c r="P345" s="531" t="str">
        <f aca="false">IF('(1)예금승인내역'!F971="","",'(1)예금승인내역'!F971)</f>
        <v>㈜ 광성</v>
      </c>
      <c r="Q345" s="531" t="str">
        <f aca="false">IF('(1)예금승인내역'!C971="","",'(1)예금승인내역'!C971)</f>
        <v>경산공단영업부</v>
      </c>
      <c r="R345" s="531" t="str">
        <f aca="false">IF('(1)예금승인내역'!K971="","",'(1)예금승인내역'!K971)</f>
        <v>MMDA</v>
      </c>
      <c r="S345" s="548" t="n">
        <f aca="false">IF('(1)예금승인내역'!L971="","",'(1)예금승인내역'!L971)</f>
        <v>4.4</v>
      </c>
      <c r="T345" s="549" t="n">
        <f aca="false">IF('(1)예금승인내역'!AG971="","",'(1)예금승인내역'!AG971)</f>
        <v>0.0353</v>
      </c>
      <c r="U345" s="549" t="n">
        <f aca="false">IF('(1)예금승인내역'!X971="","",'(1)예금승인내역'!X971)</f>
        <v>0.003113</v>
      </c>
      <c r="V345" s="531" t="n">
        <f aca="false">IF(ISNUMBER(N345),N345-$B$2,"")</f>
        <v>-239</v>
      </c>
      <c r="W345" s="531" t="str">
        <f aca="false">IF(AND(ISNUMBER(N345),N345&gt;=$B$2,N345&lt;=$B$2+10),N345*100000+ROW(),"")</f>
        <v/>
      </c>
      <c r="X345" s="531"/>
      <c r="Y345" s="531"/>
      <c r="Z345" s="531"/>
      <c r="AA345" s="531"/>
      <c r="AB345" s="531"/>
      <c r="AC345" s="531"/>
      <c r="AD345" s="531"/>
      <c r="AE345" s="531"/>
      <c r="AF345" s="531"/>
      <c r="AG345" s="531"/>
      <c r="AH345" s="531"/>
      <c r="AI345" s="531"/>
      <c r="AJ345" s="531"/>
      <c r="AK345" s="531"/>
      <c r="AL345" s="531"/>
      <c r="AM345" s="531"/>
      <c r="AN345" s="531"/>
    </row>
    <row r="346" customFormat="false" ht="16.5" hidden="false" customHeight="true" outlineLevel="0" collapsed="false">
      <c r="A346" s="531"/>
      <c r="B346" s="531"/>
      <c r="C346" s="531"/>
      <c r="D346" s="531"/>
      <c r="E346" s="531"/>
      <c r="F346" s="531"/>
      <c r="G346" s="531"/>
      <c r="H346" s="531"/>
      <c r="I346" s="531"/>
      <c r="J346" s="531"/>
      <c r="K346" s="531"/>
      <c r="L346" s="531"/>
      <c r="M346" s="531"/>
      <c r="N346" s="547" t="n">
        <f aca="false">IF('(1)예금승인내역'!H972="","",'(1)예금승인내역'!H972)</f>
        <v>45950</v>
      </c>
      <c r="O346" s="547" t="n">
        <f aca="false">IF('(1)예금승인내역'!G972="","",'(1)예금승인내역'!G972)</f>
        <v>45919</v>
      </c>
      <c r="P346" s="531" t="str">
        <f aca="false">IF('(1)예금승인내역'!F972="","",'(1)예금승인내역'!F972)</f>
        <v>동화인더스트리</v>
      </c>
      <c r="Q346" s="531" t="str">
        <f aca="false">IF('(1)예금승인내역'!C972="","",'(1)예금승인내역'!C972)</f>
        <v>중동지점</v>
      </c>
      <c r="R346" s="531" t="str">
        <f aca="false">IF('(1)예금승인내역'!K972="","",'(1)예금승인내역'!K972)</f>
        <v>정기예금</v>
      </c>
      <c r="S346" s="548" t="n">
        <f aca="false">IF('(1)예금승인내역'!L972="","",'(1)예금승인내역'!L972)</f>
        <v>1.006</v>
      </c>
      <c r="T346" s="549" t="n">
        <f aca="false">IF('(1)예금승인내역'!AG972="","",'(1)예금승인내역'!AG972)</f>
        <v>0.0385</v>
      </c>
      <c r="U346" s="549" t="n">
        <f aca="false">IF('(1)예금승인내역'!X972="","",'(1)예금승인내역'!X972)</f>
        <v>0.003181</v>
      </c>
      <c r="V346" s="531" t="n">
        <f aca="false">IF(ISNUMBER(N346),N346-$B$2,"")</f>
        <v>-239</v>
      </c>
      <c r="W346" s="531" t="str">
        <f aca="false">IF(AND(ISNUMBER(N346),N346&gt;=$B$2,N346&lt;=$B$2+10),N346*100000+ROW(),"")</f>
        <v/>
      </c>
      <c r="X346" s="531"/>
      <c r="Y346" s="531"/>
      <c r="Z346" s="531"/>
      <c r="AA346" s="531"/>
      <c r="AB346" s="531"/>
      <c r="AC346" s="531"/>
      <c r="AD346" s="531"/>
      <c r="AE346" s="531"/>
      <c r="AF346" s="531"/>
      <c r="AG346" s="531"/>
      <c r="AH346" s="531"/>
      <c r="AI346" s="531"/>
      <c r="AJ346" s="531"/>
      <c r="AK346" s="531"/>
      <c r="AL346" s="531"/>
      <c r="AM346" s="531"/>
      <c r="AN346" s="531"/>
    </row>
    <row r="347" customFormat="false" ht="16.5" hidden="false" customHeight="true" outlineLevel="0" collapsed="false">
      <c r="A347" s="531"/>
      <c r="B347" s="531"/>
      <c r="C347" s="531"/>
      <c r="D347" s="531"/>
      <c r="E347" s="531"/>
      <c r="F347" s="531"/>
      <c r="G347" s="531"/>
      <c r="H347" s="531"/>
      <c r="I347" s="531"/>
      <c r="J347" s="531"/>
      <c r="K347" s="531"/>
      <c r="L347" s="531"/>
      <c r="M347" s="531"/>
      <c r="N347" s="547" t="n">
        <f aca="false">IF('(1)예금승인내역'!H973="","",'(1)예금승인내역'!H973)</f>
        <v>46013</v>
      </c>
      <c r="O347" s="547" t="n">
        <f aca="false">IF('(1)예금승인내역'!G973="","",'(1)예금승인내역'!G973)</f>
        <v>45922</v>
      </c>
      <c r="P347" s="531" t="str">
        <f aca="false">IF('(1)예금승인내역'!F973="","",'(1)예금승인내역'!F973)</f>
        <v>㈜비앤에프</v>
      </c>
      <c r="Q347" s="531" t="str">
        <f aca="false">IF('(1)예금승인내역'!C973="","",'(1)예금승인내역'!C973)</f>
        <v>죽전지점</v>
      </c>
      <c r="R347" s="531" t="str">
        <f aca="false">IF('(1)예금승인내역'!K973="","",'(1)예금승인내역'!K973)</f>
        <v>정기예금</v>
      </c>
      <c r="S347" s="548" t="n">
        <f aca="false">IF('(1)예금승인내역'!L973="","",'(1)예금승인내역'!L973)</f>
        <v>2</v>
      </c>
      <c r="T347" s="549" t="n">
        <f aca="false">IF('(1)예금승인내역'!AG973="","",'(1)예금승인내역'!AG973)</f>
        <v>0.0398</v>
      </c>
      <c r="U347" s="549" t="n">
        <f aca="false">IF('(1)예금승인내역'!X973="","",'(1)예금승인내역'!X973)</f>
        <v>0.002065</v>
      </c>
      <c r="V347" s="531" t="n">
        <f aca="false">IF(ISNUMBER(N347),N347-$B$2,"")</f>
        <v>-176</v>
      </c>
      <c r="W347" s="531" t="str">
        <f aca="false">IF(AND(ISNUMBER(N347),N347&gt;=$B$2,N347&lt;=$B$2+10),N347*100000+ROW(),"")</f>
        <v/>
      </c>
      <c r="X347" s="531"/>
      <c r="Y347" s="531"/>
      <c r="Z347" s="531"/>
      <c r="AA347" s="531"/>
      <c r="AB347" s="531"/>
      <c r="AC347" s="531"/>
      <c r="AD347" s="531"/>
      <c r="AE347" s="531"/>
      <c r="AF347" s="531"/>
      <c r="AG347" s="531"/>
      <c r="AH347" s="531"/>
      <c r="AI347" s="531"/>
      <c r="AJ347" s="531"/>
      <c r="AK347" s="531"/>
      <c r="AL347" s="531"/>
      <c r="AM347" s="531"/>
      <c r="AN347" s="531"/>
    </row>
    <row r="348" customFormat="false" ht="16.5" hidden="false" customHeight="true" outlineLevel="0" collapsed="false">
      <c r="A348" s="531"/>
      <c r="B348" s="531"/>
      <c r="C348" s="531"/>
      <c r="D348" s="531"/>
      <c r="E348" s="531"/>
      <c r="F348" s="531"/>
      <c r="G348" s="531"/>
      <c r="H348" s="531"/>
      <c r="I348" s="531"/>
      <c r="J348" s="531"/>
      <c r="K348" s="531"/>
      <c r="L348" s="531"/>
      <c r="M348" s="531"/>
      <c r="N348" s="547" t="n">
        <f aca="false">IF('(1)예금승인내역'!H974="","",'(1)예금승인내역'!H974)</f>
        <v>45952</v>
      </c>
      <c r="O348" s="547" t="n">
        <f aca="false">IF('(1)예금승인내역'!G974="","",'(1)예금승인내역'!G974)</f>
        <v>45922</v>
      </c>
      <c r="P348" s="531" t="str">
        <f aca="false">IF('(1)예금승인내역'!F974="","",'(1)예금승인내역'!F974)</f>
        <v>와이엠에스에이</v>
      </c>
      <c r="Q348" s="531" t="str">
        <f aca="false">IF('(1)예금승인내역'!C974="","",'(1)예금승인내역'!C974)</f>
        <v>본점영업부</v>
      </c>
      <c r="R348" s="531" t="str">
        <f aca="false">IF('(1)예금승인내역'!K974="","",'(1)예금승인내역'!K974)</f>
        <v>MMDA</v>
      </c>
      <c r="S348" s="548" t="n">
        <f aca="false">IF('(1)예금승인내역'!L974="","",'(1)예금승인내역'!L974)</f>
        <v>1.6</v>
      </c>
      <c r="T348" s="549" t="n">
        <f aca="false">IF('(1)예금승인내역'!AG974="","",'(1)예금승인내역'!AG974)</f>
        <v>0.0365</v>
      </c>
      <c r="U348" s="549" t="n">
        <f aca="false">IF('(1)예금승인내역'!X974="","",'(1)예금승인내역'!X974)</f>
        <v>0.00274600000000001</v>
      </c>
      <c r="V348" s="531" t="n">
        <f aca="false">IF(ISNUMBER(N348),N348-$B$2,"")</f>
        <v>-237</v>
      </c>
      <c r="W348" s="531" t="str">
        <f aca="false">IF(AND(ISNUMBER(N348),N348&gt;=$B$2,N348&lt;=$B$2+10),N348*100000+ROW(),"")</f>
        <v/>
      </c>
      <c r="X348" s="531"/>
      <c r="Y348" s="531"/>
      <c r="Z348" s="531"/>
      <c r="AA348" s="531"/>
      <c r="AB348" s="531"/>
      <c r="AC348" s="531"/>
      <c r="AD348" s="531"/>
      <c r="AE348" s="531"/>
      <c r="AF348" s="531"/>
      <c r="AG348" s="531"/>
      <c r="AH348" s="531"/>
      <c r="AI348" s="531"/>
      <c r="AJ348" s="531"/>
      <c r="AK348" s="531"/>
      <c r="AL348" s="531"/>
      <c r="AM348" s="531"/>
      <c r="AN348" s="531"/>
    </row>
    <row r="349" customFormat="false" ht="16.5" hidden="false" customHeight="true" outlineLevel="0" collapsed="false">
      <c r="A349" s="531"/>
      <c r="B349" s="531"/>
      <c r="C349" s="531"/>
      <c r="D349" s="531"/>
      <c r="E349" s="531"/>
      <c r="F349" s="531"/>
      <c r="G349" s="531"/>
      <c r="H349" s="531"/>
      <c r="I349" s="531"/>
      <c r="J349" s="531"/>
      <c r="K349" s="531"/>
      <c r="L349" s="531"/>
      <c r="M349" s="531"/>
      <c r="N349" s="547" t="n">
        <f aca="false">IF('(1)예금승인내역'!H975="","",'(1)예금승인내역'!H975)</f>
        <v>45952</v>
      </c>
      <c r="O349" s="547" t="n">
        <f aca="false">IF('(1)예금승인내역'!G975="","",'(1)예금승인내역'!G975)</f>
        <v>45922</v>
      </c>
      <c r="P349" s="531" t="str">
        <f aca="false">IF('(1)예금승인내역'!F975="","",'(1)예금승인내역'!F975)</f>
        <v>㈜약진통상</v>
      </c>
      <c r="Q349" s="531" t="str">
        <f aca="false">IF('(1)예금승인내역'!C975="","",'(1)예금승인내역'!C975)</f>
        <v>반월공단영업부</v>
      </c>
      <c r="R349" s="531" t="str">
        <f aca="false">IF('(1)예금승인내역'!K975="","",'(1)예금승인내역'!K975)</f>
        <v>MMDA</v>
      </c>
      <c r="S349" s="548" t="n">
        <f aca="false">IF('(1)예금승인내역'!L975="","",'(1)예금승인내역'!L975)</f>
        <v>12.86</v>
      </c>
      <c r="T349" s="549" t="n">
        <f aca="false">IF('(1)예금승인내역'!AG975="","",'(1)예금승인내역'!AG975)</f>
        <v>0.0353</v>
      </c>
      <c r="U349" s="549" t="n">
        <f aca="false">IF('(1)예금승인내역'!X975="","",'(1)예금승인내역'!X975)</f>
        <v>0.00394600000000001</v>
      </c>
      <c r="V349" s="531" t="n">
        <f aca="false">IF(ISNUMBER(N349),N349-$B$2,"")</f>
        <v>-237</v>
      </c>
      <c r="W349" s="531" t="str">
        <f aca="false">IF(AND(ISNUMBER(N349),N349&gt;=$B$2,N349&lt;=$B$2+10),N349*100000+ROW(),"")</f>
        <v/>
      </c>
      <c r="X349" s="531"/>
      <c r="Y349" s="531"/>
      <c r="Z349" s="531"/>
      <c r="AA349" s="531"/>
      <c r="AB349" s="531"/>
      <c r="AC349" s="531"/>
      <c r="AD349" s="531"/>
      <c r="AE349" s="531"/>
      <c r="AF349" s="531"/>
      <c r="AG349" s="531"/>
      <c r="AH349" s="531"/>
      <c r="AI349" s="531"/>
      <c r="AJ349" s="531"/>
      <c r="AK349" s="531"/>
      <c r="AL349" s="531"/>
      <c r="AM349" s="531"/>
      <c r="AN349" s="531"/>
    </row>
    <row r="350" customFormat="false" ht="16.5" hidden="false" customHeight="true" outlineLevel="0" collapsed="false">
      <c r="A350" s="531"/>
      <c r="B350" s="531"/>
      <c r="C350" s="531"/>
      <c r="D350" s="531"/>
      <c r="E350" s="531"/>
      <c r="F350" s="531"/>
      <c r="G350" s="531"/>
      <c r="H350" s="531"/>
      <c r="I350" s="531"/>
      <c r="J350" s="531"/>
      <c r="K350" s="531"/>
      <c r="L350" s="531"/>
      <c r="M350" s="531"/>
      <c r="N350" s="547" t="n">
        <f aca="false">IF('(1)예금승인내역'!H976="","",'(1)예금승인내역'!H976)</f>
        <v>45957</v>
      </c>
      <c r="O350" s="547" t="n">
        <f aca="false">IF('(1)예금승인내역'!G976="","",'(1)예금승인내역'!G976)</f>
        <v>45925</v>
      </c>
      <c r="P350" s="531" t="str">
        <f aca="false">IF('(1)예금승인내역'!F976="","",'(1)예금승인내역'!F976)</f>
        <v>㈜와이투솔루션</v>
      </c>
      <c r="Q350" s="531" t="str">
        <f aca="false">IF('(1)예금승인내역'!C976="","",'(1)예금승인내역'!C976)</f>
        <v>화성금융센터</v>
      </c>
      <c r="R350" s="531" t="str">
        <f aca="false">IF('(1)예금승인내역'!K976="","",'(1)예금승인내역'!K976)</f>
        <v>MMDA</v>
      </c>
      <c r="S350" s="548" t="n">
        <f aca="false">IF('(1)예금승인내역'!L976="","",'(1)예금승인내역'!L976)</f>
        <v>1</v>
      </c>
      <c r="T350" s="549" t="n">
        <f aca="false">IF('(1)예금승인내역'!AG976="","",'(1)예금승인내역'!AG976)</f>
        <v>0.035</v>
      </c>
      <c r="U350" s="549" t="n">
        <f aca="false">IF('(1)예금승인내역'!X976="","",'(1)예금승인내역'!X976)</f>
        <v>0.006238</v>
      </c>
      <c r="V350" s="531" t="n">
        <f aca="false">IF(ISNUMBER(N350),N350-$B$2,"")</f>
        <v>-232</v>
      </c>
      <c r="W350" s="531" t="str">
        <f aca="false">IF(AND(ISNUMBER(N350),N350&gt;=$B$2,N350&lt;=$B$2+10),N350*100000+ROW(),"")</f>
        <v/>
      </c>
      <c r="X350" s="531"/>
      <c r="Y350" s="531"/>
      <c r="Z350" s="531"/>
      <c r="AA350" s="531"/>
      <c r="AB350" s="531"/>
      <c r="AC350" s="531"/>
      <c r="AD350" s="531"/>
      <c r="AE350" s="531"/>
      <c r="AF350" s="531"/>
      <c r="AG350" s="531"/>
      <c r="AH350" s="531"/>
      <c r="AI350" s="531"/>
      <c r="AJ350" s="531"/>
      <c r="AK350" s="531"/>
      <c r="AL350" s="531"/>
      <c r="AM350" s="531"/>
      <c r="AN350" s="531"/>
    </row>
    <row r="351" customFormat="false" ht="16.5" hidden="false" customHeight="true" outlineLevel="0" collapsed="false">
      <c r="A351" s="531"/>
      <c r="B351" s="531"/>
      <c r="C351" s="531"/>
      <c r="D351" s="531"/>
      <c r="E351" s="531"/>
      <c r="F351" s="531"/>
      <c r="G351" s="531"/>
      <c r="H351" s="531"/>
      <c r="I351" s="531"/>
      <c r="J351" s="531"/>
      <c r="K351" s="531"/>
      <c r="L351" s="531"/>
      <c r="M351" s="531"/>
      <c r="N351" s="547" t="n">
        <f aca="false">IF('(1)예금승인내역'!H977="","",'(1)예금승인내역'!H977)</f>
        <v>45932</v>
      </c>
      <c r="O351" s="547" t="n">
        <f aca="false">IF('(1)예금승인내역'!G977="","",'(1)예금승인내역'!G977)</f>
        <v>45926</v>
      </c>
      <c r="P351" s="531" t="str">
        <f aca="false">IF('(1)예금승인내역'!F977="","",'(1)예금승인내역'!F977)</f>
        <v>㈜일지테크</v>
      </c>
      <c r="Q351" s="531" t="str">
        <f aca="false">IF('(1)예금승인내역'!C977="","",'(1)예금승인내역'!C977)</f>
        <v>경산공단영업부</v>
      </c>
      <c r="R351" s="531" t="str">
        <f aca="false">IF('(1)예금승인내역'!K977="","",'(1)예금승인내역'!K977)</f>
        <v>정기예금</v>
      </c>
      <c r="S351" s="548" t="n">
        <f aca="false">IF('(1)예금승인내역'!L977="","",'(1)예금승인내역'!L977)</f>
        <v>2</v>
      </c>
      <c r="T351" s="549" t="n">
        <f aca="false">IF('(1)예금승인내역'!AG977="","",'(1)예금승인내역'!AG977)</f>
        <v>0.035</v>
      </c>
      <c r="U351" s="549" t="n">
        <f aca="false">IF('(1)예금승인내역'!X977="","",'(1)예금승인내역'!X977)</f>
        <v>0.002916</v>
      </c>
      <c r="V351" s="531" t="n">
        <f aca="false">IF(ISNUMBER(N351),N351-$B$2,"")</f>
        <v>-257</v>
      </c>
      <c r="W351" s="531" t="str">
        <f aca="false">IF(AND(ISNUMBER(N351),N351&gt;=$B$2,N351&lt;=$B$2+10),N351*100000+ROW(),"")</f>
        <v/>
      </c>
      <c r="X351" s="531"/>
      <c r="Y351" s="531"/>
      <c r="Z351" s="531"/>
      <c r="AA351" s="531"/>
      <c r="AB351" s="531"/>
      <c r="AC351" s="531"/>
      <c r="AD351" s="531"/>
      <c r="AE351" s="531"/>
      <c r="AF351" s="531"/>
      <c r="AG351" s="531"/>
      <c r="AH351" s="531"/>
      <c r="AI351" s="531"/>
      <c r="AJ351" s="531"/>
      <c r="AK351" s="531"/>
      <c r="AL351" s="531"/>
      <c r="AM351" s="531"/>
      <c r="AN351" s="531"/>
    </row>
    <row r="352" customFormat="false" ht="16.5" hidden="false" customHeight="true" outlineLevel="0" collapsed="false">
      <c r="A352" s="531"/>
      <c r="B352" s="531"/>
      <c r="C352" s="531"/>
      <c r="D352" s="531"/>
      <c r="E352" s="531"/>
      <c r="F352" s="531"/>
      <c r="G352" s="531"/>
      <c r="H352" s="531"/>
      <c r="I352" s="531"/>
      <c r="J352" s="531"/>
      <c r="K352" s="531"/>
      <c r="L352" s="531"/>
      <c r="M352" s="531"/>
      <c r="N352" s="547" t="n">
        <f aca="false">IF('(1)예금승인내역'!H978="","",'(1)예금승인내역'!H978)</f>
        <v>45932</v>
      </c>
      <c r="O352" s="547" t="n">
        <f aca="false">IF('(1)예금승인내역'!G978="","",'(1)예금승인내역'!G978)</f>
        <v>45926</v>
      </c>
      <c r="P352" s="531" t="str">
        <f aca="false">IF('(1)예금승인내역'!F978="","",'(1)예금승인내역'!F978)</f>
        <v>㈜일지테크</v>
      </c>
      <c r="Q352" s="531" t="str">
        <f aca="false">IF('(1)예금승인내역'!C978="","",'(1)예금승인내역'!C978)</f>
        <v>경산공단영업부</v>
      </c>
      <c r="R352" s="531" t="str">
        <f aca="false">IF('(1)예금승인내역'!K978="","",'(1)예금승인내역'!K978)</f>
        <v>정기예금</v>
      </c>
      <c r="S352" s="548" t="n">
        <f aca="false">IF('(1)예금승인내역'!L978="","",'(1)예금승인내역'!L978)</f>
        <v>2</v>
      </c>
      <c r="T352" s="549" t="n">
        <f aca="false">IF('(1)예금승인내역'!AG978="","",'(1)예금승인내역'!AG978)</f>
        <v>0.035</v>
      </c>
      <c r="U352" s="549" t="n">
        <f aca="false">IF('(1)예금승인내역'!X978="","",'(1)예금승인내역'!X978)</f>
        <v>0.002916</v>
      </c>
      <c r="V352" s="531" t="n">
        <f aca="false">IF(ISNUMBER(N352),N352-$B$2,"")</f>
        <v>-257</v>
      </c>
      <c r="W352" s="531" t="str">
        <f aca="false">IF(AND(ISNUMBER(N352),N352&gt;=$B$2,N352&lt;=$B$2+10),N352*100000+ROW(),"")</f>
        <v/>
      </c>
      <c r="X352" s="531"/>
      <c r="Y352" s="531"/>
      <c r="Z352" s="531"/>
      <c r="AA352" s="531"/>
      <c r="AB352" s="531"/>
      <c r="AC352" s="531"/>
      <c r="AD352" s="531"/>
      <c r="AE352" s="531"/>
      <c r="AF352" s="531"/>
      <c r="AG352" s="531"/>
      <c r="AH352" s="531"/>
      <c r="AI352" s="531"/>
      <c r="AJ352" s="531"/>
      <c r="AK352" s="531"/>
      <c r="AL352" s="531"/>
      <c r="AM352" s="531"/>
      <c r="AN352" s="531"/>
    </row>
    <row r="353" customFormat="false" ht="16.5" hidden="false" customHeight="true" outlineLevel="0" collapsed="false">
      <c r="A353" s="531"/>
      <c r="B353" s="531"/>
      <c r="C353" s="531"/>
      <c r="D353" s="531"/>
      <c r="E353" s="531"/>
      <c r="F353" s="531"/>
      <c r="G353" s="531"/>
      <c r="H353" s="531"/>
      <c r="I353" s="531"/>
      <c r="J353" s="531"/>
      <c r="K353" s="531"/>
      <c r="L353" s="531"/>
      <c r="M353" s="531"/>
      <c r="N353" s="547" t="n">
        <f aca="false">IF('(1)예금승인내역'!H979="","",'(1)예금승인내역'!H979)</f>
        <v>45932</v>
      </c>
      <c r="O353" s="547" t="n">
        <f aca="false">IF('(1)예금승인내역'!G979="","",'(1)예금승인내역'!G979)</f>
        <v>45926</v>
      </c>
      <c r="P353" s="531" t="str">
        <f aca="false">IF('(1)예금승인내역'!F979="","",'(1)예금승인내역'!F979)</f>
        <v>㈜일지테크</v>
      </c>
      <c r="Q353" s="531" t="str">
        <f aca="false">IF('(1)예금승인내역'!C979="","",'(1)예금승인내역'!C979)</f>
        <v>경산공단영업부</v>
      </c>
      <c r="R353" s="531" t="str">
        <f aca="false">IF('(1)예금승인내역'!K979="","",'(1)예금승인내역'!K979)</f>
        <v>정기예금</v>
      </c>
      <c r="S353" s="548" t="n">
        <f aca="false">IF('(1)예금승인내역'!L979="","",'(1)예금승인내역'!L979)</f>
        <v>2</v>
      </c>
      <c r="T353" s="549" t="n">
        <f aca="false">IF('(1)예금승인내역'!AG979="","",'(1)예금승인내역'!AG979)</f>
        <v>0.035</v>
      </c>
      <c r="U353" s="549" t="n">
        <f aca="false">IF('(1)예금승인내역'!X979="","",'(1)예금승인내역'!X979)</f>
        <v>0.002916</v>
      </c>
      <c r="V353" s="531" t="n">
        <f aca="false">IF(ISNUMBER(N353),N353-$B$2,"")</f>
        <v>-257</v>
      </c>
      <c r="W353" s="531" t="str">
        <f aca="false">IF(AND(ISNUMBER(N353),N353&gt;=$B$2,N353&lt;=$B$2+10),N353*100000+ROW(),"")</f>
        <v/>
      </c>
      <c r="X353" s="531"/>
      <c r="Y353" s="531"/>
      <c r="Z353" s="531"/>
      <c r="AA353" s="531"/>
      <c r="AB353" s="531"/>
      <c r="AC353" s="531"/>
      <c r="AD353" s="531"/>
      <c r="AE353" s="531"/>
      <c r="AF353" s="531"/>
      <c r="AG353" s="531"/>
      <c r="AH353" s="531"/>
      <c r="AI353" s="531"/>
      <c r="AJ353" s="531"/>
      <c r="AK353" s="531"/>
      <c r="AL353" s="531"/>
      <c r="AM353" s="531"/>
      <c r="AN353" s="531"/>
    </row>
    <row r="354" customFormat="false" ht="16.5" hidden="false" customHeight="true" outlineLevel="0" collapsed="false">
      <c r="A354" s="531"/>
      <c r="B354" s="531"/>
      <c r="C354" s="531"/>
      <c r="D354" s="531"/>
      <c r="E354" s="531"/>
      <c r="F354" s="531"/>
      <c r="G354" s="531"/>
      <c r="H354" s="531"/>
      <c r="I354" s="531"/>
      <c r="J354" s="531"/>
      <c r="K354" s="531"/>
      <c r="L354" s="531"/>
      <c r="M354" s="531"/>
      <c r="N354" s="547" t="n">
        <f aca="false">IF('(1)예금승인내역'!H980="","",'(1)예금승인내역'!H980)</f>
        <v>45932</v>
      </c>
      <c r="O354" s="547" t="n">
        <f aca="false">IF('(1)예금승인내역'!G980="","",'(1)예금승인내역'!G980)</f>
        <v>45926</v>
      </c>
      <c r="P354" s="531" t="str">
        <f aca="false">IF('(1)예금승인내역'!F980="","",'(1)예금승인내역'!F980)</f>
        <v>㈜일지테크</v>
      </c>
      <c r="Q354" s="531" t="str">
        <f aca="false">IF('(1)예금승인내역'!C980="","",'(1)예금승인내역'!C980)</f>
        <v>경산공단영업부</v>
      </c>
      <c r="R354" s="531" t="str">
        <f aca="false">IF('(1)예금승인내역'!K980="","",'(1)예금승인내역'!K980)</f>
        <v>정기예금</v>
      </c>
      <c r="S354" s="548" t="n">
        <f aca="false">IF('(1)예금승인내역'!L980="","",'(1)예금승인내역'!L980)</f>
        <v>2</v>
      </c>
      <c r="T354" s="549" t="n">
        <f aca="false">IF('(1)예금승인내역'!AG980="","",'(1)예금승인내역'!AG980)</f>
        <v>0.035</v>
      </c>
      <c r="U354" s="549" t="n">
        <f aca="false">IF('(1)예금승인내역'!X980="","",'(1)예금승인내역'!X980)</f>
        <v>0.002916</v>
      </c>
      <c r="V354" s="531" t="n">
        <f aca="false">IF(ISNUMBER(N354),N354-$B$2,"")</f>
        <v>-257</v>
      </c>
      <c r="W354" s="531" t="str">
        <f aca="false">IF(AND(ISNUMBER(N354),N354&gt;=$B$2,N354&lt;=$B$2+10),N354*100000+ROW(),"")</f>
        <v/>
      </c>
      <c r="X354" s="531"/>
      <c r="Y354" s="531"/>
      <c r="Z354" s="531"/>
      <c r="AA354" s="531"/>
      <c r="AB354" s="531"/>
      <c r="AC354" s="531"/>
      <c r="AD354" s="531"/>
      <c r="AE354" s="531"/>
      <c r="AF354" s="531"/>
      <c r="AG354" s="531"/>
      <c r="AH354" s="531"/>
      <c r="AI354" s="531"/>
      <c r="AJ354" s="531"/>
      <c r="AK354" s="531"/>
      <c r="AL354" s="531"/>
      <c r="AM354" s="531"/>
      <c r="AN354" s="531"/>
    </row>
    <row r="355" customFormat="false" ht="16.5" hidden="false" customHeight="true" outlineLevel="0" collapsed="false">
      <c r="A355" s="531"/>
      <c r="B355" s="531"/>
      <c r="C355" s="531"/>
      <c r="D355" s="531"/>
      <c r="E355" s="531"/>
      <c r="F355" s="531"/>
      <c r="G355" s="531"/>
      <c r="H355" s="531"/>
      <c r="I355" s="531"/>
      <c r="J355" s="531"/>
      <c r="K355" s="531"/>
      <c r="L355" s="531"/>
      <c r="M355" s="531"/>
      <c r="N355" s="547" t="n">
        <f aca="false">IF('(1)예금승인내역'!H981="","",'(1)예금승인내역'!H981)</f>
        <v>45932</v>
      </c>
      <c r="O355" s="547" t="n">
        <f aca="false">IF('(1)예금승인내역'!G981="","",'(1)예금승인내역'!G981)</f>
        <v>45926</v>
      </c>
      <c r="P355" s="531" t="str">
        <f aca="false">IF('(1)예금승인내역'!F981="","",'(1)예금승인내역'!F981)</f>
        <v>㈜일지테크</v>
      </c>
      <c r="Q355" s="531" t="str">
        <f aca="false">IF('(1)예금승인내역'!C981="","",'(1)예금승인내역'!C981)</f>
        <v>경산공단영업부</v>
      </c>
      <c r="R355" s="531" t="str">
        <f aca="false">IF('(1)예금승인내역'!K981="","",'(1)예금승인내역'!K981)</f>
        <v>정기예금</v>
      </c>
      <c r="S355" s="548" t="n">
        <f aca="false">IF('(1)예금승인내역'!L981="","",'(1)예금승인내역'!L981)</f>
        <v>2</v>
      </c>
      <c r="T355" s="549" t="n">
        <f aca="false">IF('(1)예금승인내역'!AG981="","",'(1)예금승인내역'!AG981)</f>
        <v>0.035</v>
      </c>
      <c r="U355" s="549" t="n">
        <f aca="false">IF('(1)예금승인내역'!X981="","",'(1)예금승인내역'!X981)</f>
        <v>0.002916</v>
      </c>
      <c r="V355" s="531" t="n">
        <f aca="false">IF(ISNUMBER(N355),N355-$B$2,"")</f>
        <v>-257</v>
      </c>
      <c r="W355" s="531" t="str">
        <f aca="false">IF(AND(ISNUMBER(N355),N355&gt;=$B$2,N355&lt;=$B$2+10),N355*100000+ROW(),"")</f>
        <v/>
      </c>
      <c r="X355" s="531"/>
      <c r="Y355" s="531"/>
      <c r="Z355" s="531"/>
      <c r="AA355" s="531"/>
      <c r="AB355" s="531"/>
      <c r="AC355" s="531"/>
      <c r="AD355" s="531"/>
      <c r="AE355" s="531"/>
      <c r="AF355" s="531"/>
      <c r="AG355" s="531"/>
      <c r="AH355" s="531"/>
      <c r="AI355" s="531"/>
      <c r="AJ355" s="531"/>
      <c r="AK355" s="531"/>
      <c r="AL355" s="531"/>
      <c r="AM355" s="531"/>
      <c r="AN355" s="531"/>
    </row>
    <row r="356" customFormat="false" ht="16.5" hidden="false" customHeight="true" outlineLevel="0" collapsed="false">
      <c r="A356" s="531"/>
      <c r="B356" s="531"/>
      <c r="C356" s="531"/>
      <c r="D356" s="531"/>
      <c r="E356" s="531"/>
      <c r="F356" s="531"/>
      <c r="G356" s="531"/>
      <c r="H356" s="531"/>
      <c r="I356" s="531"/>
      <c r="J356" s="531"/>
      <c r="K356" s="531"/>
      <c r="L356" s="531"/>
      <c r="M356" s="531"/>
      <c r="N356" s="547" t="n">
        <f aca="false">IF('(1)예금승인내역'!H982="","",'(1)예금승인내역'!H982)</f>
        <v>45959</v>
      </c>
      <c r="O356" s="547" t="n">
        <f aca="false">IF('(1)예금승인내역'!G982="","",'(1)예금승인내역'!G982)</f>
        <v>45929</v>
      </c>
      <c r="P356" s="531" t="str">
        <f aca="false">IF('(1)예금승인내역'!F982="","",'(1)예금승인내역'!F982)</f>
        <v>㈜디오 </v>
      </c>
      <c r="Q356" s="531" t="str">
        <f aca="false">IF('(1)예금승인내역'!C982="","",'(1)예금승인내역'!C982)</f>
        <v>화성금융센터</v>
      </c>
      <c r="R356" s="531" t="str">
        <f aca="false">IF('(1)예금승인내역'!K982="","",'(1)예금승인내역'!K982)</f>
        <v>정기예금</v>
      </c>
      <c r="S356" s="548" t="n">
        <f aca="false">IF('(1)예금승인내역'!L982="","",'(1)예금승인내역'!L982)</f>
        <v>2</v>
      </c>
      <c r="T356" s="549" t="n">
        <f aca="false">IF('(1)예금승인내역'!AG982="","",'(1)예금승인내역'!AG982)</f>
        <v>0.039</v>
      </c>
      <c r="U356" s="549" t="n">
        <f aca="false">IF('(1)예금승인내역'!X982="","",'(1)예금승인내역'!X982)</f>
        <v>0.002986</v>
      </c>
      <c r="V356" s="531" t="n">
        <f aca="false">IF(ISNUMBER(N356),N356-$B$2,"")</f>
        <v>-230</v>
      </c>
      <c r="W356" s="531" t="str">
        <f aca="false">IF(AND(ISNUMBER(N356),N356&gt;=$B$2,N356&lt;=$B$2+10),N356*100000+ROW(),"")</f>
        <v/>
      </c>
      <c r="X356" s="531"/>
      <c r="Y356" s="531"/>
      <c r="Z356" s="531"/>
      <c r="AA356" s="531"/>
      <c r="AB356" s="531"/>
      <c r="AC356" s="531"/>
      <c r="AD356" s="531"/>
      <c r="AE356" s="531"/>
      <c r="AF356" s="531"/>
      <c r="AG356" s="531"/>
      <c r="AH356" s="531"/>
      <c r="AI356" s="531"/>
      <c r="AJ356" s="531"/>
      <c r="AK356" s="531"/>
      <c r="AL356" s="531"/>
      <c r="AM356" s="531"/>
      <c r="AN356" s="531"/>
    </row>
    <row r="357" customFormat="false" ht="16.5" hidden="false" customHeight="true" outlineLevel="0" collapsed="false">
      <c r="A357" s="531"/>
      <c r="B357" s="531"/>
      <c r="C357" s="531"/>
      <c r="D357" s="531"/>
      <c r="E357" s="531"/>
      <c r="F357" s="531"/>
      <c r="G357" s="531"/>
      <c r="H357" s="531"/>
      <c r="I357" s="531"/>
      <c r="J357" s="531"/>
      <c r="K357" s="531"/>
      <c r="L357" s="531"/>
      <c r="M357" s="531"/>
      <c r="N357" s="547" t="n">
        <f aca="false">IF('(1)예금승인내역'!H983="","",'(1)예금승인내역'!H983)</f>
        <v>45959</v>
      </c>
      <c r="O357" s="547" t="n">
        <f aca="false">IF('(1)예금승인내역'!G983="","",'(1)예금승인내역'!G983)</f>
        <v>45929</v>
      </c>
      <c r="P357" s="531" t="str">
        <f aca="false">IF('(1)예금승인내역'!F983="","",'(1)예금승인내역'!F983)</f>
        <v>미래에셋컨설팅</v>
      </c>
      <c r="Q357" s="531" t="str">
        <f aca="false">IF('(1)예금승인내역'!C983="","",'(1)예금승인내역'!C983)</f>
        <v>서울영업부</v>
      </c>
      <c r="R357" s="531" t="str">
        <f aca="false">IF('(1)예금승인내역'!K983="","",'(1)예금승인내역'!K983)</f>
        <v>정기예금</v>
      </c>
      <c r="S357" s="548" t="n">
        <f aca="false">IF('(1)예금승인내역'!L983="","",'(1)예금승인내역'!L983)</f>
        <v>2</v>
      </c>
      <c r="T357" s="549" t="n">
        <f aca="false">IF('(1)예금승인내역'!AG983="","",'(1)예금승인내역'!AG983)</f>
        <v>0.0388</v>
      </c>
      <c r="U357" s="549" t="n">
        <f aca="false">IF('(1)예금승인내역'!X983="","",'(1)예금승인내역'!X983)</f>
        <v>0.003186</v>
      </c>
      <c r="V357" s="531" t="n">
        <f aca="false">IF(ISNUMBER(N357),N357-$B$2,"")</f>
        <v>-230</v>
      </c>
      <c r="W357" s="531" t="str">
        <f aca="false">IF(AND(ISNUMBER(N357),N357&gt;=$B$2,N357&lt;=$B$2+10),N357*100000+ROW(),"")</f>
        <v/>
      </c>
      <c r="X357" s="531"/>
      <c r="Y357" s="531"/>
      <c r="Z357" s="531"/>
      <c r="AA357" s="531"/>
      <c r="AB357" s="531"/>
      <c r="AC357" s="531"/>
      <c r="AD357" s="531"/>
      <c r="AE357" s="531"/>
      <c r="AF357" s="531"/>
      <c r="AG357" s="531"/>
      <c r="AH357" s="531"/>
      <c r="AI357" s="531"/>
      <c r="AJ357" s="531"/>
      <c r="AK357" s="531"/>
      <c r="AL357" s="531"/>
      <c r="AM357" s="531"/>
      <c r="AN357" s="531"/>
    </row>
    <row r="358" customFormat="false" ht="16.5" hidden="false" customHeight="true" outlineLevel="0" collapsed="false">
      <c r="A358" s="531"/>
      <c r="B358" s="531"/>
      <c r="C358" s="531"/>
      <c r="D358" s="531"/>
      <c r="E358" s="531"/>
      <c r="F358" s="531"/>
      <c r="G358" s="531"/>
      <c r="H358" s="531"/>
      <c r="I358" s="531"/>
      <c r="J358" s="531"/>
      <c r="K358" s="531"/>
      <c r="L358" s="531"/>
      <c r="M358" s="531"/>
      <c r="N358" s="547" t="n">
        <f aca="false">IF('(1)예금승인내역'!H984="","",'(1)예금승인내역'!H984)</f>
        <v>46111</v>
      </c>
      <c r="O358" s="547" t="n">
        <f aca="false">IF('(1)예금승인내역'!G984="","",'(1)예금승인내역'!G984)</f>
        <v>45929</v>
      </c>
      <c r="P358" s="531" t="str">
        <f aca="false">IF('(1)예금승인내역'!F984="","",'(1)예금승인내역'!F984)</f>
        <v>케이와이글로벌셀앤진사모투자</v>
      </c>
      <c r="Q358" s="531" t="str">
        <f aca="false">IF('(1)예금승인내역'!C984="","",'(1)예금승인내역'!C984)</f>
        <v>평택금융센터</v>
      </c>
      <c r="R358" s="531" t="str">
        <f aca="false">IF('(1)예금승인내역'!K984="","",'(1)예금승인내역'!K984)</f>
        <v>정기예금</v>
      </c>
      <c r="S358" s="548" t="n">
        <f aca="false">IF('(1)예금승인내역'!L984="","",'(1)예금승인내역'!L984)</f>
        <v>2.18</v>
      </c>
      <c r="T358" s="549" t="n">
        <f aca="false">IF('(1)예금승인내역'!AG984="","",'(1)예금승인내역'!AG984)</f>
        <v>0.037</v>
      </c>
      <c r="U358" s="549" t="n">
        <f aca="false">IF('(1)예금승인내역'!X984="","",'(1)예금승인내역'!X984)</f>
        <v>0.003758</v>
      </c>
      <c r="V358" s="531" t="n">
        <f aca="false">IF(ISNUMBER(N358),N358-$B$2,"")</f>
        <v>-78</v>
      </c>
      <c r="W358" s="531" t="str">
        <f aca="false">IF(AND(ISNUMBER(N358),N358&gt;=$B$2,N358&lt;=$B$2+10),N358*100000+ROW(),"")</f>
        <v/>
      </c>
      <c r="X358" s="531"/>
      <c r="Y358" s="531"/>
      <c r="Z358" s="531"/>
      <c r="AA358" s="531"/>
      <c r="AB358" s="531"/>
      <c r="AC358" s="531"/>
      <c r="AD358" s="531"/>
      <c r="AE358" s="531"/>
      <c r="AF358" s="531"/>
      <c r="AG358" s="531"/>
      <c r="AH358" s="531"/>
      <c r="AI358" s="531"/>
      <c r="AJ358" s="531"/>
      <c r="AK358" s="531"/>
      <c r="AL358" s="531"/>
      <c r="AM358" s="531"/>
      <c r="AN358" s="531"/>
    </row>
    <row r="359" customFormat="false" ht="16.5" hidden="false" customHeight="true" outlineLevel="0" collapsed="false">
      <c r="A359" s="531"/>
      <c r="B359" s="531"/>
      <c r="C359" s="531"/>
      <c r="D359" s="531"/>
      <c r="E359" s="531"/>
      <c r="F359" s="531"/>
      <c r="G359" s="531"/>
      <c r="H359" s="531"/>
      <c r="I359" s="531"/>
      <c r="J359" s="531"/>
      <c r="K359" s="531"/>
      <c r="L359" s="531"/>
      <c r="M359" s="531"/>
      <c r="N359" s="547" t="n">
        <f aca="false">IF('(1)예금승인내역'!H985="","",'(1)예금승인내역'!H985)</f>
        <v>45959</v>
      </c>
      <c r="O359" s="547" t="n">
        <f aca="false">IF('(1)예금승인내역'!G985="","",'(1)예금승인내역'!G985)</f>
        <v>45929</v>
      </c>
      <c r="P359" s="531" t="str">
        <f aca="false">IF('(1)예금승인내역'!F985="","",'(1)예금승인내역'!F985)</f>
        <v>한화에어로스페이스</v>
      </c>
      <c r="Q359" s="531" t="str">
        <f aca="false">IF('(1)예금승인내역'!C985="","",'(1)예금승인내역'!C985)</f>
        <v>서울영업부</v>
      </c>
      <c r="R359" s="531" t="str">
        <f aca="false">IF('(1)예금승인내역'!K985="","",'(1)예금승인내역'!K985)</f>
        <v>정기예금</v>
      </c>
      <c r="S359" s="548" t="n">
        <f aca="false">IF('(1)예금승인내역'!L985="","",'(1)예금승인내역'!L985)</f>
        <v>10</v>
      </c>
      <c r="T359" s="549" t="n">
        <f aca="false">IF('(1)예금승인내역'!AG985="","",'(1)예금승인내역'!AG985)</f>
        <v>0.0394</v>
      </c>
      <c r="U359" s="549" t="n">
        <f aca="false">IF('(1)예금승인내역'!X985="","",'(1)예금승인내역'!X985)</f>
        <v>0.002586</v>
      </c>
      <c r="V359" s="531" t="n">
        <f aca="false">IF(ISNUMBER(N359),N359-$B$2,"")</f>
        <v>-230</v>
      </c>
      <c r="W359" s="531" t="str">
        <f aca="false">IF(AND(ISNUMBER(N359),N359&gt;=$B$2,N359&lt;=$B$2+10),N359*100000+ROW(),"")</f>
        <v/>
      </c>
      <c r="X359" s="531"/>
      <c r="Y359" s="531"/>
      <c r="Z359" s="531"/>
      <c r="AA359" s="531"/>
      <c r="AB359" s="531"/>
      <c r="AC359" s="531"/>
      <c r="AD359" s="531"/>
      <c r="AE359" s="531"/>
      <c r="AF359" s="531"/>
      <c r="AG359" s="531"/>
      <c r="AH359" s="531"/>
      <c r="AI359" s="531"/>
      <c r="AJ359" s="531"/>
      <c r="AK359" s="531"/>
      <c r="AL359" s="531"/>
      <c r="AM359" s="531"/>
      <c r="AN359" s="531"/>
    </row>
    <row r="360" customFormat="false" ht="16.5" hidden="false" customHeight="true" outlineLevel="0" collapsed="false">
      <c r="A360" s="531"/>
      <c r="B360" s="531"/>
      <c r="C360" s="531"/>
      <c r="D360" s="531"/>
      <c r="E360" s="531"/>
      <c r="F360" s="531"/>
      <c r="G360" s="531"/>
      <c r="H360" s="531"/>
      <c r="I360" s="531"/>
      <c r="J360" s="531"/>
      <c r="K360" s="531"/>
      <c r="L360" s="531"/>
      <c r="M360" s="531"/>
      <c r="N360" s="547" t="n">
        <f aca="false">IF('(1)예금승인내역'!H986="","",'(1)예금승인내역'!H986)</f>
        <v>45964</v>
      </c>
      <c r="O360" s="547" t="n">
        <f aca="false">IF('(1)예금승인내역'!G986="","",'(1)예금승인내역'!G986)</f>
        <v>45931</v>
      </c>
      <c r="P360" s="531" t="str">
        <f aca="false">IF('(1)예금승인내역'!F986="","",'(1)예금승인내역'!F986)</f>
        <v>와이투솔루션</v>
      </c>
      <c r="Q360" s="531" t="str">
        <f aca="false">IF('(1)예금승인내역'!C986="","",'(1)예금승인내역'!C986)</f>
        <v>화성금융센터</v>
      </c>
      <c r="R360" s="531" t="str">
        <f aca="false">IF('(1)예금승인내역'!K986="","",'(1)예금승인내역'!K986)</f>
        <v>정기예금</v>
      </c>
      <c r="S360" s="548" t="n">
        <f aca="false">IF('(1)예금승인내역'!L986="","",'(1)예금승인내역'!L986)</f>
        <v>1</v>
      </c>
      <c r="T360" s="549" t="n">
        <f aca="false">IF('(1)예금승인내역'!AG986="","",'(1)예금승인내역'!AG986)</f>
        <v>0.0385</v>
      </c>
      <c r="U360" s="549" t="n">
        <f aca="false">IF('(1)예금승인내역'!X986="","",'(1)예금승인내역'!X986)</f>
        <v>0.00318</v>
      </c>
      <c r="V360" s="531" t="n">
        <f aca="false">IF(ISNUMBER(N360),N360-$B$2,"")</f>
        <v>-225</v>
      </c>
      <c r="W360" s="531" t="str">
        <f aca="false">IF(AND(ISNUMBER(N360),N360&gt;=$B$2,N360&lt;=$B$2+10),N360*100000+ROW(),"")</f>
        <v/>
      </c>
      <c r="X360" s="531"/>
      <c r="Y360" s="531"/>
      <c r="Z360" s="531"/>
      <c r="AA360" s="531"/>
      <c r="AB360" s="531"/>
      <c r="AC360" s="531"/>
      <c r="AD360" s="531"/>
      <c r="AE360" s="531"/>
      <c r="AF360" s="531"/>
      <c r="AG360" s="531"/>
      <c r="AH360" s="531"/>
      <c r="AI360" s="531"/>
      <c r="AJ360" s="531"/>
      <c r="AK360" s="531"/>
      <c r="AL360" s="531"/>
      <c r="AM360" s="531"/>
      <c r="AN360" s="531"/>
    </row>
    <row r="361" customFormat="false" ht="16.5" hidden="false" customHeight="true" outlineLevel="0" collapsed="false">
      <c r="A361" s="531"/>
      <c r="B361" s="531"/>
      <c r="C361" s="531"/>
      <c r="D361" s="531"/>
      <c r="E361" s="531"/>
      <c r="F361" s="531"/>
      <c r="G361" s="531"/>
      <c r="H361" s="531"/>
      <c r="I361" s="531"/>
      <c r="J361" s="531"/>
      <c r="K361" s="531"/>
      <c r="L361" s="531"/>
      <c r="M361" s="531"/>
      <c r="N361" s="547" t="n">
        <f aca="false">IF('(1)예금승인내역'!H987="","",'(1)예금승인내역'!H987)</f>
        <v>45964</v>
      </c>
      <c r="O361" s="547" t="n">
        <f aca="false">IF('(1)예금승인내역'!G987="","",'(1)예금승인내역'!G987)</f>
        <v>45931</v>
      </c>
      <c r="P361" s="531" t="str">
        <f aca="false">IF('(1)예금승인내역'!F987="","",'(1)예금승인내역'!F987)</f>
        <v>와이투솔루션</v>
      </c>
      <c r="Q361" s="531" t="str">
        <f aca="false">IF('(1)예금승인내역'!C987="","",'(1)예금승인내역'!C987)</f>
        <v>화성금융센터</v>
      </c>
      <c r="R361" s="531" t="str">
        <f aca="false">IF('(1)예금승인내역'!K987="","",'(1)예금승인내역'!K987)</f>
        <v>정기예금</v>
      </c>
      <c r="S361" s="548" t="n">
        <f aca="false">IF('(1)예금승인내역'!L987="","",'(1)예금승인내역'!L987)</f>
        <v>1</v>
      </c>
      <c r="T361" s="549" t="n">
        <f aca="false">IF('(1)예금승인내역'!AG987="","",'(1)예금승인내역'!AG987)</f>
        <v>0.0385</v>
      </c>
      <c r="U361" s="549" t="n">
        <f aca="false">IF('(1)예금승인내역'!X987="","",'(1)예금승인내역'!X987)</f>
        <v>0.00318</v>
      </c>
      <c r="V361" s="531" t="n">
        <f aca="false">IF(ISNUMBER(N361),N361-$B$2,"")</f>
        <v>-225</v>
      </c>
      <c r="W361" s="531" t="str">
        <f aca="false">IF(AND(ISNUMBER(N361),N361&gt;=$B$2,N361&lt;=$B$2+10),N361*100000+ROW(),"")</f>
        <v/>
      </c>
      <c r="X361" s="531"/>
      <c r="Y361" s="531"/>
      <c r="Z361" s="531"/>
      <c r="AA361" s="531"/>
      <c r="AB361" s="531"/>
      <c r="AC361" s="531"/>
      <c r="AD361" s="531"/>
      <c r="AE361" s="531"/>
      <c r="AF361" s="531"/>
      <c r="AG361" s="531"/>
      <c r="AH361" s="531"/>
      <c r="AI361" s="531"/>
      <c r="AJ361" s="531"/>
      <c r="AK361" s="531"/>
      <c r="AL361" s="531"/>
      <c r="AM361" s="531"/>
      <c r="AN361" s="531"/>
    </row>
    <row r="362" customFormat="false" ht="16.5" hidden="false" customHeight="true" outlineLevel="0" collapsed="false">
      <c r="A362" s="531"/>
      <c r="B362" s="531"/>
      <c r="C362" s="531"/>
      <c r="D362" s="531"/>
      <c r="E362" s="531"/>
      <c r="F362" s="531"/>
      <c r="G362" s="531"/>
      <c r="H362" s="531"/>
      <c r="I362" s="531"/>
      <c r="J362" s="531"/>
      <c r="K362" s="531"/>
      <c r="L362" s="531"/>
      <c r="M362" s="531"/>
      <c r="N362" s="547" t="n">
        <f aca="false">IF('(1)예금승인내역'!H988="","",'(1)예금승인내역'!H988)</f>
        <v>45964</v>
      </c>
      <c r="O362" s="547" t="n">
        <f aca="false">IF('(1)예금승인내역'!G988="","",'(1)예금승인내역'!G988)</f>
        <v>45931</v>
      </c>
      <c r="P362" s="531" t="str">
        <f aca="false">IF('(1)예금승인내역'!F988="","",'(1)예금승인내역'!F988)</f>
        <v>와이투솔루션</v>
      </c>
      <c r="Q362" s="531" t="str">
        <f aca="false">IF('(1)예금승인내역'!C988="","",'(1)예금승인내역'!C988)</f>
        <v>화성금융센터</v>
      </c>
      <c r="R362" s="531" t="str">
        <f aca="false">IF('(1)예금승인내역'!K988="","",'(1)예금승인내역'!K988)</f>
        <v>정기예금</v>
      </c>
      <c r="S362" s="548" t="n">
        <f aca="false">IF('(1)예금승인내역'!L988="","",'(1)예금승인내역'!L988)</f>
        <v>1</v>
      </c>
      <c r="T362" s="549" t="n">
        <f aca="false">IF('(1)예금승인내역'!AG988="","",'(1)예금승인내역'!AG988)</f>
        <v>0.0385</v>
      </c>
      <c r="U362" s="549" t="n">
        <f aca="false">IF('(1)예금승인내역'!X988="","",'(1)예금승인내역'!X988)</f>
        <v>0.00318</v>
      </c>
      <c r="V362" s="531" t="n">
        <f aca="false">IF(ISNUMBER(N362),N362-$B$2,"")</f>
        <v>-225</v>
      </c>
      <c r="W362" s="531" t="str">
        <f aca="false">IF(AND(ISNUMBER(N362),N362&gt;=$B$2,N362&lt;=$B$2+10),N362*100000+ROW(),"")</f>
        <v/>
      </c>
      <c r="X362" s="531"/>
      <c r="Y362" s="531"/>
      <c r="Z362" s="531"/>
      <c r="AA362" s="531"/>
      <c r="AB362" s="531"/>
      <c r="AC362" s="531"/>
      <c r="AD362" s="531"/>
      <c r="AE362" s="531"/>
      <c r="AF362" s="531"/>
      <c r="AG362" s="531"/>
      <c r="AH362" s="531"/>
      <c r="AI362" s="531"/>
      <c r="AJ362" s="531"/>
      <c r="AK362" s="531"/>
      <c r="AL362" s="531"/>
      <c r="AM362" s="531"/>
      <c r="AN362" s="531"/>
    </row>
    <row r="363" customFormat="false" ht="16.5" hidden="false" customHeight="true" outlineLevel="0" collapsed="false">
      <c r="A363" s="531"/>
      <c r="B363" s="531"/>
      <c r="C363" s="531"/>
      <c r="D363" s="531"/>
      <c r="E363" s="531"/>
      <c r="F363" s="531"/>
      <c r="G363" s="531"/>
      <c r="H363" s="531"/>
      <c r="I363" s="531"/>
      <c r="J363" s="531"/>
      <c r="K363" s="531"/>
      <c r="L363" s="531"/>
      <c r="M363" s="531"/>
      <c r="N363" s="547" t="n">
        <f aca="false">IF('(1)예금승인내역'!H989="","",'(1)예금승인내역'!H989)</f>
        <v>45964</v>
      </c>
      <c r="O363" s="547" t="n">
        <f aca="false">IF('(1)예금승인내역'!G989="","",'(1)예금승인내역'!G989)</f>
        <v>45931</v>
      </c>
      <c r="P363" s="531" t="str">
        <f aca="false">IF('(1)예금승인내역'!F989="","",'(1)예금승인내역'!F989)</f>
        <v>와이투솔루션</v>
      </c>
      <c r="Q363" s="531" t="str">
        <f aca="false">IF('(1)예금승인내역'!C989="","",'(1)예금승인내역'!C989)</f>
        <v>화성금융센터</v>
      </c>
      <c r="R363" s="531" t="str">
        <f aca="false">IF('(1)예금승인내역'!K989="","",'(1)예금승인내역'!K989)</f>
        <v>정기예금</v>
      </c>
      <c r="S363" s="548" t="n">
        <f aca="false">IF('(1)예금승인내역'!L989="","",'(1)예금승인내역'!L989)</f>
        <v>1</v>
      </c>
      <c r="T363" s="549" t="n">
        <f aca="false">IF('(1)예금승인내역'!AG989="","",'(1)예금승인내역'!AG989)</f>
        <v>0.0385</v>
      </c>
      <c r="U363" s="549" t="n">
        <f aca="false">IF('(1)예금승인내역'!X989="","",'(1)예금승인내역'!X989)</f>
        <v>0.00318</v>
      </c>
      <c r="V363" s="531" t="n">
        <f aca="false">IF(ISNUMBER(N363),N363-$B$2,"")</f>
        <v>-225</v>
      </c>
      <c r="W363" s="531" t="str">
        <f aca="false">IF(AND(ISNUMBER(N363),N363&gt;=$B$2,N363&lt;=$B$2+10),N363*100000+ROW(),"")</f>
        <v/>
      </c>
      <c r="X363" s="531"/>
      <c r="Y363" s="531"/>
      <c r="Z363" s="531"/>
      <c r="AA363" s="531"/>
      <c r="AB363" s="531"/>
      <c r="AC363" s="531"/>
      <c r="AD363" s="531"/>
      <c r="AE363" s="531"/>
      <c r="AF363" s="531"/>
      <c r="AG363" s="531"/>
      <c r="AH363" s="531"/>
      <c r="AI363" s="531"/>
      <c r="AJ363" s="531"/>
      <c r="AK363" s="531"/>
      <c r="AL363" s="531"/>
      <c r="AM363" s="531"/>
      <c r="AN363" s="531"/>
    </row>
    <row r="364" customFormat="false" ht="16.5" hidden="false" customHeight="true" outlineLevel="0" collapsed="false">
      <c r="A364" s="531"/>
      <c r="B364" s="531"/>
      <c r="C364" s="531"/>
      <c r="D364" s="531"/>
      <c r="E364" s="531"/>
      <c r="F364" s="531"/>
      <c r="G364" s="531"/>
      <c r="H364" s="531"/>
      <c r="I364" s="531"/>
      <c r="J364" s="531"/>
      <c r="K364" s="531"/>
      <c r="L364" s="531"/>
      <c r="M364" s="531"/>
      <c r="N364" s="547" t="n">
        <f aca="false">IF('(1)예금승인내역'!H990="","",'(1)예금승인내역'!H990)</f>
        <v>45964</v>
      </c>
      <c r="O364" s="547" t="n">
        <f aca="false">IF('(1)예금승인내역'!G990="","",'(1)예금승인내역'!G990)</f>
        <v>45931</v>
      </c>
      <c r="P364" s="531" t="str">
        <f aca="false">IF('(1)예금승인내역'!F990="","",'(1)예금승인내역'!F990)</f>
        <v>㈜지엠메탈</v>
      </c>
      <c r="Q364" s="531" t="str">
        <f aca="false">IF('(1)예금승인내역'!C990="","",'(1)예금승인내역'!C990)</f>
        <v>이현공단영업부</v>
      </c>
      <c r="R364" s="531" t="str">
        <f aca="false">IF('(1)예금승인내역'!K990="","",'(1)예금승인내역'!K990)</f>
        <v>MMDA</v>
      </c>
      <c r="S364" s="548" t="n">
        <f aca="false">IF('(1)예금승인내역'!L990="","",'(1)예금승인내역'!L990)</f>
        <v>1.25</v>
      </c>
      <c r="T364" s="549" t="n">
        <f aca="false">IF('(1)예금승인내역'!AG990="","",'(1)예금승인내역'!AG990)</f>
        <v>0.035</v>
      </c>
      <c r="U364" s="549" t="n">
        <f aca="false">IF('(1)예금승인내역'!X990="","",'(1)예금승인내역'!X990)</f>
        <v>0.004468</v>
      </c>
      <c r="V364" s="531" t="n">
        <f aca="false">IF(ISNUMBER(N364),N364-$B$2,"")</f>
        <v>-225</v>
      </c>
      <c r="W364" s="531" t="str">
        <f aca="false">IF(AND(ISNUMBER(N364),N364&gt;=$B$2,N364&lt;=$B$2+10),N364*100000+ROW(),"")</f>
        <v/>
      </c>
      <c r="X364" s="531"/>
      <c r="Y364" s="531"/>
      <c r="Z364" s="531"/>
      <c r="AA364" s="531"/>
      <c r="AB364" s="531"/>
      <c r="AC364" s="531"/>
      <c r="AD364" s="531"/>
      <c r="AE364" s="531"/>
      <c r="AF364" s="531"/>
      <c r="AG364" s="531"/>
      <c r="AH364" s="531"/>
      <c r="AI364" s="531"/>
      <c r="AJ364" s="531"/>
      <c r="AK364" s="531"/>
      <c r="AL364" s="531"/>
      <c r="AM364" s="531"/>
      <c r="AN364" s="531"/>
    </row>
    <row r="365" customFormat="false" ht="16.5" hidden="false" customHeight="true" outlineLevel="0" collapsed="false">
      <c r="A365" s="531"/>
      <c r="B365" s="531"/>
      <c r="C365" s="531"/>
      <c r="D365" s="531"/>
      <c r="E365" s="531"/>
      <c r="F365" s="531"/>
      <c r="G365" s="531"/>
      <c r="H365" s="531"/>
      <c r="I365" s="531"/>
      <c r="J365" s="531"/>
      <c r="K365" s="531"/>
      <c r="L365" s="531"/>
      <c r="M365" s="531"/>
      <c r="N365" s="547" t="n">
        <f aca="false">IF('(1)예금승인내역'!H991="","",'(1)예금승인내역'!H991)</f>
        <v>45964</v>
      </c>
      <c r="O365" s="547" t="n">
        <f aca="false">IF('(1)예금승인내역'!G991="","",'(1)예금승인내역'!G991)</f>
        <v>45931</v>
      </c>
      <c r="P365" s="531" t="str">
        <f aca="false">IF('(1)예금승인내역'!F991="","",'(1)예금승인내역'!F991)</f>
        <v>국제금속</v>
      </c>
      <c r="Q365" s="531" t="str">
        <f aca="false">IF('(1)예금승인내역'!C991="","",'(1)예금승인내역'!C991)</f>
        <v>영천영업부</v>
      </c>
      <c r="R365" s="531" t="str">
        <f aca="false">IF('(1)예금승인내역'!K991="","",'(1)예금승인내역'!K991)</f>
        <v>MMDA</v>
      </c>
      <c r="S365" s="548" t="n">
        <f aca="false">IF('(1)예금승인내역'!L991="","",'(1)예금승인내역'!L991)</f>
        <v>9</v>
      </c>
      <c r="T365" s="549" t="n">
        <f aca="false">IF('(1)예금승인내역'!AG991="","",'(1)예금승인내역'!AG991)</f>
        <v>0.034</v>
      </c>
      <c r="U365" s="549" t="n">
        <f aca="false">IF('(1)예금승인내역'!X991="","",'(1)예금승인내역'!X991)</f>
        <v>0.005468</v>
      </c>
      <c r="V365" s="531" t="n">
        <f aca="false">IF(ISNUMBER(N365),N365-$B$2,"")</f>
        <v>-225</v>
      </c>
      <c r="W365" s="531" t="str">
        <f aca="false">IF(AND(ISNUMBER(N365),N365&gt;=$B$2,N365&lt;=$B$2+10),N365*100000+ROW(),"")</f>
        <v/>
      </c>
      <c r="X365" s="531"/>
      <c r="Y365" s="531"/>
      <c r="Z365" s="531"/>
      <c r="AA365" s="531"/>
      <c r="AB365" s="531"/>
      <c r="AC365" s="531"/>
      <c r="AD365" s="531"/>
      <c r="AE365" s="531"/>
      <c r="AF365" s="531"/>
      <c r="AG365" s="531"/>
      <c r="AH365" s="531"/>
      <c r="AI365" s="531"/>
      <c r="AJ365" s="531"/>
      <c r="AK365" s="531"/>
      <c r="AL365" s="531"/>
      <c r="AM365" s="531"/>
      <c r="AN365" s="531"/>
    </row>
    <row r="366" customFormat="false" ht="16.5" hidden="false" customHeight="true" outlineLevel="0" collapsed="false">
      <c r="A366" s="531"/>
      <c r="B366" s="531"/>
      <c r="C366" s="531"/>
      <c r="D366" s="531"/>
      <c r="E366" s="531"/>
      <c r="F366" s="531"/>
      <c r="G366" s="531"/>
      <c r="H366" s="531"/>
      <c r="I366" s="531"/>
      <c r="J366" s="531"/>
      <c r="K366" s="531"/>
      <c r="L366" s="531"/>
      <c r="M366" s="531"/>
      <c r="N366" s="547" t="n">
        <f aca="false">IF('(1)예금승인내역'!H992="","",'(1)예금승인내역'!H992)</f>
        <v>45966</v>
      </c>
      <c r="O366" s="547" t="n">
        <f aca="false">IF('(1)예금승인내역'!G992="","",'(1)예금승인내역'!G992)</f>
        <v>45931</v>
      </c>
      <c r="P366" s="531" t="str">
        <f aca="false">IF('(1)예금승인내역'!F992="","",'(1)예금승인내역'!F992)</f>
        <v>에스엠상선㈜</v>
      </c>
      <c r="Q366" s="531" t="str">
        <f aca="false">IF('(1)예금승인내역'!C992="","",'(1)예금승인내역'!C992)</f>
        <v>강남영업부</v>
      </c>
      <c r="R366" s="531" t="str">
        <f aca="false">IF('(1)예금승인내역'!K992="","",'(1)예금승인내역'!K992)</f>
        <v>정기예금</v>
      </c>
      <c r="S366" s="548" t="n">
        <f aca="false">IF('(1)예금승인내역'!L992="","",'(1)예금승인내역'!L992)</f>
        <v>10</v>
      </c>
      <c r="T366" s="549" t="n">
        <f aca="false">IF('(1)예금승인내역'!AG992="","",'(1)예금승인내역'!AG992)</f>
        <v>0.0395</v>
      </c>
      <c r="U366" s="549" t="n">
        <f aca="false">IF('(1)예금승인내역'!X992="","",'(1)예금승인내역'!X992)</f>
        <v>0.002181</v>
      </c>
      <c r="V366" s="531" t="n">
        <f aca="false">IF(ISNUMBER(N366),N366-$B$2,"")</f>
        <v>-223</v>
      </c>
      <c r="W366" s="531" t="str">
        <f aca="false">IF(AND(ISNUMBER(N366),N366&gt;=$B$2,N366&lt;=$B$2+10),N366*100000+ROW(),"")</f>
        <v/>
      </c>
      <c r="X366" s="531"/>
      <c r="Y366" s="531"/>
      <c r="Z366" s="531"/>
      <c r="AA366" s="531"/>
      <c r="AB366" s="531"/>
      <c r="AC366" s="531"/>
      <c r="AD366" s="531"/>
      <c r="AE366" s="531"/>
      <c r="AF366" s="531"/>
      <c r="AG366" s="531"/>
      <c r="AH366" s="531"/>
      <c r="AI366" s="531"/>
      <c r="AJ366" s="531"/>
      <c r="AK366" s="531"/>
      <c r="AL366" s="531"/>
      <c r="AM366" s="531"/>
      <c r="AN366" s="531"/>
    </row>
    <row r="367" customFormat="false" ht="16.5" hidden="false" customHeight="true" outlineLevel="0" collapsed="false">
      <c r="A367" s="531"/>
      <c r="B367" s="531"/>
      <c r="C367" s="531"/>
      <c r="D367" s="531"/>
      <c r="E367" s="531"/>
      <c r="F367" s="531"/>
      <c r="G367" s="531"/>
      <c r="H367" s="531"/>
      <c r="I367" s="531"/>
      <c r="J367" s="531"/>
      <c r="K367" s="531"/>
      <c r="L367" s="531"/>
      <c r="M367" s="531"/>
      <c r="N367" s="547" t="n">
        <f aca="false">IF('(1)예금승인내역'!H993="","",'(1)예금승인내역'!H993)</f>
        <v>45947</v>
      </c>
      <c r="O367" s="547" t="n">
        <f aca="false">IF('(1)예금승인내역'!G993="","",'(1)예금승인내역'!G993)</f>
        <v>45940</v>
      </c>
      <c r="P367" s="531" t="str">
        <f aca="false">IF('(1)예금승인내역'!F993="","",'(1)예금승인내역'!F993)</f>
        <v>㈜일지테크</v>
      </c>
      <c r="Q367" s="531" t="str">
        <f aca="false">IF('(1)예금승인내역'!C993="","",'(1)예금승인내역'!C993)</f>
        <v>경산공단영업부</v>
      </c>
      <c r="R367" s="531" t="str">
        <f aca="false">IF('(1)예금승인내역'!K993="","",'(1)예금승인내역'!K993)</f>
        <v>정기예금</v>
      </c>
      <c r="S367" s="548" t="n">
        <f aca="false">IF('(1)예금승인내역'!L993="","",'(1)예금승인내역'!L993)</f>
        <v>1.5</v>
      </c>
      <c r="T367" s="549" t="n">
        <f aca="false">IF('(1)예금승인내역'!AG993="","",'(1)예금승인내역'!AG993)</f>
        <v>0.035</v>
      </c>
      <c r="U367" s="549" t="n">
        <f aca="false">IF('(1)예금승인내역'!X993="","",'(1)예금승인내역'!X993)</f>
        <v>0.003739</v>
      </c>
      <c r="V367" s="531" t="n">
        <f aca="false">IF(ISNUMBER(N367),N367-$B$2,"")</f>
        <v>-242</v>
      </c>
      <c r="W367" s="531" t="str">
        <f aca="false">IF(AND(ISNUMBER(N367),N367&gt;=$B$2,N367&lt;=$B$2+10),N367*100000+ROW(),"")</f>
        <v/>
      </c>
      <c r="X367" s="531"/>
      <c r="Y367" s="531"/>
      <c r="Z367" s="531"/>
      <c r="AA367" s="531"/>
      <c r="AB367" s="531"/>
      <c r="AC367" s="531"/>
      <c r="AD367" s="531"/>
      <c r="AE367" s="531"/>
      <c r="AF367" s="531"/>
      <c r="AG367" s="531"/>
      <c r="AH367" s="531"/>
      <c r="AI367" s="531"/>
      <c r="AJ367" s="531"/>
      <c r="AK367" s="531"/>
      <c r="AL367" s="531"/>
      <c r="AM367" s="531"/>
      <c r="AN367" s="531"/>
    </row>
    <row r="368" customFormat="false" ht="16.5" hidden="false" customHeight="true" outlineLevel="0" collapsed="false">
      <c r="A368" s="531"/>
      <c r="B368" s="531"/>
      <c r="C368" s="531"/>
      <c r="D368" s="531"/>
      <c r="E368" s="531"/>
      <c r="F368" s="531"/>
      <c r="G368" s="531"/>
      <c r="H368" s="531"/>
      <c r="I368" s="531"/>
      <c r="J368" s="531"/>
      <c r="K368" s="531"/>
      <c r="L368" s="531"/>
      <c r="M368" s="531"/>
      <c r="N368" s="547" t="n">
        <f aca="false">IF('(1)예금승인내역'!H994="","",'(1)예금승인내역'!H994)</f>
        <v>45947</v>
      </c>
      <c r="O368" s="547" t="n">
        <f aca="false">IF('(1)예금승인내역'!G994="","",'(1)예금승인내역'!G994)</f>
        <v>45940</v>
      </c>
      <c r="P368" s="531" t="str">
        <f aca="false">IF('(1)예금승인내역'!F994="","",'(1)예금승인내역'!F994)</f>
        <v>㈜일지테크</v>
      </c>
      <c r="Q368" s="531" t="str">
        <f aca="false">IF('(1)예금승인내역'!C994="","",'(1)예금승인내역'!C994)</f>
        <v>경산공단영업부</v>
      </c>
      <c r="R368" s="531" t="str">
        <f aca="false">IF('(1)예금승인내역'!K994="","",'(1)예금승인내역'!K994)</f>
        <v>정기예금</v>
      </c>
      <c r="S368" s="548" t="n">
        <f aca="false">IF('(1)예금승인내역'!L994="","",'(1)예금승인내역'!L994)</f>
        <v>2</v>
      </c>
      <c r="T368" s="549" t="n">
        <f aca="false">IF('(1)예금승인내역'!AG994="","",'(1)예금승인내역'!AG994)</f>
        <v>0.035</v>
      </c>
      <c r="U368" s="549" t="n">
        <f aca="false">IF('(1)예금승인내역'!X994="","",'(1)예금승인내역'!X994)</f>
        <v>0.003739</v>
      </c>
      <c r="V368" s="531" t="n">
        <f aca="false">IF(ISNUMBER(N368),N368-$B$2,"")</f>
        <v>-242</v>
      </c>
      <c r="W368" s="531" t="str">
        <f aca="false">IF(AND(ISNUMBER(N368),N368&gt;=$B$2,N368&lt;=$B$2+10),N368*100000+ROW(),"")</f>
        <v/>
      </c>
      <c r="X368" s="531"/>
      <c r="Y368" s="531"/>
      <c r="Z368" s="531"/>
      <c r="AA368" s="531"/>
      <c r="AB368" s="531"/>
      <c r="AC368" s="531"/>
      <c r="AD368" s="531"/>
      <c r="AE368" s="531"/>
      <c r="AF368" s="531"/>
      <c r="AG368" s="531"/>
      <c r="AH368" s="531"/>
      <c r="AI368" s="531"/>
      <c r="AJ368" s="531"/>
      <c r="AK368" s="531"/>
      <c r="AL368" s="531"/>
      <c r="AM368" s="531"/>
      <c r="AN368" s="531"/>
    </row>
    <row r="369" customFormat="false" ht="16.5" hidden="false" customHeight="true" outlineLevel="0" collapsed="false">
      <c r="A369" s="531"/>
      <c r="B369" s="531"/>
      <c r="C369" s="531"/>
      <c r="D369" s="531"/>
      <c r="E369" s="531"/>
      <c r="F369" s="531"/>
      <c r="G369" s="531"/>
      <c r="H369" s="531"/>
      <c r="I369" s="531"/>
      <c r="J369" s="531"/>
      <c r="K369" s="531"/>
      <c r="L369" s="531"/>
      <c r="M369" s="531"/>
      <c r="N369" s="547" t="n">
        <f aca="false">IF('(1)예금승인내역'!H995="","",'(1)예금승인내역'!H995)</f>
        <v>45947</v>
      </c>
      <c r="O369" s="547" t="n">
        <f aca="false">IF('(1)예금승인내역'!G995="","",'(1)예금승인내역'!G995)</f>
        <v>45940</v>
      </c>
      <c r="P369" s="531" t="str">
        <f aca="false">IF('(1)예금승인내역'!F995="","",'(1)예금승인내역'!F995)</f>
        <v>㈜일지테크</v>
      </c>
      <c r="Q369" s="531" t="str">
        <f aca="false">IF('(1)예금승인내역'!C995="","",'(1)예금승인내역'!C995)</f>
        <v>경산공단영업부</v>
      </c>
      <c r="R369" s="531" t="str">
        <f aca="false">IF('(1)예금승인내역'!K995="","",'(1)예금승인내역'!K995)</f>
        <v>정기예금</v>
      </c>
      <c r="S369" s="548" t="n">
        <f aca="false">IF('(1)예금승인내역'!L995="","",'(1)예금승인내역'!L995)</f>
        <v>2</v>
      </c>
      <c r="T369" s="549" t="n">
        <f aca="false">IF('(1)예금승인내역'!AG995="","",'(1)예금승인내역'!AG995)</f>
        <v>0.035</v>
      </c>
      <c r="U369" s="549" t="n">
        <f aca="false">IF('(1)예금승인내역'!X995="","",'(1)예금승인내역'!X995)</f>
        <v>0.003739</v>
      </c>
      <c r="V369" s="531" t="n">
        <f aca="false">IF(ISNUMBER(N369),N369-$B$2,"")</f>
        <v>-242</v>
      </c>
      <c r="W369" s="531" t="str">
        <f aca="false">IF(AND(ISNUMBER(N369),N369&gt;=$B$2,N369&lt;=$B$2+10),N369*100000+ROW(),"")</f>
        <v/>
      </c>
      <c r="X369" s="531"/>
      <c r="Y369" s="531"/>
      <c r="Z369" s="531"/>
      <c r="AA369" s="531"/>
      <c r="AB369" s="531"/>
      <c r="AC369" s="531"/>
      <c r="AD369" s="531"/>
      <c r="AE369" s="531"/>
      <c r="AF369" s="531"/>
      <c r="AG369" s="531"/>
      <c r="AH369" s="531"/>
      <c r="AI369" s="531"/>
      <c r="AJ369" s="531"/>
      <c r="AK369" s="531"/>
      <c r="AL369" s="531"/>
      <c r="AM369" s="531"/>
      <c r="AN369" s="531"/>
    </row>
    <row r="370" customFormat="false" ht="16.5" hidden="false" customHeight="true" outlineLevel="0" collapsed="false">
      <c r="A370" s="531"/>
      <c r="B370" s="531"/>
      <c r="C370" s="531"/>
      <c r="D370" s="531"/>
      <c r="E370" s="531"/>
      <c r="F370" s="531"/>
      <c r="G370" s="531"/>
      <c r="H370" s="531"/>
      <c r="I370" s="531"/>
      <c r="J370" s="531"/>
      <c r="K370" s="531"/>
      <c r="L370" s="531"/>
      <c r="M370" s="531"/>
      <c r="N370" s="547" t="n">
        <f aca="false">IF('(1)예금승인내역'!H996="","",'(1)예금승인내역'!H996)</f>
        <v>45947</v>
      </c>
      <c r="O370" s="547" t="n">
        <f aca="false">IF('(1)예금승인내역'!G996="","",'(1)예금승인내역'!G996)</f>
        <v>45940</v>
      </c>
      <c r="P370" s="531" t="str">
        <f aca="false">IF('(1)예금승인내역'!F996="","",'(1)예금승인내역'!F996)</f>
        <v>㈜일지테크</v>
      </c>
      <c r="Q370" s="531" t="str">
        <f aca="false">IF('(1)예금승인내역'!C996="","",'(1)예금승인내역'!C996)</f>
        <v>경산공단영업부</v>
      </c>
      <c r="R370" s="531" t="str">
        <f aca="false">IF('(1)예금승인내역'!K996="","",'(1)예금승인내역'!K996)</f>
        <v>정기예금</v>
      </c>
      <c r="S370" s="548" t="n">
        <f aca="false">IF('(1)예금승인내역'!L996="","",'(1)예금승인내역'!L996)</f>
        <v>2</v>
      </c>
      <c r="T370" s="549" t="n">
        <f aca="false">IF('(1)예금승인내역'!AG996="","",'(1)예금승인내역'!AG996)</f>
        <v>0.035</v>
      </c>
      <c r="U370" s="549" t="n">
        <f aca="false">IF('(1)예금승인내역'!X996="","",'(1)예금승인내역'!X996)</f>
        <v>0.003739</v>
      </c>
      <c r="V370" s="531" t="n">
        <f aca="false">IF(ISNUMBER(N370),N370-$B$2,"")</f>
        <v>-242</v>
      </c>
      <c r="W370" s="531" t="str">
        <f aca="false">IF(AND(ISNUMBER(N370),N370&gt;=$B$2,N370&lt;=$B$2+10),N370*100000+ROW(),"")</f>
        <v/>
      </c>
      <c r="X370" s="531"/>
      <c r="Y370" s="531"/>
      <c r="Z370" s="531"/>
      <c r="AA370" s="531"/>
      <c r="AB370" s="531"/>
      <c r="AC370" s="531"/>
      <c r="AD370" s="531"/>
      <c r="AE370" s="531"/>
      <c r="AF370" s="531"/>
      <c r="AG370" s="531"/>
      <c r="AH370" s="531"/>
      <c r="AI370" s="531"/>
      <c r="AJ370" s="531"/>
      <c r="AK370" s="531"/>
      <c r="AL370" s="531"/>
      <c r="AM370" s="531"/>
      <c r="AN370" s="531"/>
    </row>
    <row r="371" customFormat="false" ht="16.5" hidden="false" customHeight="true" outlineLevel="0" collapsed="false">
      <c r="A371" s="531"/>
      <c r="B371" s="531"/>
      <c r="C371" s="531"/>
      <c r="D371" s="531"/>
      <c r="E371" s="531"/>
      <c r="F371" s="531"/>
      <c r="G371" s="531"/>
      <c r="H371" s="531"/>
      <c r="I371" s="531"/>
      <c r="J371" s="531"/>
      <c r="K371" s="531"/>
      <c r="L371" s="531"/>
      <c r="M371" s="531"/>
      <c r="N371" s="547" t="n">
        <f aca="false">IF('(1)예금승인내역'!H997="","",'(1)예금승인내역'!H997)</f>
        <v>45947</v>
      </c>
      <c r="O371" s="547" t="n">
        <f aca="false">IF('(1)예금승인내역'!G997="","",'(1)예금승인내역'!G997)</f>
        <v>45940</v>
      </c>
      <c r="P371" s="531" t="str">
        <f aca="false">IF('(1)예금승인내역'!F997="","",'(1)예금승인내역'!F997)</f>
        <v>㈜일지테크</v>
      </c>
      <c r="Q371" s="531" t="str">
        <f aca="false">IF('(1)예금승인내역'!C997="","",'(1)예금승인내역'!C997)</f>
        <v>경산공단영업부</v>
      </c>
      <c r="R371" s="531" t="str">
        <f aca="false">IF('(1)예금승인내역'!K997="","",'(1)예금승인내역'!K997)</f>
        <v>정기예금</v>
      </c>
      <c r="S371" s="548" t="n">
        <f aca="false">IF('(1)예금승인내역'!L997="","",'(1)예금승인내역'!L997)</f>
        <v>2</v>
      </c>
      <c r="T371" s="549" t="n">
        <f aca="false">IF('(1)예금승인내역'!AG997="","",'(1)예금승인내역'!AG997)</f>
        <v>0.035</v>
      </c>
      <c r="U371" s="549" t="n">
        <f aca="false">IF('(1)예금승인내역'!X997="","",'(1)예금승인내역'!X997)</f>
        <v>0.003739</v>
      </c>
      <c r="V371" s="531" t="n">
        <f aca="false">IF(ISNUMBER(N371),N371-$B$2,"")</f>
        <v>-242</v>
      </c>
      <c r="W371" s="531" t="str">
        <f aca="false">IF(AND(ISNUMBER(N371),N371&gt;=$B$2,N371&lt;=$B$2+10),N371*100000+ROW(),"")</f>
        <v/>
      </c>
      <c r="X371" s="531"/>
      <c r="Y371" s="531"/>
      <c r="Z371" s="531"/>
      <c r="AA371" s="531"/>
      <c r="AB371" s="531"/>
      <c r="AC371" s="531"/>
      <c r="AD371" s="531"/>
      <c r="AE371" s="531"/>
      <c r="AF371" s="531"/>
      <c r="AG371" s="531"/>
      <c r="AH371" s="531"/>
      <c r="AI371" s="531"/>
      <c r="AJ371" s="531"/>
      <c r="AK371" s="531"/>
      <c r="AL371" s="531"/>
      <c r="AM371" s="531"/>
      <c r="AN371" s="531"/>
    </row>
    <row r="372" customFormat="false" ht="16.5" hidden="false" customHeight="true" outlineLevel="0" collapsed="false">
      <c r="A372" s="531"/>
      <c r="B372" s="531"/>
      <c r="C372" s="531"/>
      <c r="D372" s="531"/>
      <c r="E372" s="531"/>
      <c r="F372" s="531"/>
      <c r="G372" s="531"/>
      <c r="H372" s="531"/>
      <c r="I372" s="531"/>
      <c r="J372" s="531"/>
      <c r="K372" s="531"/>
      <c r="L372" s="531"/>
      <c r="M372" s="531"/>
      <c r="N372" s="547" t="n">
        <f aca="false">IF('(1)예금승인내역'!H998="","",'(1)예금승인내역'!H998)</f>
        <v>45971</v>
      </c>
      <c r="O372" s="547" t="n">
        <f aca="false">IF('(1)예금승인내역'!G998="","",'(1)예금승인내역'!G998)</f>
        <v>45940</v>
      </c>
      <c r="P372" s="531" t="str">
        <f aca="false">IF('(1)예금승인내역'!F998="","",'(1)예금승인내역'!F998)</f>
        <v>㈜현대그린푸드</v>
      </c>
      <c r="Q372" s="531" t="str">
        <f aca="false">IF('(1)예금승인내역'!C998="","",'(1)예금승인내역'!C998)</f>
        <v>성남영업부</v>
      </c>
      <c r="R372" s="531" t="str">
        <f aca="false">IF('(1)예금승인내역'!K998="","",'(1)예금승인내역'!K998)</f>
        <v>MMDA</v>
      </c>
      <c r="S372" s="548" t="n">
        <f aca="false">IF('(1)예금승인내역'!L998="","",'(1)예금승인내역'!L998)</f>
        <v>2</v>
      </c>
      <c r="T372" s="549" t="n">
        <f aca="false">IF('(1)예금승인내역'!AG998="","",'(1)예금승인내역'!AG998)</f>
        <v>0.035</v>
      </c>
      <c r="U372" s="549" t="n">
        <f aca="false">IF('(1)예금승인내역'!X998="","",'(1)예금승인내역'!X998)</f>
        <v>0.004297</v>
      </c>
      <c r="V372" s="531" t="n">
        <f aca="false">IF(ISNUMBER(N372),N372-$B$2,"")</f>
        <v>-218</v>
      </c>
      <c r="W372" s="531" t="str">
        <f aca="false">IF(AND(ISNUMBER(N372),N372&gt;=$B$2,N372&lt;=$B$2+10),N372*100000+ROW(),"")</f>
        <v/>
      </c>
      <c r="X372" s="531"/>
      <c r="Y372" s="531"/>
      <c r="Z372" s="531"/>
      <c r="AA372" s="531"/>
      <c r="AB372" s="531"/>
      <c r="AC372" s="531"/>
      <c r="AD372" s="531"/>
      <c r="AE372" s="531"/>
      <c r="AF372" s="531"/>
      <c r="AG372" s="531"/>
      <c r="AH372" s="531"/>
      <c r="AI372" s="531"/>
      <c r="AJ372" s="531"/>
      <c r="AK372" s="531"/>
      <c r="AL372" s="531"/>
      <c r="AM372" s="531"/>
      <c r="AN372" s="531"/>
    </row>
    <row r="373" customFormat="false" ht="16.5" hidden="false" customHeight="true" outlineLevel="0" collapsed="false">
      <c r="A373" s="531"/>
      <c r="B373" s="531"/>
      <c r="C373" s="531"/>
      <c r="D373" s="531"/>
      <c r="E373" s="531"/>
      <c r="F373" s="531"/>
      <c r="G373" s="531"/>
      <c r="H373" s="531"/>
      <c r="I373" s="531"/>
      <c r="J373" s="531"/>
      <c r="K373" s="531"/>
      <c r="L373" s="531"/>
      <c r="M373" s="531"/>
      <c r="N373" s="547" t="n">
        <f aca="false">IF('(1)예금승인내역'!H999="","",'(1)예금승인내역'!H999)</f>
        <v>45971</v>
      </c>
      <c r="O373" s="547" t="n">
        <f aca="false">IF('(1)예금승인내역'!G999="","",'(1)예금승인내역'!G999)</f>
        <v>45940</v>
      </c>
      <c r="P373" s="531" t="str">
        <f aca="false">IF('(1)예금승인내역'!F999="","",'(1)예금승인내역'!F999)</f>
        <v>㈜이수스페셜티케미컬</v>
      </c>
      <c r="Q373" s="531" t="str">
        <f aca="false">IF('(1)예금승인내역'!C999="","",'(1)예금승인내역'!C999)</f>
        <v>성남영업부</v>
      </c>
      <c r="R373" s="531" t="str">
        <f aca="false">IF('(1)예금승인내역'!K999="","",'(1)예금승인내역'!K999)</f>
        <v>MMDA</v>
      </c>
      <c r="S373" s="548" t="n">
        <f aca="false">IF('(1)예금승인내역'!L999="","",'(1)예금승인내역'!L999)</f>
        <v>3.17</v>
      </c>
      <c r="T373" s="549" t="n">
        <f aca="false">IF('(1)예금승인내역'!AG999="","",'(1)예금승인내역'!AG999)</f>
        <v>0.035</v>
      </c>
      <c r="U373" s="549" t="n">
        <f aca="false">IF('(1)예금승인내역'!X999="","",'(1)예금승인내역'!X999)</f>
        <v>0.004297</v>
      </c>
      <c r="V373" s="531" t="n">
        <f aca="false">IF(ISNUMBER(N373),N373-$B$2,"")</f>
        <v>-218</v>
      </c>
      <c r="W373" s="531" t="str">
        <f aca="false">IF(AND(ISNUMBER(N373),N373&gt;=$B$2,N373&lt;=$B$2+10),N373*100000+ROW(),"")</f>
        <v/>
      </c>
      <c r="X373" s="531"/>
      <c r="Y373" s="531"/>
      <c r="Z373" s="531"/>
      <c r="AA373" s="531"/>
      <c r="AB373" s="531"/>
      <c r="AC373" s="531"/>
      <c r="AD373" s="531"/>
      <c r="AE373" s="531"/>
      <c r="AF373" s="531"/>
      <c r="AG373" s="531"/>
      <c r="AH373" s="531"/>
      <c r="AI373" s="531"/>
      <c r="AJ373" s="531"/>
      <c r="AK373" s="531"/>
      <c r="AL373" s="531"/>
      <c r="AM373" s="531"/>
      <c r="AN373" s="531"/>
    </row>
    <row r="374" customFormat="false" ht="16.5" hidden="false" customHeight="true" outlineLevel="0" collapsed="false">
      <c r="A374" s="531"/>
      <c r="B374" s="531"/>
      <c r="C374" s="531"/>
      <c r="D374" s="531"/>
      <c r="E374" s="531"/>
      <c r="F374" s="531"/>
      <c r="G374" s="531"/>
      <c r="H374" s="531"/>
      <c r="I374" s="531"/>
      <c r="J374" s="531"/>
      <c r="K374" s="531"/>
      <c r="L374" s="531"/>
      <c r="M374" s="531"/>
      <c r="N374" s="547" t="n">
        <f aca="false">IF('(1)예금승인내역'!H1000="","",'(1)예금승인내역'!H1000)</f>
        <v>45974</v>
      </c>
      <c r="O374" s="547" t="n">
        <f aca="false">IF('(1)예금승인내역'!G1000="","",'(1)예금승인내역'!G1000)</f>
        <v>45943</v>
      </c>
      <c r="P374" s="531" t="str">
        <f aca="false">IF('(1)예금승인내역'!F1000="","",'(1)예금승인내역'!F1000)</f>
        <v>한국비철㈜</v>
      </c>
      <c r="Q374" s="531" t="str">
        <f aca="false">IF('(1)예금승인내역'!C1000="","",'(1)예금승인내역'!C1000)</f>
        <v>달성공단영업부</v>
      </c>
      <c r="R374" s="531" t="str">
        <f aca="false">IF('(1)예금승인내역'!K1000="","",'(1)예금승인내역'!K1000)</f>
        <v>정기예금</v>
      </c>
      <c r="S374" s="548" t="n">
        <f aca="false">IF('(1)예금승인내역'!L1000="","",'(1)예금승인내역'!L1000)</f>
        <v>11.6</v>
      </c>
      <c r="T374" s="549" t="n">
        <f aca="false">IF('(1)예금승인내역'!AG1000="","",'(1)예금승인내역'!AG1000)</f>
        <v>0.038</v>
      </c>
      <c r="U374" s="549" t="n">
        <f aca="false">IF('(1)예금승인내역'!X1000="","",'(1)예금승인내역'!X1000)</f>
        <v>0.002833</v>
      </c>
      <c r="V374" s="531" t="n">
        <f aca="false">IF(ISNUMBER(N374),N374-$B$2,"")</f>
        <v>-215</v>
      </c>
      <c r="W374" s="531" t="str">
        <f aca="false">IF(AND(ISNUMBER(N374),N374&gt;=$B$2,N374&lt;=$B$2+10),N374*100000+ROW(),"")</f>
        <v/>
      </c>
      <c r="X374" s="531"/>
      <c r="Y374" s="531"/>
      <c r="Z374" s="531"/>
      <c r="AA374" s="531"/>
      <c r="AB374" s="531"/>
      <c r="AC374" s="531"/>
      <c r="AD374" s="531"/>
      <c r="AE374" s="531"/>
      <c r="AF374" s="531"/>
      <c r="AG374" s="531"/>
      <c r="AH374" s="531"/>
      <c r="AI374" s="531"/>
      <c r="AJ374" s="531"/>
      <c r="AK374" s="531"/>
      <c r="AL374" s="531"/>
      <c r="AM374" s="531"/>
      <c r="AN374" s="531"/>
    </row>
    <row r="375" customFormat="false" ht="16.5" hidden="false" customHeight="true" outlineLevel="0" collapsed="false">
      <c r="A375" s="531"/>
      <c r="B375" s="531"/>
      <c r="C375" s="531"/>
      <c r="D375" s="531"/>
      <c r="E375" s="531"/>
      <c r="F375" s="531"/>
      <c r="G375" s="531"/>
      <c r="H375" s="531"/>
      <c r="I375" s="531"/>
      <c r="J375" s="531"/>
      <c r="K375" s="531"/>
      <c r="L375" s="531"/>
      <c r="M375" s="531"/>
      <c r="N375" s="547" t="n">
        <f aca="false">IF('(1)예금승인내역'!H1001="","",'(1)예금승인내역'!H1001)</f>
        <v>45974</v>
      </c>
      <c r="O375" s="547" t="n">
        <f aca="false">IF('(1)예금승인내역'!G1001="","",'(1)예금승인내역'!G1001)</f>
        <v>45943</v>
      </c>
      <c r="P375" s="531" t="str">
        <f aca="false">IF('(1)예금승인내역'!F1001="","",'(1)예금승인내역'!F1001)</f>
        <v>한국비철㈜ (해지)</v>
      </c>
      <c r="Q375" s="531" t="str">
        <f aca="false">IF('(1)예금승인내역'!C1001="","",'(1)예금승인내역'!C1001)</f>
        <v>달성공단영업부</v>
      </c>
      <c r="R375" s="531" t="str">
        <f aca="false">IF('(1)예금승인내역'!K1001="","",'(1)예금승인내역'!K1001)</f>
        <v>정기예금</v>
      </c>
      <c r="S375" s="548" t="n">
        <f aca="false">IF('(1)예금승인내역'!L1001="","",'(1)예금승인내역'!L1001)</f>
        <v>1.6</v>
      </c>
      <c r="T375" s="549" t="n">
        <f aca="false">IF('(1)예금승인내역'!AG1001="","",'(1)예금승인내역'!AG1001)</f>
        <v>0.038</v>
      </c>
      <c r="U375" s="549" t="n">
        <f aca="false">IF('(1)예금승인내역'!X1001="","",'(1)예금승인내역'!X1001)</f>
        <v>0.002833</v>
      </c>
      <c r="V375" s="531" t="n">
        <f aca="false">IF(ISNUMBER(N375),N375-$B$2,"")</f>
        <v>-215</v>
      </c>
      <c r="W375" s="531" t="str">
        <f aca="false">IF(AND(ISNUMBER(N375),N375&gt;=$B$2,N375&lt;=$B$2+10),N375*100000+ROW(),"")</f>
        <v/>
      </c>
      <c r="X375" s="531"/>
      <c r="Y375" s="531"/>
      <c r="Z375" s="531"/>
      <c r="AA375" s="531"/>
      <c r="AB375" s="531"/>
      <c r="AC375" s="531"/>
      <c r="AD375" s="531"/>
      <c r="AE375" s="531"/>
      <c r="AF375" s="531"/>
      <c r="AG375" s="531"/>
      <c r="AH375" s="531"/>
      <c r="AI375" s="531"/>
      <c r="AJ375" s="531"/>
      <c r="AK375" s="531"/>
      <c r="AL375" s="531"/>
      <c r="AM375" s="531"/>
      <c r="AN375" s="531"/>
    </row>
    <row r="376" customFormat="false" ht="16.5" hidden="false" customHeight="true" outlineLevel="0" collapsed="false">
      <c r="A376" s="531"/>
      <c r="B376" s="531"/>
      <c r="C376" s="531"/>
      <c r="D376" s="531"/>
      <c r="E376" s="531"/>
      <c r="F376" s="531"/>
      <c r="G376" s="531"/>
      <c r="H376" s="531"/>
      <c r="I376" s="531"/>
      <c r="J376" s="531"/>
      <c r="K376" s="531"/>
      <c r="L376" s="531"/>
      <c r="M376" s="531"/>
      <c r="N376" s="547" t="n">
        <f aca="false">IF('(1)예금승인내역'!H1002="","",'(1)예금승인내역'!H1002)</f>
        <v>45974</v>
      </c>
      <c r="O376" s="547" t="n">
        <f aca="false">IF('(1)예금승인내역'!G1002="","",'(1)예금승인내역'!G1002)</f>
        <v>45943</v>
      </c>
      <c r="P376" s="531" t="str">
        <f aca="false">IF('(1)예금승인내역'!F1002="","",'(1)예금승인내역'!F1002)</f>
        <v>한국비철㈜</v>
      </c>
      <c r="Q376" s="531" t="str">
        <f aca="false">IF('(1)예금승인내역'!C1002="","",'(1)예금승인내역'!C1002)</f>
        <v>달성공단영업부</v>
      </c>
      <c r="R376" s="531" t="str">
        <f aca="false">IF('(1)예금승인내역'!K1002="","",'(1)예금승인내역'!K1002)</f>
        <v>MMDA</v>
      </c>
      <c r="S376" s="548" t="n">
        <f aca="false">IF('(1)예금승인내역'!L1002="","",'(1)예금승인내역'!L1002)</f>
        <v>1.23</v>
      </c>
      <c r="T376" s="549" t="n">
        <f aca="false">IF('(1)예금승인내역'!AG1002="","",'(1)예금승인내역'!AG1002)</f>
        <v>0.034</v>
      </c>
      <c r="U376" s="549" t="n">
        <f aca="false">IF('(1)예금승인내역'!X1002="","",'(1)예금승인내역'!X1002)</f>
        <v>0.004722</v>
      </c>
      <c r="V376" s="531" t="n">
        <f aca="false">IF(ISNUMBER(N376),N376-$B$2,"")</f>
        <v>-215</v>
      </c>
      <c r="W376" s="531" t="str">
        <f aca="false">IF(AND(ISNUMBER(N376),N376&gt;=$B$2,N376&lt;=$B$2+10),N376*100000+ROW(),"")</f>
        <v/>
      </c>
      <c r="X376" s="531"/>
      <c r="Y376" s="531"/>
      <c r="Z376" s="531"/>
      <c r="AA376" s="531"/>
      <c r="AB376" s="531"/>
      <c r="AC376" s="531"/>
      <c r="AD376" s="531"/>
      <c r="AE376" s="531"/>
      <c r="AF376" s="531"/>
      <c r="AG376" s="531"/>
      <c r="AH376" s="531"/>
      <c r="AI376" s="531"/>
      <c r="AJ376" s="531"/>
      <c r="AK376" s="531"/>
      <c r="AL376" s="531"/>
      <c r="AM376" s="531"/>
      <c r="AN376" s="531"/>
    </row>
    <row r="377" customFormat="false" ht="16.5" hidden="false" customHeight="true" outlineLevel="0" collapsed="false">
      <c r="A377" s="531"/>
      <c r="B377" s="531"/>
      <c r="C377" s="531"/>
      <c r="D377" s="531"/>
      <c r="E377" s="531"/>
      <c r="F377" s="531"/>
      <c r="G377" s="531"/>
      <c r="H377" s="531"/>
      <c r="I377" s="531"/>
      <c r="J377" s="531"/>
      <c r="K377" s="531"/>
      <c r="L377" s="531"/>
      <c r="M377" s="531"/>
      <c r="N377" s="547" t="n">
        <f aca="false">IF('(1)예금승인내역'!H1003="","",'(1)예금승인내역'!H1003)</f>
        <v>45974</v>
      </c>
      <c r="O377" s="547" t="n">
        <f aca="false">IF('(1)예금승인내역'!G1003="","",'(1)예금승인내역'!G1003)</f>
        <v>45943</v>
      </c>
      <c r="P377" s="531" t="str">
        <f aca="false">IF('(1)예금승인내역'!F1003="","",'(1)예금승인내역'!F1003)</f>
        <v>주식회사 한국비앤씨</v>
      </c>
      <c r="Q377" s="531" t="str">
        <f aca="false">IF('(1)예금승인내역'!C1003="","",'(1)예금승인내역'!C1003)</f>
        <v>유통단지영업부</v>
      </c>
      <c r="R377" s="531" t="str">
        <f aca="false">IF('(1)예금승인내역'!K1003="","",'(1)예금승인내역'!K1003)</f>
        <v>MMDA</v>
      </c>
      <c r="S377" s="548" t="n">
        <f aca="false">IF('(1)예금승인내역'!L1003="","",'(1)예금승인내역'!L1003)</f>
        <v>6.58</v>
      </c>
      <c r="T377" s="549" t="n">
        <f aca="false">IF('(1)예금승인내역'!AG1003="","",'(1)예금승인내역'!AG1003)</f>
        <v>0.035</v>
      </c>
      <c r="U377" s="549" t="n">
        <f aca="false">IF('(1)예금승인내역'!X1003="","",'(1)예금승인내역'!X1003)</f>
        <v>0.003722</v>
      </c>
      <c r="V377" s="531" t="n">
        <f aca="false">IF(ISNUMBER(N377),N377-$B$2,"")</f>
        <v>-215</v>
      </c>
      <c r="W377" s="531" t="str">
        <f aca="false">IF(AND(ISNUMBER(N377),N377&gt;=$B$2,N377&lt;=$B$2+10),N377*100000+ROW(),"")</f>
        <v/>
      </c>
      <c r="X377" s="531"/>
      <c r="Y377" s="531"/>
      <c r="Z377" s="531"/>
      <c r="AA377" s="531"/>
      <c r="AB377" s="531"/>
      <c r="AC377" s="531"/>
      <c r="AD377" s="531"/>
      <c r="AE377" s="531"/>
      <c r="AF377" s="531"/>
      <c r="AG377" s="531"/>
      <c r="AH377" s="531"/>
      <c r="AI377" s="531"/>
      <c r="AJ377" s="531"/>
      <c r="AK377" s="531"/>
      <c r="AL377" s="531"/>
      <c r="AM377" s="531"/>
      <c r="AN377" s="531"/>
    </row>
    <row r="378" customFormat="false" ht="16.5" hidden="false" customHeight="true" outlineLevel="0" collapsed="false">
      <c r="A378" s="531"/>
      <c r="B378" s="531"/>
      <c r="C378" s="531"/>
      <c r="D378" s="531"/>
      <c r="E378" s="531"/>
      <c r="F378" s="531"/>
      <c r="G378" s="531"/>
      <c r="H378" s="531"/>
      <c r="I378" s="531"/>
      <c r="J378" s="531"/>
      <c r="K378" s="531"/>
      <c r="L378" s="531"/>
      <c r="M378" s="531"/>
      <c r="N378" s="547" t="n">
        <f aca="false">IF('(1)예금승인내역'!H1004="","",'(1)예금승인내역'!H1004)</f>
        <v>45978</v>
      </c>
      <c r="O378" s="547" t="n">
        <f aca="false">IF('(1)예금승인내역'!G1004="","",'(1)예금승인내역'!G1004)</f>
        <v>45945</v>
      </c>
      <c r="P378" s="531" t="str">
        <f aca="false">IF('(1)예금승인내역'!F1004="","",'(1)예금승인내역'!F1004)</f>
        <v>대원지에스아이</v>
      </c>
      <c r="Q378" s="531" t="str">
        <f aca="false">IF('(1)예금승인내역'!C1004="","",'(1)예금승인내역'!C1004)</f>
        <v>유통단지영업부</v>
      </c>
      <c r="R378" s="531" t="str">
        <f aca="false">IF('(1)예금승인내역'!K1004="","",'(1)예금승인내역'!K1004)</f>
        <v>정기예금</v>
      </c>
      <c r="S378" s="548" t="n">
        <f aca="false">IF('(1)예금승인내역'!L1004="","",'(1)예금승인내역'!L1004)</f>
        <v>1.5</v>
      </c>
      <c r="T378" s="549" t="n">
        <f aca="false">IF('(1)예금승인내역'!AG1004="","",'(1)예금승인내역'!AG1004)</f>
        <v>0.0375</v>
      </c>
      <c r="U378" s="549" t="n">
        <f aca="false">IF('(1)예금승인내역'!X1004="","",'(1)예금승인내역'!X1004)</f>
        <v>0.00318300000000001</v>
      </c>
      <c r="V378" s="531" t="n">
        <f aca="false">IF(ISNUMBER(N378),N378-$B$2,"")</f>
        <v>-211</v>
      </c>
      <c r="W378" s="531" t="str">
        <f aca="false">IF(AND(ISNUMBER(N378),N378&gt;=$B$2,N378&lt;=$B$2+10),N378*100000+ROW(),"")</f>
        <v/>
      </c>
      <c r="X378" s="531"/>
      <c r="Y378" s="531"/>
      <c r="Z378" s="531"/>
      <c r="AA378" s="531"/>
      <c r="AB378" s="531"/>
      <c r="AC378" s="531"/>
      <c r="AD378" s="531"/>
      <c r="AE378" s="531"/>
      <c r="AF378" s="531"/>
      <c r="AG378" s="531"/>
      <c r="AH378" s="531"/>
      <c r="AI378" s="531"/>
      <c r="AJ378" s="531"/>
      <c r="AK378" s="531"/>
      <c r="AL378" s="531"/>
      <c r="AM378" s="531"/>
      <c r="AN378" s="531"/>
    </row>
    <row r="379" customFormat="false" ht="16.5" hidden="false" customHeight="true" outlineLevel="0" collapsed="false">
      <c r="A379" s="531"/>
      <c r="B379" s="531"/>
      <c r="C379" s="531"/>
      <c r="D379" s="531"/>
      <c r="E379" s="531"/>
      <c r="F379" s="531"/>
      <c r="G379" s="531"/>
      <c r="H379" s="531"/>
      <c r="I379" s="531"/>
      <c r="J379" s="531"/>
      <c r="K379" s="531"/>
      <c r="L379" s="531"/>
      <c r="M379" s="531"/>
      <c r="N379" s="547" t="n">
        <f aca="false">IF('(1)예금승인내역'!H1005="","",'(1)예금승인내역'!H1005)</f>
        <v>45978</v>
      </c>
      <c r="O379" s="547" t="n">
        <f aca="false">IF('(1)예금승인내역'!G1005="","",'(1)예금승인내역'!G1005)</f>
        <v>45946</v>
      </c>
      <c r="P379" s="531" t="str">
        <f aca="false">IF('(1)예금승인내역'!F1005="","",'(1)예금승인내역'!F1005)</f>
        <v>한국비철㈜ (해지)</v>
      </c>
      <c r="Q379" s="531" t="str">
        <f aca="false">IF('(1)예금승인내역'!C1005="","",'(1)예금승인내역'!C1005)</f>
        <v>달성공단영업부</v>
      </c>
      <c r="R379" s="531" t="str">
        <f aca="false">IF('(1)예금승인내역'!K1005="","",'(1)예금승인내역'!K1005)</f>
        <v>정기예금</v>
      </c>
      <c r="S379" s="548" t="n">
        <f aca="false">IF('(1)예금승인내역'!L1005="","",'(1)예금승인내역'!L1005)</f>
        <v>1.15</v>
      </c>
      <c r="T379" s="549" t="n">
        <f aca="false">IF('(1)예금승인내역'!AG1005="","",'(1)예금승인내역'!AG1005)</f>
        <v>0.038</v>
      </c>
      <c r="U379" s="549" t="n">
        <f aca="false">IF('(1)예금승인내역'!X1005="","",'(1)예금승인내역'!X1005)</f>
        <v>0.002678</v>
      </c>
      <c r="V379" s="531" t="n">
        <f aca="false">IF(ISNUMBER(N379),N379-$B$2,"")</f>
        <v>-211</v>
      </c>
      <c r="W379" s="531" t="str">
        <f aca="false">IF(AND(ISNUMBER(N379),N379&gt;=$B$2,N379&lt;=$B$2+10),N379*100000+ROW(),"")</f>
        <v/>
      </c>
      <c r="X379" s="531"/>
      <c r="Y379" s="531"/>
      <c r="Z379" s="531"/>
      <c r="AA379" s="531"/>
      <c r="AB379" s="531"/>
      <c r="AC379" s="531"/>
      <c r="AD379" s="531"/>
      <c r="AE379" s="531"/>
      <c r="AF379" s="531"/>
      <c r="AG379" s="531"/>
      <c r="AH379" s="531"/>
      <c r="AI379" s="531"/>
      <c r="AJ379" s="531"/>
      <c r="AK379" s="531"/>
      <c r="AL379" s="531"/>
      <c r="AM379" s="531"/>
      <c r="AN379" s="531"/>
    </row>
    <row r="380" customFormat="false" ht="16.5" hidden="false" customHeight="true" outlineLevel="0" collapsed="false">
      <c r="A380" s="531"/>
      <c r="B380" s="531"/>
      <c r="C380" s="531"/>
      <c r="D380" s="531"/>
      <c r="E380" s="531"/>
      <c r="F380" s="531"/>
      <c r="G380" s="531"/>
      <c r="H380" s="531"/>
      <c r="I380" s="531"/>
      <c r="J380" s="531"/>
      <c r="K380" s="531"/>
      <c r="L380" s="531"/>
      <c r="M380" s="531"/>
      <c r="N380" s="547" t="n">
        <f aca="false">IF('(1)예금승인내역'!H1006="","",'(1)예금승인내역'!H1006)</f>
        <v>45954</v>
      </c>
      <c r="O380" s="547" t="n">
        <f aca="false">IF('(1)예금승인내역'!G1006="","",'(1)예금승인내역'!G1006)</f>
        <v>45947</v>
      </c>
      <c r="P380" s="531" t="str">
        <f aca="false">IF('(1)예금승인내역'!F1006="","",'(1)예금승인내역'!F1006)</f>
        <v>㈜일지테크</v>
      </c>
      <c r="Q380" s="531" t="str">
        <f aca="false">IF('(1)예금승인내역'!C1006="","",'(1)예금승인내역'!C1006)</f>
        <v>경산공단영업부</v>
      </c>
      <c r="R380" s="531" t="str">
        <f aca="false">IF('(1)예금승인내역'!K1006="","",'(1)예금승인내역'!K1006)</f>
        <v>정기예금</v>
      </c>
      <c r="S380" s="548" t="n">
        <f aca="false">IF('(1)예금승인내역'!L1006="","",'(1)예금승인내역'!L1006)</f>
        <v>1.5</v>
      </c>
      <c r="T380" s="549" t="n">
        <f aca="false">IF('(1)예금승인내역'!AG1006="","",'(1)예금승인내역'!AG1006)</f>
        <v>0.035</v>
      </c>
      <c r="U380" s="549" t="n">
        <f aca="false">IF('(1)예금승인내역'!X1006="","",'(1)예금승인내역'!X1006)</f>
        <v>0.003198</v>
      </c>
      <c r="V380" s="531" t="n">
        <f aca="false">IF(ISNUMBER(N380),N380-$B$2,"")</f>
        <v>-235</v>
      </c>
      <c r="W380" s="531" t="str">
        <f aca="false">IF(AND(ISNUMBER(N380),N380&gt;=$B$2,N380&lt;=$B$2+10),N380*100000+ROW(),"")</f>
        <v/>
      </c>
      <c r="X380" s="531"/>
      <c r="Y380" s="531"/>
      <c r="Z380" s="531"/>
      <c r="AA380" s="531"/>
      <c r="AB380" s="531"/>
      <c r="AC380" s="531"/>
      <c r="AD380" s="531"/>
      <c r="AE380" s="531"/>
      <c r="AF380" s="531"/>
      <c r="AG380" s="531"/>
      <c r="AH380" s="531"/>
      <c r="AI380" s="531"/>
      <c r="AJ380" s="531"/>
      <c r="AK380" s="531"/>
      <c r="AL380" s="531"/>
      <c r="AM380" s="531"/>
      <c r="AN380" s="531"/>
    </row>
    <row r="381" customFormat="false" ht="16.5" hidden="false" customHeight="true" outlineLevel="0" collapsed="false">
      <c r="A381" s="531"/>
      <c r="B381" s="531"/>
      <c r="C381" s="531"/>
      <c r="D381" s="531"/>
      <c r="E381" s="531"/>
      <c r="F381" s="531"/>
      <c r="G381" s="531"/>
      <c r="H381" s="531"/>
      <c r="I381" s="531"/>
      <c r="J381" s="531"/>
      <c r="K381" s="531"/>
      <c r="L381" s="531"/>
      <c r="M381" s="531"/>
      <c r="N381" s="547" t="n">
        <f aca="false">IF('(1)예금승인내역'!H1007="","",'(1)예금승인내역'!H1007)</f>
        <v>45954</v>
      </c>
      <c r="O381" s="547" t="n">
        <f aca="false">IF('(1)예금승인내역'!G1007="","",'(1)예금승인내역'!G1007)</f>
        <v>45947</v>
      </c>
      <c r="P381" s="531" t="str">
        <f aca="false">IF('(1)예금승인내역'!F1007="","",'(1)예금승인내역'!F1007)</f>
        <v>㈜일지테크</v>
      </c>
      <c r="Q381" s="531" t="str">
        <f aca="false">IF('(1)예금승인내역'!C1007="","",'(1)예금승인내역'!C1007)</f>
        <v>경산공단영업부</v>
      </c>
      <c r="R381" s="531" t="str">
        <f aca="false">IF('(1)예금승인내역'!K1007="","",'(1)예금승인내역'!K1007)</f>
        <v>정기예금</v>
      </c>
      <c r="S381" s="548" t="n">
        <f aca="false">IF('(1)예금승인내역'!L1007="","",'(1)예금승인내역'!L1007)</f>
        <v>2</v>
      </c>
      <c r="T381" s="549" t="n">
        <f aca="false">IF('(1)예금승인내역'!AG1007="","",'(1)예금승인내역'!AG1007)</f>
        <v>0.035</v>
      </c>
      <c r="U381" s="549" t="n">
        <f aca="false">IF('(1)예금승인내역'!X1007="","",'(1)예금승인내역'!X1007)</f>
        <v>0.003198</v>
      </c>
      <c r="V381" s="531" t="n">
        <f aca="false">IF(ISNUMBER(N381),N381-$B$2,"")</f>
        <v>-235</v>
      </c>
      <c r="W381" s="531" t="str">
        <f aca="false">IF(AND(ISNUMBER(N381),N381&gt;=$B$2,N381&lt;=$B$2+10),N381*100000+ROW(),"")</f>
        <v/>
      </c>
      <c r="X381" s="531"/>
      <c r="Y381" s="531"/>
      <c r="Z381" s="531"/>
      <c r="AA381" s="531"/>
      <c r="AB381" s="531"/>
      <c r="AC381" s="531"/>
      <c r="AD381" s="531"/>
      <c r="AE381" s="531"/>
      <c r="AF381" s="531"/>
      <c r="AG381" s="531"/>
      <c r="AH381" s="531"/>
      <c r="AI381" s="531"/>
      <c r="AJ381" s="531"/>
      <c r="AK381" s="531"/>
      <c r="AL381" s="531"/>
      <c r="AM381" s="531"/>
      <c r="AN381" s="531"/>
    </row>
    <row r="382" customFormat="false" ht="16.5" hidden="false" customHeight="true" outlineLevel="0" collapsed="false">
      <c r="A382" s="531"/>
      <c r="B382" s="531"/>
      <c r="C382" s="531"/>
      <c r="D382" s="531"/>
      <c r="E382" s="531"/>
      <c r="F382" s="531"/>
      <c r="G382" s="531"/>
      <c r="H382" s="531"/>
      <c r="I382" s="531"/>
      <c r="J382" s="531"/>
      <c r="K382" s="531"/>
      <c r="L382" s="531"/>
      <c r="M382" s="531"/>
      <c r="N382" s="547" t="n">
        <f aca="false">IF('(1)예금승인내역'!H1008="","",'(1)예금승인내역'!H1008)</f>
        <v>45954</v>
      </c>
      <c r="O382" s="547" t="n">
        <f aca="false">IF('(1)예금승인내역'!G1008="","",'(1)예금승인내역'!G1008)</f>
        <v>45947</v>
      </c>
      <c r="P382" s="531" t="str">
        <f aca="false">IF('(1)예금승인내역'!F1008="","",'(1)예금승인내역'!F1008)</f>
        <v>㈜일지테크</v>
      </c>
      <c r="Q382" s="531" t="str">
        <f aca="false">IF('(1)예금승인내역'!C1008="","",'(1)예금승인내역'!C1008)</f>
        <v>경산공단영업부</v>
      </c>
      <c r="R382" s="531" t="str">
        <f aca="false">IF('(1)예금승인내역'!K1008="","",'(1)예금승인내역'!K1008)</f>
        <v>정기예금</v>
      </c>
      <c r="S382" s="548" t="n">
        <f aca="false">IF('(1)예금승인내역'!L1008="","",'(1)예금승인내역'!L1008)</f>
        <v>2</v>
      </c>
      <c r="T382" s="549" t="n">
        <f aca="false">IF('(1)예금승인내역'!AG1008="","",'(1)예금승인내역'!AG1008)</f>
        <v>0.035</v>
      </c>
      <c r="U382" s="549" t="n">
        <f aca="false">IF('(1)예금승인내역'!X1008="","",'(1)예금승인내역'!X1008)</f>
        <v>0.003198</v>
      </c>
      <c r="V382" s="531" t="n">
        <f aca="false">IF(ISNUMBER(N382),N382-$B$2,"")</f>
        <v>-235</v>
      </c>
      <c r="W382" s="531" t="str">
        <f aca="false">IF(AND(ISNUMBER(N382),N382&gt;=$B$2,N382&lt;=$B$2+10),N382*100000+ROW(),"")</f>
        <v/>
      </c>
      <c r="X382" s="531"/>
      <c r="Y382" s="531"/>
      <c r="Z382" s="531"/>
      <c r="AA382" s="531"/>
      <c r="AB382" s="531"/>
      <c r="AC382" s="531"/>
      <c r="AD382" s="531"/>
      <c r="AE382" s="531"/>
      <c r="AF382" s="531"/>
      <c r="AG382" s="531"/>
      <c r="AH382" s="531"/>
      <c r="AI382" s="531"/>
      <c r="AJ382" s="531"/>
      <c r="AK382" s="531"/>
      <c r="AL382" s="531"/>
      <c r="AM382" s="531"/>
      <c r="AN382" s="531"/>
    </row>
    <row r="383" customFormat="false" ht="16.5" hidden="false" customHeight="true" outlineLevel="0" collapsed="false">
      <c r="A383" s="531"/>
      <c r="B383" s="531"/>
      <c r="C383" s="531"/>
      <c r="D383" s="531"/>
      <c r="E383" s="531"/>
      <c r="F383" s="531"/>
      <c r="G383" s="531"/>
      <c r="H383" s="531"/>
      <c r="I383" s="531"/>
      <c r="J383" s="531"/>
      <c r="K383" s="531"/>
      <c r="L383" s="531"/>
      <c r="M383" s="531"/>
      <c r="N383" s="547" t="n">
        <f aca="false">IF('(1)예금승인내역'!H1009="","",'(1)예금승인내역'!H1009)</f>
        <v>45954</v>
      </c>
      <c r="O383" s="547" t="n">
        <f aca="false">IF('(1)예금승인내역'!G1009="","",'(1)예금승인내역'!G1009)</f>
        <v>45947</v>
      </c>
      <c r="P383" s="531" t="str">
        <f aca="false">IF('(1)예금승인내역'!F1009="","",'(1)예금승인내역'!F1009)</f>
        <v>㈜일지테크</v>
      </c>
      <c r="Q383" s="531" t="str">
        <f aca="false">IF('(1)예금승인내역'!C1009="","",'(1)예금승인내역'!C1009)</f>
        <v>경산공단영업부</v>
      </c>
      <c r="R383" s="531" t="str">
        <f aca="false">IF('(1)예금승인내역'!K1009="","",'(1)예금승인내역'!K1009)</f>
        <v>정기예금</v>
      </c>
      <c r="S383" s="548" t="n">
        <f aca="false">IF('(1)예금승인내역'!L1009="","",'(1)예금승인내역'!L1009)</f>
        <v>2</v>
      </c>
      <c r="T383" s="549" t="n">
        <f aca="false">IF('(1)예금승인내역'!AG1009="","",'(1)예금승인내역'!AG1009)</f>
        <v>0.035</v>
      </c>
      <c r="U383" s="549" t="n">
        <f aca="false">IF('(1)예금승인내역'!X1009="","",'(1)예금승인내역'!X1009)</f>
        <v>0.003198</v>
      </c>
      <c r="V383" s="531" t="n">
        <f aca="false">IF(ISNUMBER(N383),N383-$B$2,"")</f>
        <v>-235</v>
      </c>
      <c r="W383" s="531" t="str">
        <f aca="false">IF(AND(ISNUMBER(N383),N383&gt;=$B$2,N383&lt;=$B$2+10),N383*100000+ROW(),"")</f>
        <v/>
      </c>
      <c r="X383" s="531"/>
      <c r="Y383" s="531"/>
      <c r="Z383" s="531"/>
      <c r="AA383" s="531"/>
      <c r="AB383" s="531"/>
      <c r="AC383" s="531"/>
      <c r="AD383" s="531"/>
      <c r="AE383" s="531"/>
      <c r="AF383" s="531"/>
      <c r="AG383" s="531"/>
      <c r="AH383" s="531"/>
      <c r="AI383" s="531"/>
      <c r="AJ383" s="531"/>
      <c r="AK383" s="531"/>
      <c r="AL383" s="531"/>
      <c r="AM383" s="531"/>
      <c r="AN383" s="531"/>
    </row>
    <row r="384" customFormat="false" ht="16.5" hidden="false" customHeight="true" outlineLevel="0" collapsed="false">
      <c r="A384" s="531"/>
      <c r="B384" s="531"/>
      <c r="C384" s="531"/>
      <c r="D384" s="531"/>
      <c r="E384" s="531"/>
      <c r="F384" s="531"/>
      <c r="G384" s="531"/>
      <c r="H384" s="531"/>
      <c r="I384" s="531"/>
      <c r="J384" s="531"/>
      <c r="K384" s="531"/>
      <c r="L384" s="531"/>
      <c r="M384" s="531"/>
      <c r="N384" s="547" t="n">
        <f aca="false">IF('(1)예금승인내역'!H1010="","",'(1)예금승인내역'!H1010)</f>
        <v>45954</v>
      </c>
      <c r="O384" s="547" t="n">
        <f aca="false">IF('(1)예금승인내역'!G1010="","",'(1)예금승인내역'!G1010)</f>
        <v>45947</v>
      </c>
      <c r="P384" s="531" t="str">
        <f aca="false">IF('(1)예금승인내역'!F1010="","",'(1)예금승인내역'!F1010)</f>
        <v>㈜일지테크</v>
      </c>
      <c r="Q384" s="531" t="str">
        <f aca="false">IF('(1)예금승인내역'!C1010="","",'(1)예금승인내역'!C1010)</f>
        <v>경산공단영업부</v>
      </c>
      <c r="R384" s="531" t="str">
        <f aca="false">IF('(1)예금승인내역'!K1010="","",'(1)예금승인내역'!K1010)</f>
        <v>정기예금</v>
      </c>
      <c r="S384" s="548" t="n">
        <f aca="false">IF('(1)예금승인내역'!L1010="","",'(1)예금승인내역'!L1010)</f>
        <v>2</v>
      </c>
      <c r="T384" s="549" t="n">
        <f aca="false">IF('(1)예금승인내역'!AG1010="","",'(1)예금승인내역'!AG1010)</f>
        <v>0.035</v>
      </c>
      <c r="U384" s="549" t="n">
        <f aca="false">IF('(1)예금승인내역'!X1010="","",'(1)예금승인내역'!X1010)</f>
        <v>0.003198</v>
      </c>
      <c r="V384" s="531" t="n">
        <f aca="false">IF(ISNUMBER(N384),N384-$B$2,"")</f>
        <v>-235</v>
      </c>
      <c r="W384" s="531" t="str">
        <f aca="false">IF(AND(ISNUMBER(N384),N384&gt;=$B$2,N384&lt;=$B$2+10),N384*100000+ROW(),"")</f>
        <v/>
      </c>
      <c r="X384" s="531"/>
      <c r="Y384" s="531"/>
      <c r="Z384" s="531"/>
      <c r="AA384" s="531"/>
      <c r="AB384" s="531"/>
      <c r="AC384" s="531"/>
      <c r="AD384" s="531"/>
      <c r="AE384" s="531"/>
      <c r="AF384" s="531"/>
      <c r="AG384" s="531"/>
      <c r="AH384" s="531"/>
      <c r="AI384" s="531"/>
      <c r="AJ384" s="531"/>
      <c r="AK384" s="531"/>
      <c r="AL384" s="531"/>
      <c r="AM384" s="531"/>
      <c r="AN384" s="531"/>
    </row>
    <row r="385" customFormat="false" ht="16.5" hidden="false" customHeight="true" outlineLevel="0" collapsed="false">
      <c r="A385" s="531"/>
      <c r="B385" s="531"/>
      <c r="C385" s="531"/>
      <c r="D385" s="531"/>
      <c r="E385" s="531"/>
      <c r="F385" s="531"/>
      <c r="G385" s="531"/>
      <c r="H385" s="531"/>
      <c r="I385" s="531"/>
      <c r="J385" s="531"/>
      <c r="K385" s="531"/>
      <c r="L385" s="531"/>
      <c r="M385" s="531"/>
      <c r="N385" s="547" t="n">
        <f aca="false">IF('(1)예금승인내역'!H1011="","",'(1)예금승인내역'!H1011)</f>
        <v>45954</v>
      </c>
      <c r="O385" s="547" t="n">
        <f aca="false">IF('(1)예금승인내역'!G1011="","",'(1)예금승인내역'!G1011)</f>
        <v>45947</v>
      </c>
      <c r="P385" s="531" t="str">
        <f aca="false">IF('(1)예금승인내역'!F1011="","",'(1)예금승인내역'!F1011)</f>
        <v>㈜일지테크</v>
      </c>
      <c r="Q385" s="531" t="str">
        <f aca="false">IF('(1)예금승인내역'!C1011="","",'(1)예금승인내역'!C1011)</f>
        <v>경산공단영업부</v>
      </c>
      <c r="R385" s="531" t="str">
        <f aca="false">IF('(1)예금승인내역'!K1011="","",'(1)예금승인내역'!K1011)</f>
        <v>정기예금</v>
      </c>
      <c r="S385" s="548" t="n">
        <f aca="false">IF('(1)예금승인내역'!L1011="","",'(1)예금승인내역'!L1011)</f>
        <v>2</v>
      </c>
      <c r="T385" s="549" t="n">
        <f aca="false">IF('(1)예금승인내역'!AG1011="","",'(1)예금승인내역'!AG1011)</f>
        <v>0.035</v>
      </c>
      <c r="U385" s="549" t="n">
        <f aca="false">IF('(1)예금승인내역'!X1011="","",'(1)예금승인내역'!X1011)</f>
        <v>0.003198</v>
      </c>
      <c r="V385" s="531" t="n">
        <f aca="false">IF(ISNUMBER(N385),N385-$B$2,"")</f>
        <v>-235</v>
      </c>
      <c r="W385" s="531" t="str">
        <f aca="false">IF(AND(ISNUMBER(N385),N385&gt;=$B$2,N385&lt;=$B$2+10),N385*100000+ROW(),"")</f>
        <v/>
      </c>
      <c r="X385" s="531"/>
      <c r="Y385" s="531"/>
      <c r="Z385" s="531"/>
      <c r="AA385" s="531"/>
      <c r="AB385" s="531"/>
      <c r="AC385" s="531"/>
      <c r="AD385" s="531"/>
      <c r="AE385" s="531"/>
      <c r="AF385" s="531"/>
      <c r="AG385" s="531"/>
      <c r="AH385" s="531"/>
      <c r="AI385" s="531"/>
      <c r="AJ385" s="531"/>
      <c r="AK385" s="531"/>
      <c r="AL385" s="531"/>
      <c r="AM385" s="531"/>
      <c r="AN385" s="531"/>
    </row>
    <row r="386" customFormat="false" ht="16.5" hidden="false" customHeight="true" outlineLevel="0" collapsed="false">
      <c r="A386" s="531"/>
      <c r="B386" s="531"/>
      <c r="C386" s="531"/>
      <c r="D386" s="531"/>
      <c r="E386" s="531"/>
      <c r="F386" s="531"/>
      <c r="G386" s="531"/>
      <c r="H386" s="531"/>
      <c r="I386" s="531"/>
      <c r="J386" s="531"/>
      <c r="K386" s="531"/>
      <c r="L386" s="531"/>
      <c r="M386" s="531"/>
      <c r="N386" s="547" t="n">
        <f aca="false">IF('(1)예금승인내역'!H1012="","",'(1)예금승인내역'!H1012)</f>
        <v>46041</v>
      </c>
      <c r="O386" s="547" t="n">
        <f aca="false">IF('(1)예금승인내역'!G1012="","",'(1)예금승인내역'!G1012)</f>
        <v>45947</v>
      </c>
      <c r="P386" s="531" t="str">
        <f aca="false">IF('(1)예금승인내역'!F1012="","",'(1)예금승인내역'!F1012)</f>
        <v>한국무역보험공사</v>
      </c>
      <c r="Q386" s="531" t="str">
        <f aca="false">IF('(1)예금승인내역'!C1012="","",'(1)예금승인내역'!C1012)</f>
        <v>서울영업부</v>
      </c>
      <c r="R386" s="531" t="str">
        <f aca="false">IF('(1)예금승인내역'!K1012="","",'(1)예금승인내역'!K1012)</f>
        <v>정기예금</v>
      </c>
      <c r="S386" s="548" t="n">
        <f aca="false">IF('(1)예금승인내역'!L1012="","",'(1)예금승인내역'!L1012)</f>
        <v>6.6</v>
      </c>
      <c r="T386" s="549" t="n">
        <f aca="false">IF('(1)예금승인내역'!AG1012="","",'(1)예금승인내역'!AG1012)</f>
        <v>0.0388</v>
      </c>
      <c r="U386" s="549" t="n">
        <f aca="false">IF('(1)예금승인내역'!X1012="","",'(1)예금승인내역'!X1012)</f>
        <v>0.00184</v>
      </c>
      <c r="V386" s="531" t="n">
        <f aca="false">IF(ISNUMBER(N386),N386-$B$2,"")</f>
        <v>-148</v>
      </c>
      <c r="W386" s="531" t="str">
        <f aca="false">IF(AND(ISNUMBER(N386),N386&gt;=$B$2,N386&lt;=$B$2+10),N386*100000+ROW(),"")</f>
        <v/>
      </c>
      <c r="X386" s="531"/>
      <c r="Y386" s="531"/>
      <c r="Z386" s="531"/>
      <c r="AA386" s="531"/>
      <c r="AB386" s="531"/>
      <c r="AC386" s="531"/>
      <c r="AD386" s="531"/>
      <c r="AE386" s="531"/>
      <c r="AF386" s="531"/>
      <c r="AG386" s="531"/>
      <c r="AH386" s="531"/>
      <c r="AI386" s="531"/>
      <c r="AJ386" s="531"/>
      <c r="AK386" s="531"/>
      <c r="AL386" s="531"/>
      <c r="AM386" s="531"/>
      <c r="AN386" s="531"/>
    </row>
    <row r="387" customFormat="false" ht="16.5" hidden="false" customHeight="true" outlineLevel="0" collapsed="false">
      <c r="A387" s="531"/>
      <c r="B387" s="531"/>
      <c r="C387" s="531"/>
      <c r="D387" s="531"/>
      <c r="E387" s="531"/>
      <c r="F387" s="531"/>
      <c r="G387" s="531"/>
      <c r="H387" s="531"/>
      <c r="I387" s="531"/>
      <c r="J387" s="531"/>
      <c r="K387" s="531"/>
      <c r="L387" s="531"/>
      <c r="M387" s="531"/>
      <c r="N387" s="547" t="n">
        <f aca="false">IF('(1)예금승인내역'!H1013="","",'(1)예금승인내역'!H1013)</f>
        <v>45981</v>
      </c>
      <c r="O387" s="547" t="n">
        <f aca="false">IF('(1)예금승인내역'!G1013="","",'(1)예금승인내역'!G1013)</f>
        <v>45950</v>
      </c>
      <c r="P387" s="531" t="str">
        <f aca="false">IF('(1)예금승인내역'!F1013="","",'(1)예금승인내역'!F1013)</f>
        <v>오스템임플란트㈜</v>
      </c>
      <c r="Q387" s="531" t="str">
        <f aca="false">IF('(1)예금승인내역'!C1013="","",'(1)예금승인내역'!C1013)</f>
        <v>성남금융센터</v>
      </c>
      <c r="R387" s="531" t="str">
        <f aca="false">IF('(1)예금승인내역'!K1013="","",'(1)예금승인내역'!K1013)</f>
        <v>MMDA</v>
      </c>
      <c r="S387" s="548" t="n">
        <f aca="false">IF('(1)예금승인내역'!L1013="","",'(1)예금승인내역'!L1013)</f>
        <v>3.9</v>
      </c>
      <c r="T387" s="549" t="n">
        <f aca="false">IF('(1)예금승인내역'!AG1013="","",'(1)예금승인내역'!AG1013)</f>
        <v>0.035</v>
      </c>
      <c r="U387" s="549" t="n">
        <f aca="false">IF('(1)예금승인내역'!X1013="","",'(1)예금승인내역'!X1013)</f>
        <v>0.003518</v>
      </c>
      <c r="V387" s="531" t="n">
        <f aca="false">IF(ISNUMBER(N387),N387-$B$2,"")</f>
        <v>-208</v>
      </c>
      <c r="W387" s="531" t="str">
        <f aca="false">IF(AND(ISNUMBER(N387),N387&gt;=$B$2,N387&lt;=$B$2+10),N387*100000+ROW(),"")</f>
        <v/>
      </c>
      <c r="X387" s="531"/>
      <c r="Y387" s="531"/>
      <c r="Z387" s="531"/>
      <c r="AA387" s="531"/>
      <c r="AB387" s="531"/>
      <c r="AC387" s="531"/>
      <c r="AD387" s="531"/>
      <c r="AE387" s="531"/>
      <c r="AF387" s="531"/>
      <c r="AG387" s="531"/>
      <c r="AH387" s="531"/>
      <c r="AI387" s="531"/>
      <c r="AJ387" s="531"/>
      <c r="AK387" s="531"/>
      <c r="AL387" s="531"/>
      <c r="AM387" s="531"/>
      <c r="AN387" s="531"/>
    </row>
    <row r="388" customFormat="false" ht="16.5" hidden="false" customHeight="true" outlineLevel="0" collapsed="false">
      <c r="A388" s="531"/>
      <c r="B388" s="531"/>
      <c r="C388" s="531"/>
      <c r="D388" s="531"/>
      <c r="E388" s="531"/>
      <c r="F388" s="531"/>
      <c r="G388" s="531"/>
      <c r="H388" s="531"/>
      <c r="I388" s="531"/>
      <c r="J388" s="531"/>
      <c r="K388" s="531"/>
      <c r="L388" s="531"/>
      <c r="M388" s="531"/>
      <c r="N388" s="547" t="n">
        <f aca="false">IF('(1)예금승인내역'!H1014="","",'(1)예금승인내역'!H1014)</f>
        <v>45981</v>
      </c>
      <c r="O388" s="547" t="n">
        <f aca="false">IF('(1)예금승인내역'!G1014="","",'(1)예금승인내역'!G1014)</f>
        <v>45950</v>
      </c>
      <c r="P388" s="531" t="str">
        <f aca="false">IF('(1)예금승인내역'!F1014="","",'(1)예금승인내역'!F1014)</f>
        <v>㈜ 광성</v>
      </c>
      <c r="Q388" s="531" t="str">
        <f aca="false">IF('(1)예금승인내역'!C1014="","",'(1)예금승인내역'!C1014)</f>
        <v>경산공단영업부</v>
      </c>
      <c r="R388" s="531" t="str">
        <f aca="false">IF('(1)예금승인내역'!K1014="","",'(1)예금승인내역'!K1014)</f>
        <v>MMDA</v>
      </c>
      <c r="S388" s="548" t="n">
        <f aca="false">IF('(1)예금승인내역'!L1014="","",'(1)예금승인내역'!L1014)</f>
        <v>4.4</v>
      </c>
      <c r="T388" s="549" t="n">
        <f aca="false">IF('(1)예금승인내역'!AG1014="","",'(1)예금승인내역'!AG1014)</f>
        <v>0.035</v>
      </c>
      <c r="U388" s="549" t="n">
        <f aca="false">IF('(1)예금승인내역'!X1014="","",'(1)예금승인내역'!X1014)</f>
        <v>0.003518</v>
      </c>
      <c r="V388" s="531" t="n">
        <f aca="false">IF(ISNUMBER(N388),N388-$B$2,"")</f>
        <v>-208</v>
      </c>
      <c r="W388" s="531" t="str">
        <f aca="false">IF(AND(ISNUMBER(N388),N388&gt;=$B$2,N388&lt;=$B$2+10),N388*100000+ROW(),"")</f>
        <v/>
      </c>
      <c r="X388" s="531"/>
      <c r="Y388" s="531"/>
      <c r="Z388" s="531"/>
      <c r="AA388" s="531"/>
      <c r="AB388" s="531"/>
      <c r="AC388" s="531"/>
      <c r="AD388" s="531"/>
      <c r="AE388" s="531"/>
      <c r="AF388" s="531"/>
      <c r="AG388" s="531"/>
      <c r="AH388" s="531"/>
      <c r="AI388" s="531"/>
      <c r="AJ388" s="531"/>
      <c r="AK388" s="531"/>
      <c r="AL388" s="531"/>
      <c r="AM388" s="531"/>
      <c r="AN388" s="531"/>
    </row>
    <row r="389" customFormat="false" ht="16.5" hidden="false" customHeight="true" outlineLevel="0" collapsed="false">
      <c r="A389" s="531"/>
      <c r="B389" s="531"/>
      <c r="C389" s="531"/>
      <c r="D389" s="531"/>
      <c r="E389" s="531"/>
      <c r="F389" s="531"/>
      <c r="G389" s="531"/>
      <c r="H389" s="531"/>
      <c r="I389" s="531"/>
      <c r="J389" s="531"/>
      <c r="K389" s="531"/>
      <c r="L389" s="531"/>
      <c r="M389" s="531"/>
      <c r="N389" s="547" t="n">
        <f aca="false">IF('(1)예금승인내역'!H1015="","",'(1)예금승인내역'!H1015)</f>
        <v>45981</v>
      </c>
      <c r="O389" s="547" t="n">
        <f aca="false">IF('(1)예금승인내역'!G1015="","",'(1)예금승인내역'!G1015)</f>
        <v>45950</v>
      </c>
      <c r="P389" s="531" t="str">
        <f aca="false">IF('(1)예금승인내역'!F1015="","",'(1)예금승인내역'!F1015)</f>
        <v>동화인더스트리</v>
      </c>
      <c r="Q389" s="531" t="str">
        <f aca="false">IF('(1)예금승인내역'!C1015="","",'(1)예금승인내역'!C1015)</f>
        <v>중동지점</v>
      </c>
      <c r="R389" s="531" t="str">
        <f aca="false">IF('(1)예금승인내역'!K1015="","",'(1)예금승인내역'!K1015)</f>
        <v>정기예금</v>
      </c>
      <c r="S389" s="548" t="n">
        <f aca="false">IF('(1)예금승인내역'!L1015="","",'(1)예금승인내역'!L1015)</f>
        <v>1.006</v>
      </c>
      <c r="T389" s="549" t="n">
        <f aca="false">IF('(1)예금승인내역'!AG1015="","",'(1)예금승인내역'!AG1015)</f>
        <v>0.0375</v>
      </c>
      <c r="U389" s="549" t="n">
        <f aca="false">IF('(1)예금승인내역'!X1015="","",'(1)예금승인내역'!X1015)</f>
        <v>0.003169</v>
      </c>
      <c r="V389" s="531" t="n">
        <f aca="false">IF(ISNUMBER(N389),N389-$B$2,"")</f>
        <v>-208</v>
      </c>
      <c r="W389" s="531" t="str">
        <f aca="false">IF(AND(ISNUMBER(N389),N389&gt;=$B$2,N389&lt;=$B$2+10),N389*100000+ROW(),"")</f>
        <v/>
      </c>
      <c r="X389" s="531"/>
      <c r="Y389" s="531"/>
      <c r="Z389" s="531"/>
      <c r="AA389" s="531"/>
      <c r="AB389" s="531"/>
      <c r="AC389" s="531"/>
      <c r="AD389" s="531"/>
      <c r="AE389" s="531"/>
      <c r="AF389" s="531"/>
      <c r="AG389" s="531"/>
      <c r="AH389" s="531"/>
      <c r="AI389" s="531"/>
      <c r="AJ389" s="531"/>
      <c r="AK389" s="531"/>
      <c r="AL389" s="531"/>
      <c r="AM389" s="531"/>
      <c r="AN389" s="531"/>
    </row>
    <row r="390" customFormat="false" ht="16.5" hidden="false" customHeight="true" outlineLevel="0" collapsed="false">
      <c r="A390" s="531"/>
      <c r="B390" s="531"/>
      <c r="C390" s="531"/>
      <c r="D390" s="531"/>
      <c r="E390" s="531"/>
      <c r="F390" s="531"/>
      <c r="G390" s="531"/>
      <c r="H390" s="531"/>
      <c r="I390" s="531"/>
      <c r="J390" s="531"/>
      <c r="K390" s="531"/>
      <c r="L390" s="531"/>
      <c r="M390" s="531"/>
      <c r="N390" s="547" t="n">
        <f aca="false">IF('(1)예금승인내역'!H1016="","",'(1)예금승인내역'!H1016)</f>
        <v>45982</v>
      </c>
      <c r="O390" s="547" t="n">
        <f aca="false">IF('(1)예금승인내역'!G1016="","",'(1)예금승인내역'!G1016)</f>
        <v>45952</v>
      </c>
      <c r="P390" s="531" t="str">
        <f aca="false">IF('(1)예금승인내역'!F1016="","",'(1)예금승인내역'!F1016)</f>
        <v>와이엠에스에이</v>
      </c>
      <c r="Q390" s="531" t="str">
        <f aca="false">IF('(1)예금승인내역'!C1016="","",'(1)예금승인내역'!C1016)</f>
        <v>본점영업부</v>
      </c>
      <c r="R390" s="531" t="str">
        <f aca="false">IF('(1)예금승인내역'!K1016="","",'(1)예금승인내역'!K1016)</f>
        <v>MMDA</v>
      </c>
      <c r="S390" s="548" t="n">
        <f aca="false">IF('(1)예금승인내역'!L1016="","",'(1)예금승인내역'!L1016)</f>
        <v>1.6</v>
      </c>
      <c r="T390" s="549" t="n">
        <f aca="false">IF('(1)예금승인내역'!AG1016="","",'(1)예금승인내역'!AG1016)</f>
        <v>0.0345</v>
      </c>
      <c r="U390" s="549" t="n">
        <f aca="false">IF('(1)예금승인내역'!X1016="","",'(1)예금승인내역'!X1016)</f>
        <v>0.003757</v>
      </c>
      <c r="V390" s="531" t="n">
        <f aca="false">IF(ISNUMBER(N390),N390-$B$2,"")</f>
        <v>-207</v>
      </c>
      <c r="W390" s="531" t="str">
        <f aca="false">IF(AND(ISNUMBER(N390),N390&gt;=$B$2,N390&lt;=$B$2+10),N390*100000+ROW(),"")</f>
        <v/>
      </c>
      <c r="X390" s="531"/>
      <c r="Y390" s="531"/>
      <c r="Z390" s="531"/>
      <c r="AA390" s="531"/>
      <c r="AB390" s="531"/>
      <c r="AC390" s="531"/>
      <c r="AD390" s="531"/>
      <c r="AE390" s="531"/>
      <c r="AF390" s="531"/>
      <c r="AG390" s="531"/>
      <c r="AH390" s="531"/>
      <c r="AI390" s="531"/>
      <c r="AJ390" s="531"/>
      <c r="AK390" s="531"/>
      <c r="AL390" s="531"/>
      <c r="AM390" s="531"/>
      <c r="AN390" s="531"/>
    </row>
    <row r="391" customFormat="false" ht="16.5" hidden="false" customHeight="true" outlineLevel="0" collapsed="false">
      <c r="A391" s="531"/>
      <c r="B391" s="531"/>
      <c r="C391" s="531"/>
      <c r="D391" s="531"/>
      <c r="E391" s="531"/>
      <c r="F391" s="531"/>
      <c r="G391" s="531"/>
      <c r="H391" s="531"/>
      <c r="I391" s="531"/>
      <c r="J391" s="531"/>
      <c r="K391" s="531"/>
      <c r="L391" s="531"/>
      <c r="M391" s="531"/>
      <c r="N391" s="547" t="n">
        <f aca="false">IF('(1)예금승인내역'!H1017="","",'(1)예금승인내역'!H1017)</f>
        <v>45982</v>
      </c>
      <c r="O391" s="547" t="n">
        <f aca="false">IF('(1)예금승인내역'!G1017="","",'(1)예금승인내역'!G1017)</f>
        <v>45952</v>
      </c>
      <c r="P391" s="531" t="str">
        <f aca="false">IF('(1)예금승인내역'!F1017="","",'(1)예금승인내역'!F1017)</f>
        <v>㈜약진통상</v>
      </c>
      <c r="Q391" s="531" t="str">
        <f aca="false">IF('(1)예금승인내역'!C1017="","",'(1)예금승인내역'!C1017)</f>
        <v>반월공단영업부</v>
      </c>
      <c r="R391" s="531" t="str">
        <f aca="false">IF('(1)예금승인내역'!K1017="","",'(1)예금승인내역'!K1017)</f>
        <v>MMDA</v>
      </c>
      <c r="S391" s="548" t="n">
        <f aca="false">IF('(1)예금승인내역'!L1017="","",'(1)예금승인내역'!L1017)</f>
        <v>13.08</v>
      </c>
      <c r="T391" s="549" t="n">
        <f aca="false">IF('(1)예금승인내역'!AG1017="","",'(1)예금승인내역'!AG1017)</f>
        <v>0.0345</v>
      </c>
      <c r="U391" s="549" t="n">
        <f aca="false">IF('(1)예금승인내역'!X1017="","",'(1)예금승인내역'!X1017)</f>
        <v>0.003757</v>
      </c>
      <c r="V391" s="531" t="n">
        <f aca="false">IF(ISNUMBER(N391),N391-$B$2,"")</f>
        <v>-207</v>
      </c>
      <c r="W391" s="531" t="str">
        <f aca="false">IF(AND(ISNUMBER(N391),N391&gt;=$B$2,N391&lt;=$B$2+10),N391*100000+ROW(),"")</f>
        <v/>
      </c>
      <c r="X391" s="531"/>
      <c r="Y391" s="531"/>
      <c r="Z391" s="531"/>
      <c r="AA391" s="531"/>
      <c r="AB391" s="531"/>
      <c r="AC391" s="531"/>
      <c r="AD391" s="531"/>
      <c r="AE391" s="531"/>
      <c r="AF391" s="531"/>
      <c r="AG391" s="531"/>
      <c r="AH391" s="531"/>
      <c r="AI391" s="531"/>
      <c r="AJ391" s="531"/>
      <c r="AK391" s="531"/>
      <c r="AL391" s="531"/>
      <c r="AM391" s="531"/>
      <c r="AN391" s="531"/>
    </row>
    <row r="392" customFormat="false" ht="16.5" hidden="false" customHeight="true" outlineLevel="0" collapsed="false">
      <c r="A392" s="531"/>
      <c r="B392" s="531"/>
      <c r="C392" s="531"/>
      <c r="D392" s="531"/>
      <c r="E392" s="531"/>
      <c r="F392" s="531"/>
      <c r="G392" s="531"/>
      <c r="H392" s="531"/>
      <c r="I392" s="531"/>
      <c r="J392" s="531"/>
      <c r="K392" s="531"/>
      <c r="L392" s="531"/>
      <c r="M392" s="531"/>
      <c r="N392" s="547" t="n">
        <f aca="false">IF('(1)예금승인내역'!H1018="","",'(1)예금승인내역'!H1018)</f>
        <v>45961</v>
      </c>
      <c r="O392" s="547" t="n">
        <f aca="false">IF('(1)예금승인내역'!G1018="","",'(1)예금승인내역'!G1018)</f>
        <v>45954</v>
      </c>
      <c r="P392" s="531" t="str">
        <f aca="false">IF('(1)예금승인내역'!F1018="","",'(1)예금승인내역'!F1018)</f>
        <v>㈜일지테크</v>
      </c>
      <c r="Q392" s="531" t="str">
        <f aca="false">IF('(1)예금승인내역'!C1018="","",'(1)예금승인내역'!C1018)</f>
        <v>경산공단영업부</v>
      </c>
      <c r="R392" s="531" t="str">
        <f aca="false">IF('(1)예금승인내역'!K1018="","",'(1)예금승인내역'!K1018)</f>
        <v>정기예금</v>
      </c>
      <c r="S392" s="548" t="n">
        <f aca="false">IF('(1)예금승인내역'!L1018="","",'(1)예금승인내역'!L1018)</f>
        <v>1.5</v>
      </c>
      <c r="T392" s="549" t="n">
        <f aca="false">IF('(1)예금승인내역'!AG1018="","",'(1)예금승인내역'!AG1018)</f>
        <v>0.035</v>
      </c>
      <c r="U392" s="549" t="n">
        <f aca="false">IF('(1)예금승인내역'!X1018="","",'(1)예금승인내역'!X1018)</f>
        <v>0.003452</v>
      </c>
      <c r="V392" s="531" t="n">
        <f aca="false">IF(ISNUMBER(N392),N392-$B$2,"")</f>
        <v>-228</v>
      </c>
      <c r="W392" s="531" t="str">
        <f aca="false">IF(AND(ISNUMBER(N392),N392&gt;=$B$2,N392&lt;=$B$2+10),N392*100000+ROW(),"")</f>
        <v/>
      </c>
      <c r="X392" s="531"/>
      <c r="Y392" s="531"/>
      <c r="Z392" s="531"/>
      <c r="AA392" s="531"/>
      <c r="AB392" s="531"/>
      <c r="AC392" s="531"/>
      <c r="AD392" s="531"/>
      <c r="AE392" s="531"/>
      <c r="AF392" s="531"/>
      <c r="AG392" s="531"/>
      <c r="AH392" s="531"/>
      <c r="AI392" s="531"/>
      <c r="AJ392" s="531"/>
      <c r="AK392" s="531"/>
      <c r="AL392" s="531"/>
      <c r="AM392" s="531"/>
      <c r="AN392" s="531"/>
    </row>
    <row r="393" customFormat="false" ht="16.5" hidden="false" customHeight="true" outlineLevel="0" collapsed="false">
      <c r="A393" s="531"/>
      <c r="B393" s="531"/>
      <c r="C393" s="531"/>
      <c r="D393" s="531"/>
      <c r="E393" s="531"/>
      <c r="F393" s="531"/>
      <c r="G393" s="531"/>
      <c r="H393" s="531"/>
      <c r="I393" s="531"/>
      <c r="J393" s="531"/>
      <c r="K393" s="531"/>
      <c r="L393" s="531"/>
      <c r="M393" s="531"/>
      <c r="N393" s="547" t="n">
        <f aca="false">IF('(1)예금승인내역'!H1019="","",'(1)예금승인내역'!H1019)</f>
        <v>45961</v>
      </c>
      <c r="O393" s="547" t="n">
        <f aca="false">IF('(1)예금승인내역'!G1019="","",'(1)예금승인내역'!G1019)</f>
        <v>45954</v>
      </c>
      <c r="P393" s="531" t="str">
        <f aca="false">IF('(1)예금승인내역'!F1019="","",'(1)예금승인내역'!F1019)</f>
        <v>㈜일지테크</v>
      </c>
      <c r="Q393" s="531" t="str">
        <f aca="false">IF('(1)예금승인내역'!C1019="","",'(1)예금승인내역'!C1019)</f>
        <v>경산공단영업부</v>
      </c>
      <c r="R393" s="531" t="str">
        <f aca="false">IF('(1)예금승인내역'!K1019="","",'(1)예금승인내역'!K1019)</f>
        <v>정기예금</v>
      </c>
      <c r="S393" s="548" t="n">
        <f aca="false">IF('(1)예금승인내역'!L1019="","",'(1)예금승인내역'!L1019)</f>
        <v>2</v>
      </c>
      <c r="T393" s="549" t="n">
        <f aca="false">IF('(1)예금승인내역'!AG1019="","",'(1)예금승인내역'!AG1019)</f>
        <v>0.035</v>
      </c>
      <c r="U393" s="549" t="n">
        <f aca="false">IF('(1)예금승인내역'!X1019="","",'(1)예금승인내역'!X1019)</f>
        <v>0.003452</v>
      </c>
      <c r="V393" s="531" t="n">
        <f aca="false">IF(ISNUMBER(N393),N393-$B$2,"")</f>
        <v>-228</v>
      </c>
      <c r="W393" s="531" t="str">
        <f aca="false">IF(AND(ISNUMBER(N393),N393&gt;=$B$2,N393&lt;=$B$2+10),N393*100000+ROW(),"")</f>
        <v/>
      </c>
      <c r="X393" s="531"/>
      <c r="Y393" s="531"/>
      <c r="Z393" s="531"/>
      <c r="AA393" s="531"/>
      <c r="AB393" s="531"/>
      <c r="AC393" s="531"/>
      <c r="AD393" s="531"/>
      <c r="AE393" s="531"/>
      <c r="AF393" s="531"/>
      <c r="AG393" s="531"/>
      <c r="AH393" s="531"/>
      <c r="AI393" s="531"/>
      <c r="AJ393" s="531"/>
      <c r="AK393" s="531"/>
      <c r="AL393" s="531"/>
      <c r="AM393" s="531"/>
      <c r="AN393" s="531"/>
    </row>
    <row r="394" customFormat="false" ht="16.5" hidden="false" customHeight="true" outlineLevel="0" collapsed="false">
      <c r="A394" s="531"/>
      <c r="B394" s="531"/>
      <c r="C394" s="531"/>
      <c r="D394" s="531"/>
      <c r="E394" s="531"/>
      <c r="F394" s="531"/>
      <c r="G394" s="531"/>
      <c r="H394" s="531"/>
      <c r="I394" s="531"/>
      <c r="J394" s="531"/>
      <c r="K394" s="531"/>
      <c r="L394" s="531"/>
      <c r="M394" s="531"/>
      <c r="N394" s="547" t="n">
        <f aca="false">IF('(1)예금승인내역'!H1020="","",'(1)예금승인내역'!H1020)</f>
        <v>45961</v>
      </c>
      <c r="O394" s="547" t="n">
        <f aca="false">IF('(1)예금승인내역'!G1020="","",'(1)예금승인내역'!G1020)</f>
        <v>45954</v>
      </c>
      <c r="P394" s="531" t="str">
        <f aca="false">IF('(1)예금승인내역'!F1020="","",'(1)예금승인내역'!F1020)</f>
        <v>㈜일지테크</v>
      </c>
      <c r="Q394" s="531" t="str">
        <f aca="false">IF('(1)예금승인내역'!C1020="","",'(1)예금승인내역'!C1020)</f>
        <v>경산공단영업부</v>
      </c>
      <c r="R394" s="531" t="str">
        <f aca="false">IF('(1)예금승인내역'!K1020="","",'(1)예금승인내역'!K1020)</f>
        <v>정기예금</v>
      </c>
      <c r="S394" s="548" t="n">
        <f aca="false">IF('(1)예금승인내역'!L1020="","",'(1)예금승인내역'!L1020)</f>
        <v>2</v>
      </c>
      <c r="T394" s="549" t="n">
        <f aca="false">IF('(1)예금승인내역'!AG1020="","",'(1)예금승인내역'!AG1020)</f>
        <v>0.035</v>
      </c>
      <c r="U394" s="549" t="n">
        <f aca="false">IF('(1)예금승인내역'!X1020="","",'(1)예금승인내역'!X1020)</f>
        <v>0.003452</v>
      </c>
      <c r="V394" s="531" t="n">
        <f aca="false">IF(ISNUMBER(N394),N394-$B$2,"")</f>
        <v>-228</v>
      </c>
      <c r="W394" s="531" t="str">
        <f aca="false">IF(AND(ISNUMBER(N394),N394&gt;=$B$2,N394&lt;=$B$2+10),N394*100000+ROW(),"")</f>
        <v/>
      </c>
      <c r="X394" s="531"/>
      <c r="Y394" s="531"/>
      <c r="Z394" s="531"/>
      <c r="AA394" s="531"/>
      <c r="AB394" s="531"/>
      <c r="AC394" s="531"/>
      <c r="AD394" s="531"/>
      <c r="AE394" s="531"/>
      <c r="AF394" s="531"/>
      <c r="AG394" s="531"/>
      <c r="AH394" s="531"/>
      <c r="AI394" s="531"/>
      <c r="AJ394" s="531"/>
      <c r="AK394" s="531"/>
      <c r="AL394" s="531"/>
      <c r="AM394" s="531"/>
      <c r="AN394" s="531"/>
    </row>
    <row r="395" customFormat="false" ht="16.5" hidden="false" customHeight="true" outlineLevel="0" collapsed="false">
      <c r="A395" s="531"/>
      <c r="B395" s="531"/>
      <c r="C395" s="531"/>
      <c r="D395" s="531"/>
      <c r="E395" s="531"/>
      <c r="F395" s="531"/>
      <c r="G395" s="531"/>
      <c r="H395" s="531"/>
      <c r="I395" s="531"/>
      <c r="J395" s="531"/>
      <c r="K395" s="531"/>
      <c r="L395" s="531"/>
      <c r="M395" s="531"/>
      <c r="N395" s="547" t="n">
        <f aca="false">IF('(1)예금승인내역'!H1021="","",'(1)예금승인내역'!H1021)</f>
        <v>45961</v>
      </c>
      <c r="O395" s="547" t="n">
        <f aca="false">IF('(1)예금승인내역'!G1021="","",'(1)예금승인내역'!G1021)</f>
        <v>45954</v>
      </c>
      <c r="P395" s="531" t="str">
        <f aca="false">IF('(1)예금승인내역'!F1021="","",'(1)예금승인내역'!F1021)</f>
        <v>㈜일지테크</v>
      </c>
      <c r="Q395" s="531" t="str">
        <f aca="false">IF('(1)예금승인내역'!C1021="","",'(1)예금승인내역'!C1021)</f>
        <v>경산공단영업부</v>
      </c>
      <c r="R395" s="531" t="str">
        <f aca="false">IF('(1)예금승인내역'!K1021="","",'(1)예금승인내역'!K1021)</f>
        <v>정기예금</v>
      </c>
      <c r="S395" s="548" t="n">
        <f aca="false">IF('(1)예금승인내역'!L1021="","",'(1)예금승인내역'!L1021)</f>
        <v>2</v>
      </c>
      <c r="T395" s="549" t="n">
        <f aca="false">IF('(1)예금승인내역'!AG1021="","",'(1)예금승인내역'!AG1021)</f>
        <v>0.035</v>
      </c>
      <c r="U395" s="549" t="n">
        <f aca="false">IF('(1)예금승인내역'!X1021="","",'(1)예금승인내역'!X1021)</f>
        <v>0.003452</v>
      </c>
      <c r="V395" s="531" t="n">
        <f aca="false">IF(ISNUMBER(N395),N395-$B$2,"")</f>
        <v>-228</v>
      </c>
      <c r="W395" s="531" t="str">
        <f aca="false">IF(AND(ISNUMBER(N395),N395&gt;=$B$2,N395&lt;=$B$2+10),N395*100000+ROW(),"")</f>
        <v/>
      </c>
      <c r="X395" s="531"/>
      <c r="Y395" s="531"/>
      <c r="Z395" s="531"/>
      <c r="AA395" s="531"/>
      <c r="AB395" s="531"/>
      <c r="AC395" s="531"/>
      <c r="AD395" s="531"/>
      <c r="AE395" s="531"/>
      <c r="AF395" s="531"/>
      <c r="AG395" s="531"/>
      <c r="AH395" s="531"/>
      <c r="AI395" s="531"/>
      <c r="AJ395" s="531"/>
      <c r="AK395" s="531"/>
      <c r="AL395" s="531"/>
      <c r="AM395" s="531"/>
      <c r="AN395" s="531"/>
    </row>
    <row r="396" customFormat="false" ht="16.5" hidden="false" customHeight="true" outlineLevel="0" collapsed="false">
      <c r="A396" s="531"/>
      <c r="B396" s="531"/>
      <c r="C396" s="531"/>
      <c r="D396" s="531"/>
      <c r="E396" s="531"/>
      <c r="F396" s="531"/>
      <c r="G396" s="531"/>
      <c r="H396" s="531"/>
      <c r="I396" s="531"/>
      <c r="J396" s="531"/>
      <c r="K396" s="531"/>
      <c r="L396" s="531"/>
      <c r="M396" s="531"/>
      <c r="N396" s="547" t="n">
        <f aca="false">IF('(1)예금승인내역'!H1022="","",'(1)예금승인내역'!H1022)</f>
        <v>45961</v>
      </c>
      <c r="O396" s="547" t="n">
        <f aca="false">IF('(1)예금승인내역'!G1022="","",'(1)예금승인내역'!G1022)</f>
        <v>45954</v>
      </c>
      <c r="P396" s="531" t="str">
        <f aca="false">IF('(1)예금승인내역'!F1022="","",'(1)예금승인내역'!F1022)</f>
        <v>㈜일지테크</v>
      </c>
      <c r="Q396" s="531" t="str">
        <f aca="false">IF('(1)예금승인내역'!C1022="","",'(1)예금승인내역'!C1022)</f>
        <v>경산공단영업부</v>
      </c>
      <c r="R396" s="531" t="str">
        <f aca="false">IF('(1)예금승인내역'!K1022="","",'(1)예금승인내역'!K1022)</f>
        <v>정기예금</v>
      </c>
      <c r="S396" s="548" t="n">
        <f aca="false">IF('(1)예금승인내역'!L1022="","",'(1)예금승인내역'!L1022)</f>
        <v>2</v>
      </c>
      <c r="T396" s="549" t="n">
        <f aca="false">IF('(1)예금승인내역'!AG1022="","",'(1)예금승인내역'!AG1022)</f>
        <v>0.035</v>
      </c>
      <c r="U396" s="549" t="n">
        <f aca="false">IF('(1)예금승인내역'!X1022="","",'(1)예금승인내역'!X1022)</f>
        <v>0.003452</v>
      </c>
      <c r="V396" s="531" t="n">
        <f aca="false">IF(ISNUMBER(N396),N396-$B$2,"")</f>
        <v>-228</v>
      </c>
      <c r="W396" s="531" t="str">
        <f aca="false">IF(AND(ISNUMBER(N396),N396&gt;=$B$2,N396&lt;=$B$2+10),N396*100000+ROW(),"")</f>
        <v/>
      </c>
      <c r="X396" s="531"/>
      <c r="Y396" s="531"/>
      <c r="Z396" s="531"/>
      <c r="AA396" s="531"/>
      <c r="AB396" s="531"/>
      <c r="AC396" s="531"/>
      <c r="AD396" s="531"/>
      <c r="AE396" s="531"/>
      <c r="AF396" s="531"/>
      <c r="AG396" s="531"/>
      <c r="AH396" s="531"/>
      <c r="AI396" s="531"/>
      <c r="AJ396" s="531"/>
      <c r="AK396" s="531"/>
      <c r="AL396" s="531"/>
      <c r="AM396" s="531"/>
      <c r="AN396" s="531"/>
    </row>
    <row r="397" customFormat="false" ht="16.5" hidden="false" customHeight="true" outlineLevel="0" collapsed="false">
      <c r="A397" s="531"/>
      <c r="B397" s="531"/>
      <c r="C397" s="531"/>
      <c r="D397" s="531"/>
      <c r="E397" s="531"/>
      <c r="F397" s="531"/>
      <c r="G397" s="531"/>
      <c r="H397" s="531"/>
      <c r="I397" s="531"/>
      <c r="J397" s="531"/>
      <c r="K397" s="531"/>
      <c r="L397" s="531"/>
      <c r="M397" s="531"/>
      <c r="N397" s="547" t="n">
        <f aca="false">IF('(1)예금승인내역'!H1023="","",'(1)예금승인내역'!H1023)</f>
        <v>45961</v>
      </c>
      <c r="O397" s="547" t="n">
        <f aca="false">IF('(1)예금승인내역'!G1023="","",'(1)예금승인내역'!G1023)</f>
        <v>45954</v>
      </c>
      <c r="P397" s="531" t="str">
        <f aca="false">IF('(1)예금승인내역'!F1023="","",'(1)예금승인내역'!F1023)</f>
        <v>㈜일지테크</v>
      </c>
      <c r="Q397" s="531" t="str">
        <f aca="false">IF('(1)예금승인내역'!C1023="","",'(1)예금승인내역'!C1023)</f>
        <v>경산공단영업부</v>
      </c>
      <c r="R397" s="531" t="str">
        <f aca="false">IF('(1)예금승인내역'!K1023="","",'(1)예금승인내역'!K1023)</f>
        <v>정기예금</v>
      </c>
      <c r="S397" s="548" t="n">
        <f aca="false">IF('(1)예금승인내역'!L1023="","",'(1)예금승인내역'!L1023)</f>
        <v>2</v>
      </c>
      <c r="T397" s="549" t="n">
        <f aca="false">IF('(1)예금승인내역'!AG1023="","",'(1)예금승인내역'!AG1023)</f>
        <v>0.035</v>
      </c>
      <c r="U397" s="549" t="n">
        <f aca="false">IF('(1)예금승인내역'!X1023="","",'(1)예금승인내역'!X1023)</f>
        <v>0.003452</v>
      </c>
      <c r="V397" s="531" t="n">
        <f aca="false">IF(ISNUMBER(N397),N397-$B$2,"")</f>
        <v>-228</v>
      </c>
      <c r="W397" s="531" t="str">
        <f aca="false">IF(AND(ISNUMBER(N397),N397&gt;=$B$2,N397&lt;=$B$2+10),N397*100000+ROW(),"")</f>
        <v/>
      </c>
      <c r="X397" s="531"/>
      <c r="Y397" s="531"/>
      <c r="Z397" s="531"/>
      <c r="AA397" s="531"/>
      <c r="AB397" s="531"/>
      <c r="AC397" s="531"/>
      <c r="AD397" s="531"/>
      <c r="AE397" s="531"/>
      <c r="AF397" s="531"/>
      <c r="AG397" s="531"/>
      <c r="AH397" s="531"/>
      <c r="AI397" s="531"/>
      <c r="AJ397" s="531"/>
      <c r="AK397" s="531"/>
      <c r="AL397" s="531"/>
      <c r="AM397" s="531"/>
      <c r="AN397" s="531"/>
    </row>
    <row r="398" customFormat="false" ht="16.5" hidden="false" customHeight="true" outlineLevel="0" collapsed="false">
      <c r="A398" s="531"/>
      <c r="B398" s="531"/>
      <c r="C398" s="531"/>
      <c r="D398" s="531"/>
      <c r="E398" s="531"/>
      <c r="F398" s="531"/>
      <c r="G398" s="531"/>
      <c r="H398" s="531"/>
      <c r="I398" s="531"/>
      <c r="J398" s="531"/>
      <c r="K398" s="531"/>
      <c r="L398" s="531"/>
      <c r="M398" s="531"/>
      <c r="N398" s="547" t="n">
        <f aca="false">IF('(1)예금승인내역'!H1024="","",'(1)예금승인내역'!H1024)</f>
        <v>45988</v>
      </c>
      <c r="O398" s="547" t="n">
        <f aca="false">IF('(1)예금승인내역'!G1024="","",'(1)예금승인내역'!G1024)</f>
        <v>45957</v>
      </c>
      <c r="P398" s="531" t="str">
        <f aca="false">IF('(1)예금승인내역'!F1024="","",'(1)예금승인내역'!F1024)</f>
        <v>㈜와이투솔루션</v>
      </c>
      <c r="Q398" s="531" t="str">
        <f aca="false">IF('(1)예금승인내역'!C1024="","",'(1)예금승인내역'!C1024)</f>
        <v>화성금융센터</v>
      </c>
      <c r="R398" s="531" t="str">
        <f aca="false">IF('(1)예금승인내역'!K1024="","",'(1)예금승인내역'!K1024)</f>
        <v>MMDA</v>
      </c>
      <c r="S398" s="548" t="n">
        <f aca="false">IF('(1)예금승인내역'!L1024="","",'(1)예금승인내역'!L1024)</f>
        <v>1</v>
      </c>
      <c r="T398" s="549" t="n">
        <f aca="false">IF('(1)예금승인내역'!AG1024="","",'(1)예금승인내역'!AG1024)</f>
        <v>0.034</v>
      </c>
      <c r="U398" s="549" t="n">
        <f aca="false">IF('(1)예금승인내역'!X1024="","",'(1)예금승인내역'!X1024)</f>
        <v>0.004209</v>
      </c>
      <c r="V398" s="531" t="n">
        <f aca="false">IF(ISNUMBER(N398),N398-$B$2,"")</f>
        <v>-201</v>
      </c>
      <c r="W398" s="531" t="str">
        <f aca="false">IF(AND(ISNUMBER(N398),N398&gt;=$B$2,N398&lt;=$B$2+10),N398*100000+ROW(),"")</f>
        <v/>
      </c>
      <c r="X398" s="531"/>
      <c r="Y398" s="531"/>
      <c r="Z398" s="531"/>
      <c r="AA398" s="531"/>
      <c r="AB398" s="531"/>
      <c r="AC398" s="531"/>
      <c r="AD398" s="531"/>
      <c r="AE398" s="531"/>
      <c r="AF398" s="531"/>
      <c r="AG398" s="531"/>
      <c r="AH398" s="531"/>
      <c r="AI398" s="531"/>
      <c r="AJ398" s="531"/>
      <c r="AK398" s="531"/>
      <c r="AL398" s="531"/>
      <c r="AM398" s="531"/>
      <c r="AN398" s="531"/>
    </row>
    <row r="399" customFormat="false" ht="16.5" hidden="false" customHeight="true" outlineLevel="0" collapsed="false">
      <c r="A399" s="531"/>
      <c r="B399" s="531"/>
      <c r="C399" s="531"/>
      <c r="D399" s="531"/>
      <c r="E399" s="531"/>
      <c r="F399" s="531"/>
      <c r="G399" s="531"/>
      <c r="H399" s="531"/>
      <c r="I399" s="531"/>
      <c r="J399" s="531"/>
      <c r="K399" s="531"/>
      <c r="L399" s="531"/>
      <c r="M399" s="531"/>
      <c r="N399" s="547" t="n">
        <f aca="false">IF('(1)예금승인내역'!H1025="","",'(1)예금승인내역'!H1025)</f>
        <v>45992</v>
      </c>
      <c r="O399" s="547" t="n">
        <f aca="false">IF('(1)예금승인내역'!G1025="","",'(1)예금승인내역'!G1025)</f>
        <v>45959</v>
      </c>
      <c r="P399" s="531" t="str">
        <f aca="false">IF('(1)예금승인내역'!F1025="","",'(1)예금승인내역'!F1025)</f>
        <v>디오㈜</v>
      </c>
      <c r="Q399" s="531" t="str">
        <f aca="false">IF('(1)예금승인내역'!C1025="","",'(1)예금승인내역'!C1025)</f>
        <v>화성금융센터</v>
      </c>
      <c r="R399" s="531" t="str">
        <f aca="false">IF('(1)예금승인내역'!K1025="","",'(1)예금승인내역'!K1025)</f>
        <v>정기예금</v>
      </c>
      <c r="S399" s="548" t="n">
        <f aca="false">IF('(1)예금승인내역'!L1025="","",'(1)예금승인내역'!L1025)</f>
        <v>2</v>
      </c>
      <c r="T399" s="549" t="n">
        <f aca="false">IF('(1)예금승인내역'!AG1025="","",'(1)예금승인내역'!AG1025)</f>
        <v>0.037</v>
      </c>
      <c r="U399" s="549" t="n">
        <f aca="false">IF('(1)예금승인내역'!X1025="","",'(1)예금승인내역'!X1025)</f>
        <v>0.00314</v>
      </c>
      <c r="V399" s="531" t="n">
        <f aca="false">IF(ISNUMBER(N399),N399-$B$2,"")</f>
        <v>-197</v>
      </c>
      <c r="W399" s="531" t="str">
        <f aca="false">IF(AND(ISNUMBER(N399),N399&gt;=$B$2,N399&lt;=$B$2+10),N399*100000+ROW(),"")</f>
        <v/>
      </c>
      <c r="X399" s="531"/>
      <c r="Y399" s="531"/>
      <c r="Z399" s="531"/>
      <c r="AA399" s="531"/>
      <c r="AB399" s="531"/>
      <c r="AC399" s="531"/>
      <c r="AD399" s="531"/>
      <c r="AE399" s="531"/>
      <c r="AF399" s="531"/>
      <c r="AG399" s="531"/>
      <c r="AH399" s="531"/>
      <c r="AI399" s="531"/>
      <c r="AJ399" s="531"/>
      <c r="AK399" s="531"/>
      <c r="AL399" s="531"/>
      <c r="AM399" s="531"/>
      <c r="AN399" s="531"/>
    </row>
    <row r="400" customFormat="false" ht="16.5" hidden="false" customHeight="true" outlineLevel="0" collapsed="false">
      <c r="A400" s="531"/>
      <c r="B400" s="531"/>
      <c r="C400" s="531"/>
      <c r="D400" s="531"/>
      <c r="E400" s="531"/>
      <c r="F400" s="531"/>
      <c r="G400" s="531"/>
      <c r="H400" s="531"/>
      <c r="I400" s="531"/>
      <c r="J400" s="531"/>
      <c r="K400" s="531"/>
      <c r="L400" s="531"/>
      <c r="M400" s="531"/>
      <c r="N400" s="547" t="n">
        <f aca="false">IF('(1)예금승인내역'!H1026="","",'(1)예금승인내역'!H1026)</f>
        <v>45992</v>
      </c>
      <c r="O400" s="547" t="n">
        <f aca="false">IF('(1)예금승인내역'!G1026="","",'(1)예금승인내역'!G1026)</f>
        <v>45959</v>
      </c>
      <c r="P400" s="531" t="str">
        <f aca="false">IF('(1)예금승인내역'!F1026="","",'(1)예금승인내역'!F1026)</f>
        <v>미래에셋컨설팅</v>
      </c>
      <c r="Q400" s="531" t="str">
        <f aca="false">IF('(1)예금승인내역'!C1026="","",'(1)예금승인내역'!C1026)</f>
        <v>서울영업부</v>
      </c>
      <c r="R400" s="531" t="str">
        <f aca="false">IF('(1)예금승인내역'!K1026="","",'(1)예금승인내역'!K1026)</f>
        <v>정기예금</v>
      </c>
      <c r="S400" s="548" t="n">
        <f aca="false">IF('(1)예금승인내역'!L1026="","",'(1)예금승인내역'!L1026)</f>
        <v>2</v>
      </c>
      <c r="T400" s="549" t="n">
        <f aca="false">IF('(1)예금승인내역'!AG1026="","",'(1)예금승인내역'!AG1026)</f>
        <v>0.037</v>
      </c>
      <c r="U400" s="549" t="n">
        <f aca="false">IF('(1)예금승인내역'!X1026="","",'(1)예금승인내역'!X1026)</f>
        <v>0.003144</v>
      </c>
      <c r="V400" s="531" t="n">
        <f aca="false">IF(ISNUMBER(N400),N400-$B$2,"")</f>
        <v>-197</v>
      </c>
      <c r="W400" s="531" t="str">
        <f aca="false">IF(AND(ISNUMBER(N400),N400&gt;=$B$2,N400&lt;=$B$2+10),N400*100000+ROW(),"")</f>
        <v/>
      </c>
      <c r="X400" s="531"/>
      <c r="Y400" s="531"/>
      <c r="Z400" s="531"/>
      <c r="AA400" s="531"/>
      <c r="AB400" s="531"/>
      <c r="AC400" s="531"/>
      <c r="AD400" s="531"/>
      <c r="AE400" s="531"/>
      <c r="AF400" s="531"/>
      <c r="AG400" s="531"/>
      <c r="AH400" s="531"/>
      <c r="AI400" s="531"/>
      <c r="AJ400" s="531"/>
      <c r="AK400" s="531"/>
      <c r="AL400" s="531"/>
      <c r="AM400" s="531"/>
      <c r="AN400" s="531"/>
    </row>
    <row r="401" customFormat="false" ht="16.5" hidden="false" customHeight="true" outlineLevel="0" collapsed="false">
      <c r="A401" s="531"/>
      <c r="B401" s="531"/>
      <c r="C401" s="531"/>
      <c r="D401" s="531"/>
      <c r="E401" s="531"/>
      <c r="F401" s="531"/>
      <c r="G401" s="531"/>
      <c r="H401" s="531"/>
      <c r="I401" s="531"/>
      <c r="J401" s="531"/>
      <c r="K401" s="531"/>
      <c r="L401" s="531"/>
      <c r="M401" s="531"/>
      <c r="N401" s="547" t="n">
        <f aca="false">IF('(1)예금승인내역'!H1027="","",'(1)예금승인내역'!H1027)</f>
        <v>45992</v>
      </c>
      <c r="O401" s="547" t="n">
        <f aca="false">IF('(1)예금승인내역'!G1027="","",'(1)예금승인내역'!G1027)</f>
        <v>45959</v>
      </c>
      <c r="P401" s="531" t="str">
        <f aca="false">IF('(1)예금승인내역'!F1027="","",'(1)예금승인내역'!F1027)</f>
        <v>한화에어로스페이스</v>
      </c>
      <c r="Q401" s="531" t="str">
        <f aca="false">IF('(1)예금승인내역'!C1027="","",'(1)예금승인내역'!C1027)</f>
        <v>서울영업부</v>
      </c>
      <c r="R401" s="531" t="str">
        <f aca="false">IF('(1)예금승인내역'!K1027="","",'(1)예금승인내역'!K1027)</f>
        <v>정기예금</v>
      </c>
      <c r="S401" s="548" t="n">
        <f aca="false">IF('(1)예금승인내역'!L1027="","",'(1)예금승인내역'!L1027)</f>
        <v>10</v>
      </c>
      <c r="T401" s="549" t="n">
        <f aca="false">IF('(1)예금승인내역'!AG1027="","",'(1)예금승인내역'!AG1027)</f>
        <v>0.0375</v>
      </c>
      <c r="U401" s="549" t="n">
        <f aca="false">IF('(1)예금승인내역'!X1027="","",'(1)예금승인내역'!X1027)</f>
        <v>0.00264</v>
      </c>
      <c r="V401" s="531" t="n">
        <f aca="false">IF(ISNUMBER(N401),N401-$B$2,"")</f>
        <v>-197</v>
      </c>
      <c r="W401" s="531" t="str">
        <f aca="false">IF(AND(ISNUMBER(N401),N401&gt;=$B$2,N401&lt;=$B$2+10),N401*100000+ROW(),"")</f>
        <v/>
      </c>
      <c r="X401" s="531"/>
      <c r="Y401" s="531"/>
      <c r="Z401" s="531"/>
      <c r="AA401" s="531"/>
      <c r="AB401" s="531"/>
      <c r="AC401" s="531"/>
      <c r="AD401" s="531"/>
      <c r="AE401" s="531"/>
      <c r="AF401" s="531"/>
      <c r="AG401" s="531"/>
      <c r="AH401" s="531"/>
      <c r="AI401" s="531"/>
      <c r="AJ401" s="531"/>
      <c r="AK401" s="531"/>
      <c r="AL401" s="531"/>
      <c r="AM401" s="531"/>
      <c r="AN401" s="531"/>
    </row>
    <row r="402" customFormat="false" ht="16.5" hidden="false" customHeight="true" outlineLevel="0" collapsed="false">
      <c r="A402" s="531"/>
      <c r="B402" s="531"/>
      <c r="C402" s="531"/>
      <c r="D402" s="531"/>
      <c r="E402" s="531"/>
      <c r="F402" s="531"/>
      <c r="G402" s="531"/>
      <c r="H402" s="531"/>
      <c r="I402" s="531"/>
      <c r="J402" s="531"/>
      <c r="K402" s="531"/>
      <c r="L402" s="531"/>
      <c r="M402" s="531"/>
      <c r="N402" s="547" t="n">
        <f aca="false">IF('(1)예금승인내역'!H1028="","",'(1)예금승인내역'!H1028)</f>
        <v>46052</v>
      </c>
      <c r="O402" s="547" t="n">
        <f aca="false">IF('(1)예금승인내역'!G1028="","",'(1)예금승인내역'!G1028)</f>
        <v>45960</v>
      </c>
      <c r="P402" s="531" t="str">
        <f aca="false">IF('(1)예금승인내역'!F1028="","",'(1)예금승인내역'!F1028)</f>
        <v>와이엠에스에이</v>
      </c>
      <c r="Q402" s="531" t="str">
        <f aca="false">IF('(1)예금승인내역'!C1028="","",'(1)예금승인내역'!C1028)</f>
        <v>본점영업부</v>
      </c>
      <c r="R402" s="531" t="str">
        <f aca="false">IF('(1)예금승인내역'!K1028="","",'(1)예금승인내역'!K1028)</f>
        <v>정기예금</v>
      </c>
      <c r="S402" s="548" t="n">
        <f aca="false">IF('(1)예금승인내역'!L1028="","",'(1)예금승인내역'!L1028)</f>
        <v>4</v>
      </c>
      <c r="T402" s="549" t="n">
        <f aca="false">IF('(1)예금승인내역'!AG1028="","",'(1)예금승인내역'!AG1028)</f>
        <v>0.0372</v>
      </c>
      <c r="U402" s="549" t="n">
        <f aca="false">IF('(1)예금승인내역'!X1028="","",'(1)예금승인내역'!X1028)</f>
        <v>0.003039</v>
      </c>
      <c r="V402" s="531" t="n">
        <f aca="false">IF(ISNUMBER(N402),N402-$B$2,"")</f>
        <v>-137</v>
      </c>
      <c r="W402" s="531" t="str">
        <f aca="false">IF(AND(ISNUMBER(N402),N402&gt;=$B$2,N402&lt;=$B$2+10),N402*100000+ROW(),"")</f>
        <v/>
      </c>
      <c r="X402" s="531"/>
      <c r="Y402" s="531"/>
      <c r="Z402" s="531"/>
      <c r="AA402" s="531"/>
      <c r="AB402" s="531"/>
      <c r="AC402" s="531"/>
      <c r="AD402" s="531"/>
      <c r="AE402" s="531"/>
      <c r="AF402" s="531"/>
      <c r="AG402" s="531"/>
      <c r="AH402" s="531"/>
      <c r="AI402" s="531"/>
      <c r="AJ402" s="531"/>
      <c r="AK402" s="531"/>
      <c r="AL402" s="531"/>
      <c r="AM402" s="531"/>
      <c r="AN402" s="531"/>
    </row>
    <row r="403" customFormat="false" ht="16.5" hidden="false" customHeight="true" outlineLevel="0" collapsed="false">
      <c r="A403" s="531"/>
      <c r="B403" s="531"/>
      <c r="C403" s="531"/>
      <c r="D403" s="531"/>
      <c r="E403" s="531"/>
      <c r="F403" s="531"/>
      <c r="G403" s="531"/>
      <c r="H403" s="531"/>
      <c r="I403" s="531"/>
      <c r="J403" s="531"/>
      <c r="K403" s="531"/>
      <c r="L403" s="531"/>
      <c r="M403" s="531"/>
      <c r="N403" s="547" t="n">
        <f aca="false">IF('(1)예금승인내역'!H1029="","",'(1)예금승인내역'!H1029)</f>
        <v>45968</v>
      </c>
      <c r="O403" s="547" t="n">
        <f aca="false">IF('(1)예금승인내역'!G1029="","",'(1)예금승인내역'!G1029)</f>
        <v>45961</v>
      </c>
      <c r="P403" s="531" t="str">
        <f aca="false">IF('(1)예금승인내역'!F1029="","",'(1)예금승인내역'!F1029)</f>
        <v>㈜일지테크</v>
      </c>
      <c r="Q403" s="531" t="str">
        <f aca="false">IF('(1)예금승인내역'!C1029="","",'(1)예금승인내역'!C1029)</f>
        <v>경산공단영업부</v>
      </c>
      <c r="R403" s="531" t="str">
        <f aca="false">IF('(1)예금승인내역'!K1029="","",'(1)예금승인내역'!K1029)</f>
        <v>정기예금</v>
      </c>
      <c r="S403" s="548" t="n">
        <f aca="false">IF('(1)예금승인내역'!L1029="","",'(1)예금승인내역'!L1029)</f>
        <v>1.5</v>
      </c>
      <c r="T403" s="549" t="n">
        <f aca="false">IF('(1)예금승인내역'!AG1029="","",'(1)예금승인내역'!AG1029)</f>
        <v>0.035</v>
      </c>
      <c r="U403" s="549" t="n">
        <f aca="false">IF('(1)예금승인내역'!X1029="","",'(1)예금승인내역'!X1029)</f>
        <v>0.003944</v>
      </c>
      <c r="V403" s="531" t="n">
        <f aca="false">IF(ISNUMBER(N403),N403-$B$2,"")</f>
        <v>-221</v>
      </c>
      <c r="W403" s="531" t="str">
        <f aca="false">IF(AND(ISNUMBER(N403),N403&gt;=$B$2,N403&lt;=$B$2+10),N403*100000+ROW(),"")</f>
        <v/>
      </c>
      <c r="X403" s="531"/>
      <c r="Y403" s="531"/>
      <c r="Z403" s="531"/>
      <c r="AA403" s="531"/>
      <c r="AB403" s="531"/>
      <c r="AC403" s="531"/>
      <c r="AD403" s="531"/>
      <c r="AE403" s="531"/>
      <c r="AF403" s="531"/>
      <c r="AG403" s="531"/>
      <c r="AH403" s="531"/>
      <c r="AI403" s="531"/>
      <c r="AJ403" s="531"/>
      <c r="AK403" s="531"/>
      <c r="AL403" s="531"/>
      <c r="AM403" s="531"/>
      <c r="AN403" s="531"/>
    </row>
    <row r="404" customFormat="false" ht="16.5" hidden="false" customHeight="true" outlineLevel="0" collapsed="false">
      <c r="A404" s="531"/>
      <c r="B404" s="531"/>
      <c r="C404" s="531"/>
      <c r="D404" s="531"/>
      <c r="E404" s="531"/>
      <c r="F404" s="531"/>
      <c r="G404" s="531"/>
      <c r="H404" s="531"/>
      <c r="I404" s="531"/>
      <c r="J404" s="531"/>
      <c r="K404" s="531"/>
      <c r="L404" s="531"/>
      <c r="M404" s="531"/>
      <c r="N404" s="547" t="n">
        <f aca="false">IF('(1)예금승인내역'!H1030="","",'(1)예금승인내역'!H1030)</f>
        <v>45968</v>
      </c>
      <c r="O404" s="547" t="n">
        <f aca="false">IF('(1)예금승인내역'!G1030="","",'(1)예금승인내역'!G1030)</f>
        <v>45961</v>
      </c>
      <c r="P404" s="531" t="str">
        <f aca="false">IF('(1)예금승인내역'!F1030="","",'(1)예금승인내역'!F1030)</f>
        <v>㈜일지테크</v>
      </c>
      <c r="Q404" s="531" t="str">
        <f aca="false">IF('(1)예금승인내역'!C1030="","",'(1)예금승인내역'!C1030)</f>
        <v>경산공단영업부</v>
      </c>
      <c r="R404" s="531" t="str">
        <f aca="false">IF('(1)예금승인내역'!K1030="","",'(1)예금승인내역'!K1030)</f>
        <v>정기예금</v>
      </c>
      <c r="S404" s="548" t="n">
        <f aca="false">IF('(1)예금승인내역'!L1030="","",'(1)예금승인내역'!L1030)</f>
        <v>2</v>
      </c>
      <c r="T404" s="549" t="n">
        <f aca="false">IF('(1)예금승인내역'!AG1030="","",'(1)예금승인내역'!AG1030)</f>
        <v>0.035</v>
      </c>
      <c r="U404" s="549" t="n">
        <f aca="false">IF('(1)예금승인내역'!X1030="","",'(1)예금승인내역'!X1030)</f>
        <v>0.003944</v>
      </c>
      <c r="V404" s="531" t="n">
        <f aca="false">IF(ISNUMBER(N404),N404-$B$2,"")</f>
        <v>-221</v>
      </c>
      <c r="W404" s="531" t="str">
        <f aca="false">IF(AND(ISNUMBER(N404),N404&gt;=$B$2,N404&lt;=$B$2+10),N404*100000+ROW(),"")</f>
        <v/>
      </c>
      <c r="X404" s="531"/>
      <c r="Y404" s="531"/>
      <c r="Z404" s="531"/>
      <c r="AA404" s="531"/>
      <c r="AB404" s="531"/>
      <c r="AC404" s="531"/>
      <c r="AD404" s="531"/>
      <c r="AE404" s="531"/>
      <c r="AF404" s="531"/>
      <c r="AG404" s="531"/>
      <c r="AH404" s="531"/>
      <c r="AI404" s="531"/>
      <c r="AJ404" s="531"/>
      <c r="AK404" s="531"/>
      <c r="AL404" s="531"/>
      <c r="AM404" s="531"/>
      <c r="AN404" s="531"/>
    </row>
    <row r="405" customFormat="false" ht="16.5" hidden="false" customHeight="true" outlineLevel="0" collapsed="false">
      <c r="A405" s="531"/>
      <c r="B405" s="531"/>
      <c r="C405" s="531"/>
      <c r="D405" s="531"/>
      <c r="E405" s="531"/>
      <c r="F405" s="531"/>
      <c r="G405" s="531"/>
      <c r="H405" s="531"/>
      <c r="I405" s="531"/>
      <c r="J405" s="531"/>
      <c r="K405" s="531"/>
      <c r="L405" s="531"/>
      <c r="M405" s="531"/>
      <c r="N405" s="547" t="n">
        <f aca="false">IF('(1)예금승인내역'!H1031="","",'(1)예금승인내역'!H1031)</f>
        <v>45968</v>
      </c>
      <c r="O405" s="547" t="n">
        <f aca="false">IF('(1)예금승인내역'!G1031="","",'(1)예금승인내역'!G1031)</f>
        <v>45961</v>
      </c>
      <c r="P405" s="531" t="str">
        <f aca="false">IF('(1)예금승인내역'!F1031="","",'(1)예금승인내역'!F1031)</f>
        <v>㈜일지테크</v>
      </c>
      <c r="Q405" s="531" t="str">
        <f aca="false">IF('(1)예금승인내역'!C1031="","",'(1)예금승인내역'!C1031)</f>
        <v>경산공단영업부</v>
      </c>
      <c r="R405" s="531" t="str">
        <f aca="false">IF('(1)예금승인내역'!K1031="","",'(1)예금승인내역'!K1031)</f>
        <v>정기예금</v>
      </c>
      <c r="S405" s="548" t="n">
        <f aca="false">IF('(1)예금승인내역'!L1031="","",'(1)예금승인내역'!L1031)</f>
        <v>2</v>
      </c>
      <c r="T405" s="549" t="n">
        <f aca="false">IF('(1)예금승인내역'!AG1031="","",'(1)예금승인내역'!AG1031)</f>
        <v>0.035</v>
      </c>
      <c r="U405" s="549" t="n">
        <f aca="false">IF('(1)예금승인내역'!X1031="","",'(1)예금승인내역'!X1031)</f>
        <v>0.003944</v>
      </c>
      <c r="V405" s="531" t="n">
        <f aca="false">IF(ISNUMBER(N405),N405-$B$2,"")</f>
        <v>-221</v>
      </c>
      <c r="W405" s="531" t="str">
        <f aca="false">IF(AND(ISNUMBER(N405),N405&gt;=$B$2,N405&lt;=$B$2+10),N405*100000+ROW(),"")</f>
        <v/>
      </c>
      <c r="X405" s="531"/>
      <c r="Y405" s="531"/>
      <c r="Z405" s="531"/>
      <c r="AA405" s="531"/>
      <c r="AB405" s="531"/>
      <c r="AC405" s="531"/>
      <c r="AD405" s="531"/>
      <c r="AE405" s="531"/>
      <c r="AF405" s="531"/>
      <c r="AG405" s="531"/>
      <c r="AH405" s="531"/>
      <c r="AI405" s="531"/>
      <c r="AJ405" s="531"/>
      <c r="AK405" s="531"/>
      <c r="AL405" s="531"/>
      <c r="AM405" s="531"/>
      <c r="AN405" s="531"/>
    </row>
    <row r="406" customFormat="false" ht="16.5" hidden="false" customHeight="true" outlineLevel="0" collapsed="false">
      <c r="A406" s="531"/>
      <c r="B406" s="531"/>
      <c r="C406" s="531"/>
      <c r="D406" s="531"/>
      <c r="E406" s="531"/>
      <c r="F406" s="531"/>
      <c r="G406" s="531"/>
      <c r="H406" s="531"/>
      <c r="I406" s="531"/>
      <c r="J406" s="531"/>
      <c r="K406" s="531"/>
      <c r="L406" s="531"/>
      <c r="M406" s="531"/>
      <c r="N406" s="547" t="n">
        <f aca="false">IF('(1)예금승인내역'!H1032="","",'(1)예금승인내역'!H1032)</f>
        <v>45968</v>
      </c>
      <c r="O406" s="547" t="n">
        <f aca="false">IF('(1)예금승인내역'!G1032="","",'(1)예금승인내역'!G1032)</f>
        <v>45961</v>
      </c>
      <c r="P406" s="531" t="str">
        <f aca="false">IF('(1)예금승인내역'!F1032="","",'(1)예금승인내역'!F1032)</f>
        <v>㈜일지테크</v>
      </c>
      <c r="Q406" s="531" t="str">
        <f aca="false">IF('(1)예금승인내역'!C1032="","",'(1)예금승인내역'!C1032)</f>
        <v>경산공단영업부</v>
      </c>
      <c r="R406" s="531" t="str">
        <f aca="false">IF('(1)예금승인내역'!K1032="","",'(1)예금승인내역'!K1032)</f>
        <v>정기예금</v>
      </c>
      <c r="S406" s="548" t="n">
        <f aca="false">IF('(1)예금승인내역'!L1032="","",'(1)예금승인내역'!L1032)</f>
        <v>2</v>
      </c>
      <c r="T406" s="549" t="n">
        <f aca="false">IF('(1)예금승인내역'!AG1032="","",'(1)예금승인내역'!AG1032)</f>
        <v>0.035</v>
      </c>
      <c r="U406" s="549" t="n">
        <f aca="false">IF('(1)예금승인내역'!X1032="","",'(1)예금승인내역'!X1032)</f>
        <v>0.003944</v>
      </c>
      <c r="V406" s="531" t="n">
        <f aca="false">IF(ISNUMBER(N406),N406-$B$2,"")</f>
        <v>-221</v>
      </c>
      <c r="W406" s="531" t="str">
        <f aca="false">IF(AND(ISNUMBER(N406),N406&gt;=$B$2,N406&lt;=$B$2+10),N406*100000+ROW(),"")</f>
        <v/>
      </c>
      <c r="X406" s="531"/>
      <c r="Y406" s="531"/>
      <c r="Z406" s="531"/>
      <c r="AA406" s="531"/>
      <c r="AB406" s="531"/>
      <c r="AC406" s="531"/>
      <c r="AD406" s="531"/>
      <c r="AE406" s="531"/>
      <c r="AF406" s="531"/>
      <c r="AG406" s="531"/>
      <c r="AH406" s="531"/>
      <c r="AI406" s="531"/>
      <c r="AJ406" s="531"/>
      <c r="AK406" s="531"/>
      <c r="AL406" s="531"/>
      <c r="AM406" s="531"/>
      <c r="AN406" s="531"/>
    </row>
    <row r="407" customFormat="false" ht="16.5" hidden="false" customHeight="true" outlineLevel="0" collapsed="false">
      <c r="A407" s="531"/>
      <c r="B407" s="531"/>
      <c r="C407" s="531"/>
      <c r="D407" s="531"/>
      <c r="E407" s="531"/>
      <c r="F407" s="531"/>
      <c r="G407" s="531"/>
      <c r="H407" s="531"/>
      <c r="I407" s="531"/>
      <c r="J407" s="531"/>
      <c r="K407" s="531"/>
      <c r="L407" s="531"/>
      <c r="M407" s="531"/>
      <c r="N407" s="547" t="n">
        <f aca="false">IF('(1)예금승인내역'!H1033="","",'(1)예금승인내역'!H1033)</f>
        <v>45968</v>
      </c>
      <c r="O407" s="547" t="n">
        <f aca="false">IF('(1)예금승인내역'!G1033="","",'(1)예금승인내역'!G1033)</f>
        <v>45961</v>
      </c>
      <c r="P407" s="531" t="str">
        <f aca="false">IF('(1)예금승인내역'!F1033="","",'(1)예금승인내역'!F1033)</f>
        <v>㈜일지테크</v>
      </c>
      <c r="Q407" s="531" t="str">
        <f aca="false">IF('(1)예금승인내역'!C1033="","",'(1)예금승인내역'!C1033)</f>
        <v>경산공단영업부</v>
      </c>
      <c r="R407" s="531" t="str">
        <f aca="false">IF('(1)예금승인내역'!K1033="","",'(1)예금승인내역'!K1033)</f>
        <v>정기예금</v>
      </c>
      <c r="S407" s="548" t="n">
        <f aca="false">IF('(1)예금승인내역'!L1033="","",'(1)예금승인내역'!L1033)</f>
        <v>2</v>
      </c>
      <c r="T407" s="549" t="n">
        <f aca="false">IF('(1)예금승인내역'!AG1033="","",'(1)예금승인내역'!AG1033)</f>
        <v>0.035</v>
      </c>
      <c r="U407" s="549" t="n">
        <f aca="false">IF('(1)예금승인내역'!X1033="","",'(1)예금승인내역'!X1033)</f>
        <v>0.003944</v>
      </c>
      <c r="V407" s="531" t="n">
        <f aca="false">IF(ISNUMBER(N407),N407-$B$2,"")</f>
        <v>-221</v>
      </c>
      <c r="W407" s="531" t="str">
        <f aca="false">IF(AND(ISNUMBER(N407),N407&gt;=$B$2,N407&lt;=$B$2+10),N407*100000+ROW(),"")</f>
        <v/>
      </c>
      <c r="X407" s="531"/>
      <c r="Y407" s="531"/>
      <c r="Z407" s="531"/>
      <c r="AA407" s="531"/>
      <c r="AB407" s="531"/>
      <c r="AC407" s="531"/>
      <c r="AD407" s="531"/>
      <c r="AE407" s="531"/>
      <c r="AF407" s="531"/>
      <c r="AG407" s="531"/>
      <c r="AH407" s="531"/>
      <c r="AI407" s="531"/>
      <c r="AJ407" s="531"/>
      <c r="AK407" s="531"/>
      <c r="AL407" s="531"/>
      <c r="AM407" s="531"/>
      <c r="AN407" s="531"/>
    </row>
    <row r="408" customFormat="false" ht="16.5" hidden="false" customHeight="true" outlineLevel="0" collapsed="false">
      <c r="A408" s="531"/>
      <c r="B408" s="531"/>
      <c r="C408" s="531"/>
      <c r="D408" s="531"/>
      <c r="E408" s="531"/>
      <c r="F408" s="531"/>
      <c r="G408" s="531"/>
      <c r="H408" s="531"/>
      <c r="I408" s="531"/>
      <c r="J408" s="531"/>
      <c r="K408" s="531"/>
      <c r="L408" s="531"/>
      <c r="M408" s="531"/>
      <c r="N408" s="547" t="n">
        <f aca="false">IF('(1)예금승인내역'!H1034="","",'(1)예금승인내역'!H1034)</f>
        <v>45968</v>
      </c>
      <c r="O408" s="547" t="n">
        <f aca="false">IF('(1)예금승인내역'!G1034="","",'(1)예금승인내역'!G1034)</f>
        <v>45961</v>
      </c>
      <c r="P408" s="531" t="str">
        <f aca="false">IF('(1)예금승인내역'!F1034="","",'(1)예금승인내역'!F1034)</f>
        <v>㈜일지테크</v>
      </c>
      <c r="Q408" s="531" t="str">
        <f aca="false">IF('(1)예금승인내역'!C1034="","",'(1)예금승인내역'!C1034)</f>
        <v>경산공단영업부</v>
      </c>
      <c r="R408" s="531" t="str">
        <f aca="false">IF('(1)예금승인내역'!K1034="","",'(1)예금승인내역'!K1034)</f>
        <v>정기예금</v>
      </c>
      <c r="S408" s="548" t="n">
        <f aca="false">IF('(1)예금승인내역'!L1034="","",'(1)예금승인내역'!L1034)</f>
        <v>2</v>
      </c>
      <c r="T408" s="549" t="n">
        <f aca="false">IF('(1)예금승인내역'!AG1034="","",'(1)예금승인내역'!AG1034)</f>
        <v>0.035</v>
      </c>
      <c r="U408" s="549" t="n">
        <f aca="false">IF('(1)예금승인내역'!X1034="","",'(1)예금승인내역'!X1034)</f>
        <v>0.003944</v>
      </c>
      <c r="V408" s="531" t="n">
        <f aca="false">IF(ISNUMBER(N408),N408-$B$2,"")</f>
        <v>-221</v>
      </c>
      <c r="W408" s="531" t="str">
        <f aca="false">IF(AND(ISNUMBER(N408),N408&gt;=$B$2,N408&lt;=$B$2+10),N408*100000+ROW(),"")</f>
        <v/>
      </c>
      <c r="X408" s="531"/>
      <c r="Y408" s="531"/>
      <c r="Z408" s="531"/>
      <c r="AA408" s="531"/>
      <c r="AB408" s="531"/>
      <c r="AC408" s="531"/>
      <c r="AD408" s="531"/>
      <c r="AE408" s="531"/>
      <c r="AF408" s="531"/>
      <c r="AG408" s="531"/>
      <c r="AH408" s="531"/>
      <c r="AI408" s="531"/>
      <c r="AJ408" s="531"/>
      <c r="AK408" s="531"/>
      <c r="AL408" s="531"/>
      <c r="AM408" s="531"/>
      <c r="AN408" s="531"/>
    </row>
    <row r="409" customFormat="false" ht="16.5" hidden="false" customHeight="true" outlineLevel="0" collapsed="false">
      <c r="A409" s="531"/>
      <c r="B409" s="531"/>
      <c r="C409" s="531"/>
      <c r="D409" s="531"/>
      <c r="E409" s="531"/>
      <c r="F409" s="531"/>
      <c r="G409" s="531"/>
      <c r="H409" s="531"/>
      <c r="I409" s="531"/>
      <c r="J409" s="531"/>
      <c r="K409" s="531"/>
      <c r="L409" s="531"/>
      <c r="M409" s="531"/>
      <c r="N409" s="547" t="n">
        <f aca="false">IF('(1)예금승인내역'!H1035="","",'(1)예금승인내역'!H1035)</f>
        <v>45968</v>
      </c>
      <c r="O409" s="547" t="n">
        <f aca="false">IF('(1)예금승인내역'!G1035="","",'(1)예금승인내역'!G1035)</f>
        <v>45961</v>
      </c>
      <c r="P409" s="531" t="str">
        <f aca="false">IF('(1)예금승인내역'!F1035="","",'(1)예금승인내역'!F1035)</f>
        <v>㈜일지테크</v>
      </c>
      <c r="Q409" s="531" t="str">
        <f aca="false">IF('(1)예금승인내역'!C1035="","",'(1)예금승인내역'!C1035)</f>
        <v>경산공단영업부</v>
      </c>
      <c r="R409" s="531" t="str">
        <f aca="false">IF('(1)예금승인내역'!K1035="","",'(1)예금승인내역'!K1035)</f>
        <v>정기예금</v>
      </c>
      <c r="S409" s="548" t="n">
        <f aca="false">IF('(1)예금승인내역'!L1035="","",'(1)예금승인내역'!L1035)</f>
        <v>4.5</v>
      </c>
      <c r="T409" s="549" t="n">
        <f aca="false">IF('(1)예금승인내역'!AG1035="","",'(1)예금승인내역'!AG1035)</f>
        <v>0.035</v>
      </c>
      <c r="U409" s="549" t="n">
        <f aca="false">IF('(1)예금승인내역'!X1035="","",'(1)예금승인내역'!X1035)</f>
        <v>0.003944</v>
      </c>
      <c r="V409" s="531" t="n">
        <f aca="false">IF(ISNUMBER(N409),N409-$B$2,"")</f>
        <v>-221</v>
      </c>
      <c r="W409" s="531" t="str">
        <f aca="false">IF(AND(ISNUMBER(N409),N409&gt;=$B$2,N409&lt;=$B$2+10),N409*100000+ROW(),"")</f>
        <v/>
      </c>
      <c r="X409" s="531"/>
      <c r="Y409" s="531"/>
      <c r="Z409" s="531"/>
      <c r="AA409" s="531"/>
      <c r="AB409" s="531"/>
      <c r="AC409" s="531"/>
      <c r="AD409" s="531"/>
      <c r="AE409" s="531"/>
      <c r="AF409" s="531"/>
      <c r="AG409" s="531"/>
      <c r="AH409" s="531"/>
      <c r="AI409" s="531"/>
      <c r="AJ409" s="531"/>
      <c r="AK409" s="531"/>
      <c r="AL409" s="531"/>
      <c r="AM409" s="531"/>
      <c r="AN409" s="531"/>
    </row>
    <row r="410" customFormat="false" ht="16.5" hidden="false" customHeight="true" outlineLevel="0" collapsed="false">
      <c r="A410" s="531"/>
      <c r="B410" s="531"/>
      <c r="C410" s="531"/>
      <c r="D410" s="531"/>
      <c r="E410" s="531"/>
      <c r="F410" s="531"/>
      <c r="G410" s="531"/>
      <c r="H410" s="531"/>
      <c r="I410" s="531"/>
      <c r="J410" s="531"/>
      <c r="K410" s="531"/>
      <c r="L410" s="531"/>
      <c r="M410" s="531"/>
      <c r="N410" s="547" t="n">
        <f aca="false">IF('(1)예금승인내역'!H1036="","",'(1)예금승인내역'!H1036)</f>
        <v>45994</v>
      </c>
      <c r="O410" s="547" t="n">
        <f aca="false">IF('(1)예금승인내역'!G1036="","",'(1)예금승인내역'!G1036)</f>
        <v>45964</v>
      </c>
      <c r="P410" s="531" t="str">
        <f aca="false">IF('(1)예금승인내역'!F1036="","",'(1)예금승인내역'!F1036)</f>
        <v>㈜지엠메탈</v>
      </c>
      <c r="Q410" s="531" t="str">
        <f aca="false">IF('(1)예금승인내역'!C1036="","",'(1)예금승인내역'!C1036)</f>
        <v>이현공단영업부</v>
      </c>
      <c r="R410" s="531" t="str">
        <f aca="false">IF('(1)예금승인내역'!K1036="","",'(1)예금승인내역'!K1036)</f>
        <v>MMDA</v>
      </c>
      <c r="S410" s="548" t="n">
        <f aca="false">IF('(1)예금승인내역'!L1036="","",'(1)예금승인내역'!L1036)</f>
        <v>1.25</v>
      </c>
      <c r="T410" s="549" t="n">
        <f aca="false">IF('(1)예금승인내역'!AG1036="","",'(1)예금승인내역'!AG1036)</f>
        <v>0.0335</v>
      </c>
      <c r="U410" s="549" t="n">
        <f aca="false">IF('(1)예금승인내역'!X1036="","",'(1)예금승인내역'!X1036)</f>
        <v>0.004657</v>
      </c>
      <c r="V410" s="531" t="n">
        <f aca="false">IF(ISNUMBER(N410),N410-$B$2,"")</f>
        <v>-195</v>
      </c>
      <c r="W410" s="531" t="str">
        <f aca="false">IF(AND(ISNUMBER(N410),N410&gt;=$B$2,N410&lt;=$B$2+10),N410*100000+ROW(),"")</f>
        <v/>
      </c>
      <c r="X410" s="531"/>
      <c r="Y410" s="531"/>
      <c r="Z410" s="531"/>
      <c r="AA410" s="531"/>
      <c r="AB410" s="531"/>
      <c r="AC410" s="531"/>
      <c r="AD410" s="531"/>
      <c r="AE410" s="531"/>
      <c r="AF410" s="531"/>
      <c r="AG410" s="531"/>
      <c r="AH410" s="531"/>
      <c r="AI410" s="531"/>
      <c r="AJ410" s="531"/>
      <c r="AK410" s="531"/>
      <c r="AL410" s="531"/>
      <c r="AM410" s="531"/>
      <c r="AN410" s="531"/>
    </row>
    <row r="411" customFormat="false" ht="16.5" hidden="false" customHeight="true" outlineLevel="0" collapsed="false">
      <c r="A411" s="531"/>
      <c r="B411" s="531"/>
      <c r="C411" s="531"/>
      <c r="D411" s="531"/>
      <c r="E411" s="531"/>
      <c r="F411" s="531"/>
      <c r="G411" s="531"/>
      <c r="H411" s="531"/>
      <c r="I411" s="531"/>
      <c r="J411" s="531"/>
      <c r="K411" s="531"/>
      <c r="L411" s="531"/>
      <c r="M411" s="531"/>
      <c r="N411" s="547" t="n">
        <f aca="false">IF('(1)예금승인내역'!H1037="","",'(1)예금승인내역'!H1037)</f>
        <v>45994</v>
      </c>
      <c r="O411" s="547" t="n">
        <f aca="false">IF('(1)예금승인내역'!G1037="","",'(1)예금승인내역'!G1037)</f>
        <v>45964</v>
      </c>
      <c r="P411" s="531" t="str">
        <f aca="false">IF('(1)예금승인내역'!F1037="","",'(1)예금승인내역'!F1037)</f>
        <v>국제금속</v>
      </c>
      <c r="Q411" s="531" t="str">
        <f aca="false">IF('(1)예금승인내역'!C1037="","",'(1)예금승인내역'!C1037)</f>
        <v>영천영업부</v>
      </c>
      <c r="R411" s="531" t="str">
        <f aca="false">IF('(1)예금승인내역'!K1037="","",'(1)예금승인내역'!K1037)</f>
        <v>MMDA</v>
      </c>
      <c r="S411" s="548" t="n">
        <f aca="false">IF('(1)예금승인내역'!L1037="","",'(1)예금승인내역'!L1037)</f>
        <v>6.53</v>
      </c>
      <c r="T411" s="549" t="n">
        <f aca="false">IF('(1)예금승인내역'!AG1037="","",'(1)예금승인내역'!AG1037)</f>
        <v>0.0335</v>
      </c>
      <c r="U411" s="549" t="n">
        <f aca="false">IF('(1)예금승인내역'!X1037="","",'(1)예금승인내역'!X1037)</f>
        <v>0.004657</v>
      </c>
      <c r="V411" s="531" t="n">
        <f aca="false">IF(ISNUMBER(N411),N411-$B$2,"")</f>
        <v>-195</v>
      </c>
      <c r="W411" s="531" t="str">
        <f aca="false">IF(AND(ISNUMBER(N411),N411&gt;=$B$2,N411&lt;=$B$2+10),N411*100000+ROW(),"")</f>
        <v/>
      </c>
      <c r="X411" s="531"/>
      <c r="Y411" s="531"/>
      <c r="Z411" s="531"/>
      <c r="AA411" s="531"/>
      <c r="AB411" s="531"/>
      <c r="AC411" s="531"/>
      <c r="AD411" s="531"/>
      <c r="AE411" s="531"/>
      <c r="AF411" s="531"/>
      <c r="AG411" s="531"/>
      <c r="AH411" s="531"/>
      <c r="AI411" s="531"/>
      <c r="AJ411" s="531"/>
      <c r="AK411" s="531"/>
      <c r="AL411" s="531"/>
      <c r="AM411" s="531"/>
      <c r="AN411" s="531"/>
    </row>
    <row r="412" customFormat="false" ht="16.5" hidden="false" customHeight="true" outlineLevel="0" collapsed="false">
      <c r="A412" s="531"/>
      <c r="B412" s="531"/>
      <c r="C412" s="531"/>
      <c r="D412" s="531"/>
      <c r="E412" s="531"/>
      <c r="F412" s="531"/>
      <c r="G412" s="531"/>
      <c r="H412" s="531"/>
      <c r="I412" s="531"/>
      <c r="J412" s="531"/>
      <c r="K412" s="531"/>
      <c r="L412" s="531"/>
      <c r="M412" s="531"/>
      <c r="N412" s="547" t="n">
        <f aca="false">IF('(1)예금승인내역'!H1038="","",'(1)예금승인내역'!H1038)</f>
        <v>46057</v>
      </c>
      <c r="O412" s="547" t="n">
        <f aca="false">IF('(1)예금승인내역'!G1038="","",'(1)예금승인내역'!G1038)</f>
        <v>45965</v>
      </c>
      <c r="P412" s="531" t="str">
        <f aca="false">IF('(1)예금승인내역'!F1038="","",'(1)예금승인내역'!F1038)</f>
        <v>해내다컨트리클럽</v>
      </c>
      <c r="Q412" s="531" t="str">
        <f aca="false">IF('(1)예금승인내역'!C1038="","",'(1)예금승인내역'!C1038)</f>
        <v>달성공단영업부</v>
      </c>
      <c r="R412" s="531" t="str">
        <f aca="false">IF('(1)예금승인내역'!K1038="","",'(1)예금승인내역'!K1038)</f>
        <v>자유적립예금</v>
      </c>
      <c r="S412" s="548" t="n">
        <f aca="false">IF('(1)예금승인내역'!L1038="","",'(1)예금승인내역'!L1038)</f>
        <v>2.13</v>
      </c>
      <c r="T412" s="549" t="n">
        <f aca="false">IF('(1)예금승인내역'!AG1038="","",'(1)예금승인내역'!AG1038)</f>
        <v>0.0378</v>
      </c>
      <c r="U412" s="549" t="n">
        <f aca="false">IF('(1)예금승인내역'!X1038="","",'(1)예금승인내역'!X1038)</f>
        <v>0.002943</v>
      </c>
      <c r="V412" s="531" t="n">
        <f aca="false">IF(ISNUMBER(N412),N412-$B$2,"")</f>
        <v>-132</v>
      </c>
      <c r="W412" s="531" t="str">
        <f aca="false">IF(AND(ISNUMBER(N412),N412&gt;=$B$2,N412&lt;=$B$2+10),N412*100000+ROW(),"")</f>
        <v/>
      </c>
      <c r="X412" s="531"/>
      <c r="Y412" s="531"/>
      <c r="Z412" s="531"/>
      <c r="AA412" s="531"/>
      <c r="AB412" s="531"/>
      <c r="AC412" s="531"/>
      <c r="AD412" s="531"/>
      <c r="AE412" s="531"/>
      <c r="AF412" s="531"/>
      <c r="AG412" s="531"/>
      <c r="AH412" s="531"/>
      <c r="AI412" s="531"/>
      <c r="AJ412" s="531"/>
      <c r="AK412" s="531"/>
      <c r="AL412" s="531"/>
      <c r="AM412" s="531"/>
      <c r="AN412" s="531"/>
    </row>
    <row r="413" customFormat="false" ht="16.5" hidden="false" customHeight="true" outlineLevel="0" collapsed="false">
      <c r="A413" s="531"/>
      <c r="B413" s="531"/>
      <c r="C413" s="531"/>
      <c r="D413" s="531"/>
      <c r="E413" s="531"/>
      <c r="F413" s="531"/>
      <c r="G413" s="531"/>
      <c r="H413" s="531"/>
      <c r="I413" s="531"/>
      <c r="J413" s="531"/>
      <c r="K413" s="531"/>
      <c r="L413" s="531"/>
      <c r="M413" s="531"/>
      <c r="N413" s="547" t="n">
        <f aca="false">IF('(1)예금승인내역'!H1039="","",'(1)예금승인내역'!H1039)</f>
        <v>45995</v>
      </c>
      <c r="O413" s="547" t="n">
        <f aca="false">IF('(1)예금승인내역'!G1039="","",'(1)예금승인내역'!G1039)</f>
        <v>45965</v>
      </c>
      <c r="P413" s="531" t="str">
        <f aca="false">IF('(1)예금승인내역'!F1039="","",'(1)예금승인내역'!F1039)</f>
        <v>동화인더스트리</v>
      </c>
      <c r="Q413" s="531" t="str">
        <f aca="false">IF('(1)예금승인내역'!C1039="","",'(1)예금승인내역'!C1039)</f>
        <v>중동지점</v>
      </c>
      <c r="R413" s="531" t="str">
        <f aca="false">IF('(1)예금승인내역'!K1039="","",'(1)예금승인내역'!K1039)</f>
        <v>정기예금</v>
      </c>
      <c r="S413" s="548" t="n">
        <f aca="false">IF('(1)예금승인내역'!L1039="","",'(1)예금승인내역'!L1039)</f>
        <v>5.12</v>
      </c>
      <c r="T413" s="549" t="n">
        <f aca="false">IF('(1)예금승인내역'!AG1039="","",'(1)예금승인내역'!AG1039)</f>
        <v>0.0375</v>
      </c>
      <c r="U413" s="549" t="n">
        <f aca="false">IF('(1)예금승인내역'!X1039="","",'(1)예금승인내역'!X1039)</f>
        <v>0.00286</v>
      </c>
      <c r="V413" s="531" t="n">
        <f aca="false">IF(ISNUMBER(N413),N413-$B$2,"")</f>
        <v>-194</v>
      </c>
      <c r="W413" s="531" t="str">
        <f aca="false">IF(AND(ISNUMBER(N413),N413&gt;=$B$2,N413&lt;=$B$2+10),N413*100000+ROW(),"")</f>
        <v/>
      </c>
      <c r="X413" s="531"/>
      <c r="Y413" s="531"/>
      <c r="Z413" s="531"/>
      <c r="AA413" s="531"/>
      <c r="AB413" s="531"/>
      <c r="AC413" s="531"/>
      <c r="AD413" s="531"/>
      <c r="AE413" s="531"/>
      <c r="AF413" s="531"/>
      <c r="AG413" s="531"/>
      <c r="AH413" s="531"/>
      <c r="AI413" s="531"/>
      <c r="AJ413" s="531"/>
      <c r="AK413" s="531"/>
      <c r="AL413" s="531"/>
      <c r="AM413" s="531"/>
      <c r="AN413" s="531"/>
    </row>
    <row r="414" customFormat="false" ht="16.5" hidden="false" customHeight="true" outlineLevel="0" collapsed="false">
      <c r="A414" s="531"/>
      <c r="B414" s="531"/>
      <c r="C414" s="531"/>
      <c r="D414" s="531"/>
      <c r="E414" s="531"/>
      <c r="F414" s="531"/>
      <c r="G414" s="531"/>
      <c r="H414" s="531"/>
      <c r="I414" s="531"/>
      <c r="J414" s="531"/>
      <c r="K414" s="531"/>
      <c r="L414" s="531"/>
      <c r="M414" s="531"/>
      <c r="N414" s="547" t="n">
        <f aca="false">IF('(1)예금승인내역'!H1040="","",'(1)예금승인내역'!H1040)</f>
        <v>45975</v>
      </c>
      <c r="O414" s="547" t="n">
        <f aca="false">IF('(1)예금승인내역'!G1040="","",'(1)예금승인내역'!G1040)</f>
        <v>45968</v>
      </c>
      <c r="P414" s="531" t="str">
        <f aca="false">IF('(1)예금승인내역'!F1040="","",'(1)예금승인내역'!F1040)</f>
        <v>㈜일지테크</v>
      </c>
      <c r="Q414" s="531" t="str">
        <f aca="false">IF('(1)예금승인내역'!C1040="","",'(1)예금승인내역'!C1040)</f>
        <v>경산공단영업부</v>
      </c>
      <c r="R414" s="531" t="str">
        <f aca="false">IF('(1)예금승인내역'!K1040="","",'(1)예금승인내역'!K1040)</f>
        <v>정기예금</v>
      </c>
      <c r="S414" s="548" t="n">
        <f aca="false">IF('(1)예금승인내역'!L1040="","",'(1)예금승인내역'!L1040)</f>
        <v>1.5</v>
      </c>
      <c r="T414" s="549" t="n">
        <f aca="false">IF('(1)예금승인내역'!AG1040="","",'(1)예금승인내역'!AG1040)</f>
        <v>0.0345</v>
      </c>
      <c r="U414" s="549" t="n">
        <f aca="false">IF('(1)예금승인내역'!X1040="","",'(1)예금승인내역'!X1040)</f>
        <v>0.002211</v>
      </c>
      <c r="V414" s="531" t="n">
        <f aca="false">IF(ISNUMBER(N414),N414-$B$2,"")</f>
        <v>-214</v>
      </c>
      <c r="W414" s="531" t="str">
        <f aca="false">IF(AND(ISNUMBER(N414),N414&gt;=$B$2,N414&lt;=$B$2+10),N414*100000+ROW(),"")</f>
        <v/>
      </c>
      <c r="X414" s="531"/>
      <c r="Y414" s="531"/>
      <c r="Z414" s="531"/>
      <c r="AA414" s="531"/>
      <c r="AB414" s="531"/>
      <c r="AC414" s="531"/>
      <c r="AD414" s="531"/>
      <c r="AE414" s="531"/>
      <c r="AF414" s="531"/>
      <c r="AG414" s="531"/>
      <c r="AH414" s="531"/>
      <c r="AI414" s="531"/>
      <c r="AJ414" s="531"/>
      <c r="AK414" s="531"/>
      <c r="AL414" s="531"/>
      <c r="AM414" s="531"/>
      <c r="AN414" s="531"/>
    </row>
    <row r="415" customFormat="false" ht="16.5" hidden="false" customHeight="true" outlineLevel="0" collapsed="false">
      <c r="A415" s="531"/>
      <c r="B415" s="531"/>
      <c r="C415" s="531"/>
      <c r="D415" s="531"/>
      <c r="E415" s="531"/>
      <c r="F415" s="531"/>
      <c r="G415" s="531"/>
      <c r="H415" s="531"/>
      <c r="I415" s="531"/>
      <c r="J415" s="531"/>
      <c r="K415" s="531"/>
      <c r="L415" s="531"/>
      <c r="M415" s="531"/>
      <c r="N415" s="547" t="n">
        <f aca="false">IF('(1)예금승인내역'!H1041="","",'(1)예금승인내역'!H1041)</f>
        <v>45975</v>
      </c>
      <c r="O415" s="547" t="n">
        <f aca="false">IF('(1)예금승인내역'!G1041="","",'(1)예금승인내역'!G1041)</f>
        <v>45968</v>
      </c>
      <c r="P415" s="531" t="str">
        <f aca="false">IF('(1)예금승인내역'!F1041="","",'(1)예금승인내역'!F1041)</f>
        <v>㈜일지테크</v>
      </c>
      <c r="Q415" s="531" t="str">
        <f aca="false">IF('(1)예금승인내역'!C1041="","",'(1)예금승인내역'!C1041)</f>
        <v>경산공단영업부</v>
      </c>
      <c r="R415" s="531" t="str">
        <f aca="false">IF('(1)예금승인내역'!K1041="","",'(1)예금승인내역'!K1041)</f>
        <v>정기예금</v>
      </c>
      <c r="S415" s="548" t="n">
        <f aca="false">IF('(1)예금승인내역'!L1041="","",'(1)예금승인내역'!L1041)</f>
        <v>2</v>
      </c>
      <c r="T415" s="549" t="n">
        <f aca="false">IF('(1)예금승인내역'!AG1041="","",'(1)예금승인내역'!AG1041)</f>
        <v>0.0345</v>
      </c>
      <c r="U415" s="549" t="n">
        <f aca="false">IF('(1)예금승인내역'!X1041="","",'(1)예금승인내역'!X1041)</f>
        <v>0.002211</v>
      </c>
      <c r="V415" s="531" t="n">
        <f aca="false">IF(ISNUMBER(N415),N415-$B$2,"")</f>
        <v>-214</v>
      </c>
      <c r="W415" s="531" t="str">
        <f aca="false">IF(AND(ISNUMBER(N415),N415&gt;=$B$2,N415&lt;=$B$2+10),N415*100000+ROW(),"")</f>
        <v/>
      </c>
      <c r="X415" s="531"/>
      <c r="Y415" s="531"/>
      <c r="Z415" s="531"/>
      <c r="AA415" s="531"/>
      <c r="AB415" s="531"/>
      <c r="AC415" s="531"/>
      <c r="AD415" s="531"/>
      <c r="AE415" s="531"/>
      <c r="AF415" s="531"/>
      <c r="AG415" s="531"/>
      <c r="AH415" s="531"/>
      <c r="AI415" s="531"/>
      <c r="AJ415" s="531"/>
      <c r="AK415" s="531"/>
      <c r="AL415" s="531"/>
      <c r="AM415" s="531"/>
      <c r="AN415" s="531"/>
    </row>
    <row r="416" customFormat="false" ht="16.5" hidden="false" customHeight="true" outlineLevel="0" collapsed="false">
      <c r="A416" s="531"/>
      <c r="B416" s="531"/>
      <c r="C416" s="531"/>
      <c r="D416" s="531"/>
      <c r="E416" s="531"/>
      <c r="F416" s="531"/>
      <c r="G416" s="531"/>
      <c r="H416" s="531"/>
      <c r="I416" s="531"/>
      <c r="J416" s="531"/>
      <c r="K416" s="531"/>
      <c r="L416" s="531"/>
      <c r="M416" s="531"/>
      <c r="N416" s="547" t="n">
        <f aca="false">IF('(1)예금승인내역'!H1042="","",'(1)예금승인내역'!H1042)</f>
        <v>45975</v>
      </c>
      <c r="O416" s="547" t="n">
        <f aca="false">IF('(1)예금승인내역'!G1042="","",'(1)예금승인내역'!G1042)</f>
        <v>45968</v>
      </c>
      <c r="P416" s="531" t="str">
        <f aca="false">IF('(1)예금승인내역'!F1042="","",'(1)예금승인내역'!F1042)</f>
        <v>㈜일지테크</v>
      </c>
      <c r="Q416" s="531" t="str">
        <f aca="false">IF('(1)예금승인내역'!C1042="","",'(1)예금승인내역'!C1042)</f>
        <v>경산공단영업부</v>
      </c>
      <c r="R416" s="531" t="str">
        <f aca="false">IF('(1)예금승인내역'!K1042="","",'(1)예금승인내역'!K1042)</f>
        <v>정기예금</v>
      </c>
      <c r="S416" s="548" t="n">
        <f aca="false">IF('(1)예금승인내역'!L1042="","",'(1)예금승인내역'!L1042)</f>
        <v>2</v>
      </c>
      <c r="T416" s="549" t="n">
        <f aca="false">IF('(1)예금승인내역'!AG1042="","",'(1)예금승인내역'!AG1042)</f>
        <v>0.0345</v>
      </c>
      <c r="U416" s="549" t="n">
        <f aca="false">IF('(1)예금승인내역'!X1042="","",'(1)예금승인내역'!X1042)</f>
        <v>0.002211</v>
      </c>
      <c r="V416" s="531" t="n">
        <f aca="false">IF(ISNUMBER(N416),N416-$B$2,"")</f>
        <v>-214</v>
      </c>
      <c r="W416" s="531" t="str">
        <f aca="false">IF(AND(ISNUMBER(N416),N416&gt;=$B$2,N416&lt;=$B$2+10),N416*100000+ROW(),"")</f>
        <v/>
      </c>
      <c r="X416" s="531"/>
      <c r="Y416" s="531"/>
      <c r="Z416" s="531"/>
      <c r="AA416" s="531"/>
      <c r="AB416" s="531"/>
      <c r="AC416" s="531"/>
      <c r="AD416" s="531"/>
      <c r="AE416" s="531"/>
      <c r="AF416" s="531"/>
      <c r="AG416" s="531"/>
      <c r="AH416" s="531"/>
      <c r="AI416" s="531"/>
      <c r="AJ416" s="531"/>
      <c r="AK416" s="531"/>
      <c r="AL416" s="531"/>
      <c r="AM416" s="531"/>
      <c r="AN416" s="531"/>
    </row>
    <row r="417" customFormat="false" ht="16.5" hidden="false" customHeight="true" outlineLevel="0" collapsed="false">
      <c r="A417" s="531"/>
      <c r="B417" s="531"/>
      <c r="C417" s="531"/>
      <c r="D417" s="531"/>
      <c r="E417" s="531"/>
      <c r="F417" s="531"/>
      <c r="G417" s="531"/>
      <c r="H417" s="531"/>
      <c r="I417" s="531"/>
      <c r="J417" s="531"/>
      <c r="K417" s="531"/>
      <c r="L417" s="531"/>
      <c r="M417" s="531"/>
      <c r="N417" s="547" t="n">
        <f aca="false">IF('(1)예금승인내역'!H1043="","",'(1)예금승인내역'!H1043)</f>
        <v>45975</v>
      </c>
      <c r="O417" s="547" t="n">
        <f aca="false">IF('(1)예금승인내역'!G1043="","",'(1)예금승인내역'!G1043)</f>
        <v>45968</v>
      </c>
      <c r="P417" s="531" t="str">
        <f aca="false">IF('(1)예금승인내역'!F1043="","",'(1)예금승인내역'!F1043)</f>
        <v>㈜일지테크</v>
      </c>
      <c r="Q417" s="531" t="str">
        <f aca="false">IF('(1)예금승인내역'!C1043="","",'(1)예금승인내역'!C1043)</f>
        <v>경산공단영업부</v>
      </c>
      <c r="R417" s="531" t="str">
        <f aca="false">IF('(1)예금승인내역'!K1043="","",'(1)예금승인내역'!K1043)</f>
        <v>정기예금</v>
      </c>
      <c r="S417" s="548" t="n">
        <f aca="false">IF('(1)예금승인내역'!L1043="","",'(1)예금승인내역'!L1043)</f>
        <v>2</v>
      </c>
      <c r="T417" s="549" t="n">
        <f aca="false">IF('(1)예금승인내역'!AG1043="","",'(1)예금승인내역'!AG1043)</f>
        <v>0.0345</v>
      </c>
      <c r="U417" s="549" t="n">
        <f aca="false">IF('(1)예금승인내역'!X1043="","",'(1)예금승인내역'!X1043)</f>
        <v>0.002211</v>
      </c>
      <c r="V417" s="531" t="n">
        <f aca="false">IF(ISNUMBER(N417),N417-$B$2,"")</f>
        <v>-214</v>
      </c>
      <c r="W417" s="531" t="str">
        <f aca="false">IF(AND(ISNUMBER(N417),N417&gt;=$B$2,N417&lt;=$B$2+10),N417*100000+ROW(),"")</f>
        <v/>
      </c>
      <c r="X417" s="531"/>
      <c r="Y417" s="531"/>
      <c r="Z417" s="531"/>
      <c r="AA417" s="531"/>
      <c r="AB417" s="531"/>
      <c r="AC417" s="531"/>
      <c r="AD417" s="531"/>
      <c r="AE417" s="531"/>
      <c r="AF417" s="531"/>
      <c r="AG417" s="531"/>
      <c r="AH417" s="531"/>
      <c r="AI417" s="531"/>
      <c r="AJ417" s="531"/>
      <c r="AK417" s="531"/>
      <c r="AL417" s="531"/>
      <c r="AM417" s="531"/>
      <c r="AN417" s="531"/>
    </row>
    <row r="418" customFormat="false" ht="16.5" hidden="false" customHeight="true" outlineLevel="0" collapsed="false">
      <c r="A418" s="531"/>
      <c r="B418" s="531"/>
      <c r="C418" s="531"/>
      <c r="D418" s="531"/>
      <c r="E418" s="531"/>
      <c r="F418" s="531"/>
      <c r="G418" s="531"/>
      <c r="H418" s="531"/>
      <c r="I418" s="531"/>
      <c r="J418" s="531"/>
      <c r="K418" s="531"/>
      <c r="L418" s="531"/>
      <c r="M418" s="531"/>
      <c r="N418" s="547" t="n">
        <f aca="false">IF('(1)예금승인내역'!H1044="","",'(1)예금승인내역'!H1044)</f>
        <v>45975</v>
      </c>
      <c r="O418" s="547" t="n">
        <f aca="false">IF('(1)예금승인내역'!G1044="","",'(1)예금승인내역'!G1044)</f>
        <v>45968</v>
      </c>
      <c r="P418" s="531" t="str">
        <f aca="false">IF('(1)예금승인내역'!F1044="","",'(1)예금승인내역'!F1044)</f>
        <v>㈜일지테크</v>
      </c>
      <c r="Q418" s="531" t="str">
        <f aca="false">IF('(1)예금승인내역'!C1044="","",'(1)예금승인내역'!C1044)</f>
        <v>경산공단영업부</v>
      </c>
      <c r="R418" s="531" t="str">
        <f aca="false">IF('(1)예금승인내역'!K1044="","",'(1)예금승인내역'!K1044)</f>
        <v>정기예금</v>
      </c>
      <c r="S418" s="548" t="n">
        <f aca="false">IF('(1)예금승인내역'!L1044="","",'(1)예금승인내역'!L1044)</f>
        <v>2</v>
      </c>
      <c r="T418" s="549" t="n">
        <f aca="false">IF('(1)예금승인내역'!AG1044="","",'(1)예금승인내역'!AG1044)</f>
        <v>0.0345</v>
      </c>
      <c r="U418" s="549" t="n">
        <f aca="false">IF('(1)예금승인내역'!X1044="","",'(1)예금승인내역'!X1044)</f>
        <v>0.002211</v>
      </c>
      <c r="V418" s="531" t="n">
        <f aca="false">IF(ISNUMBER(N418),N418-$B$2,"")</f>
        <v>-214</v>
      </c>
      <c r="W418" s="531" t="str">
        <f aca="false">IF(AND(ISNUMBER(N418),N418&gt;=$B$2,N418&lt;=$B$2+10),N418*100000+ROW(),"")</f>
        <v/>
      </c>
      <c r="X418" s="531"/>
      <c r="Y418" s="531"/>
      <c r="Z418" s="531"/>
      <c r="AA418" s="531"/>
      <c r="AB418" s="531"/>
      <c r="AC418" s="531"/>
      <c r="AD418" s="531"/>
      <c r="AE418" s="531"/>
      <c r="AF418" s="531"/>
      <c r="AG418" s="531"/>
      <c r="AH418" s="531"/>
      <c r="AI418" s="531"/>
      <c r="AJ418" s="531"/>
      <c r="AK418" s="531"/>
      <c r="AL418" s="531"/>
      <c r="AM418" s="531"/>
      <c r="AN418" s="531"/>
    </row>
    <row r="419" customFormat="false" ht="16.5" hidden="false" customHeight="true" outlineLevel="0" collapsed="false">
      <c r="A419" s="531"/>
      <c r="B419" s="531"/>
      <c r="C419" s="531"/>
      <c r="D419" s="531"/>
      <c r="E419" s="531"/>
      <c r="F419" s="531"/>
      <c r="G419" s="531"/>
      <c r="H419" s="531"/>
      <c r="I419" s="531"/>
      <c r="J419" s="531"/>
      <c r="K419" s="531"/>
      <c r="L419" s="531"/>
      <c r="M419" s="531"/>
      <c r="N419" s="547" t="n">
        <f aca="false">IF('(1)예금승인내역'!H1045="","",'(1)예금승인내역'!H1045)</f>
        <v>45975</v>
      </c>
      <c r="O419" s="547" t="n">
        <f aca="false">IF('(1)예금승인내역'!G1045="","",'(1)예금승인내역'!G1045)</f>
        <v>45968</v>
      </c>
      <c r="P419" s="531" t="str">
        <f aca="false">IF('(1)예금승인내역'!F1045="","",'(1)예금승인내역'!F1045)</f>
        <v>㈜일지테크</v>
      </c>
      <c r="Q419" s="531" t="str">
        <f aca="false">IF('(1)예금승인내역'!C1045="","",'(1)예금승인내역'!C1045)</f>
        <v>경산공단영업부</v>
      </c>
      <c r="R419" s="531" t="str">
        <f aca="false">IF('(1)예금승인내역'!K1045="","",'(1)예금승인내역'!K1045)</f>
        <v>정기예금</v>
      </c>
      <c r="S419" s="548" t="n">
        <f aca="false">IF('(1)예금승인내역'!L1045="","",'(1)예금승인내역'!L1045)</f>
        <v>2</v>
      </c>
      <c r="T419" s="549" t="n">
        <f aca="false">IF('(1)예금승인내역'!AG1045="","",'(1)예금승인내역'!AG1045)</f>
        <v>0.0345</v>
      </c>
      <c r="U419" s="549" t="n">
        <f aca="false">IF('(1)예금승인내역'!X1045="","",'(1)예금승인내역'!X1045)</f>
        <v>0.002211</v>
      </c>
      <c r="V419" s="531" t="n">
        <f aca="false">IF(ISNUMBER(N419),N419-$B$2,"")</f>
        <v>-214</v>
      </c>
      <c r="W419" s="531" t="str">
        <f aca="false">IF(AND(ISNUMBER(N419),N419&gt;=$B$2,N419&lt;=$B$2+10),N419*100000+ROW(),"")</f>
        <v/>
      </c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531"/>
      <c r="AN419" s="531"/>
    </row>
    <row r="420" customFormat="false" ht="16.5" hidden="false" customHeight="true" outlineLevel="0" collapsed="false">
      <c r="A420" s="531"/>
      <c r="B420" s="531"/>
      <c r="C420" s="531"/>
      <c r="D420" s="531"/>
      <c r="E420" s="531"/>
      <c r="F420" s="531"/>
      <c r="G420" s="531"/>
      <c r="H420" s="531"/>
      <c r="I420" s="531"/>
      <c r="J420" s="531"/>
      <c r="K420" s="531"/>
      <c r="L420" s="531"/>
      <c r="M420" s="531"/>
      <c r="N420" s="547" t="n">
        <f aca="false">IF('(1)예금승인내역'!H1046="","",'(1)예금승인내역'!H1046)</f>
        <v>45975</v>
      </c>
      <c r="O420" s="547" t="n">
        <f aca="false">IF('(1)예금승인내역'!G1046="","",'(1)예금승인내역'!G1046)</f>
        <v>45968</v>
      </c>
      <c r="P420" s="531" t="str">
        <f aca="false">IF('(1)예금승인내역'!F1046="","",'(1)예금승인내역'!F1046)</f>
        <v>㈜일지테크</v>
      </c>
      <c r="Q420" s="531" t="str">
        <f aca="false">IF('(1)예금승인내역'!C1046="","",'(1)예금승인내역'!C1046)</f>
        <v>경산공단영업부</v>
      </c>
      <c r="R420" s="531" t="str">
        <f aca="false">IF('(1)예금승인내역'!K1046="","",'(1)예금승인내역'!K1046)</f>
        <v>정기예금</v>
      </c>
      <c r="S420" s="548" t="n">
        <f aca="false">IF('(1)예금승인내역'!L1046="","",'(1)예금승인내역'!L1046)</f>
        <v>4.5</v>
      </c>
      <c r="T420" s="549" t="n">
        <f aca="false">IF('(1)예금승인내역'!AG1046="","",'(1)예금승인내역'!AG1046)</f>
        <v>0.0345</v>
      </c>
      <c r="U420" s="549" t="n">
        <f aca="false">IF('(1)예금승인내역'!X1046="","",'(1)예금승인내역'!X1046)</f>
        <v>0.002211</v>
      </c>
      <c r="V420" s="531" t="n">
        <f aca="false">IF(ISNUMBER(N420),N420-$B$2,"")</f>
        <v>-214</v>
      </c>
      <c r="W420" s="531" t="str">
        <f aca="false">IF(AND(ISNUMBER(N420),N420&gt;=$B$2,N420&lt;=$B$2+10),N420*100000+ROW(),"")</f>
        <v/>
      </c>
      <c r="X420" s="531"/>
      <c r="Y420" s="531"/>
      <c r="Z420" s="531"/>
      <c r="AA420" s="531"/>
      <c r="AB420" s="531"/>
      <c r="AC420" s="531"/>
      <c r="AD420" s="531"/>
      <c r="AE420" s="531"/>
      <c r="AF420" s="531"/>
      <c r="AG420" s="531"/>
      <c r="AH420" s="531"/>
      <c r="AI420" s="531"/>
      <c r="AJ420" s="531"/>
      <c r="AK420" s="531"/>
      <c r="AL420" s="531"/>
      <c r="AM420" s="531"/>
      <c r="AN420" s="531"/>
    </row>
    <row r="421" customFormat="false" ht="16.5" hidden="false" customHeight="true" outlineLevel="0" collapsed="false">
      <c r="A421" s="531"/>
      <c r="B421" s="531"/>
      <c r="C421" s="531"/>
      <c r="D421" s="531"/>
      <c r="E421" s="531"/>
      <c r="F421" s="531"/>
      <c r="G421" s="531"/>
      <c r="H421" s="531"/>
      <c r="I421" s="531"/>
      <c r="J421" s="531"/>
      <c r="K421" s="531"/>
      <c r="L421" s="531"/>
      <c r="M421" s="531"/>
      <c r="N421" s="547" t="n">
        <f aca="false">IF('(1)예금승인내역'!H1047="","",'(1)예금승인내역'!H1047)</f>
        <v>45975</v>
      </c>
      <c r="O421" s="547" t="n">
        <f aca="false">IF('(1)예금승인내역'!G1047="","",'(1)예금승인내역'!G1047)</f>
        <v>45968</v>
      </c>
      <c r="P421" s="531" t="str">
        <f aca="false">IF('(1)예금승인내역'!F1047="","",'(1)예금승인내역'!F1047)</f>
        <v>㈜일지테크</v>
      </c>
      <c r="Q421" s="531" t="str">
        <f aca="false">IF('(1)예금승인내역'!C1047="","",'(1)예금승인내역'!C1047)</f>
        <v>경산공단영업부</v>
      </c>
      <c r="R421" s="531" t="str">
        <f aca="false">IF('(1)예금승인내역'!K1047="","",'(1)예금승인내역'!K1047)</f>
        <v>정기예금</v>
      </c>
      <c r="S421" s="548" t="n">
        <f aca="false">IF('(1)예금승인내역'!L1047="","",'(1)예금승인내역'!L1047)</f>
        <v>3</v>
      </c>
      <c r="T421" s="549" t="n">
        <f aca="false">IF('(1)예금승인내역'!AG1047="","",'(1)예금승인내역'!AG1047)</f>
        <v>0.0345</v>
      </c>
      <c r="U421" s="549" t="n">
        <f aca="false">IF('(1)예금승인내역'!X1047="","",'(1)예금승인내역'!X1047)</f>
        <v>0.002211</v>
      </c>
      <c r="V421" s="531" t="n">
        <f aca="false">IF(ISNUMBER(N421),N421-$B$2,"")</f>
        <v>-214</v>
      </c>
      <c r="W421" s="531" t="str">
        <f aca="false">IF(AND(ISNUMBER(N421),N421&gt;=$B$2,N421&lt;=$B$2+10),N421*100000+ROW(),"")</f>
        <v/>
      </c>
      <c r="X421" s="531"/>
      <c r="Y421" s="531"/>
      <c r="Z421" s="531"/>
      <c r="AA421" s="531"/>
      <c r="AB421" s="531"/>
      <c r="AC421" s="531"/>
      <c r="AD421" s="531"/>
      <c r="AE421" s="531"/>
      <c r="AF421" s="531"/>
      <c r="AG421" s="531"/>
      <c r="AH421" s="531"/>
      <c r="AI421" s="531"/>
      <c r="AJ421" s="531"/>
      <c r="AK421" s="531"/>
      <c r="AL421" s="531"/>
      <c r="AM421" s="531"/>
      <c r="AN421" s="531"/>
    </row>
    <row r="422" customFormat="false" ht="16.5" hidden="false" customHeight="true" outlineLevel="0" collapsed="false">
      <c r="A422" s="531"/>
      <c r="B422" s="531"/>
      <c r="C422" s="531"/>
      <c r="D422" s="531"/>
      <c r="E422" s="531"/>
      <c r="F422" s="531"/>
      <c r="G422" s="531"/>
      <c r="H422" s="531"/>
      <c r="I422" s="531"/>
      <c r="J422" s="531"/>
      <c r="K422" s="531"/>
      <c r="L422" s="531"/>
      <c r="M422" s="531"/>
      <c r="N422" s="547" t="n">
        <f aca="false">IF('(1)예금승인내역'!H1048="","",'(1)예금승인내역'!H1048)</f>
        <v>46335</v>
      </c>
      <c r="O422" s="547" t="n">
        <f aca="false">IF('(1)예금승인내역'!G1048="","",'(1)예금승인내역'!G1048)</f>
        <v>45968</v>
      </c>
      <c r="P422" s="531" t="str">
        <f aca="false">IF('(1)예금승인내역'!F1048="","",'(1)예금승인내역'!F1048)</f>
        <v>㈜화신</v>
      </c>
      <c r="Q422" s="531" t="str">
        <f aca="false">IF('(1)예금승인내역'!C1048="","",'(1)예금승인내역'!C1048)</f>
        <v>성서공단영업부</v>
      </c>
      <c r="R422" s="531" t="str">
        <f aca="false">IF('(1)예금승인내역'!K1048="","",'(1)예금승인내역'!K1048)</f>
        <v>정기예금</v>
      </c>
      <c r="S422" s="548" t="n">
        <f aca="false">IF('(1)예금승인내역'!L1048="","",'(1)예금승인내역'!L1048)</f>
        <v>1</v>
      </c>
      <c r="T422" s="549" t="n">
        <f aca="false">IF('(1)예금승인내역'!AG1048="","",'(1)예금승인내역'!AG1048)</f>
        <v>0.0365</v>
      </c>
      <c r="U422" s="549" t="n">
        <f aca="false">IF('(1)예금승인내역'!X1048="","",'(1)예금승인내역'!X1048)</f>
        <v>0.003273</v>
      </c>
      <c r="V422" s="531" t="n">
        <f aca="false">IF(ISNUMBER(N422),N422-$B$2,"")</f>
        <v>146</v>
      </c>
      <c r="W422" s="531" t="str">
        <f aca="false">IF(AND(ISNUMBER(N422),N422&gt;=$B$2,N422&lt;=$B$2+10),N422*100000+ROW(),"")</f>
        <v/>
      </c>
      <c r="X422" s="531"/>
      <c r="Y422" s="531"/>
      <c r="Z422" s="531"/>
      <c r="AA422" s="531"/>
      <c r="AB422" s="531"/>
      <c r="AC422" s="531"/>
      <c r="AD422" s="531"/>
      <c r="AE422" s="531"/>
      <c r="AF422" s="531"/>
      <c r="AG422" s="531"/>
      <c r="AH422" s="531"/>
      <c r="AI422" s="531"/>
      <c r="AJ422" s="531"/>
      <c r="AK422" s="531"/>
      <c r="AL422" s="531"/>
      <c r="AM422" s="531"/>
      <c r="AN422" s="531"/>
    </row>
    <row r="423" customFormat="false" ht="16.5" hidden="false" customHeight="true" outlineLevel="0" collapsed="false">
      <c r="A423" s="531"/>
      <c r="B423" s="531"/>
      <c r="C423" s="531"/>
      <c r="D423" s="531"/>
      <c r="E423" s="531"/>
      <c r="F423" s="531"/>
      <c r="G423" s="531"/>
      <c r="H423" s="531"/>
      <c r="I423" s="531"/>
      <c r="J423" s="531"/>
      <c r="K423" s="531"/>
      <c r="L423" s="531"/>
      <c r="M423" s="531"/>
      <c r="N423" s="547" t="n">
        <f aca="false">IF('(1)예금승인내역'!H1049="","",'(1)예금승인내역'!H1049)</f>
        <v>46335</v>
      </c>
      <c r="O423" s="547" t="n">
        <f aca="false">IF('(1)예금승인내역'!G1049="","",'(1)예금승인내역'!G1049)</f>
        <v>45968</v>
      </c>
      <c r="P423" s="531" t="str">
        <f aca="false">IF('(1)예금승인내역'!F1049="","",'(1)예금승인내역'!F1049)</f>
        <v>㈜화신</v>
      </c>
      <c r="Q423" s="531" t="str">
        <f aca="false">IF('(1)예금승인내역'!C1049="","",'(1)예금승인내역'!C1049)</f>
        <v>성서공단영업부</v>
      </c>
      <c r="R423" s="531" t="str">
        <f aca="false">IF('(1)예금승인내역'!K1049="","",'(1)예금승인내역'!K1049)</f>
        <v>정기예금</v>
      </c>
      <c r="S423" s="548" t="n">
        <f aca="false">IF('(1)예금승인내역'!L1049="","",'(1)예금승인내역'!L1049)</f>
        <v>1</v>
      </c>
      <c r="T423" s="549" t="n">
        <f aca="false">IF('(1)예금승인내역'!AG1049="","",'(1)예금승인내역'!AG1049)</f>
        <v>0.0365</v>
      </c>
      <c r="U423" s="549" t="n">
        <f aca="false">IF('(1)예금승인내역'!X1049="","",'(1)예금승인내역'!X1049)</f>
        <v>0.003273</v>
      </c>
      <c r="V423" s="531" t="n">
        <f aca="false">IF(ISNUMBER(N423),N423-$B$2,"")</f>
        <v>146</v>
      </c>
      <c r="W423" s="531" t="str">
        <f aca="false">IF(AND(ISNUMBER(N423),N423&gt;=$B$2,N423&lt;=$B$2+10),N423*100000+ROW(),"")</f>
        <v/>
      </c>
      <c r="X423" s="531"/>
      <c r="Y423" s="531"/>
      <c r="Z423" s="531"/>
      <c r="AA423" s="531"/>
      <c r="AB423" s="531"/>
      <c r="AC423" s="531"/>
      <c r="AD423" s="531"/>
      <c r="AE423" s="531"/>
      <c r="AF423" s="531"/>
      <c r="AG423" s="531"/>
      <c r="AH423" s="531"/>
      <c r="AI423" s="531"/>
      <c r="AJ423" s="531"/>
      <c r="AK423" s="531"/>
      <c r="AL423" s="531"/>
      <c r="AM423" s="531"/>
      <c r="AN423" s="531"/>
    </row>
    <row r="424" customFormat="false" ht="16.5" hidden="false" customHeight="true" outlineLevel="0" collapsed="false">
      <c r="A424" s="531"/>
      <c r="B424" s="531"/>
      <c r="C424" s="531"/>
      <c r="D424" s="531"/>
      <c r="E424" s="531"/>
      <c r="F424" s="531"/>
      <c r="G424" s="531"/>
      <c r="H424" s="531"/>
      <c r="I424" s="531"/>
      <c r="J424" s="531"/>
      <c r="K424" s="531"/>
      <c r="L424" s="531"/>
      <c r="M424" s="531"/>
      <c r="N424" s="547" t="n">
        <f aca="false">IF('(1)예금승인내역'!H1050="","",'(1)예금승인내역'!H1050)</f>
        <v>46001</v>
      </c>
      <c r="O424" s="547" t="n">
        <f aca="false">IF('(1)예금승인내역'!G1050="","",'(1)예금승인내역'!G1050)</f>
        <v>45971</v>
      </c>
      <c r="P424" s="531" t="str">
        <f aca="false">IF('(1)예금승인내역'!F1050="","",'(1)예금승인내역'!F1050)</f>
        <v>㈜현대그린푸드</v>
      </c>
      <c r="Q424" s="531" t="str">
        <f aca="false">IF('(1)예금승인내역'!C1050="","",'(1)예금승인내역'!C1050)</f>
        <v>성남영업부</v>
      </c>
      <c r="R424" s="531" t="str">
        <f aca="false">IF('(1)예금승인내역'!K1050="","",'(1)예금승인내역'!K1050)</f>
        <v>MMDA</v>
      </c>
      <c r="S424" s="548" t="n">
        <f aca="false">IF('(1)예금승인내역'!L1050="","",'(1)예금승인내역'!L1050)</f>
        <v>2</v>
      </c>
      <c r="T424" s="549" t="n">
        <f aca="false">IF('(1)예금승인내역'!AG1050="","",'(1)예금승인내역'!AG1050)</f>
        <v>0.0345</v>
      </c>
      <c r="U424" s="549" t="n">
        <f aca="false">IF('(1)예금승인내역'!X1050="","",'(1)예금승인내역'!X1050)</f>
        <v>0.003654</v>
      </c>
      <c r="V424" s="531" t="n">
        <f aca="false">IF(ISNUMBER(N424),N424-$B$2,"")</f>
        <v>-188</v>
      </c>
      <c r="W424" s="531" t="str">
        <f aca="false">IF(AND(ISNUMBER(N424),N424&gt;=$B$2,N424&lt;=$B$2+10),N424*100000+ROW(),"")</f>
        <v/>
      </c>
      <c r="X424" s="531"/>
      <c r="Y424" s="531"/>
      <c r="Z424" s="531"/>
      <c r="AA424" s="531"/>
      <c r="AB424" s="531"/>
      <c r="AC424" s="531"/>
      <c r="AD424" s="531"/>
      <c r="AE424" s="531"/>
      <c r="AF424" s="531"/>
      <c r="AG424" s="531"/>
      <c r="AH424" s="531"/>
      <c r="AI424" s="531"/>
      <c r="AJ424" s="531"/>
      <c r="AK424" s="531"/>
      <c r="AL424" s="531"/>
      <c r="AM424" s="531"/>
      <c r="AN424" s="531"/>
    </row>
    <row r="425" customFormat="false" ht="16.5" hidden="false" customHeight="true" outlineLevel="0" collapsed="false">
      <c r="A425" s="531"/>
      <c r="B425" s="531"/>
      <c r="C425" s="531"/>
      <c r="D425" s="531"/>
      <c r="E425" s="531"/>
      <c r="F425" s="531"/>
      <c r="G425" s="531"/>
      <c r="H425" s="531"/>
      <c r="I425" s="531"/>
      <c r="J425" s="531"/>
      <c r="K425" s="531"/>
      <c r="L425" s="531"/>
      <c r="M425" s="531"/>
      <c r="N425" s="547" t="n">
        <f aca="false">IF('(1)예금승인내역'!H1051="","",'(1)예금승인내역'!H1051)</f>
        <v>46001</v>
      </c>
      <c r="O425" s="547" t="n">
        <f aca="false">IF('(1)예금승인내역'!G1051="","",'(1)예금승인내역'!G1051)</f>
        <v>45971</v>
      </c>
      <c r="P425" s="531" t="str">
        <f aca="false">IF('(1)예금승인내역'!F1051="","",'(1)예금승인내역'!F1051)</f>
        <v>㈜이수스페셜티케미컬</v>
      </c>
      <c r="Q425" s="531" t="str">
        <f aca="false">IF('(1)예금승인내역'!C1051="","",'(1)예금승인내역'!C1051)</f>
        <v>성남영업부</v>
      </c>
      <c r="R425" s="531" t="str">
        <f aca="false">IF('(1)예금승인내역'!K1051="","",'(1)예금승인내역'!K1051)</f>
        <v>MMDA</v>
      </c>
      <c r="S425" s="548" t="n">
        <f aca="false">IF('(1)예금승인내역'!L1051="","",'(1)예금승인내역'!L1051)</f>
        <v>5.07</v>
      </c>
      <c r="T425" s="549" t="n">
        <f aca="false">IF('(1)예금승인내역'!AG1051="","",'(1)예금승인내역'!AG1051)</f>
        <v>0.034</v>
      </c>
      <c r="U425" s="549" t="n">
        <f aca="false">IF('(1)예금승인내역'!X1051="","",'(1)예금승인내역'!X1051)</f>
        <v>0.004154</v>
      </c>
      <c r="V425" s="531" t="n">
        <f aca="false">IF(ISNUMBER(N425),N425-$B$2,"")</f>
        <v>-188</v>
      </c>
      <c r="W425" s="531" t="str">
        <f aca="false">IF(AND(ISNUMBER(N425),N425&gt;=$B$2,N425&lt;=$B$2+10),N425*100000+ROW(),"")</f>
        <v/>
      </c>
      <c r="X425" s="531"/>
      <c r="Y425" s="531"/>
      <c r="Z425" s="531"/>
      <c r="AA425" s="531"/>
      <c r="AB425" s="531"/>
      <c r="AC425" s="531"/>
      <c r="AD425" s="531"/>
      <c r="AE425" s="531"/>
      <c r="AF425" s="531"/>
      <c r="AG425" s="531"/>
      <c r="AH425" s="531"/>
      <c r="AI425" s="531"/>
      <c r="AJ425" s="531"/>
      <c r="AK425" s="531"/>
      <c r="AL425" s="531"/>
      <c r="AM425" s="531"/>
      <c r="AN425" s="531"/>
    </row>
    <row r="426" customFormat="false" ht="16.5" hidden="false" customHeight="true" outlineLevel="0" collapsed="false">
      <c r="A426" s="531"/>
      <c r="B426" s="531"/>
      <c r="C426" s="531"/>
      <c r="D426" s="531"/>
      <c r="E426" s="531"/>
      <c r="F426" s="531"/>
      <c r="G426" s="531"/>
      <c r="H426" s="531"/>
      <c r="I426" s="531"/>
      <c r="J426" s="531"/>
      <c r="K426" s="531"/>
      <c r="L426" s="531"/>
      <c r="M426" s="531"/>
      <c r="N426" s="547" t="n">
        <f aca="false">IF('(1)예금승인내역'!H1052="","",'(1)예금승인내역'!H1052)</f>
        <v>46063</v>
      </c>
      <c r="O426" s="547" t="n">
        <f aca="false">IF('(1)예금승인내역'!G1052="","",'(1)예금승인내역'!G1052)</f>
        <v>45971</v>
      </c>
      <c r="P426" s="531" t="str">
        <f aca="false">IF('(1)예금승인내역'!F1052="","",'(1)예금승인내역'!F1052)</f>
        <v>미래나노텍㈜</v>
      </c>
      <c r="Q426" s="531" t="str">
        <f aca="false">IF('(1)예금승인내역'!C1052="","",'(1)예금승인내역'!C1052)</f>
        <v>본점PB센터</v>
      </c>
      <c r="R426" s="531" t="str">
        <f aca="false">IF('(1)예금승인내역'!K1052="","",'(1)예금승인내역'!K1052)</f>
        <v>정기예금</v>
      </c>
      <c r="S426" s="548" t="n">
        <f aca="false">IF('(1)예금승인내역'!L1052="","",'(1)예금승인내역'!L1052)</f>
        <v>2.01</v>
      </c>
      <c r="T426" s="549" t="n">
        <f aca="false">IF('(1)예금승인내역'!AG1052="","",'(1)예금승인내역'!AG1052)</f>
        <v>0.0375</v>
      </c>
      <c r="U426" s="549" t="n">
        <f aca="false">IF('(1)예금승인내역'!X1052="","",'(1)예금승인내역'!X1052)</f>
        <v>0.003007</v>
      </c>
      <c r="V426" s="531" t="n">
        <f aca="false">IF(ISNUMBER(N426),N426-$B$2,"")</f>
        <v>-126</v>
      </c>
      <c r="W426" s="531" t="str">
        <f aca="false">IF(AND(ISNUMBER(N426),N426&gt;=$B$2,N426&lt;=$B$2+10),N426*100000+ROW(),"")</f>
        <v/>
      </c>
      <c r="X426" s="531"/>
      <c r="Y426" s="531"/>
      <c r="Z426" s="531"/>
      <c r="AA426" s="531"/>
      <c r="AB426" s="531"/>
      <c r="AC426" s="531"/>
      <c r="AD426" s="531"/>
      <c r="AE426" s="531"/>
      <c r="AF426" s="531"/>
      <c r="AG426" s="531"/>
      <c r="AH426" s="531"/>
      <c r="AI426" s="531"/>
      <c r="AJ426" s="531"/>
      <c r="AK426" s="531"/>
      <c r="AL426" s="531"/>
      <c r="AM426" s="531"/>
      <c r="AN426" s="531"/>
    </row>
    <row r="427" customFormat="false" ht="16.5" hidden="false" customHeight="true" outlineLevel="0" collapsed="false">
      <c r="A427" s="531"/>
      <c r="B427" s="531"/>
      <c r="C427" s="531"/>
      <c r="D427" s="531"/>
      <c r="E427" s="531"/>
      <c r="F427" s="531"/>
      <c r="G427" s="531"/>
      <c r="H427" s="531"/>
      <c r="I427" s="531"/>
      <c r="J427" s="531"/>
      <c r="K427" s="531"/>
      <c r="L427" s="531"/>
      <c r="M427" s="531"/>
      <c r="N427" s="547" t="n">
        <f aca="false">IF('(1)예금승인내역'!H1053="","",'(1)예금승인내역'!H1053)</f>
        <v>46006</v>
      </c>
      <c r="O427" s="547" t="n">
        <f aca="false">IF('(1)예금승인내역'!G1053="","",'(1)예금승인내역'!G1053)</f>
        <v>45974</v>
      </c>
      <c r="P427" s="531" t="str">
        <f aca="false">IF('(1)예금승인내역'!F1053="","",'(1)예금승인내역'!F1053)</f>
        <v>한국비철㈜</v>
      </c>
      <c r="Q427" s="531" t="str">
        <f aca="false">IF('(1)예금승인내역'!C1053="","",'(1)예금승인내역'!C1053)</f>
        <v>달성공단영업부</v>
      </c>
      <c r="R427" s="531" t="str">
        <f aca="false">IF('(1)예금승인내역'!K1053="","",'(1)예금승인내역'!K1053)</f>
        <v>정기예금</v>
      </c>
      <c r="S427" s="548" t="n">
        <f aca="false">IF('(1)예금승인내역'!L1053="","",'(1)예금승인내역'!L1053)</f>
        <v>11.53</v>
      </c>
      <c r="T427" s="549" t="n">
        <f aca="false">IF('(1)예금승인내역'!AG1053="","",'(1)예금승인내역'!AG1053)</f>
        <v>0.0365</v>
      </c>
      <c r="U427" s="549" t="n">
        <f aca="false">IF('(1)예금승인내역'!X1053="","",'(1)예금승인내역'!X1053)</f>
        <v>0.003353</v>
      </c>
      <c r="V427" s="531" t="n">
        <f aca="false">IF(ISNUMBER(N427),N427-$B$2,"")</f>
        <v>-183</v>
      </c>
      <c r="W427" s="531" t="str">
        <f aca="false">IF(AND(ISNUMBER(N427),N427&gt;=$B$2,N427&lt;=$B$2+10),N427*100000+ROW(),"")</f>
        <v/>
      </c>
      <c r="X427" s="531"/>
      <c r="Y427" s="531"/>
      <c r="Z427" s="531"/>
      <c r="AA427" s="531"/>
      <c r="AB427" s="531"/>
      <c r="AC427" s="531"/>
      <c r="AD427" s="531"/>
      <c r="AE427" s="531"/>
      <c r="AF427" s="531"/>
      <c r="AG427" s="531"/>
      <c r="AH427" s="531"/>
      <c r="AI427" s="531"/>
      <c r="AJ427" s="531"/>
      <c r="AK427" s="531"/>
      <c r="AL427" s="531"/>
      <c r="AM427" s="531"/>
      <c r="AN427" s="531"/>
    </row>
    <row r="428" customFormat="false" ht="16.5" hidden="false" customHeight="true" outlineLevel="0" collapsed="false">
      <c r="A428" s="531"/>
      <c r="B428" s="531"/>
      <c r="C428" s="531"/>
      <c r="D428" s="531"/>
      <c r="E428" s="531"/>
      <c r="F428" s="531"/>
      <c r="G428" s="531"/>
      <c r="H428" s="531"/>
      <c r="I428" s="531"/>
      <c r="J428" s="531"/>
      <c r="K428" s="531"/>
      <c r="L428" s="531"/>
      <c r="M428" s="531"/>
      <c r="N428" s="547" t="n">
        <f aca="false">IF('(1)예금승인내역'!H1054="","",'(1)예금승인내역'!H1054)</f>
        <v>46006</v>
      </c>
      <c r="O428" s="547" t="n">
        <f aca="false">IF('(1)예금승인내역'!G1054="","",'(1)예금승인내역'!G1054)</f>
        <v>45974</v>
      </c>
      <c r="P428" s="531" t="str">
        <f aca="false">IF('(1)예금승인내역'!F1054="","",'(1)예금승인내역'!F1054)</f>
        <v>주식회사 한국비앤씨</v>
      </c>
      <c r="Q428" s="531" t="str">
        <f aca="false">IF('(1)예금승인내역'!C1054="","",'(1)예금승인내역'!C1054)</f>
        <v>유통단지영업부</v>
      </c>
      <c r="R428" s="531" t="str">
        <f aca="false">IF('(1)예금승인내역'!K1054="","",'(1)예금승인내역'!K1054)</f>
        <v>MMDA</v>
      </c>
      <c r="S428" s="548" t="n">
        <f aca="false">IF('(1)예금승인내역'!L1054="","",'(1)예금승인내역'!L1054)</f>
        <v>7.12</v>
      </c>
      <c r="T428" s="549" t="n">
        <f aca="false">IF('(1)예금승인내역'!AG1054="","",'(1)예금승인내역'!AG1054)</f>
        <v>0.0335</v>
      </c>
      <c r="U428" s="549" t="n">
        <f aca="false">IF('(1)예금승인내역'!X1054="","",'(1)예금승인내역'!X1054)</f>
        <v>0.004429</v>
      </c>
      <c r="V428" s="531" t="n">
        <f aca="false">IF(ISNUMBER(N428),N428-$B$2,"")</f>
        <v>-183</v>
      </c>
      <c r="W428" s="531" t="str">
        <f aca="false">IF(AND(ISNUMBER(N428),N428&gt;=$B$2,N428&lt;=$B$2+10),N428*100000+ROW(),"")</f>
        <v/>
      </c>
      <c r="X428" s="531"/>
      <c r="Y428" s="531"/>
      <c r="Z428" s="531"/>
      <c r="AA428" s="531"/>
      <c r="AB428" s="531"/>
      <c r="AC428" s="531"/>
      <c r="AD428" s="531"/>
      <c r="AE428" s="531"/>
      <c r="AF428" s="531"/>
      <c r="AG428" s="531"/>
      <c r="AH428" s="531"/>
      <c r="AI428" s="531"/>
      <c r="AJ428" s="531"/>
      <c r="AK428" s="531"/>
      <c r="AL428" s="531"/>
      <c r="AM428" s="531"/>
      <c r="AN428" s="531"/>
    </row>
    <row r="429" customFormat="false" ht="16.5" hidden="false" customHeight="true" outlineLevel="0" collapsed="false">
      <c r="A429" s="531"/>
      <c r="B429" s="531"/>
      <c r="C429" s="531"/>
      <c r="D429" s="531"/>
      <c r="E429" s="531"/>
      <c r="F429" s="531"/>
      <c r="G429" s="531"/>
      <c r="H429" s="531"/>
      <c r="I429" s="531"/>
      <c r="J429" s="531"/>
      <c r="K429" s="531"/>
      <c r="L429" s="531"/>
      <c r="M429" s="531"/>
      <c r="N429" s="547" t="n">
        <f aca="false">IF('(1)예금승인내역'!H1055="","",'(1)예금승인내역'!H1055)</f>
        <v>46066</v>
      </c>
      <c r="O429" s="547" t="n">
        <f aca="false">IF('(1)예금승인내역'!G1055="","",'(1)예금승인내역'!G1055)</f>
        <v>45974</v>
      </c>
      <c r="P429" s="531" t="str">
        <f aca="false">IF('(1)예금승인내역'!F1055="","",'(1)예금승인내역'!F1055)</f>
        <v>해내다컨트리클럽</v>
      </c>
      <c r="Q429" s="531" t="str">
        <f aca="false">IF('(1)예금승인내역'!C1055="","",'(1)예금승인내역'!C1055)</f>
        <v>달성공단영업부</v>
      </c>
      <c r="R429" s="531" t="str">
        <f aca="false">IF('(1)예금승인내역'!K1055="","",'(1)예금승인내역'!K1055)</f>
        <v>정기예금</v>
      </c>
      <c r="S429" s="548" t="n">
        <f aca="false">IF('(1)예금승인내역'!L1055="","",'(1)예금승인내역'!L1055)</f>
        <v>1.44</v>
      </c>
      <c r="T429" s="549" t="n">
        <f aca="false">IF('(1)예금승인내역'!AG1055="","",'(1)예금승인내역'!AG1055)</f>
        <v>0.0377</v>
      </c>
      <c r="U429" s="549" t="n">
        <f aca="false">IF('(1)예금승인내역'!X1055="","",'(1)예금승인내역'!X1055)</f>
        <v>0.002569</v>
      </c>
      <c r="V429" s="531" t="n">
        <f aca="false">IF(ISNUMBER(N429),N429-$B$2,"")</f>
        <v>-123</v>
      </c>
      <c r="W429" s="531" t="str">
        <f aca="false">IF(AND(ISNUMBER(N429),N429&gt;=$B$2,N429&lt;=$B$2+10),N429*100000+ROW(),"")</f>
        <v/>
      </c>
      <c r="X429" s="531"/>
      <c r="Y429" s="531"/>
      <c r="Z429" s="531"/>
      <c r="AA429" s="531"/>
      <c r="AB429" s="531"/>
      <c r="AC429" s="531"/>
      <c r="AD429" s="531"/>
      <c r="AE429" s="531"/>
      <c r="AF429" s="531"/>
      <c r="AG429" s="531"/>
      <c r="AH429" s="531"/>
      <c r="AI429" s="531"/>
      <c r="AJ429" s="531"/>
      <c r="AK429" s="531"/>
      <c r="AL429" s="531"/>
      <c r="AM429" s="531"/>
      <c r="AN429" s="531"/>
    </row>
    <row r="430" customFormat="false" ht="16.5" hidden="false" customHeight="true" outlineLevel="0" collapsed="false">
      <c r="A430" s="531"/>
      <c r="B430" s="531"/>
      <c r="C430" s="531"/>
      <c r="D430" s="531"/>
      <c r="E430" s="531"/>
      <c r="F430" s="531"/>
      <c r="G430" s="531"/>
      <c r="H430" s="531"/>
      <c r="I430" s="531"/>
      <c r="J430" s="531"/>
      <c r="K430" s="531"/>
      <c r="L430" s="531"/>
      <c r="M430" s="531"/>
      <c r="N430" s="547" t="n">
        <f aca="false">IF('(1)예금승인내역'!H1056="","",'(1)예금승인내역'!H1056)</f>
        <v>46066</v>
      </c>
      <c r="O430" s="547" t="n">
        <f aca="false">IF('(1)예금승인내역'!G1056="","",'(1)예금승인내역'!G1056)</f>
        <v>45974</v>
      </c>
      <c r="P430" s="531" t="str">
        <f aca="false">IF('(1)예금승인내역'!F1056="","",'(1)예금승인내역'!F1056)</f>
        <v>동아홀딩스</v>
      </c>
      <c r="Q430" s="531" t="str">
        <f aca="false">IF('(1)예금승인내역'!C1056="","",'(1)예금승인내역'!C1056)</f>
        <v>달성공단영업부</v>
      </c>
      <c r="R430" s="531" t="str">
        <f aca="false">IF('(1)예금승인내역'!K1056="","",'(1)예금승인내역'!K1056)</f>
        <v>정기예금</v>
      </c>
      <c r="S430" s="548" t="n">
        <f aca="false">IF('(1)예금승인내역'!L1056="","",'(1)예금승인내역'!L1056)</f>
        <v>1.44</v>
      </c>
      <c r="T430" s="549" t="n">
        <f aca="false">IF('(1)예금승인내역'!AG1056="","",'(1)예금승인내역'!AG1056)</f>
        <v>0.0377</v>
      </c>
      <c r="U430" s="549" t="n">
        <f aca="false">IF('(1)예금승인내역'!X1056="","",'(1)예금승인내역'!X1056)</f>
        <v>0.002569</v>
      </c>
      <c r="V430" s="531" t="n">
        <f aca="false">IF(ISNUMBER(N430),N430-$B$2,"")</f>
        <v>-123</v>
      </c>
      <c r="W430" s="531" t="str">
        <f aca="false">IF(AND(ISNUMBER(N430),N430&gt;=$B$2,N430&lt;=$B$2+10),N430*100000+ROW(),"")</f>
        <v/>
      </c>
      <c r="X430" s="531"/>
      <c r="Y430" s="531"/>
      <c r="Z430" s="531"/>
      <c r="AA430" s="531"/>
      <c r="AB430" s="531"/>
      <c r="AC430" s="531"/>
      <c r="AD430" s="531"/>
      <c r="AE430" s="531"/>
      <c r="AF430" s="531"/>
      <c r="AG430" s="531"/>
      <c r="AH430" s="531"/>
      <c r="AI430" s="531"/>
      <c r="AJ430" s="531"/>
      <c r="AK430" s="531"/>
      <c r="AL430" s="531"/>
      <c r="AM430" s="531"/>
      <c r="AN430" s="531"/>
    </row>
    <row r="431" customFormat="false" ht="16.5" hidden="false" customHeight="true" outlineLevel="0" collapsed="false">
      <c r="A431" s="531"/>
      <c r="B431" s="531"/>
      <c r="C431" s="531"/>
      <c r="D431" s="531"/>
      <c r="E431" s="531"/>
      <c r="F431" s="531"/>
      <c r="G431" s="531"/>
      <c r="H431" s="531"/>
      <c r="I431" s="531"/>
      <c r="J431" s="531"/>
      <c r="K431" s="531"/>
      <c r="L431" s="531"/>
      <c r="M431" s="531"/>
      <c r="N431" s="547" t="n">
        <f aca="false">IF('(1)예금승인내역'!H1057="","",'(1)예금승인내역'!H1057)</f>
        <v>45982</v>
      </c>
      <c r="O431" s="547" t="n">
        <f aca="false">IF('(1)예금승인내역'!G1057="","",'(1)예금승인내역'!G1057)</f>
        <v>45975</v>
      </c>
      <c r="P431" s="531" t="str">
        <f aca="false">IF('(1)예금승인내역'!F1057="","",'(1)예금승인내역'!F1057)</f>
        <v>㈜일지테크</v>
      </c>
      <c r="Q431" s="531" t="str">
        <f aca="false">IF('(1)예금승인내역'!C1057="","",'(1)예금승인내역'!C1057)</f>
        <v>경산공단영업부</v>
      </c>
      <c r="R431" s="531" t="str">
        <f aca="false">IF('(1)예금승인내역'!K1057="","",'(1)예금승인내역'!K1057)</f>
        <v>정기예금</v>
      </c>
      <c r="S431" s="548" t="n">
        <f aca="false">IF('(1)예금승인내역'!L1057="","",'(1)예금승인내역'!L1057)</f>
        <v>2</v>
      </c>
      <c r="T431" s="549" t="n">
        <f aca="false">IF('(1)예금승인내역'!AG1057="","",'(1)예금승인내역'!AG1057)</f>
        <v>0.0342</v>
      </c>
      <c r="U431" s="549" t="n">
        <f aca="false">IF('(1)예금승인내역'!X1057="","",'(1)예금승인내역'!X1057)</f>
        <v>0.002079</v>
      </c>
      <c r="V431" s="531" t="n">
        <f aca="false">IF(ISNUMBER(N431),N431-$B$2,"")</f>
        <v>-207</v>
      </c>
      <c r="W431" s="531" t="str">
        <f aca="false">IF(AND(ISNUMBER(N431),N431&gt;=$B$2,N431&lt;=$B$2+10),N431*100000+ROW(),"")</f>
        <v/>
      </c>
      <c r="X431" s="531"/>
      <c r="Y431" s="531"/>
      <c r="Z431" s="531"/>
      <c r="AA431" s="531"/>
      <c r="AB431" s="531"/>
      <c r="AC431" s="531"/>
      <c r="AD431" s="531"/>
      <c r="AE431" s="531"/>
      <c r="AF431" s="531"/>
      <c r="AG431" s="531"/>
      <c r="AH431" s="531"/>
      <c r="AI431" s="531"/>
      <c r="AJ431" s="531"/>
      <c r="AK431" s="531"/>
      <c r="AL431" s="531"/>
      <c r="AM431" s="531"/>
      <c r="AN431" s="531"/>
    </row>
    <row r="432" customFormat="false" ht="16.5" hidden="false" customHeight="true" outlineLevel="0" collapsed="false">
      <c r="A432" s="531"/>
      <c r="B432" s="531"/>
      <c r="C432" s="531"/>
      <c r="D432" s="531"/>
      <c r="E432" s="531"/>
      <c r="F432" s="531"/>
      <c r="G432" s="531"/>
      <c r="H432" s="531"/>
      <c r="I432" s="531"/>
      <c r="J432" s="531"/>
      <c r="K432" s="531"/>
      <c r="L432" s="531"/>
      <c r="M432" s="531"/>
      <c r="N432" s="547" t="n">
        <f aca="false">IF('(1)예금승인내역'!H1058="","",'(1)예금승인내역'!H1058)</f>
        <v>45989</v>
      </c>
      <c r="O432" s="547" t="n">
        <f aca="false">IF('(1)예금승인내역'!G1058="","",'(1)예금승인내역'!G1058)</f>
        <v>45975</v>
      </c>
      <c r="P432" s="531" t="str">
        <f aca="false">IF('(1)예금승인내역'!F1058="","",'(1)예금승인내역'!F1058)</f>
        <v>㈜일지테크</v>
      </c>
      <c r="Q432" s="531" t="str">
        <f aca="false">IF('(1)예금승인내역'!C1058="","",'(1)예금승인내역'!C1058)</f>
        <v>경산공단영업부</v>
      </c>
      <c r="R432" s="531" t="str">
        <f aca="false">IF('(1)예금승인내역'!K1058="","",'(1)예금승인내역'!K1058)</f>
        <v>정기예금</v>
      </c>
      <c r="S432" s="548" t="n">
        <f aca="false">IF('(1)예금승인내역'!L1058="","",'(1)예금승인내역'!L1058)</f>
        <v>4.5</v>
      </c>
      <c r="T432" s="549" t="n">
        <f aca="false">IF('(1)예금승인내역'!AG1058="","",'(1)예금승인내역'!AG1058)</f>
        <v>0.0345</v>
      </c>
      <c r="U432" s="549" t="n">
        <f aca="false">IF('(1)예금승인내역'!X1058="","",'(1)예금승인내역'!X1058)</f>
        <v>0.002252</v>
      </c>
      <c r="V432" s="531" t="n">
        <f aca="false">IF(ISNUMBER(N432),N432-$B$2,"")</f>
        <v>-200</v>
      </c>
      <c r="W432" s="531" t="str">
        <f aca="false">IF(AND(ISNUMBER(N432),N432&gt;=$B$2,N432&lt;=$B$2+10),N432*100000+ROW(),"")</f>
        <v/>
      </c>
      <c r="X432" s="531"/>
      <c r="Y432" s="531"/>
      <c r="Z432" s="531"/>
      <c r="AA432" s="531"/>
      <c r="AB432" s="531"/>
      <c r="AC432" s="531"/>
      <c r="AD432" s="531"/>
      <c r="AE432" s="531"/>
      <c r="AF432" s="531"/>
      <c r="AG432" s="531"/>
      <c r="AH432" s="531"/>
      <c r="AI432" s="531"/>
      <c r="AJ432" s="531"/>
      <c r="AK432" s="531"/>
      <c r="AL432" s="531"/>
      <c r="AM432" s="531"/>
      <c r="AN432" s="531"/>
    </row>
    <row r="433" customFormat="false" ht="16.5" hidden="false" customHeight="true" outlineLevel="0" collapsed="false">
      <c r="A433" s="531"/>
      <c r="B433" s="531"/>
      <c r="C433" s="531"/>
      <c r="D433" s="531"/>
      <c r="E433" s="531"/>
      <c r="F433" s="531"/>
      <c r="G433" s="531"/>
      <c r="H433" s="531"/>
      <c r="I433" s="531"/>
      <c r="J433" s="531"/>
      <c r="K433" s="531"/>
      <c r="L433" s="531"/>
      <c r="M433" s="531"/>
      <c r="N433" s="547" t="n">
        <f aca="false">IF('(1)예금승인내역'!H1059="","",'(1)예금승인내역'!H1059)</f>
        <v>45989</v>
      </c>
      <c r="O433" s="547" t="n">
        <f aca="false">IF('(1)예금승인내역'!G1059="","",'(1)예금승인내역'!G1059)</f>
        <v>45975</v>
      </c>
      <c r="P433" s="531" t="str">
        <f aca="false">IF('(1)예금승인내역'!F1059="","",'(1)예금승인내역'!F1059)</f>
        <v>㈜일지테크</v>
      </c>
      <c r="Q433" s="531" t="str">
        <f aca="false">IF('(1)예금승인내역'!C1059="","",'(1)예금승인내역'!C1059)</f>
        <v>경산공단영업부</v>
      </c>
      <c r="R433" s="531" t="str">
        <f aca="false">IF('(1)예금승인내역'!K1059="","",'(1)예금승인내역'!K1059)</f>
        <v>정기예금</v>
      </c>
      <c r="S433" s="548" t="n">
        <f aca="false">IF('(1)예금승인내역'!L1059="","",'(1)예금승인내역'!L1059)</f>
        <v>3</v>
      </c>
      <c r="T433" s="549" t="n">
        <f aca="false">IF('(1)예금승인내역'!AG1059="","",'(1)예금승인내역'!AG1059)</f>
        <v>0.0345</v>
      </c>
      <c r="U433" s="549" t="n">
        <f aca="false">IF('(1)예금승인내역'!X1059="","",'(1)예금승인내역'!X1059)</f>
        <v>0.002252</v>
      </c>
      <c r="V433" s="531" t="n">
        <f aca="false">IF(ISNUMBER(N433),N433-$B$2,"")</f>
        <v>-200</v>
      </c>
      <c r="W433" s="531" t="str">
        <f aca="false">IF(AND(ISNUMBER(N433),N433&gt;=$B$2,N433&lt;=$B$2+10),N433*100000+ROW(),"")</f>
        <v/>
      </c>
      <c r="X433" s="531"/>
      <c r="Y433" s="531"/>
      <c r="Z433" s="531"/>
      <c r="AA433" s="531"/>
      <c r="AB433" s="531"/>
      <c r="AC433" s="531"/>
      <c r="AD433" s="531"/>
      <c r="AE433" s="531"/>
      <c r="AF433" s="531"/>
      <c r="AG433" s="531"/>
      <c r="AH433" s="531"/>
      <c r="AI433" s="531"/>
      <c r="AJ433" s="531"/>
      <c r="AK433" s="531"/>
      <c r="AL433" s="531"/>
      <c r="AM433" s="531"/>
      <c r="AN433" s="531"/>
    </row>
    <row r="434" customFormat="false" ht="16.5" hidden="false" customHeight="true" outlineLevel="0" collapsed="false">
      <c r="A434" s="531"/>
      <c r="B434" s="531"/>
      <c r="C434" s="531"/>
      <c r="D434" s="531"/>
      <c r="E434" s="531"/>
      <c r="F434" s="531"/>
      <c r="G434" s="531"/>
      <c r="H434" s="531"/>
      <c r="I434" s="531"/>
      <c r="J434" s="531"/>
      <c r="K434" s="531"/>
      <c r="L434" s="531"/>
      <c r="M434" s="531"/>
      <c r="N434" s="547" t="n">
        <f aca="false">IF('(1)예금승인내역'!H1060="","",'(1)예금승인내역'!H1060)</f>
        <v>46066</v>
      </c>
      <c r="O434" s="547" t="n">
        <f aca="false">IF('(1)예금승인내역'!G1060="","",'(1)예금승인내역'!G1060)</f>
        <v>45975</v>
      </c>
      <c r="P434" s="531" t="str">
        <f aca="false">IF('(1)예금승인내역'!F1060="","",'(1)예금승인내역'!F1060)</f>
        <v>동아홀딩스</v>
      </c>
      <c r="Q434" s="531" t="str">
        <f aca="false">IF('(1)예금승인내역'!C1060="","",'(1)예금승인내역'!C1060)</f>
        <v>달성공단영업부</v>
      </c>
      <c r="R434" s="531" t="str">
        <f aca="false">IF('(1)예금승인내역'!K1060="","",'(1)예금승인내역'!K1060)</f>
        <v>정기예금</v>
      </c>
      <c r="S434" s="548" t="n">
        <f aca="false">IF('(1)예금승인내역'!L1060="","",'(1)예금승인내역'!L1060)</f>
        <v>3.61</v>
      </c>
      <c r="T434" s="549" t="n">
        <f aca="false">IF('(1)예금승인내역'!AG1060="","",'(1)예금승인내역'!AG1060)</f>
        <v>0.0377</v>
      </c>
      <c r="U434" s="549" t="n">
        <f aca="false">IF('(1)예금승인내역'!X1060="","",'(1)예금승인내역'!X1060)</f>
        <v>0.002694</v>
      </c>
      <c r="V434" s="531" t="n">
        <f aca="false">IF(ISNUMBER(N434),N434-$B$2,"")</f>
        <v>-123</v>
      </c>
      <c r="W434" s="531" t="str">
        <f aca="false">IF(AND(ISNUMBER(N434),N434&gt;=$B$2,N434&lt;=$B$2+10),N434*100000+ROW(),"")</f>
        <v/>
      </c>
      <c r="X434" s="531"/>
      <c r="Y434" s="531"/>
      <c r="Z434" s="531"/>
      <c r="AA434" s="531"/>
      <c r="AB434" s="531"/>
      <c r="AC434" s="531"/>
      <c r="AD434" s="531"/>
      <c r="AE434" s="531"/>
      <c r="AF434" s="531"/>
      <c r="AG434" s="531"/>
      <c r="AH434" s="531"/>
      <c r="AI434" s="531"/>
      <c r="AJ434" s="531"/>
      <c r="AK434" s="531"/>
      <c r="AL434" s="531"/>
      <c r="AM434" s="531"/>
      <c r="AN434" s="531"/>
    </row>
    <row r="435" customFormat="false" ht="16.5" hidden="false" customHeight="true" outlineLevel="0" collapsed="false">
      <c r="A435" s="531"/>
      <c r="B435" s="531"/>
      <c r="C435" s="531"/>
      <c r="D435" s="531"/>
      <c r="E435" s="531"/>
      <c r="F435" s="531"/>
      <c r="G435" s="531"/>
      <c r="H435" s="531"/>
      <c r="I435" s="531"/>
      <c r="J435" s="531"/>
      <c r="K435" s="531"/>
      <c r="L435" s="531"/>
      <c r="M435" s="531"/>
      <c r="N435" s="547" t="n">
        <f aca="false">IF('(1)예금승인내역'!H1061="","",'(1)예금승인내역'!H1061)</f>
        <v>46008</v>
      </c>
      <c r="O435" s="547" t="n">
        <f aca="false">IF('(1)예금승인내역'!G1061="","",'(1)예금승인내역'!G1061)</f>
        <v>45978</v>
      </c>
      <c r="P435" s="531" t="str">
        <f aca="false">IF('(1)예금승인내역'!F1061="","",'(1)예금승인내역'!F1061)</f>
        <v>대원지에스아이</v>
      </c>
      <c r="Q435" s="531" t="str">
        <f aca="false">IF('(1)예금승인내역'!C1061="","",'(1)예금승인내역'!C1061)</f>
        <v>유통단지영업부</v>
      </c>
      <c r="R435" s="531" t="str">
        <f aca="false">IF('(1)예금승인내역'!K1061="","",'(1)예금승인내역'!K1061)</f>
        <v>정기예금</v>
      </c>
      <c r="S435" s="548" t="n">
        <f aca="false">IF('(1)예금승인내역'!L1061="","",'(1)예금승인내역'!L1061)</f>
        <v>1.5</v>
      </c>
      <c r="T435" s="549" t="n">
        <f aca="false">IF('(1)예금승인내역'!AG1061="","",'(1)예금승인내역'!AG1061)</f>
        <v>0.037</v>
      </c>
      <c r="U435" s="549" t="n">
        <f aca="false">IF('(1)예금승인내역'!X1061="","",'(1)예금승인내역'!X1061)</f>
        <v>0.002962</v>
      </c>
      <c r="V435" s="531" t="n">
        <f aca="false">IF(ISNUMBER(N435),N435-$B$2,"")</f>
        <v>-181</v>
      </c>
      <c r="W435" s="531" t="str">
        <f aca="false">IF(AND(ISNUMBER(N435),N435&gt;=$B$2,N435&lt;=$B$2+10),N435*100000+ROW(),"")</f>
        <v/>
      </c>
      <c r="X435" s="531"/>
      <c r="Y435" s="531"/>
      <c r="Z435" s="531"/>
      <c r="AA435" s="531"/>
      <c r="AB435" s="531"/>
      <c r="AC435" s="531"/>
      <c r="AD435" s="531"/>
      <c r="AE435" s="531"/>
      <c r="AF435" s="531"/>
      <c r="AG435" s="531"/>
      <c r="AH435" s="531"/>
      <c r="AI435" s="531"/>
      <c r="AJ435" s="531"/>
      <c r="AK435" s="531"/>
      <c r="AL435" s="531"/>
      <c r="AM435" s="531"/>
      <c r="AN435" s="531"/>
    </row>
    <row r="436" customFormat="false" ht="16.5" hidden="false" customHeight="true" outlineLevel="0" collapsed="false">
      <c r="A436" s="531"/>
      <c r="B436" s="531"/>
      <c r="C436" s="531"/>
      <c r="D436" s="531"/>
      <c r="E436" s="531"/>
      <c r="F436" s="531"/>
      <c r="G436" s="531"/>
      <c r="H436" s="531"/>
      <c r="I436" s="531"/>
      <c r="J436" s="531"/>
      <c r="K436" s="531"/>
      <c r="L436" s="531"/>
      <c r="M436" s="531"/>
      <c r="N436" s="547" t="n">
        <f aca="false">IF('(1)예금승인내역'!H1062="","",'(1)예금승인내역'!H1062)</f>
        <v>46072</v>
      </c>
      <c r="O436" s="547" t="n">
        <f aca="false">IF('(1)예금승인내역'!G1062="","",'(1)예금승인내역'!G1062)</f>
        <v>45979</v>
      </c>
      <c r="P436" s="531" t="str">
        <f aca="false">IF('(1)예금승인내역'!F1062="","",'(1)예금승인내역'!F1062)</f>
        <v>㈜비알팜</v>
      </c>
      <c r="Q436" s="531" t="str">
        <f aca="false">IF('(1)예금승인내역'!C1062="","",'(1)예금승인내역'!C1062)</f>
        <v>원주금융센터</v>
      </c>
      <c r="R436" s="531" t="str">
        <f aca="false">IF('(1)예금승인내역'!K1062="","",'(1)예금승인내역'!K1062)</f>
        <v>정기예금</v>
      </c>
      <c r="S436" s="548" t="n">
        <f aca="false">IF('(1)예금승인내역'!L1062="","",'(1)예금승인내역'!L1062)</f>
        <v>1</v>
      </c>
      <c r="T436" s="549" t="n">
        <f aca="false">IF('(1)예금승인내역'!AG1062="","",'(1)예금승인내역'!AG1062)</f>
        <v>0.0385</v>
      </c>
      <c r="U436" s="549" t="n">
        <f aca="false">IF('(1)예금승인내역'!X1062="","",'(1)예금승인내역'!X1062)</f>
        <v>0.002102</v>
      </c>
      <c r="V436" s="531" t="n">
        <f aca="false">IF(ISNUMBER(N436),N436-$B$2,"")</f>
        <v>-117</v>
      </c>
      <c r="W436" s="531" t="str">
        <f aca="false">IF(AND(ISNUMBER(N436),N436&gt;=$B$2,N436&lt;=$B$2+10),N436*100000+ROW(),"")</f>
        <v/>
      </c>
      <c r="X436" s="531"/>
      <c r="Y436" s="531"/>
      <c r="Z436" s="531"/>
      <c r="AA436" s="531"/>
      <c r="AB436" s="531"/>
      <c r="AC436" s="531"/>
      <c r="AD436" s="531"/>
      <c r="AE436" s="531"/>
      <c r="AF436" s="531"/>
      <c r="AG436" s="531"/>
      <c r="AH436" s="531"/>
      <c r="AI436" s="531"/>
      <c r="AJ436" s="531"/>
      <c r="AK436" s="531"/>
      <c r="AL436" s="531"/>
      <c r="AM436" s="531"/>
      <c r="AN436" s="531"/>
    </row>
    <row r="437" customFormat="false" ht="16.5" hidden="false" customHeight="true" outlineLevel="0" collapsed="false">
      <c r="A437" s="531"/>
      <c r="B437" s="531"/>
      <c r="C437" s="531"/>
      <c r="D437" s="531"/>
      <c r="E437" s="531"/>
      <c r="F437" s="531"/>
      <c r="G437" s="531"/>
      <c r="H437" s="531"/>
      <c r="I437" s="531"/>
      <c r="J437" s="531"/>
      <c r="K437" s="531"/>
      <c r="L437" s="531"/>
      <c r="M437" s="531"/>
      <c r="N437" s="547" t="n">
        <f aca="false">IF('(1)예금승인내역'!H1063="","",'(1)예금승인내역'!H1063)</f>
        <v>46013</v>
      </c>
      <c r="O437" s="547" t="n">
        <f aca="false">IF('(1)예금승인내역'!G1063="","",'(1)예금승인내역'!G1063)</f>
        <v>45981</v>
      </c>
      <c r="P437" s="531" t="str">
        <f aca="false">IF('(1)예금승인내역'!F1063="","",'(1)예금승인내역'!F1063)</f>
        <v>오스템임플란트㈜</v>
      </c>
      <c r="Q437" s="531" t="str">
        <f aca="false">IF('(1)예금승인내역'!C1063="","",'(1)예금승인내역'!C1063)</f>
        <v>성남금융센터</v>
      </c>
      <c r="R437" s="531" t="str">
        <f aca="false">IF('(1)예금승인내역'!K1063="","",'(1)예금승인내역'!K1063)</f>
        <v>MMDA</v>
      </c>
      <c r="S437" s="548" t="n">
        <f aca="false">IF('(1)예금승인내역'!L1063="","",'(1)예금승인내역'!L1063)</f>
        <v>4</v>
      </c>
      <c r="T437" s="549" t="n">
        <f aca="false">IF('(1)예금승인내역'!AG1063="","",'(1)예금승인내역'!AG1063)</f>
        <v>0.034</v>
      </c>
      <c r="U437" s="549" t="n">
        <f aca="false">IF('(1)예금승인내역'!X1063="","",'(1)예금승인내역'!X1063)</f>
        <v>0.004208</v>
      </c>
      <c r="V437" s="531" t="n">
        <f aca="false">IF(ISNUMBER(N437),N437-$B$2,"")</f>
        <v>-176</v>
      </c>
      <c r="W437" s="531" t="str">
        <f aca="false">IF(AND(ISNUMBER(N437),N437&gt;=$B$2,N437&lt;=$B$2+10),N437*100000+ROW(),"")</f>
        <v/>
      </c>
      <c r="X437" s="531"/>
      <c r="Y437" s="531"/>
      <c r="Z437" s="531"/>
      <c r="AA437" s="531"/>
      <c r="AB437" s="531"/>
      <c r="AC437" s="531"/>
      <c r="AD437" s="531"/>
      <c r="AE437" s="531"/>
      <c r="AF437" s="531"/>
      <c r="AG437" s="531"/>
      <c r="AH437" s="531"/>
      <c r="AI437" s="531"/>
      <c r="AJ437" s="531"/>
      <c r="AK437" s="531"/>
      <c r="AL437" s="531"/>
      <c r="AM437" s="531"/>
      <c r="AN437" s="531"/>
    </row>
    <row r="438" customFormat="false" ht="16.5" hidden="false" customHeight="true" outlineLevel="0" collapsed="false">
      <c r="A438" s="531"/>
      <c r="B438" s="531"/>
      <c r="C438" s="531"/>
      <c r="D438" s="531"/>
      <c r="E438" s="531"/>
      <c r="F438" s="531"/>
      <c r="G438" s="531"/>
      <c r="H438" s="531"/>
      <c r="I438" s="531"/>
      <c r="J438" s="531"/>
      <c r="K438" s="531"/>
      <c r="L438" s="531"/>
      <c r="M438" s="531"/>
      <c r="N438" s="547" t="n">
        <f aca="false">IF('(1)예금승인내역'!H1064="","",'(1)예금승인내역'!H1064)</f>
        <v>46013</v>
      </c>
      <c r="O438" s="547" t="n">
        <f aca="false">IF('(1)예금승인내역'!G1064="","",'(1)예금승인내역'!G1064)</f>
        <v>45981</v>
      </c>
      <c r="P438" s="531" t="str">
        <f aca="false">IF('(1)예금승인내역'!F1064="","",'(1)예금승인내역'!F1064)</f>
        <v>오스템임플란트㈜</v>
      </c>
      <c r="Q438" s="531" t="str">
        <f aca="false">IF('(1)예금승인내역'!C1064="","",'(1)예금승인내역'!C1064)</f>
        <v>경산공단영업부</v>
      </c>
      <c r="R438" s="531" t="str">
        <f aca="false">IF('(1)예금승인내역'!K1064="","",'(1)예금승인내역'!K1064)</f>
        <v>MMDA</v>
      </c>
      <c r="S438" s="548" t="n">
        <f aca="false">IF('(1)예금승인내역'!L1064="","",'(1)예금승인내역'!L1064)</f>
        <v>4.4</v>
      </c>
      <c r="T438" s="549" t="n">
        <f aca="false">IF('(1)예금승인내역'!AG1064="","",'(1)예금승인내역'!AG1064)</f>
        <v>0.034</v>
      </c>
      <c r="U438" s="549" t="n">
        <f aca="false">IF('(1)예금승인내역'!X1064="","",'(1)예금승인내역'!X1064)</f>
        <v>0.004208</v>
      </c>
      <c r="V438" s="531" t="n">
        <f aca="false">IF(ISNUMBER(N438),N438-$B$2,"")</f>
        <v>-176</v>
      </c>
      <c r="W438" s="531" t="str">
        <f aca="false">IF(AND(ISNUMBER(N438),N438&gt;=$B$2,N438&lt;=$B$2+10),N438*100000+ROW(),"")</f>
        <v/>
      </c>
      <c r="X438" s="531"/>
      <c r="Y438" s="531"/>
      <c r="Z438" s="531"/>
      <c r="AA438" s="531"/>
      <c r="AB438" s="531"/>
      <c r="AC438" s="531"/>
      <c r="AD438" s="531"/>
      <c r="AE438" s="531"/>
      <c r="AF438" s="531"/>
      <c r="AG438" s="531"/>
      <c r="AH438" s="531"/>
      <c r="AI438" s="531"/>
      <c r="AJ438" s="531"/>
      <c r="AK438" s="531"/>
      <c r="AL438" s="531"/>
      <c r="AM438" s="531"/>
      <c r="AN438" s="531"/>
    </row>
    <row r="439" customFormat="false" ht="16.5" hidden="false" customHeight="true" outlineLevel="0" collapsed="false">
      <c r="A439" s="531"/>
      <c r="B439" s="531"/>
      <c r="C439" s="531"/>
      <c r="D439" s="531"/>
      <c r="E439" s="531"/>
      <c r="F439" s="531"/>
      <c r="G439" s="531"/>
      <c r="H439" s="531"/>
      <c r="I439" s="531"/>
      <c r="J439" s="531"/>
      <c r="K439" s="531"/>
      <c r="L439" s="531"/>
      <c r="M439" s="531"/>
      <c r="N439" s="547" t="n">
        <f aca="false">IF('(1)예금승인내역'!H1065="","",'(1)예금승인내역'!H1065)</f>
        <v>46013</v>
      </c>
      <c r="O439" s="547" t="n">
        <f aca="false">IF('(1)예금승인내역'!G1065="","",'(1)예금승인내역'!G1065)</f>
        <v>45981</v>
      </c>
      <c r="P439" s="531" t="str">
        <f aca="false">IF('(1)예금승인내역'!F1065="","",'(1)예금승인내역'!F1065)</f>
        <v>동화인더스트리</v>
      </c>
      <c r="Q439" s="531" t="str">
        <f aca="false">IF('(1)예금승인내역'!C1065="","",'(1)예금승인내역'!C1065)</f>
        <v>중동지점</v>
      </c>
      <c r="R439" s="531" t="str">
        <f aca="false">IF('(1)예금승인내역'!K1065="","",'(1)예금승인내역'!K1065)</f>
        <v>정기예금</v>
      </c>
      <c r="S439" s="548" t="n">
        <f aca="false">IF('(1)예금승인내역'!L1065="","",'(1)예금승인내역'!L1065)</f>
        <v>1.01</v>
      </c>
      <c r="T439" s="549" t="n">
        <f aca="false">IF('(1)예금승인내역'!AG1065="","",'(1)예금승인내역'!AG1065)</f>
        <v>0.0373</v>
      </c>
      <c r="U439" s="549" t="n">
        <f aca="false">IF('(1)예금승인내역'!X1065="","",'(1)예금승인내역'!X1065)</f>
        <v>0.003169</v>
      </c>
      <c r="V439" s="531" t="n">
        <f aca="false">IF(ISNUMBER(N439),N439-$B$2,"")</f>
        <v>-176</v>
      </c>
      <c r="W439" s="531" t="str">
        <f aca="false">IF(AND(ISNUMBER(N439),N439&gt;=$B$2,N439&lt;=$B$2+10),N439*100000+ROW(),"")</f>
        <v/>
      </c>
      <c r="X439" s="531"/>
      <c r="Y439" s="531"/>
      <c r="Z439" s="531"/>
      <c r="AA439" s="531"/>
      <c r="AB439" s="531"/>
      <c r="AC439" s="531"/>
      <c r="AD439" s="531"/>
      <c r="AE439" s="531"/>
      <c r="AF439" s="531"/>
      <c r="AG439" s="531"/>
      <c r="AH439" s="531"/>
      <c r="AI439" s="531"/>
      <c r="AJ439" s="531"/>
      <c r="AK439" s="531"/>
      <c r="AL439" s="531"/>
      <c r="AM439" s="531"/>
      <c r="AN439" s="531"/>
    </row>
    <row r="440" customFormat="false" ht="16.5" hidden="false" customHeight="true" outlineLevel="0" collapsed="false">
      <c r="A440" s="531"/>
      <c r="B440" s="531"/>
      <c r="C440" s="531"/>
      <c r="D440" s="531"/>
      <c r="E440" s="531"/>
      <c r="F440" s="531"/>
      <c r="G440" s="531"/>
      <c r="H440" s="531"/>
      <c r="I440" s="531"/>
      <c r="J440" s="531"/>
      <c r="K440" s="531"/>
      <c r="L440" s="531"/>
      <c r="M440" s="531"/>
      <c r="N440" s="547" t="n">
        <f aca="false">IF('(1)예금승인내역'!H1066="","",'(1)예금승인내역'!H1066)</f>
        <v>46010</v>
      </c>
      <c r="O440" s="547" t="n">
        <f aca="false">IF('(1)예금승인내역'!G1066="","",'(1)예금승인내역'!G1066)</f>
        <v>45982</v>
      </c>
      <c r="P440" s="531" t="str">
        <f aca="false">IF('(1)예금승인내역'!F1066="","",'(1)예금승인내역'!F1066)</f>
        <v>와이엠에스에이</v>
      </c>
      <c r="Q440" s="531" t="str">
        <f aca="false">IF('(1)예금승인내역'!C1066="","",'(1)예금승인내역'!C1066)</f>
        <v>본점영업부</v>
      </c>
      <c r="R440" s="531" t="str">
        <f aca="false">IF('(1)예금승인내역'!K1066="","",'(1)예금승인내역'!K1066)</f>
        <v>MMDA</v>
      </c>
      <c r="S440" s="548" t="n">
        <f aca="false">IF('(1)예금승인내역'!L1066="","",'(1)예금승인내역'!L1066)</f>
        <v>1.9</v>
      </c>
      <c r="T440" s="549" t="n">
        <f aca="false">IF('(1)예금승인내역'!AG1066="","",'(1)예금승인내역'!AG1066)</f>
        <v>0.034</v>
      </c>
      <c r="U440" s="549" t="n">
        <f aca="false">IF('(1)예금승인내역'!X1066="","",'(1)예금승인내역'!X1066)</f>
        <v>0.004069</v>
      </c>
      <c r="V440" s="531" t="n">
        <f aca="false">IF(ISNUMBER(N440),N440-$B$2,"")</f>
        <v>-179</v>
      </c>
      <c r="W440" s="531" t="str">
        <f aca="false">IF(AND(ISNUMBER(N440),N440&gt;=$B$2,N440&lt;=$B$2+10),N440*100000+ROW(),"")</f>
        <v/>
      </c>
      <c r="X440" s="531"/>
      <c r="Y440" s="531"/>
      <c r="Z440" s="531"/>
      <c r="AA440" s="531"/>
      <c r="AB440" s="531"/>
      <c r="AC440" s="531"/>
      <c r="AD440" s="531"/>
      <c r="AE440" s="531"/>
      <c r="AF440" s="531"/>
      <c r="AG440" s="531"/>
      <c r="AH440" s="531"/>
      <c r="AI440" s="531"/>
      <c r="AJ440" s="531"/>
      <c r="AK440" s="531"/>
      <c r="AL440" s="531"/>
      <c r="AM440" s="531"/>
      <c r="AN440" s="531"/>
    </row>
    <row r="441" customFormat="false" ht="16.5" hidden="false" customHeight="true" outlineLevel="0" collapsed="false">
      <c r="A441" s="531"/>
      <c r="B441" s="531"/>
      <c r="C441" s="531"/>
      <c r="D441" s="531"/>
      <c r="E441" s="531"/>
      <c r="F441" s="531"/>
      <c r="G441" s="531"/>
      <c r="H441" s="531"/>
      <c r="I441" s="531"/>
      <c r="J441" s="531"/>
      <c r="K441" s="531"/>
      <c r="L441" s="531"/>
      <c r="M441" s="531"/>
      <c r="N441" s="547" t="n">
        <f aca="false">IF('(1)예금승인내역'!H1067="","",'(1)예금승인내역'!H1067)</f>
        <v>46010</v>
      </c>
      <c r="O441" s="547" t="n">
        <f aca="false">IF('(1)예금승인내역'!G1067="","",'(1)예금승인내역'!G1067)</f>
        <v>45982</v>
      </c>
      <c r="P441" s="531" t="str">
        <f aca="false">IF('(1)예금승인내역'!F1067="","",'(1)예금승인내역'!F1067)</f>
        <v>㈜약진통상</v>
      </c>
      <c r="Q441" s="531" t="str">
        <f aca="false">IF('(1)예금승인내역'!C1067="","",'(1)예금승인내역'!C1067)</f>
        <v>반월공단영업부</v>
      </c>
      <c r="R441" s="531" t="str">
        <f aca="false">IF('(1)예금승인내역'!K1067="","",'(1)예금승인내역'!K1067)</f>
        <v>MMDA</v>
      </c>
      <c r="S441" s="548" t="n">
        <f aca="false">IF('(1)예금승인내역'!L1067="","",'(1)예금승인내역'!L1067)</f>
        <v>10.86</v>
      </c>
      <c r="T441" s="549" t="n">
        <f aca="false">IF('(1)예금승인내역'!AG1067="","",'(1)예금승인내역'!AG1067)</f>
        <v>0.034</v>
      </c>
      <c r="U441" s="549" t="n">
        <f aca="false">IF('(1)예금승인내역'!X1067="","",'(1)예금승인내역'!X1067)</f>
        <v>0.004069</v>
      </c>
      <c r="V441" s="531" t="n">
        <f aca="false">IF(ISNUMBER(N441),N441-$B$2,"")</f>
        <v>-179</v>
      </c>
      <c r="W441" s="531" t="str">
        <f aca="false">IF(AND(ISNUMBER(N441),N441&gt;=$B$2,N441&lt;=$B$2+10),N441*100000+ROW(),"")</f>
        <v/>
      </c>
      <c r="X441" s="531"/>
      <c r="Y441" s="531"/>
      <c r="Z441" s="531"/>
      <c r="AA441" s="531"/>
      <c r="AB441" s="531"/>
      <c r="AC441" s="531"/>
      <c r="AD441" s="531"/>
      <c r="AE441" s="531"/>
      <c r="AF441" s="531"/>
      <c r="AG441" s="531"/>
      <c r="AH441" s="531"/>
      <c r="AI441" s="531"/>
      <c r="AJ441" s="531"/>
      <c r="AK441" s="531"/>
      <c r="AL441" s="531"/>
      <c r="AM441" s="531"/>
      <c r="AN441" s="531"/>
    </row>
    <row r="442" customFormat="false" ht="16.5" hidden="false" customHeight="true" outlineLevel="0" collapsed="false">
      <c r="A442" s="531"/>
      <c r="B442" s="531"/>
      <c r="C442" s="531"/>
      <c r="D442" s="531"/>
      <c r="E442" s="531"/>
      <c r="F442" s="531"/>
      <c r="G442" s="531"/>
      <c r="H442" s="531"/>
      <c r="I442" s="531"/>
      <c r="J442" s="531"/>
      <c r="K442" s="531"/>
      <c r="L442" s="531"/>
      <c r="M442" s="531"/>
      <c r="N442" s="547" t="n">
        <f aca="false">IF('(1)예금승인내역'!H1068="","",'(1)예금승인내역'!H1068)</f>
        <v>45996</v>
      </c>
      <c r="O442" s="547" t="n">
        <f aca="false">IF('(1)예금승인내역'!G1068="","",'(1)예금승인내역'!G1068)</f>
        <v>45982</v>
      </c>
      <c r="P442" s="531" t="str">
        <f aca="false">IF('(1)예금승인내역'!F1068="","",'(1)예금승인내역'!F1068)</f>
        <v>㈜일지테크</v>
      </c>
      <c r="Q442" s="531" t="str">
        <f aca="false">IF('(1)예금승인내역'!C1068="","",'(1)예금승인내역'!C1068)</f>
        <v>경산공단영업부</v>
      </c>
      <c r="R442" s="531" t="str">
        <f aca="false">IF('(1)예금승인내역'!K1068="","",'(1)예금승인내역'!K1068)</f>
        <v>정기예금</v>
      </c>
      <c r="S442" s="548" t="n">
        <f aca="false">IF('(1)예금승인내역'!L1068="","",'(1)예금승인내역'!L1068)</f>
        <v>9</v>
      </c>
      <c r="T442" s="549" t="n">
        <f aca="false">IF('(1)예금승인내역'!AG1068="","",'(1)예금승인내역'!AG1068)</f>
        <v>0.0345</v>
      </c>
      <c r="U442" s="549" t="n">
        <f aca="false">IF('(1)예금승인내역'!X1068="","",'(1)예금승인내역'!X1068)</f>
        <v>0.002165</v>
      </c>
      <c r="V442" s="531" t="n">
        <f aca="false">IF(ISNUMBER(N442),N442-$B$2,"")</f>
        <v>-193</v>
      </c>
      <c r="W442" s="531" t="str">
        <f aca="false">IF(AND(ISNUMBER(N442),N442&gt;=$B$2,N442&lt;=$B$2+10),N442*100000+ROW(),"")</f>
        <v/>
      </c>
      <c r="X442" s="531"/>
      <c r="Y442" s="531"/>
      <c r="Z442" s="531"/>
      <c r="AA442" s="531"/>
      <c r="AB442" s="531"/>
      <c r="AC442" s="531"/>
      <c r="AD442" s="531"/>
      <c r="AE442" s="531"/>
      <c r="AF442" s="531"/>
      <c r="AG442" s="531"/>
      <c r="AH442" s="531"/>
      <c r="AI442" s="531"/>
      <c r="AJ442" s="531"/>
      <c r="AK442" s="531"/>
      <c r="AL442" s="531"/>
      <c r="AM442" s="531"/>
      <c r="AN442" s="531"/>
    </row>
    <row r="443" customFormat="false" ht="16.5" hidden="false" customHeight="true" outlineLevel="0" collapsed="false">
      <c r="A443" s="531"/>
      <c r="B443" s="531"/>
      <c r="C443" s="531"/>
      <c r="D443" s="531"/>
      <c r="E443" s="531"/>
      <c r="F443" s="531"/>
      <c r="G443" s="531"/>
      <c r="H443" s="531"/>
      <c r="I443" s="531"/>
      <c r="J443" s="531"/>
      <c r="K443" s="531"/>
      <c r="L443" s="531"/>
      <c r="M443" s="531"/>
      <c r="N443" s="547" t="n">
        <f aca="false">IF('(1)예금승인내역'!H1069="","",'(1)예금승인내역'!H1069)</f>
        <v>46353</v>
      </c>
      <c r="O443" s="547" t="n">
        <f aca="false">IF('(1)예금승인내역'!G1069="","",'(1)예금승인내역'!G1069)</f>
        <v>45988</v>
      </c>
      <c r="P443" s="531" t="str">
        <f aca="false">IF('(1)예금승인내역'!F1069="","",'(1)예금승인내역'!F1069)</f>
        <v>아영건설㈜</v>
      </c>
      <c r="Q443" s="531" t="str">
        <f aca="false">IF('(1)예금승인내역'!C1069="","",'(1)예금승인내역'!C1069)</f>
        <v>중산지점</v>
      </c>
      <c r="R443" s="531" t="str">
        <f aca="false">IF('(1)예금승인내역'!K1069="","",'(1)예금승인내역'!K1069)</f>
        <v>정기예금</v>
      </c>
      <c r="S443" s="548" t="n">
        <f aca="false">IF('(1)예금승인내역'!L1069="","",'(1)예금승인내역'!L1069)</f>
        <v>1.86</v>
      </c>
      <c r="T443" s="549" t="n">
        <f aca="false">IF('(1)예금승인내역'!AG1069="","",'(1)예금승인내역'!AG1069)</f>
        <v>0.0365</v>
      </c>
      <c r="U443" s="549" t="n">
        <f aca="false">IF('(1)예금승인내역'!X1069="","",'(1)예금승인내역'!X1069)</f>
        <v>0.002644</v>
      </c>
      <c r="V443" s="531" t="n">
        <f aca="false">IF(ISNUMBER(N443),N443-$B$2,"")</f>
        <v>164</v>
      </c>
      <c r="W443" s="531" t="str">
        <f aca="false">IF(AND(ISNUMBER(N443),N443&gt;=$B$2,N443&lt;=$B$2+10),N443*100000+ROW(),"")</f>
        <v/>
      </c>
      <c r="X443" s="531"/>
      <c r="Y443" s="531"/>
      <c r="Z443" s="531"/>
      <c r="AA443" s="531"/>
      <c r="AB443" s="531"/>
      <c r="AC443" s="531"/>
      <c r="AD443" s="531"/>
      <c r="AE443" s="531"/>
      <c r="AF443" s="531"/>
      <c r="AG443" s="531"/>
      <c r="AH443" s="531"/>
      <c r="AI443" s="531"/>
      <c r="AJ443" s="531"/>
      <c r="AK443" s="531"/>
      <c r="AL443" s="531"/>
      <c r="AM443" s="531"/>
      <c r="AN443" s="531"/>
    </row>
    <row r="444" customFormat="false" ht="16.5" hidden="false" customHeight="true" outlineLevel="0" collapsed="false">
      <c r="A444" s="531"/>
      <c r="B444" s="531"/>
      <c r="C444" s="531"/>
      <c r="D444" s="531"/>
      <c r="E444" s="531"/>
      <c r="F444" s="531"/>
      <c r="G444" s="531"/>
      <c r="H444" s="531"/>
      <c r="I444" s="531"/>
      <c r="J444" s="531"/>
      <c r="K444" s="531"/>
      <c r="L444" s="531"/>
      <c r="M444" s="531"/>
      <c r="N444" s="547" t="n">
        <f aca="false">IF('(1)예금승인내역'!H1070="","",'(1)예금승인내역'!H1070)</f>
        <v>46353</v>
      </c>
      <c r="O444" s="547" t="n">
        <f aca="false">IF('(1)예금승인내역'!G1070="","",'(1)예금승인내역'!G1070)</f>
        <v>45988</v>
      </c>
      <c r="P444" s="531" t="str">
        <f aca="false">IF('(1)예금승인내역'!F1070="","",'(1)예금승인내역'!F1070)</f>
        <v>영안건설㈜</v>
      </c>
      <c r="Q444" s="531" t="str">
        <f aca="false">IF('(1)예금승인내역'!C1070="","",'(1)예금승인내역'!C1070)</f>
        <v>중산지점</v>
      </c>
      <c r="R444" s="531" t="str">
        <f aca="false">IF('(1)예금승인내역'!K1070="","",'(1)예금승인내역'!K1070)</f>
        <v>정기예금</v>
      </c>
      <c r="S444" s="548" t="n">
        <f aca="false">IF('(1)예금승인내역'!L1070="","",'(1)예금승인내역'!L1070)</f>
        <v>2.15</v>
      </c>
      <c r="T444" s="549" t="n">
        <f aca="false">IF('(1)예금승인내역'!AG1070="","",'(1)예금승인내역'!AG1070)</f>
        <v>0.0365</v>
      </c>
      <c r="U444" s="549" t="n">
        <f aca="false">IF('(1)예금승인내역'!X1070="","",'(1)예금승인내역'!X1070)</f>
        <v>0.002644</v>
      </c>
      <c r="V444" s="531" t="n">
        <f aca="false">IF(ISNUMBER(N444),N444-$B$2,"")</f>
        <v>164</v>
      </c>
      <c r="W444" s="531" t="str">
        <f aca="false">IF(AND(ISNUMBER(N444),N444&gt;=$B$2,N444&lt;=$B$2+10),N444*100000+ROW(),"")</f>
        <v/>
      </c>
      <c r="X444" s="531"/>
      <c r="Y444" s="531"/>
      <c r="Z444" s="531"/>
      <c r="AA444" s="531"/>
      <c r="AB444" s="531"/>
      <c r="AC444" s="531"/>
      <c r="AD444" s="531"/>
      <c r="AE444" s="531"/>
      <c r="AF444" s="531"/>
      <c r="AG444" s="531"/>
      <c r="AH444" s="531"/>
      <c r="AI444" s="531"/>
      <c r="AJ444" s="531"/>
      <c r="AK444" s="531"/>
      <c r="AL444" s="531"/>
      <c r="AM444" s="531"/>
      <c r="AN444" s="531"/>
    </row>
    <row r="445" customFormat="false" ht="16.5" hidden="false" customHeight="true" outlineLevel="0" collapsed="false">
      <c r="A445" s="531"/>
      <c r="B445" s="531"/>
      <c r="C445" s="531"/>
      <c r="D445" s="531"/>
      <c r="E445" s="531"/>
      <c r="F445" s="531"/>
      <c r="G445" s="531"/>
      <c r="H445" s="531"/>
      <c r="I445" s="531"/>
      <c r="J445" s="531"/>
      <c r="K445" s="531"/>
      <c r="L445" s="531"/>
      <c r="M445" s="531"/>
      <c r="N445" s="547" t="n">
        <f aca="false">IF('(1)예금승인내역'!H1071="","",'(1)예금승인내역'!H1071)</f>
        <v>46020</v>
      </c>
      <c r="O445" s="547" t="n">
        <f aca="false">IF('(1)예금승인내역'!G1071="","",'(1)예금승인내역'!G1071)</f>
        <v>45988</v>
      </c>
      <c r="P445" s="531" t="str">
        <f aca="false">IF('(1)예금승인내역'!F1071="","",'(1)예금승인내역'!F1071)</f>
        <v>㈜와이투솔루션</v>
      </c>
      <c r="Q445" s="531" t="str">
        <f aca="false">IF('(1)예금승인내역'!C1071="","",'(1)예금승인내역'!C1071)</f>
        <v>화성금융센터</v>
      </c>
      <c r="R445" s="531" t="str">
        <f aca="false">IF('(1)예금승인내역'!K1071="","",'(1)예금승인내역'!K1071)</f>
        <v>MMDA</v>
      </c>
      <c r="S445" s="548" t="n">
        <f aca="false">IF('(1)예금승인내역'!L1071="","",'(1)예금승인내역'!L1071)</f>
        <v>1</v>
      </c>
      <c r="T445" s="549" t="n">
        <f aca="false">IF('(1)예금승인내역'!AG1071="","",'(1)예금승인내역'!AG1071)</f>
        <v>0.0335</v>
      </c>
      <c r="U445" s="549" t="n">
        <f aca="false">IF('(1)예금승인내역'!X1071="","",'(1)예금승인내역'!X1071)</f>
        <v>0.004194</v>
      </c>
      <c r="V445" s="531" t="n">
        <f aca="false">IF(ISNUMBER(N445),N445-$B$2,"")</f>
        <v>-169</v>
      </c>
      <c r="W445" s="531" t="str">
        <f aca="false">IF(AND(ISNUMBER(N445),N445&gt;=$B$2,N445&lt;=$B$2+10),N445*100000+ROW(),"")</f>
        <v/>
      </c>
      <c r="X445" s="531"/>
      <c r="Y445" s="531"/>
      <c r="Z445" s="531"/>
      <c r="AA445" s="531"/>
      <c r="AB445" s="531"/>
      <c r="AC445" s="531"/>
      <c r="AD445" s="531"/>
      <c r="AE445" s="531"/>
      <c r="AF445" s="531"/>
      <c r="AG445" s="531"/>
      <c r="AH445" s="531"/>
      <c r="AI445" s="531"/>
      <c r="AJ445" s="531"/>
      <c r="AK445" s="531"/>
      <c r="AL445" s="531"/>
      <c r="AM445" s="531"/>
      <c r="AN445" s="531"/>
    </row>
    <row r="446" customFormat="false" ht="16.5" hidden="false" customHeight="true" outlineLevel="0" collapsed="false">
      <c r="A446" s="531"/>
      <c r="B446" s="531"/>
      <c r="C446" s="531"/>
      <c r="D446" s="531"/>
      <c r="E446" s="531"/>
      <c r="F446" s="531"/>
      <c r="G446" s="531"/>
      <c r="H446" s="531"/>
      <c r="I446" s="531"/>
      <c r="J446" s="531"/>
      <c r="K446" s="531"/>
      <c r="L446" s="531"/>
      <c r="M446" s="531"/>
      <c r="N446" s="547" t="n">
        <f aca="false">IF('(1)예금승인내역'!H1072="","",'(1)예금승인내역'!H1072)</f>
        <v>46003</v>
      </c>
      <c r="O446" s="547" t="n">
        <f aca="false">IF('(1)예금승인내역'!G1072="","",'(1)예금승인내역'!G1072)</f>
        <v>45989</v>
      </c>
      <c r="P446" s="531" t="str">
        <f aca="false">IF('(1)예금승인내역'!F1072="","",'(1)예금승인내역'!F1072)</f>
        <v>㈜일지테크</v>
      </c>
      <c r="Q446" s="531" t="str">
        <f aca="false">IF('(1)예금승인내역'!C1072="","",'(1)예금승인내역'!C1072)</f>
        <v>경산공단영업부</v>
      </c>
      <c r="R446" s="531" t="str">
        <f aca="false">IF('(1)예금승인내역'!K1072="","",'(1)예금승인내역'!K1072)</f>
        <v>정기예금</v>
      </c>
      <c r="S446" s="548" t="n">
        <f aca="false">IF('(1)예금승인내역'!L1072="","",'(1)예금승인내역'!L1072)</f>
        <v>10</v>
      </c>
      <c r="T446" s="549" t="n">
        <f aca="false">IF('(1)예금승인내역'!AG1072="","",'(1)예금승인내역'!AG1072)</f>
        <v>0.0345</v>
      </c>
      <c r="U446" s="549" t="n">
        <f aca="false">IF('(1)예금승인내역'!X1072="","",'(1)예금승인내역'!X1072)</f>
        <v>0.0022</v>
      </c>
      <c r="V446" s="531" t="n">
        <f aca="false">IF(ISNUMBER(N446),N446-$B$2,"")</f>
        <v>-186</v>
      </c>
      <c r="W446" s="531" t="str">
        <f aca="false">IF(AND(ISNUMBER(N446),N446&gt;=$B$2,N446&lt;=$B$2+10),N446*100000+ROW(),"")</f>
        <v/>
      </c>
      <c r="X446" s="531"/>
      <c r="Y446" s="531"/>
      <c r="Z446" s="531"/>
      <c r="AA446" s="531"/>
      <c r="AB446" s="531"/>
      <c r="AC446" s="531"/>
      <c r="AD446" s="531"/>
      <c r="AE446" s="531"/>
      <c r="AF446" s="531"/>
      <c r="AG446" s="531"/>
      <c r="AH446" s="531"/>
      <c r="AI446" s="531"/>
      <c r="AJ446" s="531"/>
      <c r="AK446" s="531"/>
      <c r="AL446" s="531"/>
      <c r="AM446" s="531"/>
      <c r="AN446" s="531"/>
    </row>
    <row r="447" customFormat="false" ht="16.5" hidden="false" customHeight="true" outlineLevel="0" collapsed="false">
      <c r="A447" s="531"/>
      <c r="B447" s="531"/>
      <c r="C447" s="531"/>
      <c r="D447" s="531"/>
      <c r="E447" s="531"/>
      <c r="F447" s="531"/>
      <c r="G447" s="531"/>
      <c r="H447" s="531"/>
      <c r="I447" s="531"/>
      <c r="J447" s="531"/>
      <c r="K447" s="531"/>
      <c r="L447" s="531"/>
      <c r="M447" s="531"/>
      <c r="N447" s="547" t="n">
        <f aca="false">IF('(1)예금승인내역'!H1073="","",'(1)예금승인내역'!H1073)</f>
        <v>46003</v>
      </c>
      <c r="O447" s="547" t="n">
        <f aca="false">IF('(1)예금승인내역'!G1073="","",'(1)예금승인내역'!G1073)</f>
        <v>45989</v>
      </c>
      <c r="P447" s="531" t="str">
        <f aca="false">IF('(1)예금승인내역'!F1073="","",'(1)예금승인내역'!F1073)</f>
        <v>㈜일지테크</v>
      </c>
      <c r="Q447" s="531" t="str">
        <f aca="false">IF('(1)예금승인내역'!C1073="","",'(1)예금승인내역'!C1073)</f>
        <v>경산공단영업부</v>
      </c>
      <c r="R447" s="531" t="str">
        <f aca="false">IF('(1)예금승인내역'!K1073="","",'(1)예금승인내역'!K1073)</f>
        <v>정기예금</v>
      </c>
      <c r="S447" s="548" t="n">
        <f aca="false">IF('(1)예금승인내역'!L1073="","",'(1)예금승인내역'!L1073)</f>
        <v>10</v>
      </c>
      <c r="T447" s="549" t="n">
        <f aca="false">IF('(1)예금승인내역'!AG1073="","",'(1)예금승인내역'!AG1073)</f>
        <v>0.0345</v>
      </c>
      <c r="U447" s="549" t="n">
        <f aca="false">IF('(1)예금승인내역'!X1073="","",'(1)예금승인내역'!X1073)</f>
        <v>0.0022</v>
      </c>
      <c r="V447" s="531" t="n">
        <f aca="false">IF(ISNUMBER(N447),N447-$B$2,"")</f>
        <v>-186</v>
      </c>
      <c r="W447" s="531" t="str">
        <f aca="false">IF(AND(ISNUMBER(N447),N447&gt;=$B$2,N447&lt;=$B$2+10),N447*100000+ROW(),"")</f>
        <v/>
      </c>
      <c r="X447" s="531"/>
      <c r="Y447" s="531"/>
      <c r="Z447" s="531"/>
      <c r="AA447" s="531"/>
      <c r="AB447" s="531"/>
      <c r="AC447" s="531"/>
      <c r="AD447" s="531"/>
      <c r="AE447" s="531"/>
      <c r="AF447" s="531"/>
      <c r="AG447" s="531"/>
      <c r="AH447" s="531"/>
      <c r="AI447" s="531"/>
      <c r="AJ447" s="531"/>
      <c r="AK447" s="531"/>
      <c r="AL447" s="531"/>
      <c r="AM447" s="531"/>
      <c r="AN447" s="531"/>
    </row>
    <row r="448" customFormat="false" ht="16.5" hidden="false" customHeight="true" outlineLevel="0" collapsed="false">
      <c r="A448" s="531"/>
      <c r="B448" s="531"/>
      <c r="C448" s="531"/>
      <c r="D448" s="531"/>
      <c r="E448" s="531"/>
      <c r="F448" s="531"/>
      <c r="G448" s="531"/>
      <c r="H448" s="531"/>
      <c r="I448" s="531"/>
      <c r="J448" s="531"/>
      <c r="K448" s="531"/>
      <c r="L448" s="531"/>
      <c r="M448" s="531"/>
      <c r="N448" s="547" t="n">
        <f aca="false">IF('(1)예금승인내역'!H1074="","",'(1)예금승인내역'!H1074)</f>
        <v>46024</v>
      </c>
      <c r="O448" s="547" t="n">
        <f aca="false">IF('(1)예금승인내역'!G1074="","",'(1)예금승인내역'!G1074)</f>
        <v>45992</v>
      </c>
      <c r="P448" s="531" t="str">
        <f aca="false">IF('(1)예금승인내역'!F1074="","",'(1)예금승인내역'!F1074)</f>
        <v>국제금속</v>
      </c>
      <c r="Q448" s="531" t="str">
        <f aca="false">IF('(1)예금승인내역'!C1074="","",'(1)예금승인내역'!C1074)</f>
        <v>영천영업부</v>
      </c>
      <c r="R448" s="531" t="str">
        <f aca="false">IF('(1)예금승인내역'!K1074="","",'(1)예금승인내역'!K1074)</f>
        <v>MMDA</v>
      </c>
      <c r="S448" s="548" t="n">
        <f aca="false">IF('(1)예금승인내역'!L1074="","",'(1)예금승인내역'!L1074)</f>
        <v>3.03</v>
      </c>
      <c r="T448" s="552" t="n">
        <f aca="false">IF('(1)예금승인내역'!AG1074="","",'(1)예금승인내역'!AG1074)</f>
        <v>0.0335</v>
      </c>
      <c r="U448" s="549" t="n">
        <f aca="false">IF('(1)예금승인내역'!X1074="","",'(1)예금승인내역'!X1074)</f>
        <v>0.003854</v>
      </c>
      <c r="V448" s="531" t="n">
        <f aca="false">IF(ISNUMBER(N448),N448-$B$2,"")</f>
        <v>-165</v>
      </c>
      <c r="W448" s="531" t="str">
        <f aca="false">IF(AND(ISNUMBER(N448),N448&gt;=$B$2,N448&lt;=$B$2+10),N448*100000+ROW(),"")</f>
        <v/>
      </c>
      <c r="X448" s="531"/>
      <c r="Y448" s="531"/>
      <c r="Z448" s="531"/>
      <c r="AA448" s="531"/>
      <c r="AB448" s="531"/>
      <c r="AC448" s="531"/>
      <c r="AD448" s="531"/>
      <c r="AE448" s="531"/>
      <c r="AF448" s="531"/>
      <c r="AG448" s="531"/>
      <c r="AH448" s="531"/>
      <c r="AI448" s="531"/>
      <c r="AJ448" s="531"/>
      <c r="AK448" s="531"/>
      <c r="AL448" s="531"/>
      <c r="AM448" s="531"/>
      <c r="AN448" s="531"/>
    </row>
    <row r="449" customFormat="false" ht="16.5" hidden="false" customHeight="true" outlineLevel="0" collapsed="false">
      <c r="A449" s="531"/>
      <c r="B449" s="531"/>
      <c r="C449" s="531"/>
      <c r="D449" s="531"/>
      <c r="E449" s="531"/>
      <c r="F449" s="531"/>
      <c r="G449" s="531"/>
      <c r="H449" s="531"/>
      <c r="I449" s="531"/>
      <c r="J449" s="531"/>
      <c r="K449" s="531"/>
      <c r="L449" s="531"/>
      <c r="M449" s="531"/>
      <c r="N449" s="547" t="n">
        <f aca="false">IF('(1)예금승인내역'!H1075="","",'(1)예금승인내역'!H1075)</f>
        <v>46024</v>
      </c>
      <c r="O449" s="547" t="n">
        <f aca="false">IF('(1)예금승인내역'!G1075="","",'(1)예금승인내역'!G1075)</f>
        <v>45992</v>
      </c>
      <c r="P449" s="531" t="str">
        <f aca="false">IF('(1)예금승인내역'!F1075="","",'(1)예금승인내역'!F1075)</f>
        <v>미래에셋컨설팅</v>
      </c>
      <c r="Q449" s="531" t="str">
        <f aca="false">IF('(1)예금승인내역'!C1075="","",'(1)예금승인내역'!C1075)</f>
        <v>서울영업부</v>
      </c>
      <c r="R449" s="531" t="str">
        <f aca="false">IF('(1)예금승인내역'!K1075="","",'(1)예금승인내역'!K1075)</f>
        <v>정기예금</v>
      </c>
      <c r="S449" s="548" t="n">
        <f aca="false">IF('(1)예금승인내역'!L1075="","",'(1)예금승인내역'!L1075)</f>
        <v>2</v>
      </c>
      <c r="T449" s="552" t="n">
        <f aca="false">IF('(1)예금승인내역'!AG1075="","",'(1)예금승인내역'!AG1075)</f>
        <v>0.0365</v>
      </c>
      <c r="U449" s="549" t="n">
        <f aca="false">IF('(1)예금승인내역'!X1075="","",'(1)예금승인내역'!X1075)</f>
        <v>0.002628</v>
      </c>
      <c r="V449" s="531" t="n">
        <f aca="false">IF(ISNUMBER(N449),N449-$B$2,"")</f>
        <v>-165</v>
      </c>
      <c r="W449" s="531" t="str">
        <f aca="false">IF(AND(ISNUMBER(N449),N449&gt;=$B$2,N449&lt;=$B$2+10),N449*100000+ROW(),"")</f>
        <v/>
      </c>
      <c r="X449" s="531"/>
      <c r="Y449" s="531"/>
      <c r="Z449" s="531"/>
      <c r="AA449" s="531"/>
      <c r="AB449" s="531"/>
      <c r="AC449" s="531"/>
      <c r="AD449" s="531"/>
      <c r="AE449" s="531"/>
      <c r="AF449" s="531"/>
      <c r="AG449" s="531"/>
      <c r="AH449" s="531"/>
      <c r="AI449" s="531"/>
      <c r="AJ449" s="531"/>
      <c r="AK449" s="531"/>
      <c r="AL449" s="531"/>
      <c r="AM449" s="531"/>
      <c r="AN449" s="531"/>
    </row>
    <row r="450" customFormat="false" ht="16.5" hidden="false" customHeight="true" outlineLevel="0" collapsed="false">
      <c r="A450" s="531"/>
      <c r="B450" s="531"/>
      <c r="C450" s="531"/>
      <c r="D450" s="531"/>
      <c r="E450" s="531"/>
      <c r="F450" s="531"/>
      <c r="G450" s="531"/>
      <c r="H450" s="531"/>
      <c r="I450" s="531"/>
      <c r="J450" s="531"/>
      <c r="K450" s="531"/>
      <c r="L450" s="531"/>
      <c r="M450" s="531"/>
      <c r="N450" s="547" t="n">
        <f aca="false">IF('(1)예금승인내역'!H1076="","",'(1)예금승인내역'!H1076)</f>
        <v>46024</v>
      </c>
      <c r="O450" s="547" t="n">
        <f aca="false">IF('(1)예금승인내역'!G1076="","",'(1)예금승인내역'!G1076)</f>
        <v>45992</v>
      </c>
      <c r="P450" s="531" t="str">
        <f aca="false">IF('(1)예금승인내역'!F1076="","",'(1)예금승인내역'!F1076)</f>
        <v>한화에어로스페이스</v>
      </c>
      <c r="Q450" s="531" t="str">
        <f aca="false">IF('(1)예금승인내역'!C1076="","",'(1)예금승인내역'!C1076)</f>
        <v>서울영업부</v>
      </c>
      <c r="R450" s="531" t="str">
        <f aca="false">IF('(1)예금승인내역'!K1076="","",'(1)예금승인내역'!K1076)</f>
        <v>정기예금</v>
      </c>
      <c r="S450" s="548" t="n">
        <f aca="false">IF('(1)예금승인내역'!L1076="","",'(1)예금승인내역'!L1076)</f>
        <v>10</v>
      </c>
      <c r="T450" s="552" t="n">
        <f aca="false">IF('(1)예금승인내역'!AG1076="","",'(1)예금승인내역'!AG1076)</f>
        <v>0.0375</v>
      </c>
      <c r="U450" s="549" t="n">
        <f aca="false">IF('(1)예금승인내역'!X1076="","",'(1)예금승인내역'!X1076)</f>
        <v>0.001628</v>
      </c>
      <c r="V450" s="531" t="n">
        <f aca="false">IF(ISNUMBER(N450),N450-$B$2,"")</f>
        <v>-165</v>
      </c>
      <c r="W450" s="531" t="str">
        <f aca="false">IF(AND(ISNUMBER(N450),N450&gt;=$B$2,N450&lt;=$B$2+10),N450*100000+ROW(),"")</f>
        <v/>
      </c>
      <c r="X450" s="531"/>
      <c r="Y450" s="531"/>
      <c r="Z450" s="531"/>
      <c r="AA450" s="531"/>
      <c r="AB450" s="531"/>
      <c r="AC450" s="531"/>
      <c r="AD450" s="531"/>
      <c r="AE450" s="531"/>
      <c r="AF450" s="531"/>
      <c r="AG450" s="531"/>
      <c r="AH450" s="531"/>
      <c r="AI450" s="531"/>
      <c r="AJ450" s="531"/>
      <c r="AK450" s="531"/>
      <c r="AL450" s="531"/>
      <c r="AM450" s="531"/>
      <c r="AN450" s="531"/>
    </row>
    <row r="451" customFormat="false" ht="16.5" hidden="false" customHeight="true" outlineLevel="0" collapsed="false">
      <c r="A451" s="531"/>
      <c r="B451" s="531"/>
      <c r="C451" s="531"/>
      <c r="D451" s="531"/>
      <c r="E451" s="531"/>
      <c r="F451" s="531"/>
      <c r="G451" s="531"/>
      <c r="H451" s="531"/>
      <c r="I451" s="531"/>
      <c r="J451" s="531"/>
      <c r="K451" s="531"/>
      <c r="L451" s="531"/>
      <c r="M451" s="531"/>
      <c r="N451" s="547" t="n">
        <f aca="false">IF('(1)예금승인내역'!H1077="","",'(1)예금승인내역'!H1077)</f>
        <v>46024</v>
      </c>
      <c r="O451" s="547" t="n">
        <f aca="false">IF('(1)예금승인내역'!G1077="","",'(1)예금승인내역'!G1077)</f>
        <v>45992</v>
      </c>
      <c r="P451" s="531" t="str">
        <f aca="false">IF('(1)예금승인내역'!F1077="","",'(1)예금승인내역'!F1077)</f>
        <v>디오㈜</v>
      </c>
      <c r="Q451" s="531" t="str">
        <f aca="false">IF('(1)예금승인내역'!C1077="","",'(1)예금승인내역'!C1077)</f>
        <v>화성금융센터</v>
      </c>
      <c r="R451" s="531" t="str">
        <f aca="false">IF('(1)예금승인내역'!K1077="","",'(1)예금승인내역'!K1077)</f>
        <v>정기예금</v>
      </c>
      <c r="S451" s="548" t="n">
        <f aca="false">IF('(1)예금승인내역'!L1077="","",'(1)예금승인내역'!L1077)</f>
        <v>2</v>
      </c>
      <c r="T451" s="552" t="n">
        <f aca="false">IF('(1)예금승인내역'!AG1077="","",'(1)예금승인내역'!AG1077)</f>
        <v>0.037</v>
      </c>
      <c r="U451" s="549" t="n">
        <f aca="false">IF('(1)예금승인내역'!X1077="","",'(1)예금승인내역'!X1077)</f>
        <v>0.002128</v>
      </c>
      <c r="V451" s="531" t="n">
        <f aca="false">IF(ISNUMBER(N451),N451-$B$2,"")</f>
        <v>-165</v>
      </c>
      <c r="W451" s="531" t="str">
        <f aca="false">IF(AND(ISNUMBER(N451),N451&gt;=$B$2,N451&lt;=$B$2+10),N451*100000+ROW(),"")</f>
        <v/>
      </c>
      <c r="X451" s="531"/>
      <c r="Y451" s="531"/>
      <c r="Z451" s="531"/>
      <c r="AA451" s="531"/>
      <c r="AB451" s="531"/>
      <c r="AC451" s="531"/>
      <c r="AD451" s="531"/>
      <c r="AE451" s="531"/>
      <c r="AF451" s="531"/>
      <c r="AG451" s="531"/>
      <c r="AH451" s="531"/>
      <c r="AI451" s="531"/>
      <c r="AJ451" s="531"/>
      <c r="AK451" s="531"/>
      <c r="AL451" s="531"/>
      <c r="AM451" s="531"/>
      <c r="AN451" s="531"/>
    </row>
    <row r="452" customFormat="false" ht="16.5" hidden="false" customHeight="true" outlineLevel="0" collapsed="false">
      <c r="A452" s="531"/>
      <c r="B452" s="531"/>
      <c r="C452" s="531"/>
      <c r="D452" s="531"/>
      <c r="E452" s="531"/>
      <c r="F452" s="531"/>
      <c r="G452" s="531"/>
      <c r="H452" s="531"/>
      <c r="I452" s="531"/>
      <c r="J452" s="531"/>
      <c r="K452" s="531"/>
      <c r="L452" s="531"/>
      <c r="M452" s="531"/>
      <c r="N452" s="547" t="n">
        <f aca="false">IF('(1)예금승인내역'!H1078="","",'(1)예금승인내역'!H1078)</f>
        <v>46027</v>
      </c>
      <c r="O452" s="547" t="n">
        <f aca="false">IF('(1)예금승인내역'!G1078="","",'(1)예금승인내역'!G1078)</f>
        <v>45994</v>
      </c>
      <c r="P452" s="531" t="str">
        <f aca="false">IF('(1)예금승인내역'!F1078="","",'(1)예금승인내역'!F1078)</f>
        <v>㈜지엠메탈</v>
      </c>
      <c r="Q452" s="531" t="str">
        <f aca="false">IF('(1)예금승인내역'!C1078="","",'(1)예금승인내역'!C1078)</f>
        <v>이현공단영업부</v>
      </c>
      <c r="R452" s="531" t="str">
        <f aca="false">IF('(1)예금승인내역'!K1078="","",'(1)예금승인내역'!K1078)</f>
        <v>MMDA</v>
      </c>
      <c r="S452" s="548" t="n">
        <f aca="false">IF('(1)예금승인내역'!L1078="","",'(1)예금승인내역'!L1078)</f>
        <v>1.5</v>
      </c>
      <c r="T452" s="549" t="n">
        <f aca="false">IF('(1)예금승인내역'!AG1078="","",'(1)예금승인내역'!AG1078)</f>
        <v>0.033</v>
      </c>
      <c r="U452" s="549" t="n">
        <f aca="false">IF('(1)예금승인내역'!X1078="","",'(1)예금승인내역'!X1078)</f>
        <v>0.004125</v>
      </c>
      <c r="V452" s="531" t="n">
        <f aca="false">IF(ISNUMBER(N452),N452-$B$2,"")</f>
        <v>-162</v>
      </c>
      <c r="W452" s="531" t="str">
        <f aca="false">IF(AND(ISNUMBER(N452),N452&gt;=$B$2,N452&lt;=$B$2+10),N452*100000+ROW(),"")</f>
        <v/>
      </c>
      <c r="X452" s="531"/>
      <c r="Y452" s="531"/>
      <c r="Z452" s="531"/>
      <c r="AA452" s="531"/>
      <c r="AB452" s="531"/>
      <c r="AC452" s="531"/>
      <c r="AD452" s="531"/>
      <c r="AE452" s="531"/>
      <c r="AF452" s="531"/>
      <c r="AG452" s="531"/>
      <c r="AH452" s="531"/>
      <c r="AI452" s="531"/>
      <c r="AJ452" s="531"/>
      <c r="AK452" s="531"/>
      <c r="AL452" s="531"/>
      <c r="AM452" s="531"/>
      <c r="AN452" s="531"/>
    </row>
    <row r="453" customFormat="false" ht="16.5" hidden="false" customHeight="true" outlineLevel="0" collapsed="false">
      <c r="A453" s="531"/>
      <c r="B453" s="531"/>
      <c r="C453" s="531"/>
      <c r="D453" s="531"/>
      <c r="E453" s="531"/>
      <c r="F453" s="531"/>
      <c r="G453" s="531"/>
      <c r="H453" s="531"/>
      <c r="I453" s="531"/>
      <c r="J453" s="531"/>
      <c r="K453" s="531"/>
      <c r="L453" s="531"/>
      <c r="M453" s="531"/>
      <c r="N453" s="547" t="n">
        <f aca="false">IF('(1)예금승인내역'!H1079="","",'(1)예금승인내역'!H1079)</f>
        <v>46085</v>
      </c>
      <c r="O453" s="547" t="n">
        <f aca="false">IF('(1)예금승인내역'!G1079="","",'(1)예금승인내역'!G1079)</f>
        <v>45995</v>
      </c>
      <c r="P453" s="531" t="str">
        <f aca="false">IF('(1)예금승인내역'!F1079="","",'(1)예금승인내역'!F1079)</f>
        <v>거림테크주식회사</v>
      </c>
      <c r="Q453" s="531" t="str">
        <f aca="false">IF('(1)예금승인내역'!C1079="","",'(1)예금승인내역'!C1079)</f>
        <v>죽전지점</v>
      </c>
      <c r="R453" s="531" t="str">
        <f aca="false">IF('(1)예금승인내역'!K1079="","",'(1)예금승인내역'!K1079)</f>
        <v>정기예금</v>
      </c>
      <c r="S453" s="548" t="n">
        <f aca="false">IF('(1)예금승인내역'!L1079="","",'(1)예금승인내역'!L1079)</f>
        <v>2</v>
      </c>
      <c r="T453" s="549" t="n">
        <f aca="false">IF('(1)예금승인내역'!AG1079="","",'(1)예금승인내역'!AG1079)</f>
        <v>0.0375</v>
      </c>
      <c r="U453" s="549" t="n">
        <f aca="false">IF('(1)예금승인내역'!X1079="","",'(1)예금승인내역'!X1079)</f>
        <v>0.002083</v>
      </c>
      <c r="V453" s="531" t="n">
        <f aca="false">IF(ISNUMBER(N453),N453-$B$2,"")</f>
        <v>-104</v>
      </c>
      <c r="W453" s="531" t="str">
        <f aca="false">IF(AND(ISNUMBER(N453),N453&gt;=$B$2,N453&lt;=$B$2+10),N453*100000+ROW(),"")</f>
        <v/>
      </c>
      <c r="X453" s="531"/>
      <c r="Y453" s="531"/>
      <c r="Z453" s="531"/>
      <c r="AA453" s="531"/>
      <c r="AB453" s="531"/>
      <c r="AC453" s="531"/>
      <c r="AD453" s="531"/>
      <c r="AE453" s="531"/>
      <c r="AF453" s="531"/>
      <c r="AG453" s="531"/>
      <c r="AH453" s="531"/>
      <c r="AI453" s="531"/>
      <c r="AJ453" s="531"/>
      <c r="AK453" s="531"/>
      <c r="AL453" s="531"/>
      <c r="AM453" s="531"/>
      <c r="AN453" s="531"/>
    </row>
    <row r="454" customFormat="false" ht="16.5" hidden="false" customHeight="true" outlineLevel="0" collapsed="false">
      <c r="A454" s="531"/>
      <c r="B454" s="531"/>
      <c r="C454" s="531"/>
      <c r="D454" s="531"/>
      <c r="E454" s="531"/>
      <c r="F454" s="531"/>
      <c r="G454" s="531"/>
      <c r="H454" s="531"/>
      <c r="I454" s="531"/>
      <c r="J454" s="531"/>
      <c r="K454" s="531"/>
      <c r="L454" s="531"/>
      <c r="M454" s="531"/>
      <c r="N454" s="547" t="n">
        <f aca="false">IF('(1)예금승인내역'!H1080="","",'(1)예금승인내역'!H1080)</f>
        <v>46027</v>
      </c>
      <c r="O454" s="547" t="n">
        <f aca="false">IF('(1)예금승인내역'!G1080="","",'(1)예금승인내역'!G1080)</f>
        <v>45995</v>
      </c>
      <c r="P454" s="531" t="str">
        <f aca="false">IF('(1)예금승인내역'!F1080="","",'(1)예금승인내역'!F1080)</f>
        <v>동화인더스트리</v>
      </c>
      <c r="Q454" s="531" t="str">
        <f aca="false">IF('(1)예금승인내역'!C1080="","",'(1)예금승인내역'!C1080)</f>
        <v>중동지점</v>
      </c>
      <c r="R454" s="531" t="str">
        <f aca="false">IF('(1)예금승인내역'!K1080="","",'(1)예금승인내역'!K1080)</f>
        <v>정기예금</v>
      </c>
      <c r="S454" s="548" t="n">
        <f aca="false">IF('(1)예금승인내역'!L1080="","",'(1)예금승인내역'!L1080)</f>
        <v>5</v>
      </c>
      <c r="T454" s="549" t="n">
        <f aca="false">IF('(1)예금승인내역'!AG1080="","",'(1)예금승인내역'!AG1080)</f>
        <v>0.0366</v>
      </c>
      <c r="U454" s="549" t="n">
        <f aca="false">IF('(1)예금승인내역'!X1080="","",'(1)예금승인내역'!X1080)</f>
        <v>0.002159</v>
      </c>
      <c r="V454" s="531" t="n">
        <f aca="false">IF(ISNUMBER(N454),N454-$B$2,"")</f>
        <v>-162</v>
      </c>
      <c r="W454" s="531" t="str">
        <f aca="false">IF(AND(ISNUMBER(N454),N454&gt;=$B$2,N454&lt;=$B$2+10),N454*100000+ROW(),"")</f>
        <v/>
      </c>
      <c r="X454" s="531"/>
      <c r="Y454" s="531"/>
      <c r="Z454" s="531"/>
      <c r="AA454" s="531"/>
      <c r="AB454" s="531"/>
      <c r="AC454" s="531"/>
      <c r="AD454" s="531"/>
      <c r="AE454" s="531"/>
      <c r="AF454" s="531"/>
      <c r="AG454" s="531"/>
      <c r="AH454" s="531"/>
      <c r="AI454" s="531"/>
      <c r="AJ454" s="531"/>
      <c r="AK454" s="531"/>
      <c r="AL454" s="531"/>
      <c r="AM454" s="531"/>
      <c r="AN454" s="531"/>
    </row>
    <row r="455" customFormat="false" ht="16.5" hidden="false" customHeight="true" outlineLevel="0" collapsed="false">
      <c r="A455" s="531"/>
      <c r="B455" s="531"/>
      <c r="C455" s="531"/>
      <c r="D455" s="531"/>
      <c r="E455" s="531"/>
      <c r="F455" s="531"/>
      <c r="G455" s="531"/>
      <c r="H455" s="531"/>
      <c r="I455" s="531"/>
      <c r="J455" s="531"/>
      <c r="K455" s="531"/>
      <c r="L455" s="531"/>
      <c r="M455" s="531"/>
      <c r="N455" s="547" t="n">
        <f aca="false">IF('(1)예금승인내역'!H1081="","",'(1)예금승인내역'!H1081)</f>
        <v>46017</v>
      </c>
      <c r="O455" s="547" t="n">
        <f aca="false">IF('(1)예금승인내역'!G1081="","",'(1)예금승인내역'!G1081)</f>
        <v>45996</v>
      </c>
      <c r="P455" s="531" t="str">
        <f aca="false">IF('(1)예금승인내역'!F1081="","",'(1)예금승인내역'!F1081)</f>
        <v>㈜일지테크</v>
      </c>
      <c r="Q455" s="531" t="str">
        <f aca="false">IF('(1)예금승인내역'!C1081="","",'(1)예금승인내역'!C1081)</f>
        <v>경산공단영업부</v>
      </c>
      <c r="R455" s="531" t="str">
        <f aca="false">IF('(1)예금승인내역'!K1081="","",'(1)예금승인내역'!K1081)</f>
        <v>정기예금</v>
      </c>
      <c r="S455" s="548" t="n">
        <f aca="false">IF('(1)예금승인내역'!L1081="","",'(1)예금승인내역'!L1081)</f>
        <v>12.6</v>
      </c>
      <c r="T455" s="549" t="n">
        <f aca="false">IF('(1)예금승인내역'!AG1081="","",'(1)예금승인내역'!AG1081)</f>
        <v>0.0342</v>
      </c>
      <c r="U455" s="549" t="n">
        <f aca="false">IF('(1)예금승인내역'!X1081="","",'(1)예금승인내역'!X1081)</f>
        <v>0.002292</v>
      </c>
      <c r="V455" s="531" t="n">
        <f aca="false">IF(ISNUMBER(N455),N455-$B$2,"")</f>
        <v>-172</v>
      </c>
      <c r="W455" s="531" t="str">
        <f aca="false">IF(AND(ISNUMBER(N455),N455&gt;=$B$2,N455&lt;=$B$2+10),N455*100000+ROW(),"")</f>
        <v/>
      </c>
      <c r="X455" s="531"/>
      <c r="Y455" s="531"/>
      <c r="Z455" s="531"/>
      <c r="AA455" s="531"/>
      <c r="AB455" s="531"/>
      <c r="AC455" s="531"/>
      <c r="AD455" s="531"/>
      <c r="AE455" s="531"/>
      <c r="AF455" s="531"/>
      <c r="AG455" s="531"/>
      <c r="AH455" s="531"/>
      <c r="AI455" s="531"/>
      <c r="AJ455" s="531"/>
      <c r="AK455" s="531"/>
      <c r="AL455" s="531"/>
      <c r="AM455" s="531"/>
      <c r="AN455" s="531"/>
    </row>
    <row r="456" customFormat="false" ht="16.5" hidden="false" customHeight="true" outlineLevel="0" collapsed="false">
      <c r="A456" s="531"/>
      <c r="B456" s="531"/>
      <c r="C456" s="531"/>
      <c r="D456" s="531"/>
      <c r="E456" s="531"/>
      <c r="F456" s="531"/>
      <c r="G456" s="531"/>
      <c r="H456" s="531"/>
      <c r="I456" s="531"/>
      <c r="J456" s="531"/>
      <c r="K456" s="531"/>
      <c r="L456" s="531"/>
      <c r="M456" s="531"/>
      <c r="N456" s="547" t="n">
        <f aca="false">IF('(1)예금승인내역'!H1082="","",'(1)예금승인내역'!H1082)</f>
        <v>46090</v>
      </c>
      <c r="O456" s="547" t="n">
        <f aca="false">IF('(1)예금승인내역'!G1082="","",'(1)예금승인내역'!G1082)</f>
        <v>46000</v>
      </c>
      <c r="P456" s="531" t="str">
        <f aca="false">IF('(1)예금승인내역'!F1082="","",'(1)예금승인내역'!F1082)</f>
        <v>에이치라인해운㈜ </v>
      </c>
      <c r="Q456" s="531" t="str">
        <f aca="false">IF('(1)예금승인내역'!C1082="","",'(1)예금승인내역'!C1082)</f>
        <v>강남영업부</v>
      </c>
      <c r="R456" s="531" t="str">
        <f aca="false">IF('(1)예금승인내역'!K1082="","",'(1)예금승인내역'!K1082)</f>
        <v>정기예금</v>
      </c>
      <c r="S456" s="548" t="n">
        <f aca="false">IF('(1)예금승인내역'!L1082="","",'(1)예금승인내역'!L1082)</f>
        <v>15</v>
      </c>
      <c r="T456" s="549" t="n">
        <f aca="false">IF('(1)예금승인내역'!AG1082="","",'(1)예금승인내역'!AG1082)</f>
        <v>0.037</v>
      </c>
      <c r="U456" s="549" t="n">
        <f aca="false">IF('(1)예금승인내역'!X1082="","",'(1)예금승인내역'!X1082)</f>
        <v>0.002253</v>
      </c>
      <c r="V456" s="531" t="n">
        <f aca="false">IF(ISNUMBER(N456),N456-$B$2,"")</f>
        <v>-99</v>
      </c>
      <c r="W456" s="531" t="str">
        <f aca="false">IF(AND(ISNUMBER(N456),N456&gt;=$B$2,N456&lt;=$B$2+10),N456*100000+ROW(),"")</f>
        <v/>
      </c>
      <c r="X456" s="531"/>
      <c r="Y456" s="531"/>
      <c r="Z456" s="531"/>
      <c r="AA456" s="531"/>
      <c r="AB456" s="531"/>
      <c r="AC456" s="531"/>
      <c r="AD456" s="531"/>
      <c r="AE456" s="531"/>
      <c r="AF456" s="531"/>
      <c r="AG456" s="531"/>
      <c r="AH456" s="531"/>
      <c r="AI456" s="531"/>
      <c r="AJ456" s="531"/>
      <c r="AK456" s="531"/>
      <c r="AL456" s="531"/>
      <c r="AM456" s="531"/>
      <c r="AN456" s="531"/>
    </row>
    <row r="457" customFormat="false" ht="16.5" hidden="false" customHeight="true" outlineLevel="0" collapsed="false">
      <c r="A457" s="531"/>
      <c r="B457" s="531"/>
      <c r="C457" s="531"/>
      <c r="D457" s="531"/>
      <c r="E457" s="531"/>
      <c r="F457" s="531"/>
      <c r="G457" s="531"/>
      <c r="H457" s="531"/>
      <c r="I457" s="531"/>
      <c r="J457" s="531"/>
      <c r="K457" s="531"/>
      <c r="L457" s="531"/>
      <c r="M457" s="531"/>
      <c r="N457" s="547" t="n">
        <f aca="false">IF('(1)예금승인내역'!H1083="","",'(1)예금승인내역'!H1083)</f>
        <v>46034</v>
      </c>
      <c r="O457" s="547" t="n">
        <f aca="false">IF('(1)예금승인내역'!G1083="","",'(1)예금승인내역'!G1083)</f>
        <v>46001</v>
      </c>
      <c r="P457" s="531" t="str">
        <f aca="false">IF('(1)예금승인내역'!F1083="","",'(1)예금승인내역'!F1083)</f>
        <v>㈜이수스페셜티케미컬</v>
      </c>
      <c r="Q457" s="531" t="str">
        <f aca="false">IF('(1)예금승인내역'!C1083="","",'(1)예금승인내역'!C1083)</f>
        <v>성남영업부</v>
      </c>
      <c r="R457" s="531" t="str">
        <f aca="false">IF('(1)예금승인내역'!K1083="","",'(1)예금승인내역'!K1083)</f>
        <v>MMDA</v>
      </c>
      <c r="S457" s="548" t="n">
        <f aca="false">IF('(1)예금승인내역'!L1083="","",'(1)예금승인내역'!L1083)</f>
        <v>10.71</v>
      </c>
      <c r="T457" s="549" t="n">
        <f aca="false">IF('(1)예금승인내역'!AG1083="","",'(1)예금승인내역'!AG1083)</f>
        <v>0.0335</v>
      </c>
      <c r="U457" s="549" t="n">
        <f aca="false">IF('(1)예금승인내역'!X1083="","",'(1)예금승인내역'!X1083)</f>
        <v>0.003133</v>
      </c>
      <c r="V457" s="531" t="n">
        <f aca="false">IF(ISNUMBER(N457),N457-$B$2,"")</f>
        <v>-155</v>
      </c>
      <c r="W457" s="531" t="str">
        <f aca="false">IF(AND(ISNUMBER(N457),N457&gt;=$B$2,N457&lt;=$B$2+10),N457*100000+ROW(),"")</f>
        <v/>
      </c>
      <c r="X457" s="531"/>
      <c r="Y457" s="531"/>
      <c r="Z457" s="531"/>
      <c r="AA457" s="531"/>
      <c r="AB457" s="531"/>
      <c r="AC457" s="531"/>
      <c r="AD457" s="531"/>
      <c r="AE457" s="531"/>
      <c r="AF457" s="531"/>
      <c r="AG457" s="531"/>
      <c r="AH457" s="531"/>
      <c r="AI457" s="531"/>
      <c r="AJ457" s="531"/>
      <c r="AK457" s="531"/>
      <c r="AL457" s="531"/>
      <c r="AM457" s="531"/>
      <c r="AN457" s="531"/>
    </row>
    <row r="458" customFormat="false" ht="16.5" hidden="false" customHeight="true" outlineLevel="0" collapsed="false">
      <c r="A458" s="531"/>
      <c r="B458" s="531"/>
      <c r="C458" s="531"/>
      <c r="D458" s="531"/>
      <c r="E458" s="531"/>
      <c r="F458" s="531"/>
      <c r="G458" s="531"/>
      <c r="H458" s="531"/>
      <c r="I458" s="531"/>
      <c r="J458" s="531"/>
      <c r="K458" s="531"/>
      <c r="L458" s="531"/>
      <c r="M458" s="531"/>
      <c r="N458" s="547" t="n">
        <f aca="false">IF('(1)예금승인내역'!H1084="","",'(1)예금승인내역'!H1084)</f>
        <v>46034</v>
      </c>
      <c r="O458" s="547" t="n">
        <f aca="false">IF('(1)예금승인내역'!G1084="","",'(1)예금승인내역'!G1084)</f>
        <v>46001</v>
      </c>
      <c r="P458" s="531" t="str">
        <f aca="false">IF('(1)예금승인내역'!F1084="","",'(1)예금승인내역'!F1084)</f>
        <v>㈜현대그린푸드</v>
      </c>
      <c r="Q458" s="531" t="str">
        <f aca="false">IF('(1)예금승인내역'!C1084="","",'(1)예금승인내역'!C1084)</f>
        <v>성남영업부</v>
      </c>
      <c r="R458" s="531" t="str">
        <f aca="false">IF('(1)예금승인내역'!K1084="","",'(1)예금승인내역'!K1084)</f>
        <v>MMDA</v>
      </c>
      <c r="S458" s="548" t="n">
        <f aca="false">IF('(1)예금승인내역'!L1084="","",'(1)예금승인내역'!L1084)</f>
        <v>2</v>
      </c>
      <c r="T458" s="549" t="n">
        <f aca="false">IF('(1)예금승인내역'!AG1084="","",'(1)예금승인내역'!AG1084)</f>
        <v>0.0335</v>
      </c>
      <c r="U458" s="549" t="n">
        <f aca="false">IF('(1)예금승인내역'!X1084="","",'(1)예금승인내역'!X1084)</f>
        <v>0.003133</v>
      </c>
      <c r="V458" s="531" t="n">
        <f aca="false">IF(ISNUMBER(N458),N458-$B$2,"")</f>
        <v>-155</v>
      </c>
      <c r="W458" s="531" t="str">
        <f aca="false">IF(AND(ISNUMBER(N458),N458&gt;=$B$2,N458&lt;=$B$2+10),N458*100000+ROW(),"")</f>
        <v/>
      </c>
      <c r="X458" s="531"/>
      <c r="Y458" s="531"/>
      <c r="Z458" s="531"/>
      <c r="AA458" s="531"/>
      <c r="AB458" s="531"/>
      <c r="AC458" s="531"/>
      <c r="AD458" s="531"/>
      <c r="AE458" s="531"/>
      <c r="AF458" s="531"/>
      <c r="AG458" s="531"/>
      <c r="AH458" s="531"/>
      <c r="AI458" s="531"/>
      <c r="AJ458" s="531"/>
      <c r="AK458" s="531"/>
      <c r="AL458" s="531"/>
      <c r="AM458" s="531"/>
      <c r="AN458" s="531"/>
    </row>
    <row r="459" customFormat="false" ht="16.5" hidden="false" customHeight="true" outlineLevel="0" collapsed="false">
      <c r="A459" s="531"/>
      <c r="B459" s="531"/>
      <c r="C459" s="531"/>
      <c r="D459" s="531"/>
      <c r="E459" s="531"/>
      <c r="F459" s="531"/>
      <c r="G459" s="531"/>
      <c r="H459" s="531"/>
      <c r="I459" s="531"/>
      <c r="J459" s="531"/>
      <c r="K459" s="531"/>
      <c r="L459" s="531"/>
      <c r="M459" s="531"/>
      <c r="N459" s="547" t="n">
        <f aca="false">IF('(1)예금승인내역'!H1085="","",'(1)예금승인내역'!H1085)</f>
        <v>46017</v>
      </c>
      <c r="O459" s="547" t="n">
        <f aca="false">IF('(1)예금승인내역'!G1085="","",'(1)예금승인내역'!G1085)</f>
        <v>46003</v>
      </c>
      <c r="P459" s="531" t="str">
        <f aca="false">IF('(1)예금승인내역'!F1085="","",'(1)예금승인내역'!F1085)</f>
        <v>㈜일지테크</v>
      </c>
      <c r="Q459" s="531" t="str">
        <f aca="false">IF('(1)예금승인내역'!C1085="","",'(1)예금승인내역'!C1085)</f>
        <v>경산공단영업부</v>
      </c>
      <c r="R459" s="531" t="str">
        <f aca="false">IF('(1)예금승인내역'!K1085="","",'(1)예금승인내역'!K1085)</f>
        <v>정기예금</v>
      </c>
      <c r="S459" s="548" t="n">
        <f aca="false">IF('(1)예금승인내역'!L1085="","",'(1)예금승인내역'!L1085)</f>
        <v>10</v>
      </c>
      <c r="T459" s="549" t="n">
        <f aca="false">IF('(1)예금승인내역'!AG1085="","",'(1)예금승인내역'!AG1085)</f>
        <v>0.0338</v>
      </c>
      <c r="U459" s="549" t="n">
        <f aca="false">IF('(1)예금승인내역'!X1085="","",'(1)예금승인내역'!X1085)</f>
        <v>0.00201200000000001</v>
      </c>
      <c r="V459" s="531" t="n">
        <f aca="false">IF(ISNUMBER(N459),N459-$B$2,"")</f>
        <v>-172</v>
      </c>
      <c r="W459" s="531" t="str">
        <f aca="false">IF(AND(ISNUMBER(N459),N459&gt;=$B$2,N459&lt;=$B$2+10),N459*100000+ROW(),"")</f>
        <v/>
      </c>
      <c r="X459" s="531"/>
      <c r="Y459" s="531"/>
      <c r="Z459" s="531"/>
      <c r="AA459" s="531"/>
      <c r="AB459" s="531"/>
      <c r="AC459" s="531"/>
      <c r="AD459" s="531"/>
      <c r="AE459" s="531"/>
      <c r="AF459" s="531"/>
      <c r="AG459" s="531"/>
      <c r="AH459" s="531"/>
      <c r="AI459" s="531"/>
      <c r="AJ459" s="531"/>
      <c r="AK459" s="531"/>
      <c r="AL459" s="531"/>
      <c r="AM459" s="531"/>
      <c r="AN459" s="531"/>
    </row>
    <row r="460" customFormat="false" ht="16.5" hidden="false" customHeight="true" outlineLevel="0" collapsed="false">
      <c r="A460" s="531"/>
      <c r="B460" s="531"/>
      <c r="C460" s="531"/>
      <c r="D460" s="531"/>
      <c r="E460" s="531"/>
      <c r="F460" s="531"/>
      <c r="G460" s="531"/>
      <c r="H460" s="531"/>
      <c r="I460" s="531"/>
      <c r="J460" s="531"/>
      <c r="K460" s="531"/>
      <c r="L460" s="531"/>
      <c r="M460" s="531"/>
      <c r="N460" s="547" t="n">
        <f aca="false">IF('(1)예금승인내역'!H1086="","",'(1)예금승인내역'!H1086)</f>
        <v>46017</v>
      </c>
      <c r="O460" s="547" t="n">
        <f aca="false">IF('(1)예금승인내역'!G1086="","",'(1)예금승인내역'!G1086)</f>
        <v>46003</v>
      </c>
      <c r="P460" s="531" t="str">
        <f aca="false">IF('(1)예금승인내역'!F1086="","",'(1)예금승인내역'!F1086)</f>
        <v>㈜일지테크</v>
      </c>
      <c r="Q460" s="531" t="str">
        <f aca="false">IF('(1)예금승인내역'!C1086="","",'(1)예금승인내역'!C1086)</f>
        <v>경산공단영업부</v>
      </c>
      <c r="R460" s="531" t="str">
        <f aca="false">IF('(1)예금승인내역'!K1086="","",'(1)예금승인내역'!K1086)</f>
        <v>정기예금</v>
      </c>
      <c r="S460" s="548" t="n">
        <f aca="false">IF('(1)예금승인내역'!L1086="","",'(1)예금승인내역'!L1086)</f>
        <v>10</v>
      </c>
      <c r="T460" s="549" t="n">
        <f aca="false">IF('(1)예금승인내역'!AG1086="","",'(1)예금승인내역'!AG1086)</f>
        <v>0.0338</v>
      </c>
      <c r="U460" s="549" t="n">
        <f aca="false">IF('(1)예금승인내역'!X1086="","",'(1)예금승인내역'!X1086)</f>
        <v>0.00201200000000001</v>
      </c>
      <c r="V460" s="531" t="n">
        <f aca="false">IF(ISNUMBER(N460),N460-$B$2,"")</f>
        <v>-172</v>
      </c>
      <c r="W460" s="531" t="str">
        <f aca="false">IF(AND(ISNUMBER(N460),N460&gt;=$B$2,N460&lt;=$B$2+10),N460*100000+ROW(),"")</f>
        <v/>
      </c>
      <c r="X460" s="531"/>
      <c r="Y460" s="531"/>
      <c r="Z460" s="531"/>
      <c r="AA460" s="531"/>
      <c r="AB460" s="531"/>
      <c r="AC460" s="531"/>
      <c r="AD460" s="531"/>
      <c r="AE460" s="531"/>
      <c r="AF460" s="531"/>
      <c r="AG460" s="531"/>
      <c r="AH460" s="531"/>
      <c r="AI460" s="531"/>
      <c r="AJ460" s="531"/>
      <c r="AK460" s="531"/>
      <c r="AL460" s="531"/>
      <c r="AM460" s="531"/>
      <c r="AN460" s="531"/>
    </row>
    <row r="461" customFormat="false" ht="16.5" hidden="false" customHeight="true" outlineLevel="0" collapsed="false">
      <c r="A461" s="531"/>
      <c r="B461" s="531"/>
      <c r="C461" s="531"/>
      <c r="D461" s="531"/>
      <c r="E461" s="531"/>
      <c r="F461" s="531"/>
      <c r="G461" s="531"/>
      <c r="H461" s="531"/>
      <c r="I461" s="531"/>
      <c r="J461" s="531"/>
      <c r="K461" s="531"/>
      <c r="L461" s="531"/>
      <c r="M461" s="531"/>
      <c r="N461" s="547" t="n">
        <f aca="false">IF('(1)예금승인내역'!H1087="","",'(1)예금승인내역'!H1087)</f>
        <v>46017</v>
      </c>
      <c r="O461" s="547" t="n">
        <f aca="false">IF('(1)예금승인내역'!G1087="","",'(1)예금승인내역'!G1087)</f>
        <v>46003</v>
      </c>
      <c r="P461" s="531" t="str">
        <f aca="false">IF('(1)예금승인내역'!F1087="","",'(1)예금승인내역'!F1087)</f>
        <v>㈜일지테크</v>
      </c>
      <c r="Q461" s="531" t="str">
        <f aca="false">IF('(1)예금승인내역'!C1087="","",'(1)예금승인내역'!C1087)</f>
        <v>경산공단영업부</v>
      </c>
      <c r="R461" s="531" t="str">
        <f aca="false">IF('(1)예금승인내역'!K1087="","",'(1)예금승인내역'!K1087)</f>
        <v>정기예금</v>
      </c>
      <c r="S461" s="548" t="n">
        <f aca="false">IF('(1)예금승인내역'!L1087="","",'(1)예금승인내역'!L1087)</f>
        <v>3.5</v>
      </c>
      <c r="T461" s="549" t="n">
        <f aca="false">IF('(1)예금승인내역'!AG1087="","",'(1)예금승인내역'!AG1087)</f>
        <v>0.0338</v>
      </c>
      <c r="U461" s="549" t="n">
        <f aca="false">IF('(1)예금승인내역'!X1087="","",'(1)예금승인내역'!X1087)</f>
        <v>0.00201200000000001</v>
      </c>
      <c r="V461" s="531" t="n">
        <f aca="false">IF(ISNUMBER(N461),N461-$B$2,"")</f>
        <v>-172</v>
      </c>
      <c r="W461" s="531" t="str">
        <f aca="false">IF(AND(ISNUMBER(N461),N461&gt;=$B$2,N461&lt;=$B$2+10),N461*100000+ROW(),"")</f>
        <v/>
      </c>
      <c r="X461" s="531"/>
      <c r="Y461" s="531"/>
      <c r="Z461" s="531"/>
      <c r="AA461" s="531"/>
      <c r="AB461" s="531"/>
      <c r="AC461" s="531"/>
      <c r="AD461" s="531"/>
      <c r="AE461" s="531"/>
      <c r="AF461" s="531"/>
      <c r="AG461" s="531"/>
      <c r="AH461" s="531"/>
      <c r="AI461" s="531"/>
      <c r="AJ461" s="531"/>
      <c r="AK461" s="531"/>
      <c r="AL461" s="531"/>
      <c r="AM461" s="531"/>
      <c r="AN461" s="531"/>
    </row>
    <row r="462" customFormat="false" ht="16.5" hidden="false" customHeight="true" outlineLevel="0" collapsed="false">
      <c r="A462" s="531"/>
      <c r="B462" s="531"/>
      <c r="C462" s="531"/>
      <c r="D462" s="531"/>
      <c r="E462" s="531"/>
      <c r="F462" s="531"/>
      <c r="G462" s="531"/>
      <c r="H462" s="531"/>
      <c r="I462" s="531"/>
      <c r="J462" s="531"/>
      <c r="K462" s="531"/>
      <c r="L462" s="531"/>
      <c r="M462" s="531"/>
      <c r="N462" s="547" t="n">
        <f aca="false">IF('(1)예금승인내역'!H1088="","",'(1)예금승인내역'!H1088)</f>
        <v>46037</v>
      </c>
      <c r="O462" s="547" t="n">
        <f aca="false">IF('(1)예금승인내역'!G1088="","",'(1)예금승인내역'!G1088)</f>
        <v>46006</v>
      </c>
      <c r="P462" s="531" t="str">
        <f aca="false">IF('(1)예금승인내역'!F1088="","",'(1)예금승인내역'!F1088)</f>
        <v>한국비철㈜</v>
      </c>
      <c r="Q462" s="531" t="str">
        <f aca="false">IF('(1)예금승인내역'!C1088="","",'(1)예금승인내역'!C1088)</f>
        <v>달성공단영업부</v>
      </c>
      <c r="R462" s="531" t="str">
        <f aca="false">IF('(1)예금승인내역'!K1088="","",'(1)예금승인내역'!K1088)</f>
        <v>정기예금</v>
      </c>
      <c r="S462" s="548" t="n">
        <f aca="false">IF('(1)예금승인내역'!L1088="","",'(1)예금승인내역'!L1088)</f>
        <v>7.2</v>
      </c>
      <c r="T462" s="549" t="n">
        <f aca="false">IF('(1)예금승인내역'!AG1088="","",'(1)예금승인내역'!AG1088)</f>
        <v>0.035</v>
      </c>
      <c r="U462" s="549" t="n">
        <f aca="false">IF('(1)예금승인내역'!X1088="","",'(1)예금승인내역'!X1088)</f>
        <v>0.003353</v>
      </c>
      <c r="V462" s="531" t="n">
        <f aca="false">IF(ISNUMBER(N462),N462-$B$2,"")</f>
        <v>-152</v>
      </c>
      <c r="W462" s="531" t="str">
        <f aca="false">IF(AND(ISNUMBER(N462),N462&gt;=$B$2,N462&lt;=$B$2+10),N462*100000+ROW(),"")</f>
        <v/>
      </c>
      <c r="X462" s="531"/>
      <c r="Y462" s="531"/>
      <c r="Z462" s="531"/>
      <c r="AA462" s="531"/>
      <c r="AB462" s="531"/>
      <c r="AC462" s="531"/>
      <c r="AD462" s="531"/>
      <c r="AE462" s="531"/>
      <c r="AF462" s="531"/>
      <c r="AG462" s="531"/>
      <c r="AH462" s="531"/>
      <c r="AI462" s="531"/>
      <c r="AJ462" s="531"/>
      <c r="AK462" s="531"/>
      <c r="AL462" s="531"/>
      <c r="AM462" s="531"/>
      <c r="AN462" s="531"/>
    </row>
    <row r="463" customFormat="false" ht="16.5" hidden="false" customHeight="true" outlineLevel="0" collapsed="false">
      <c r="A463" s="531"/>
      <c r="B463" s="531"/>
      <c r="C463" s="531"/>
      <c r="D463" s="531"/>
      <c r="E463" s="531"/>
      <c r="F463" s="531"/>
      <c r="G463" s="531"/>
      <c r="H463" s="531"/>
      <c r="I463" s="531"/>
      <c r="J463" s="531"/>
      <c r="K463" s="531"/>
      <c r="L463" s="531"/>
      <c r="M463" s="531"/>
      <c r="N463" s="547" t="n">
        <f aca="false">IF('(1)예금승인내역'!H1089="","",'(1)예금승인내역'!H1089)</f>
        <v>46037</v>
      </c>
      <c r="O463" s="547" t="n">
        <f aca="false">IF('(1)예금승인내역'!G1089="","",'(1)예금승인내역'!G1089)</f>
        <v>46006</v>
      </c>
      <c r="P463" s="531" t="str">
        <f aca="false">IF('(1)예금승인내역'!F1089="","",'(1)예금승인내역'!F1089)</f>
        <v>한국비철㈜</v>
      </c>
      <c r="Q463" s="531" t="str">
        <f aca="false">IF('(1)예금승인내역'!C1089="","",'(1)예금승인내역'!C1089)</f>
        <v>달성공단영업부</v>
      </c>
      <c r="R463" s="531" t="str">
        <f aca="false">IF('(1)예금승인내역'!K1089="","",'(1)예금승인내역'!K1089)</f>
        <v>MMDA</v>
      </c>
      <c r="S463" s="548" t="n">
        <f aca="false">IF('(1)예금승인내역'!L1089="","",'(1)예금승인내역'!L1089)</f>
        <v>4.54</v>
      </c>
      <c r="T463" s="549" t="n">
        <f aca="false">IF('(1)예금승인내역'!AG1089="","",'(1)예금승인내역'!AG1089)</f>
        <v>0.031</v>
      </c>
      <c r="U463" s="549" t="n">
        <f aca="false">IF('(1)예금승인내역'!X1089="","",'(1)예금승인내역'!X1089)</f>
        <v>0.005463</v>
      </c>
      <c r="V463" s="531" t="n">
        <f aca="false">IF(ISNUMBER(N463),N463-$B$2,"")</f>
        <v>-152</v>
      </c>
      <c r="W463" s="531" t="str">
        <f aca="false">IF(AND(ISNUMBER(N463),N463&gt;=$B$2,N463&lt;=$B$2+10),N463*100000+ROW(),"")</f>
        <v/>
      </c>
      <c r="X463" s="531"/>
      <c r="Y463" s="531"/>
      <c r="Z463" s="531"/>
      <c r="AA463" s="531"/>
      <c r="AB463" s="531"/>
      <c r="AC463" s="531"/>
      <c r="AD463" s="531"/>
      <c r="AE463" s="531"/>
      <c r="AF463" s="531"/>
      <c r="AG463" s="531"/>
      <c r="AH463" s="531"/>
      <c r="AI463" s="531"/>
      <c r="AJ463" s="531"/>
      <c r="AK463" s="531"/>
      <c r="AL463" s="531"/>
      <c r="AM463" s="531"/>
      <c r="AN463" s="531"/>
    </row>
    <row r="464" customFormat="false" ht="16.5" hidden="false" customHeight="true" outlineLevel="0" collapsed="false">
      <c r="A464" s="531"/>
      <c r="B464" s="531"/>
      <c r="C464" s="531"/>
      <c r="D464" s="531"/>
      <c r="E464" s="531"/>
      <c r="F464" s="531"/>
      <c r="G464" s="531"/>
      <c r="H464" s="531"/>
      <c r="I464" s="531"/>
      <c r="J464" s="531"/>
      <c r="K464" s="531"/>
      <c r="L464" s="531"/>
      <c r="M464" s="531"/>
      <c r="N464" s="547" t="n">
        <f aca="false">IF('(1)예금승인내역'!H1090="","",'(1)예금승인내역'!H1090)</f>
        <v>46037</v>
      </c>
      <c r="O464" s="547" t="n">
        <f aca="false">IF('(1)예금승인내역'!G1090="","",'(1)예금승인내역'!G1090)</f>
        <v>46006</v>
      </c>
      <c r="P464" s="531" t="str">
        <f aca="false">IF('(1)예금승인내역'!F1090="","",'(1)예금승인내역'!F1090)</f>
        <v>주식회사 한국비앤씨</v>
      </c>
      <c r="Q464" s="531" t="str">
        <f aca="false">IF('(1)예금승인내역'!C1090="","",'(1)예금승인내역'!C1090)</f>
        <v>유통단지영업부</v>
      </c>
      <c r="R464" s="531" t="str">
        <f aca="false">IF('(1)예금승인내역'!K1090="","",'(1)예금승인내역'!K1090)</f>
        <v>MMDA</v>
      </c>
      <c r="S464" s="548" t="n">
        <f aca="false">IF('(1)예금승인내역'!L1090="","",'(1)예금승인내역'!L1090)</f>
        <v>7.31</v>
      </c>
      <c r="T464" s="549" t="n">
        <f aca="false">IF('(1)예금승인내역'!AG1090="","",'(1)예금승인내역'!AG1090)</f>
        <v>0.0315</v>
      </c>
      <c r="U464" s="549" t="n">
        <f aca="false">IF('(1)예금승인내역'!X1090="","",'(1)예금승인내역'!X1090)</f>
        <v>0.004963</v>
      </c>
      <c r="V464" s="531" t="n">
        <f aca="false">IF(ISNUMBER(N464),N464-$B$2,"")</f>
        <v>-152</v>
      </c>
      <c r="W464" s="531" t="str">
        <f aca="false">IF(AND(ISNUMBER(N464),N464&gt;=$B$2,N464&lt;=$B$2+10),N464*100000+ROW(),"")</f>
        <v/>
      </c>
      <c r="X464" s="531"/>
      <c r="Y464" s="531"/>
      <c r="Z464" s="531"/>
      <c r="AA464" s="531"/>
      <c r="AB464" s="531"/>
      <c r="AC464" s="531"/>
      <c r="AD464" s="531"/>
      <c r="AE464" s="531"/>
      <c r="AF464" s="531"/>
      <c r="AG464" s="531"/>
      <c r="AH464" s="531"/>
      <c r="AI464" s="531"/>
      <c r="AJ464" s="531"/>
      <c r="AK464" s="531"/>
      <c r="AL464" s="531"/>
      <c r="AM464" s="531"/>
      <c r="AN464" s="531"/>
    </row>
    <row r="465" customFormat="false" ht="16.5" hidden="false" customHeight="true" outlineLevel="0" collapsed="false">
      <c r="A465" s="531"/>
      <c r="B465" s="531"/>
      <c r="C465" s="531"/>
      <c r="D465" s="531"/>
      <c r="E465" s="531"/>
      <c r="F465" s="531"/>
      <c r="G465" s="531"/>
      <c r="H465" s="531"/>
      <c r="I465" s="531"/>
      <c r="J465" s="531"/>
      <c r="K465" s="531"/>
      <c r="L465" s="531"/>
      <c r="M465" s="531"/>
      <c r="N465" s="547" t="n">
        <f aca="false">IF('(1)예금승인내역'!H1091="","",'(1)예금승인내역'!H1091)</f>
        <v>46097</v>
      </c>
      <c r="O465" s="547" t="n">
        <f aca="false">IF('(1)예금승인내역'!G1091="","",'(1)예금승인내역'!G1091)</f>
        <v>46007</v>
      </c>
      <c r="P465" s="531" t="str">
        <f aca="false">IF('(1)예금승인내역'!F1091="","",'(1)예금승인내역'!F1091)</f>
        <v>㈜ 동아홀딩스 </v>
      </c>
      <c r="Q465" s="531" t="str">
        <f aca="false">IF('(1)예금승인내역'!C1091="","",'(1)예금승인내역'!C1091)</f>
        <v>달성공단영업부</v>
      </c>
      <c r="R465" s="531" t="str">
        <f aca="false">IF('(1)예금승인내역'!K1091="","",'(1)예금승인내역'!K1091)</f>
        <v>정기예금</v>
      </c>
      <c r="S465" s="548" t="n">
        <f aca="false">IF('(1)예금승인내역'!L1091="","",'(1)예금승인내역'!L1091)</f>
        <v>2.17</v>
      </c>
      <c r="T465" s="549" t="n">
        <f aca="false">IF('(1)예금승인내역'!AG1091="","",'(1)예금승인내역'!AG1091)</f>
        <v>0.0365</v>
      </c>
      <c r="U465" s="549" t="n">
        <f aca="false">IF('(1)예금승인내역'!X1091="","",'(1)예금승인내역'!X1091)</f>
        <v>0.002436</v>
      </c>
      <c r="V465" s="531" t="n">
        <f aca="false">IF(ISNUMBER(N465),N465-$B$2,"")</f>
        <v>-92</v>
      </c>
      <c r="W465" s="531" t="str">
        <f aca="false">IF(AND(ISNUMBER(N465),N465&gt;=$B$2,N465&lt;=$B$2+10),N465*100000+ROW(),"")</f>
        <v/>
      </c>
      <c r="X465" s="531"/>
      <c r="Y465" s="531"/>
      <c r="Z465" s="531"/>
      <c r="AA465" s="531"/>
      <c r="AB465" s="531"/>
      <c r="AC465" s="531"/>
      <c r="AD465" s="531"/>
      <c r="AE465" s="531"/>
      <c r="AF465" s="531"/>
      <c r="AG465" s="531"/>
      <c r="AH465" s="531"/>
      <c r="AI465" s="531"/>
      <c r="AJ465" s="531"/>
      <c r="AK465" s="531"/>
      <c r="AL465" s="531"/>
      <c r="AM465" s="531"/>
      <c r="AN465" s="531"/>
    </row>
    <row r="466" customFormat="false" ht="16.5" hidden="false" customHeight="true" outlineLevel="0" collapsed="false">
      <c r="A466" s="531"/>
      <c r="B466" s="531"/>
      <c r="C466" s="531"/>
      <c r="D466" s="531"/>
      <c r="E466" s="531"/>
      <c r="F466" s="531"/>
      <c r="G466" s="531"/>
      <c r="H466" s="531"/>
      <c r="I466" s="531"/>
      <c r="J466" s="531"/>
      <c r="K466" s="531"/>
      <c r="L466" s="531"/>
      <c r="M466" s="531"/>
      <c r="N466" s="547" t="n">
        <f aca="false">IF('(1)예금승인내역'!H1092="","",'(1)예금승인내역'!H1092)</f>
        <v>46097</v>
      </c>
      <c r="O466" s="547" t="n">
        <f aca="false">IF('(1)예금승인내역'!G1092="","",'(1)예금승인내역'!G1092)</f>
        <v>46007</v>
      </c>
      <c r="P466" s="531" t="str">
        <f aca="false">IF('(1)예금승인내역'!F1092="","",'(1)예금승인내역'!F1092)</f>
        <v>해내다컨트리클럽</v>
      </c>
      <c r="Q466" s="531" t="str">
        <f aca="false">IF('(1)예금승인내역'!C1092="","",'(1)예금승인내역'!C1092)</f>
        <v>달성공단영업부</v>
      </c>
      <c r="R466" s="531" t="str">
        <f aca="false">IF('(1)예금승인내역'!K1092="","",'(1)예금승인내역'!K1092)</f>
        <v>정기예금</v>
      </c>
      <c r="S466" s="548" t="n">
        <f aca="false">IF('(1)예금승인내역'!L1092="","",'(1)예금승인내역'!L1092)</f>
        <v>3.622</v>
      </c>
      <c r="T466" s="549" t="n">
        <f aca="false">IF('(1)예금승인내역'!AG1092="","",'(1)예금승인내역'!AG1092)</f>
        <v>0.0365</v>
      </c>
      <c r="U466" s="549" t="n">
        <f aca="false">IF('(1)예금승인내역'!X1092="","",'(1)예금승인내역'!X1092)</f>
        <v>0.002436</v>
      </c>
      <c r="V466" s="531" t="n">
        <f aca="false">IF(ISNUMBER(N466),N466-$B$2,"")</f>
        <v>-92</v>
      </c>
      <c r="W466" s="531" t="str">
        <f aca="false">IF(AND(ISNUMBER(N466),N466&gt;=$B$2,N466&lt;=$B$2+10),N466*100000+ROW(),"")</f>
        <v/>
      </c>
      <c r="X466" s="531"/>
      <c r="Y466" s="531"/>
      <c r="Z466" s="531"/>
      <c r="AA466" s="531"/>
      <c r="AB466" s="531"/>
      <c r="AC466" s="531"/>
      <c r="AD466" s="531"/>
      <c r="AE466" s="531"/>
      <c r="AF466" s="531"/>
      <c r="AG466" s="531"/>
      <c r="AH466" s="531"/>
      <c r="AI466" s="531"/>
      <c r="AJ466" s="531"/>
      <c r="AK466" s="531"/>
      <c r="AL466" s="531"/>
      <c r="AM466" s="531"/>
      <c r="AN466" s="531"/>
    </row>
    <row r="467" customFormat="false" ht="16.5" hidden="false" customHeight="true" outlineLevel="0" collapsed="false">
      <c r="A467" s="531"/>
      <c r="B467" s="531"/>
      <c r="C467" s="531"/>
      <c r="D467" s="531"/>
      <c r="E467" s="531"/>
      <c r="F467" s="531"/>
      <c r="G467" s="531"/>
      <c r="H467" s="531"/>
      <c r="I467" s="531"/>
      <c r="J467" s="531"/>
      <c r="K467" s="531"/>
      <c r="L467" s="531"/>
      <c r="M467" s="531"/>
      <c r="N467" s="547" t="n">
        <f aca="false">IF('(1)예금승인내역'!H1093="","",'(1)예금승인내역'!H1093)</f>
        <v>46041</v>
      </c>
      <c r="O467" s="547" t="n">
        <f aca="false">IF('(1)예금승인내역'!G1093="","",'(1)예금승인내역'!G1093)</f>
        <v>46008</v>
      </c>
      <c r="P467" s="531" t="str">
        <f aca="false">IF('(1)예금승인내역'!F1093="","",'(1)예금승인내역'!F1093)</f>
        <v>대원지에스아이</v>
      </c>
      <c r="Q467" s="531" t="str">
        <f aca="false">IF('(1)예금승인내역'!C1093="","",'(1)예금승인내역'!C1093)</f>
        <v>유통단지영업부</v>
      </c>
      <c r="R467" s="531" t="str">
        <f aca="false">IF('(1)예금승인내역'!K1093="","",'(1)예금승인내역'!K1093)</f>
        <v>정기예금</v>
      </c>
      <c r="S467" s="548" t="n">
        <f aca="false">IF('(1)예금승인내역'!L1093="","",'(1)예금승인내역'!L1093)</f>
        <v>1.5</v>
      </c>
      <c r="T467" s="549" t="n">
        <f aca="false">IF('(1)예금승인내역'!AG1093="","",'(1)예금승인내역'!AG1093)</f>
        <v>0.035</v>
      </c>
      <c r="U467" s="549" t="n">
        <f aca="false">IF('(1)예금승인내역'!X1093="","",'(1)예금승인내역'!X1093)</f>
        <v>0.002792</v>
      </c>
      <c r="V467" s="531" t="n">
        <f aca="false">IF(ISNUMBER(N467),N467-$B$2,"")</f>
        <v>-148</v>
      </c>
      <c r="W467" s="531" t="str">
        <f aca="false">IF(AND(ISNUMBER(N467),N467&gt;=$B$2,N467&lt;=$B$2+10),N467*100000+ROW(),"")</f>
        <v/>
      </c>
      <c r="X467" s="531"/>
      <c r="Y467" s="531"/>
      <c r="Z467" s="531"/>
      <c r="AA467" s="531"/>
      <c r="AB467" s="531"/>
      <c r="AC467" s="531"/>
      <c r="AD467" s="531"/>
      <c r="AE467" s="531"/>
      <c r="AF467" s="531"/>
      <c r="AG467" s="531"/>
      <c r="AH467" s="531"/>
      <c r="AI467" s="531"/>
      <c r="AJ467" s="531"/>
      <c r="AK467" s="531"/>
      <c r="AL467" s="531"/>
      <c r="AM467" s="531"/>
      <c r="AN467" s="531"/>
    </row>
    <row r="468" customFormat="false" ht="16.5" hidden="false" customHeight="true" outlineLevel="0" collapsed="false">
      <c r="A468" s="531"/>
      <c r="B468" s="531"/>
      <c r="C468" s="531"/>
      <c r="D468" s="531"/>
      <c r="E468" s="531"/>
      <c r="F468" s="531"/>
      <c r="G468" s="531"/>
      <c r="H468" s="531"/>
      <c r="I468" s="531"/>
      <c r="J468" s="531"/>
      <c r="K468" s="531"/>
      <c r="L468" s="531"/>
      <c r="M468" s="531"/>
      <c r="N468" s="547" t="n">
        <f aca="false">IF('(1)예금승인내역'!H1094="","",'(1)예금승인내역'!H1094)</f>
        <v>46098</v>
      </c>
      <c r="O468" s="547" t="n">
        <f aca="false">IF('(1)예금승인내역'!G1094="","",'(1)예금승인내역'!G1094)</f>
        <v>46008</v>
      </c>
      <c r="P468" s="531" t="str">
        <f aca="false">IF('(1)예금승인내역'!F1094="","",'(1)예금승인내역'!F1094)</f>
        <v>거림테크주식회사</v>
      </c>
      <c r="Q468" s="531" t="str">
        <f aca="false">IF('(1)예금승인내역'!C1094="","",'(1)예금승인내역'!C1094)</f>
        <v>죽전지점</v>
      </c>
      <c r="R468" s="531" t="str">
        <f aca="false">IF('(1)예금승인내역'!K1094="","",'(1)예금승인내역'!K1094)</f>
        <v>정기예금</v>
      </c>
      <c r="S468" s="548" t="n">
        <f aca="false">IF('(1)예금승인내역'!L1094="","",'(1)예금승인내역'!L1094)</f>
        <v>1</v>
      </c>
      <c r="T468" s="549" t="n">
        <f aca="false">IF('(1)예금승인내역'!AG1094="","",'(1)예금승인내역'!AG1094)</f>
        <v>0.037</v>
      </c>
      <c r="U468" s="549" t="n">
        <f aca="false">IF('(1)예금승인내역'!X1094="","",'(1)예금승인내역'!X1094)</f>
        <v>0.001921</v>
      </c>
      <c r="V468" s="531" t="n">
        <f aca="false">IF(ISNUMBER(N468),N468-$B$2,"")</f>
        <v>-91</v>
      </c>
      <c r="W468" s="531" t="str">
        <f aca="false">IF(AND(ISNUMBER(N468),N468&gt;=$B$2,N468&lt;=$B$2+10),N468*100000+ROW(),"")</f>
        <v/>
      </c>
      <c r="X468" s="531"/>
      <c r="Y468" s="531"/>
      <c r="Z468" s="531"/>
      <c r="AA468" s="531"/>
      <c r="AB468" s="531"/>
      <c r="AC468" s="531"/>
      <c r="AD468" s="531"/>
      <c r="AE468" s="531"/>
      <c r="AF468" s="531"/>
      <c r="AG468" s="531"/>
      <c r="AH468" s="531"/>
      <c r="AI468" s="531"/>
      <c r="AJ468" s="531"/>
      <c r="AK468" s="531"/>
      <c r="AL468" s="531"/>
      <c r="AM468" s="531"/>
      <c r="AN468" s="531"/>
    </row>
    <row r="469" customFormat="false" ht="16.5" hidden="false" customHeight="true" outlineLevel="0" collapsed="false">
      <c r="A469" s="531"/>
      <c r="B469" s="531"/>
      <c r="C469" s="531"/>
      <c r="D469" s="531"/>
      <c r="E469" s="531"/>
      <c r="F469" s="531"/>
      <c r="G469" s="531"/>
      <c r="H469" s="531"/>
      <c r="I469" s="531"/>
      <c r="J469" s="531"/>
      <c r="K469" s="531"/>
      <c r="L469" s="531"/>
      <c r="M469" s="531"/>
      <c r="N469" s="547" t="n">
        <f aca="false">IF('(1)예금승인내역'!H1095="","",'(1)예금승인내역'!H1095)</f>
        <v>46098</v>
      </c>
      <c r="O469" s="547" t="n">
        <f aca="false">IF('(1)예금승인내역'!G1095="","",'(1)예금승인내역'!G1095)</f>
        <v>46008</v>
      </c>
      <c r="P469" s="531" t="str">
        <f aca="false">IF('(1)예금승인내역'!F1095="","",'(1)예금승인내역'!F1095)</f>
        <v>거림테크주식회사</v>
      </c>
      <c r="Q469" s="531" t="str">
        <f aca="false">IF('(1)예금승인내역'!C1095="","",'(1)예금승인내역'!C1095)</f>
        <v>죽전지점</v>
      </c>
      <c r="R469" s="531" t="str">
        <f aca="false">IF('(1)예금승인내역'!K1095="","",'(1)예금승인내역'!K1095)</f>
        <v>정기예금</v>
      </c>
      <c r="S469" s="548" t="n">
        <f aca="false">IF('(1)예금승인내역'!L1095="","",'(1)예금승인내역'!L1095)</f>
        <v>1</v>
      </c>
      <c r="T469" s="549" t="n">
        <f aca="false">IF('(1)예금승인내역'!AG1095="","",'(1)예금승인내역'!AG1095)</f>
        <v>0.037</v>
      </c>
      <c r="U469" s="549" t="n">
        <f aca="false">IF('(1)예금승인내역'!X1095="","",'(1)예금승인내역'!X1095)</f>
        <v>0.001921</v>
      </c>
      <c r="V469" s="531" t="n">
        <f aca="false">IF(ISNUMBER(N469),N469-$B$2,"")</f>
        <v>-91</v>
      </c>
      <c r="W469" s="531" t="str">
        <f aca="false">IF(AND(ISNUMBER(N469),N469&gt;=$B$2,N469&lt;=$B$2+10),N469*100000+ROW(),"")</f>
        <v/>
      </c>
      <c r="X469" s="531"/>
      <c r="Y469" s="531"/>
      <c r="Z469" s="531"/>
      <c r="AA469" s="531"/>
      <c r="AB469" s="531"/>
      <c r="AC469" s="531"/>
      <c r="AD469" s="531"/>
      <c r="AE469" s="531"/>
      <c r="AF469" s="531"/>
      <c r="AG469" s="531"/>
      <c r="AH469" s="531"/>
      <c r="AI469" s="531"/>
      <c r="AJ469" s="531"/>
      <c r="AK469" s="531"/>
      <c r="AL469" s="531"/>
      <c r="AM469" s="531"/>
      <c r="AN469" s="531"/>
    </row>
    <row r="470" customFormat="false" ht="16.5" hidden="false" customHeight="true" outlineLevel="0" collapsed="false">
      <c r="A470" s="531"/>
      <c r="B470" s="531"/>
      <c r="C470" s="531"/>
      <c r="D470" s="531"/>
      <c r="E470" s="531"/>
      <c r="F470" s="531"/>
      <c r="G470" s="531"/>
      <c r="H470" s="531"/>
      <c r="I470" s="531"/>
      <c r="J470" s="531"/>
      <c r="K470" s="531"/>
      <c r="L470" s="531"/>
      <c r="M470" s="531"/>
      <c r="N470" s="547" t="n">
        <f aca="false">IF('(1)예금승인내역'!H1096="","",'(1)예금승인내역'!H1096)</f>
        <v>46041</v>
      </c>
      <c r="O470" s="547" t="n">
        <f aca="false">IF('(1)예금승인내역'!G1096="","",'(1)예금승인내역'!G1096)</f>
        <v>46010</v>
      </c>
      <c r="P470" s="531" t="str">
        <f aca="false">IF('(1)예금승인내역'!F1096="","",'(1)예금승인내역'!F1096)</f>
        <v>와이엠에스에이</v>
      </c>
      <c r="Q470" s="531" t="str">
        <f aca="false">IF('(1)예금승인내역'!C1096="","",'(1)예금승인내역'!C1096)</f>
        <v>본점영업부</v>
      </c>
      <c r="R470" s="531" t="str">
        <f aca="false">IF('(1)예금승인내역'!K1096="","",'(1)예금승인내역'!K1096)</f>
        <v>MMDA</v>
      </c>
      <c r="S470" s="548" t="n">
        <f aca="false">IF('(1)예금승인내역'!L1096="","",'(1)예금승인내역'!L1096)</f>
        <v>1.43</v>
      </c>
      <c r="T470" s="549" t="n">
        <f aca="false">IF('(1)예금승인내역'!AG1096="","",'(1)예금승인내역'!AG1096)</f>
        <v>0.032</v>
      </c>
      <c r="U470" s="549" t="n">
        <f aca="false">IF('(1)예금승인내역'!X1096="","",'(1)예금승인내역'!X1096)</f>
        <v>0.00427</v>
      </c>
      <c r="V470" s="531" t="n">
        <f aca="false">IF(ISNUMBER(N470),N470-$B$2,"")</f>
        <v>-148</v>
      </c>
      <c r="W470" s="531" t="str">
        <f aca="false">IF(AND(ISNUMBER(N470),N470&gt;=$B$2,N470&lt;=$B$2+10),N470*100000+ROW(),"")</f>
        <v/>
      </c>
      <c r="X470" s="531"/>
      <c r="Y470" s="531"/>
      <c r="Z470" s="531"/>
      <c r="AA470" s="531"/>
      <c r="AB470" s="531"/>
      <c r="AC470" s="531"/>
      <c r="AD470" s="531"/>
      <c r="AE470" s="531"/>
      <c r="AF470" s="531"/>
      <c r="AG470" s="531"/>
      <c r="AH470" s="531"/>
      <c r="AI470" s="531"/>
      <c r="AJ470" s="531"/>
      <c r="AK470" s="531"/>
      <c r="AL470" s="531"/>
      <c r="AM470" s="531"/>
      <c r="AN470" s="531"/>
    </row>
    <row r="471" customFormat="false" ht="16.5" hidden="false" customHeight="true" outlineLevel="0" collapsed="false">
      <c r="A471" s="531"/>
      <c r="B471" s="531"/>
      <c r="C471" s="531"/>
      <c r="D471" s="531"/>
      <c r="E471" s="531"/>
      <c r="F471" s="531"/>
      <c r="G471" s="531"/>
      <c r="H471" s="531"/>
      <c r="I471" s="531"/>
      <c r="J471" s="531"/>
      <c r="K471" s="531"/>
      <c r="L471" s="531"/>
      <c r="M471" s="531"/>
      <c r="N471" s="547" t="n">
        <f aca="false">IF('(1)예금승인내역'!H1097="","",'(1)예금승인내역'!H1097)</f>
        <v>46041</v>
      </c>
      <c r="O471" s="547" t="n">
        <f aca="false">IF('(1)예금승인내역'!G1097="","",'(1)예금승인내역'!G1097)</f>
        <v>46010</v>
      </c>
      <c r="P471" s="531" t="str">
        <f aca="false">IF('(1)예금승인내역'!F1097="","",'(1)예금승인내역'!F1097)</f>
        <v>㈜약진통상</v>
      </c>
      <c r="Q471" s="531" t="str">
        <f aca="false">IF('(1)예금승인내역'!C1097="","",'(1)예금승인내역'!C1097)</f>
        <v>반월공단영업부</v>
      </c>
      <c r="R471" s="531" t="str">
        <f aca="false">IF('(1)예금승인내역'!K1097="","",'(1)예금승인내역'!K1097)</f>
        <v>MMDA</v>
      </c>
      <c r="S471" s="548" t="n">
        <f aca="false">IF('(1)예금승인내역'!L1097="","",'(1)예금승인내역'!L1097)</f>
        <v>10.53</v>
      </c>
      <c r="T471" s="549" t="n">
        <f aca="false">IF('(1)예금승인내역'!AG1097="","",'(1)예금승인내역'!AG1097)</f>
        <v>0.032</v>
      </c>
      <c r="U471" s="549" t="n">
        <f aca="false">IF('(1)예금승인내역'!X1097="","",'(1)예금승인내역'!X1097)</f>
        <v>0.00427</v>
      </c>
      <c r="V471" s="531" t="n">
        <f aca="false">IF(ISNUMBER(N471),N471-$B$2,"")</f>
        <v>-148</v>
      </c>
      <c r="W471" s="531" t="str">
        <f aca="false">IF(AND(ISNUMBER(N471),N471&gt;=$B$2,N471&lt;=$B$2+10),N471*100000+ROW(),"")</f>
        <v/>
      </c>
      <c r="X471" s="531"/>
      <c r="Y471" s="531"/>
      <c r="Z471" s="531"/>
      <c r="AA471" s="531"/>
      <c r="AB471" s="531"/>
      <c r="AC471" s="531"/>
      <c r="AD471" s="531"/>
      <c r="AE471" s="531"/>
      <c r="AF471" s="531"/>
      <c r="AG471" s="531"/>
      <c r="AH471" s="531"/>
      <c r="AI471" s="531"/>
      <c r="AJ471" s="531"/>
      <c r="AK471" s="531"/>
      <c r="AL471" s="531"/>
      <c r="AM471" s="531"/>
      <c r="AN471" s="531"/>
    </row>
    <row r="472" customFormat="false" ht="16.5" hidden="false" customHeight="true" outlineLevel="0" collapsed="false">
      <c r="A472" s="531"/>
      <c r="B472" s="531"/>
      <c r="C472" s="531"/>
      <c r="D472" s="531"/>
      <c r="E472" s="531"/>
      <c r="F472" s="531"/>
      <c r="G472" s="531"/>
      <c r="H472" s="531"/>
      <c r="I472" s="531"/>
      <c r="J472" s="531"/>
      <c r="K472" s="531"/>
      <c r="L472" s="531"/>
      <c r="M472" s="531"/>
      <c r="N472" s="547" t="n">
        <f aca="false">IF('(1)예금승인내역'!H1098="","",'(1)예금승인내역'!H1098)</f>
        <v>46044</v>
      </c>
      <c r="O472" s="547" t="n">
        <f aca="false">IF('(1)예금승인내역'!G1098="","",'(1)예금승인내역'!G1098)</f>
        <v>46013</v>
      </c>
      <c r="P472" s="531" t="str">
        <f aca="false">IF('(1)예금승인내역'!F1098="","",'(1)예금승인내역'!F1098)</f>
        <v>오스템임플란트㈜</v>
      </c>
      <c r="Q472" s="531" t="str">
        <f aca="false">IF('(1)예금승인내역'!C1098="","",'(1)예금승인내역'!C1098)</f>
        <v>성남금융센터</v>
      </c>
      <c r="R472" s="531" t="str">
        <f aca="false">IF('(1)예금승인내역'!K1098="","",'(1)예금승인내역'!K1098)</f>
        <v>MMDA</v>
      </c>
      <c r="S472" s="548" t="n">
        <f aca="false">IF('(1)예금승인내역'!L1098="","",'(1)예금승인내역'!L1098)</f>
        <v>4</v>
      </c>
      <c r="T472" s="549" t="n">
        <f aca="false">IF('(1)예금승인내역'!AG1098="","",'(1)예금승인내역'!AG1098)</f>
        <v>0.032</v>
      </c>
      <c r="U472" s="549" t="n">
        <f aca="false">IF('(1)예금승인내역'!X1098="","",'(1)예금승인내역'!X1098)</f>
        <v>0.004208</v>
      </c>
      <c r="V472" s="531" t="n">
        <f aca="false">IF(ISNUMBER(N472),N472-$B$2,"")</f>
        <v>-145</v>
      </c>
      <c r="W472" s="531" t="str">
        <f aca="false">IF(AND(ISNUMBER(N472),N472&gt;=$B$2,N472&lt;=$B$2+10),N472*100000+ROW(),"")</f>
        <v/>
      </c>
      <c r="X472" s="531"/>
      <c r="Y472" s="531"/>
      <c r="Z472" s="531"/>
      <c r="AA472" s="531"/>
      <c r="AB472" s="531"/>
      <c r="AC472" s="531"/>
      <c r="AD472" s="531"/>
      <c r="AE472" s="531"/>
      <c r="AF472" s="531"/>
      <c r="AG472" s="531"/>
      <c r="AH472" s="531"/>
      <c r="AI472" s="531"/>
      <c r="AJ472" s="531"/>
      <c r="AK472" s="531"/>
      <c r="AL472" s="531"/>
      <c r="AM472" s="531"/>
      <c r="AN472" s="531"/>
    </row>
    <row r="473" customFormat="false" ht="16.5" hidden="false" customHeight="true" outlineLevel="0" collapsed="false">
      <c r="A473" s="531"/>
      <c r="B473" s="531"/>
      <c r="C473" s="531"/>
      <c r="D473" s="531"/>
      <c r="E473" s="531"/>
      <c r="F473" s="531"/>
      <c r="G473" s="531"/>
      <c r="H473" s="531"/>
      <c r="I473" s="531"/>
      <c r="J473" s="531"/>
      <c r="K473" s="531"/>
      <c r="L473" s="531"/>
      <c r="M473" s="531"/>
      <c r="N473" s="547" t="n">
        <f aca="false">IF('(1)예금승인내역'!H1099="","",'(1)예금승인내역'!H1099)</f>
        <v>46104</v>
      </c>
      <c r="O473" s="547" t="n">
        <f aca="false">IF('(1)예금승인내역'!G1099="","",'(1)예금승인내역'!G1099)</f>
        <v>46013</v>
      </c>
      <c r="P473" s="531" t="str">
        <f aca="false">IF('(1)예금승인내역'!F1099="","",'(1)예금승인내역'!F1099)</f>
        <v>㈜비앤에프</v>
      </c>
      <c r="Q473" s="531" t="str">
        <f aca="false">IF('(1)예금승인내역'!C1099="","",'(1)예금승인내역'!C1099)</f>
        <v>죽전지점</v>
      </c>
      <c r="R473" s="531" t="str">
        <f aca="false">IF('(1)예금승인내역'!K1099="","",'(1)예금승인내역'!K1099)</f>
        <v>정기예금</v>
      </c>
      <c r="S473" s="548" t="n">
        <f aca="false">IF('(1)예금승인내역'!L1099="","",'(1)예금승인내역'!L1099)</f>
        <v>2</v>
      </c>
      <c r="T473" s="549" t="n">
        <f aca="false">IF('(1)예금승인내역'!AG1099="","",'(1)예금승인내역'!AG1099)</f>
        <v>0.037</v>
      </c>
      <c r="U473" s="549" t="n">
        <f aca="false">IF('(1)예금승인내역'!X1099="","",'(1)예금승인내역'!X1099)</f>
        <v>0.001823</v>
      </c>
      <c r="V473" s="531" t="n">
        <f aca="false">IF(ISNUMBER(N473),N473-$B$2,"")</f>
        <v>-85</v>
      </c>
      <c r="W473" s="531" t="str">
        <f aca="false">IF(AND(ISNUMBER(N473),N473&gt;=$B$2,N473&lt;=$B$2+10),N473*100000+ROW(),"")</f>
        <v/>
      </c>
      <c r="X473" s="531"/>
      <c r="Y473" s="531"/>
      <c r="Z473" s="531"/>
      <c r="AA473" s="531"/>
      <c r="AB473" s="531"/>
      <c r="AC473" s="531"/>
      <c r="AD473" s="531"/>
      <c r="AE473" s="531"/>
      <c r="AF473" s="531"/>
      <c r="AG473" s="531"/>
      <c r="AH473" s="531"/>
      <c r="AI473" s="531"/>
      <c r="AJ473" s="531"/>
      <c r="AK473" s="531"/>
      <c r="AL473" s="531"/>
      <c r="AM473" s="531"/>
      <c r="AN473" s="531"/>
    </row>
    <row r="474" customFormat="false" ht="16.5" hidden="false" customHeight="true" outlineLevel="0" collapsed="false">
      <c r="A474" s="531"/>
      <c r="B474" s="531"/>
      <c r="C474" s="531"/>
      <c r="D474" s="531"/>
      <c r="E474" s="531"/>
      <c r="F474" s="531"/>
      <c r="G474" s="531"/>
      <c r="H474" s="531"/>
      <c r="I474" s="531"/>
      <c r="J474" s="531"/>
      <c r="K474" s="531"/>
      <c r="L474" s="531"/>
      <c r="M474" s="531"/>
      <c r="N474" s="547" t="n">
        <f aca="false">IF('(1)예금승인내역'!H1100="","",'(1)예금승인내역'!H1100)</f>
        <v>46049</v>
      </c>
      <c r="O474" s="547" t="n">
        <f aca="false">IF('(1)예금승인내역'!G1100="","",'(1)예금승인내역'!G1100)</f>
        <v>46015</v>
      </c>
      <c r="P474" s="531" t="str">
        <f aca="false">IF('(1)예금승인내역'!F1100="","",'(1)예금승인내역'!F1100)</f>
        <v>김상범</v>
      </c>
      <c r="Q474" s="531" t="str">
        <f aca="false">IF('(1)예금승인내역'!C1100="","",'(1)예금승인내역'!C1100)</f>
        <v>이현공단영업부</v>
      </c>
      <c r="R474" s="531" t="str">
        <f aca="false">IF('(1)예금승인내역'!K1100="","",'(1)예금승인내역'!K1100)</f>
        <v>MMDA</v>
      </c>
      <c r="S474" s="548" t="n">
        <f aca="false">IF('(1)예금승인내역'!L1100="","",'(1)예금승인내역'!L1100)</f>
        <v>1</v>
      </c>
      <c r="T474" s="549" t="n">
        <f aca="false">IF('(1)예금승인내역'!AG1100="","",'(1)예금승인내역'!AG1100)</f>
        <v>0.032</v>
      </c>
      <c r="U474" s="549" t="n">
        <f aca="false">IF('(1)예금승인내역'!X1100="","",'(1)예금승인내역'!X1100)</f>
        <v>0.004209</v>
      </c>
      <c r="V474" s="531" t="n">
        <f aca="false">IF(ISNUMBER(N474),N474-$B$2,"")</f>
        <v>-140</v>
      </c>
      <c r="W474" s="531" t="str">
        <f aca="false">IF(AND(ISNUMBER(N474),N474&gt;=$B$2,N474&lt;=$B$2+10),N474*100000+ROW(),"")</f>
        <v/>
      </c>
      <c r="X474" s="531"/>
      <c r="Y474" s="531"/>
      <c r="Z474" s="531"/>
      <c r="AA474" s="531"/>
      <c r="AB474" s="531"/>
      <c r="AC474" s="531"/>
      <c r="AD474" s="531"/>
      <c r="AE474" s="531"/>
      <c r="AF474" s="531"/>
      <c r="AG474" s="531"/>
      <c r="AH474" s="531"/>
      <c r="AI474" s="531"/>
      <c r="AJ474" s="531"/>
      <c r="AK474" s="531"/>
      <c r="AL474" s="531"/>
      <c r="AM474" s="531"/>
      <c r="AN474" s="531"/>
    </row>
    <row r="475" customFormat="false" ht="16.5" hidden="false" customHeight="true" outlineLevel="0" collapsed="false">
      <c r="A475" s="531"/>
      <c r="B475" s="531"/>
      <c r="C475" s="531"/>
      <c r="D475" s="531"/>
      <c r="E475" s="531"/>
      <c r="F475" s="531"/>
      <c r="G475" s="531"/>
      <c r="H475" s="531"/>
      <c r="I475" s="531"/>
      <c r="J475" s="531"/>
      <c r="K475" s="531"/>
      <c r="L475" s="531"/>
      <c r="M475" s="531"/>
      <c r="N475" s="547" t="n">
        <f aca="false">IF('(1)예금승인내역'!H1101="","",'(1)예금승인내역'!H1101)</f>
        <v>46027</v>
      </c>
      <c r="O475" s="547" t="n">
        <f aca="false">IF('(1)예금승인내역'!G1101="","",'(1)예금승인내역'!G1101)</f>
        <v>46017</v>
      </c>
      <c r="P475" s="531" t="str">
        <f aca="false">IF('(1)예금승인내역'!F1101="","",'(1)예금승인내역'!F1101)</f>
        <v>㈜일지테크</v>
      </c>
      <c r="Q475" s="531" t="str">
        <f aca="false">IF('(1)예금승인내역'!C1101="","",'(1)예금승인내역'!C1101)</f>
        <v>경산공단영업부</v>
      </c>
      <c r="R475" s="531" t="str">
        <f aca="false">IF('(1)예금승인내역'!K1101="","",'(1)예금승인내역'!K1101)</f>
        <v>정기예금</v>
      </c>
      <c r="S475" s="548" t="n">
        <f aca="false">IF('(1)예금승인내역'!L1101="","",'(1)예금승인내역'!L1101)</f>
        <v>10</v>
      </c>
      <c r="T475" s="549" t="n">
        <f aca="false">IF('(1)예금승인내역'!AG1101="","",'(1)예금승인내역'!AG1101)</f>
        <v>0.032</v>
      </c>
      <c r="U475" s="549" t="n">
        <f aca="false">IF('(1)예금승인내역'!X1101="","",'(1)예금승인내역'!X1101)</f>
        <v>0.002093</v>
      </c>
      <c r="V475" s="531" t="n">
        <f aca="false">IF(ISNUMBER(N475),N475-$B$2,"")</f>
        <v>-162</v>
      </c>
      <c r="W475" s="531" t="str">
        <f aca="false">IF(AND(ISNUMBER(N475),N475&gt;=$B$2,N475&lt;=$B$2+10),N475*100000+ROW(),"")</f>
        <v/>
      </c>
      <c r="X475" s="531"/>
      <c r="Y475" s="531"/>
      <c r="Z475" s="531"/>
      <c r="AA475" s="531"/>
      <c r="AB475" s="531"/>
      <c r="AC475" s="531"/>
      <c r="AD475" s="531"/>
      <c r="AE475" s="531"/>
      <c r="AF475" s="531"/>
      <c r="AG475" s="531"/>
      <c r="AH475" s="531"/>
      <c r="AI475" s="531"/>
      <c r="AJ475" s="531"/>
      <c r="AK475" s="531"/>
      <c r="AL475" s="531"/>
      <c r="AM475" s="531"/>
      <c r="AN475" s="531"/>
    </row>
    <row r="476" customFormat="false" ht="16.5" hidden="false" customHeight="true" outlineLevel="0" collapsed="false">
      <c r="A476" s="531"/>
      <c r="B476" s="531"/>
      <c r="C476" s="531"/>
      <c r="D476" s="531"/>
      <c r="E476" s="531"/>
      <c r="F476" s="531"/>
      <c r="G476" s="531"/>
      <c r="H476" s="531"/>
      <c r="I476" s="531"/>
      <c r="J476" s="531"/>
      <c r="K476" s="531"/>
      <c r="L476" s="531"/>
      <c r="M476" s="531"/>
      <c r="N476" s="547" t="n">
        <f aca="false">IF('(1)예금승인내역'!H1102="","",'(1)예금승인내역'!H1102)</f>
        <v>46027</v>
      </c>
      <c r="O476" s="547" t="n">
        <f aca="false">IF('(1)예금승인내역'!G1102="","",'(1)예금승인내역'!G1102)</f>
        <v>46017</v>
      </c>
      <c r="P476" s="531" t="str">
        <f aca="false">IF('(1)예금승인내역'!F1102="","",'(1)예금승인내역'!F1102)</f>
        <v>㈜일지테크</v>
      </c>
      <c r="Q476" s="531" t="str">
        <f aca="false">IF('(1)예금승인내역'!C1102="","",'(1)예금승인내역'!C1102)</f>
        <v>경산공단영업부</v>
      </c>
      <c r="R476" s="531" t="str">
        <f aca="false">IF('(1)예금승인내역'!K1102="","",'(1)예금승인내역'!K1102)</f>
        <v>정기예금</v>
      </c>
      <c r="S476" s="548" t="n">
        <f aca="false">IF('(1)예금승인내역'!L1102="","",'(1)예금승인내역'!L1102)</f>
        <v>10</v>
      </c>
      <c r="T476" s="549" t="n">
        <f aca="false">IF('(1)예금승인내역'!AG1102="","",'(1)예금승인내역'!AG1102)</f>
        <v>0.032</v>
      </c>
      <c r="U476" s="549" t="n">
        <f aca="false">IF('(1)예금승인내역'!X1102="","",'(1)예금승인내역'!X1102)</f>
        <v>0.002093</v>
      </c>
      <c r="V476" s="531" t="n">
        <f aca="false">IF(ISNUMBER(N476),N476-$B$2,"")</f>
        <v>-162</v>
      </c>
      <c r="W476" s="531" t="str">
        <f aca="false">IF(AND(ISNUMBER(N476),N476&gt;=$B$2,N476&lt;=$B$2+10),N476*100000+ROW(),"")</f>
        <v/>
      </c>
      <c r="X476" s="531"/>
      <c r="Y476" s="531"/>
      <c r="Z476" s="531"/>
      <c r="AA476" s="531"/>
      <c r="AB476" s="531"/>
      <c r="AC476" s="531"/>
      <c r="AD476" s="531"/>
      <c r="AE476" s="531"/>
      <c r="AF476" s="531"/>
      <c r="AG476" s="531"/>
      <c r="AH476" s="531"/>
      <c r="AI476" s="531"/>
      <c r="AJ476" s="531"/>
      <c r="AK476" s="531"/>
      <c r="AL476" s="531"/>
      <c r="AM476" s="531"/>
      <c r="AN476" s="531"/>
    </row>
    <row r="477" customFormat="false" ht="16.5" hidden="false" customHeight="true" outlineLevel="0" collapsed="false">
      <c r="A477" s="531"/>
      <c r="B477" s="531"/>
      <c r="C477" s="531"/>
      <c r="D477" s="531"/>
      <c r="E477" s="531"/>
      <c r="F477" s="531"/>
      <c r="G477" s="531"/>
      <c r="H477" s="531"/>
      <c r="I477" s="531"/>
      <c r="J477" s="531"/>
      <c r="K477" s="531"/>
      <c r="L477" s="531"/>
      <c r="M477" s="531"/>
      <c r="N477" s="547" t="n">
        <f aca="false">IF('(1)예금승인내역'!H1103="","",'(1)예금승인내역'!H1103)</f>
        <v>46027</v>
      </c>
      <c r="O477" s="547" t="n">
        <f aca="false">IF('(1)예금승인내역'!G1103="","",'(1)예금승인내역'!G1103)</f>
        <v>46017</v>
      </c>
      <c r="P477" s="531" t="str">
        <f aca="false">IF('(1)예금승인내역'!F1103="","",'(1)예금승인내역'!F1103)</f>
        <v>㈜일지테크</v>
      </c>
      <c r="Q477" s="531" t="str">
        <f aca="false">IF('(1)예금승인내역'!C1103="","",'(1)예금승인내역'!C1103)</f>
        <v>경산공단영업부</v>
      </c>
      <c r="R477" s="531" t="str">
        <f aca="false">IF('(1)예금승인내역'!K1103="","",'(1)예금승인내역'!K1103)</f>
        <v>정기예금</v>
      </c>
      <c r="S477" s="548" t="n">
        <f aca="false">IF('(1)예금승인내역'!L1103="","",'(1)예금승인내역'!L1103)</f>
        <v>12.6</v>
      </c>
      <c r="T477" s="549" t="n">
        <f aca="false">IF('(1)예금승인내역'!AG1103="","",'(1)예금승인내역'!AG1103)</f>
        <v>0.032</v>
      </c>
      <c r="U477" s="549" t="n">
        <f aca="false">IF('(1)예금승인내역'!X1103="","",'(1)예금승인내역'!X1103)</f>
        <v>0.002093</v>
      </c>
      <c r="V477" s="531" t="n">
        <f aca="false">IF(ISNUMBER(N477),N477-$B$2,"")</f>
        <v>-162</v>
      </c>
      <c r="W477" s="531" t="str">
        <f aca="false">IF(AND(ISNUMBER(N477),N477&gt;=$B$2,N477&lt;=$B$2+10),N477*100000+ROW(),"")</f>
        <v/>
      </c>
      <c r="X477" s="531"/>
      <c r="Y477" s="531"/>
      <c r="Z477" s="531"/>
      <c r="AA477" s="531"/>
      <c r="AB477" s="531"/>
      <c r="AC477" s="531"/>
      <c r="AD477" s="531"/>
      <c r="AE477" s="531"/>
      <c r="AF477" s="531"/>
      <c r="AG477" s="531"/>
      <c r="AH477" s="531"/>
      <c r="AI477" s="531"/>
      <c r="AJ477" s="531"/>
      <c r="AK477" s="531"/>
      <c r="AL477" s="531"/>
      <c r="AM477" s="531"/>
      <c r="AN477" s="531"/>
    </row>
    <row r="478" customFormat="false" ht="16.5" hidden="false" customHeight="true" outlineLevel="0" collapsed="false">
      <c r="A478" s="531"/>
      <c r="B478" s="531"/>
      <c r="C478" s="531"/>
      <c r="D478" s="531"/>
      <c r="E478" s="531"/>
      <c r="F478" s="531"/>
      <c r="G478" s="531"/>
      <c r="H478" s="531"/>
      <c r="I478" s="531"/>
      <c r="J478" s="531"/>
      <c r="K478" s="531"/>
      <c r="L478" s="531"/>
      <c r="M478" s="531"/>
      <c r="N478" s="547" t="n">
        <f aca="false">IF('(1)예금승인내역'!H1104="","",'(1)예금승인내역'!H1104)</f>
        <v>46027</v>
      </c>
      <c r="O478" s="547" t="n">
        <f aca="false">IF('(1)예금승인내역'!G1104="","",'(1)예금승인내역'!G1104)</f>
        <v>46017</v>
      </c>
      <c r="P478" s="531" t="str">
        <f aca="false">IF('(1)예금승인내역'!F1104="","",'(1)예금승인내역'!F1104)</f>
        <v>㈜일지테크</v>
      </c>
      <c r="Q478" s="531" t="str">
        <f aca="false">IF('(1)예금승인내역'!C1104="","",'(1)예금승인내역'!C1104)</f>
        <v>경산공단영업부</v>
      </c>
      <c r="R478" s="531" t="str">
        <f aca="false">IF('(1)예금승인내역'!K1104="","",'(1)예금승인내역'!K1104)</f>
        <v>정기예금</v>
      </c>
      <c r="S478" s="548" t="n">
        <f aca="false">IF('(1)예금승인내역'!L1104="","",'(1)예금승인내역'!L1104)</f>
        <v>6.5</v>
      </c>
      <c r="T478" s="549" t="n">
        <f aca="false">IF('(1)예금승인내역'!AG1104="","",'(1)예금승인내역'!AG1104)</f>
        <v>0.032</v>
      </c>
      <c r="U478" s="549" t="n">
        <f aca="false">IF('(1)예금승인내역'!X1104="","",'(1)예금승인내역'!X1104)</f>
        <v>0.002292</v>
      </c>
      <c r="V478" s="531" t="n">
        <f aca="false">IF(ISNUMBER(N478),N478-$B$2,"")</f>
        <v>-162</v>
      </c>
      <c r="W478" s="531" t="str">
        <f aca="false">IF(AND(ISNUMBER(N478),N478&gt;=$B$2,N478&lt;=$B$2+10),N478*100000+ROW(),"")</f>
        <v/>
      </c>
      <c r="X478" s="531"/>
      <c r="Y478" s="531"/>
      <c r="Z478" s="531"/>
      <c r="AA478" s="531"/>
      <c r="AB478" s="531"/>
      <c r="AC478" s="531"/>
      <c r="AD478" s="531"/>
      <c r="AE478" s="531"/>
      <c r="AF478" s="531"/>
      <c r="AG478" s="531"/>
      <c r="AH478" s="531"/>
      <c r="AI478" s="531"/>
      <c r="AJ478" s="531"/>
      <c r="AK478" s="531"/>
      <c r="AL478" s="531"/>
      <c r="AM478" s="531"/>
      <c r="AN478" s="531"/>
    </row>
    <row r="479" customFormat="false" ht="16.5" hidden="false" customHeight="true" outlineLevel="0" collapsed="false">
      <c r="A479" s="531"/>
      <c r="B479" s="531"/>
      <c r="C479" s="531"/>
      <c r="D479" s="531"/>
      <c r="E479" s="531"/>
      <c r="F479" s="531"/>
      <c r="G479" s="531"/>
      <c r="H479" s="531"/>
      <c r="I479" s="531"/>
      <c r="J479" s="531"/>
      <c r="K479" s="531"/>
      <c r="L479" s="531"/>
      <c r="M479" s="531"/>
      <c r="N479" s="547" t="n">
        <f aca="false">IF('(1)예금승인내역'!H1105="","",'(1)예금승인내역'!H1105)</f>
        <v>46203</v>
      </c>
      <c r="O479" s="547" t="n">
        <f aca="false">IF('(1)예금승인내역'!G1105="","",'(1)예금승인내역'!G1105)</f>
        <v>46021</v>
      </c>
      <c r="P479" s="531" t="str">
        <f aca="false">IF('(1)예금승인내역'!F1105="","",'(1)예금승인내역'!F1105)</f>
        <v>넥센타이어</v>
      </c>
      <c r="Q479" s="531" t="str">
        <f aca="false">IF('(1)예금승인내역'!C1105="","",'(1)예금승인내역'!C1105)</f>
        <v>서울영업부</v>
      </c>
      <c r="R479" s="531" t="str">
        <f aca="false">IF('(1)예금승인내역'!K1105="","",'(1)예금승인내역'!K1105)</f>
        <v>정기예금</v>
      </c>
      <c r="S479" s="548" t="n">
        <f aca="false">IF('(1)예금승인내역'!L1105="","",'(1)예금승인내역'!L1105)</f>
        <v>9.35</v>
      </c>
      <c r="T479" s="549" t="n">
        <f aca="false">IF('(1)예금승인내역'!AG1105="","",'(1)예금승인내역'!AG1105)</f>
        <v>0.0029</v>
      </c>
      <c r="U479" s="549" t="n">
        <f aca="false">IF('(1)예금승인내역'!X1105="","",'(1)예금승인내역'!X1105)</f>
        <v>0.010817</v>
      </c>
      <c r="V479" s="531" t="n">
        <f aca="false">IF(ISNUMBER(N479),N479-$B$2,"")</f>
        <v>14</v>
      </c>
      <c r="W479" s="531" t="str">
        <f aca="false">IF(AND(ISNUMBER(N479),N479&gt;=$B$2,N479&lt;=$B$2+10),N479*100000+ROW(),"")</f>
        <v/>
      </c>
      <c r="X479" s="531"/>
      <c r="Y479" s="531"/>
      <c r="Z479" s="531"/>
      <c r="AA479" s="531"/>
      <c r="AB479" s="531"/>
      <c r="AC479" s="531"/>
      <c r="AD479" s="531"/>
      <c r="AE479" s="531"/>
      <c r="AF479" s="531"/>
      <c r="AG479" s="531"/>
      <c r="AH479" s="531"/>
      <c r="AI479" s="531"/>
      <c r="AJ479" s="531"/>
      <c r="AK479" s="531"/>
      <c r="AL479" s="531"/>
      <c r="AM479" s="531"/>
      <c r="AN479" s="531"/>
    </row>
    <row r="480" customFormat="false" ht="16.5" hidden="false" customHeight="true" outlineLevel="0" collapsed="false">
      <c r="A480" s="531"/>
      <c r="B480" s="531"/>
      <c r="C480" s="531"/>
      <c r="D480" s="531"/>
      <c r="E480" s="531"/>
      <c r="F480" s="531"/>
      <c r="G480" s="531"/>
      <c r="H480" s="531"/>
      <c r="I480" s="531"/>
      <c r="J480" s="531"/>
      <c r="K480" s="531"/>
      <c r="L480" s="531"/>
      <c r="M480" s="531"/>
      <c r="N480" s="547" t="n">
        <f aca="false">IF('(1)예금승인내역'!H1106="","",'(1)예금승인내역'!H1106)</f>
        <v>46052</v>
      </c>
      <c r="O480" s="547" t="n">
        <f aca="false">IF('(1)예금승인내역'!G1106="","",'(1)예금승인내역'!G1106)</f>
        <v>46021</v>
      </c>
      <c r="P480" s="531" t="str">
        <f aca="false">IF('(1)예금승인내역'!F1106="","",'(1)예금승인내역'!F1106)</f>
        <v>한국비엔씨</v>
      </c>
      <c r="Q480" s="531" t="str">
        <f aca="false">IF('(1)예금승인내역'!C1106="","",'(1)예금승인내역'!C1106)</f>
        <v>유통단지영업부</v>
      </c>
      <c r="R480" s="531" t="str">
        <f aca="false">IF('(1)예금승인내역'!K1106="","",'(1)예금승인내역'!K1106)</f>
        <v>정기예금</v>
      </c>
      <c r="S480" s="548" t="n">
        <f aca="false">IF('(1)예금승인내역'!L1106="","",'(1)예금승인내역'!L1106)</f>
        <v>2</v>
      </c>
      <c r="T480" s="549" t="n">
        <f aca="false">IF('(1)예금승인내역'!AG1106="","",'(1)예금승인내역'!AG1106)</f>
        <v>0.0353</v>
      </c>
      <c r="U480" s="549" t="n">
        <f aca="false">IF('(1)예금승인내역'!X1106="","",'(1)예금승인내역'!X1106)</f>
        <v>0.002352</v>
      </c>
      <c r="V480" s="531" t="n">
        <f aca="false">IF(ISNUMBER(N480),N480-$B$2,"")</f>
        <v>-137</v>
      </c>
      <c r="W480" s="531" t="str">
        <f aca="false">IF(AND(ISNUMBER(N480),N480&gt;=$B$2,N480&lt;=$B$2+10),N480*100000+ROW(),"")</f>
        <v/>
      </c>
      <c r="X480" s="531"/>
      <c r="Y480" s="531"/>
      <c r="Z480" s="531"/>
      <c r="AA480" s="531"/>
      <c r="AB480" s="531"/>
      <c r="AC480" s="531"/>
      <c r="AD480" s="531"/>
      <c r="AE480" s="531"/>
      <c r="AF480" s="531"/>
      <c r="AG480" s="531"/>
      <c r="AH480" s="531"/>
      <c r="AI480" s="531"/>
      <c r="AJ480" s="531"/>
      <c r="AK480" s="531"/>
      <c r="AL480" s="531"/>
      <c r="AM480" s="531"/>
      <c r="AN480" s="531"/>
    </row>
    <row r="481" customFormat="false" ht="16.5" hidden="false" customHeight="true" outlineLevel="0" collapsed="false">
      <c r="A481" s="531"/>
      <c r="B481" s="531"/>
      <c r="C481" s="531"/>
      <c r="D481" s="531"/>
      <c r="E481" s="531"/>
      <c r="F481" s="531"/>
      <c r="G481" s="531"/>
      <c r="H481" s="531"/>
      <c r="I481" s="531"/>
      <c r="J481" s="531"/>
      <c r="K481" s="531"/>
      <c r="L481" s="531"/>
      <c r="M481" s="531"/>
      <c r="N481" s="547" t="n">
        <f aca="false">IF('(1)예금승인내역'!H1107="","",'(1)예금승인내역'!H1107)</f>
        <v>46052</v>
      </c>
      <c r="O481" s="547" t="n">
        <f aca="false">IF('(1)예금승인내역'!G1107="","",'(1)예금승인내역'!G1107)</f>
        <v>46021</v>
      </c>
      <c r="P481" s="531" t="str">
        <f aca="false">IF('(1)예금승인내역'!F1107="","",'(1)예금승인내역'!F1107)</f>
        <v>한국비엔씨</v>
      </c>
      <c r="Q481" s="531" t="str">
        <f aca="false">IF('(1)예금승인내역'!C1107="","",'(1)예금승인내역'!C1107)</f>
        <v>유통단지영업부</v>
      </c>
      <c r="R481" s="531" t="str">
        <f aca="false">IF('(1)예금승인내역'!K1107="","",'(1)예금승인내역'!K1107)</f>
        <v>정기예금</v>
      </c>
      <c r="S481" s="548" t="n">
        <f aca="false">IF('(1)예금승인내역'!L1107="","",'(1)예금승인내역'!L1107)</f>
        <v>3</v>
      </c>
      <c r="T481" s="549" t="n">
        <f aca="false">IF('(1)예금승인내역'!AG1107="","",'(1)예금승인내역'!AG1107)</f>
        <v>0.0353</v>
      </c>
      <c r="U481" s="549" t="n">
        <f aca="false">IF('(1)예금승인내역'!X1107="","",'(1)예금승인내역'!X1107)</f>
        <v>0.002352</v>
      </c>
      <c r="V481" s="531" t="n">
        <f aca="false">IF(ISNUMBER(N481),N481-$B$2,"")</f>
        <v>-137</v>
      </c>
      <c r="W481" s="531" t="str">
        <f aca="false">IF(AND(ISNUMBER(N481),N481&gt;=$B$2,N481&lt;=$B$2+10),N481*100000+ROW(),"")</f>
        <v/>
      </c>
      <c r="X481" s="531"/>
      <c r="Y481" s="531"/>
      <c r="Z481" s="531"/>
      <c r="AA481" s="531"/>
      <c r="AB481" s="531"/>
      <c r="AC481" s="531"/>
      <c r="AD481" s="531"/>
      <c r="AE481" s="531"/>
      <c r="AF481" s="531"/>
      <c r="AG481" s="531"/>
      <c r="AH481" s="531"/>
      <c r="AI481" s="531"/>
      <c r="AJ481" s="531"/>
      <c r="AK481" s="531"/>
      <c r="AL481" s="531"/>
      <c r="AM481" s="531"/>
      <c r="AN481" s="531"/>
    </row>
    <row r="482" customFormat="false" ht="16.5" hidden="false" customHeight="true" outlineLevel="0" collapsed="false">
      <c r="A482" s="531"/>
      <c r="B482" s="531"/>
      <c r="C482" s="531"/>
      <c r="D482" s="531"/>
      <c r="E482" s="531"/>
      <c r="F482" s="531"/>
      <c r="G482" s="531"/>
      <c r="H482" s="531"/>
      <c r="I482" s="531"/>
      <c r="J482" s="531"/>
      <c r="K482" s="531"/>
      <c r="L482" s="531"/>
      <c r="M482" s="531"/>
      <c r="N482" s="547" t="n">
        <f aca="false">IF('(1)예금승인내역'!H1108="","",'(1)예금승인내역'!H1108)</f>
        <v>46055</v>
      </c>
      <c r="O482" s="547" t="n">
        <f aca="false">IF('(1)예금승인내역'!G1108="","",'(1)예금승인내역'!G1108)</f>
        <v>46024</v>
      </c>
      <c r="P482" s="531" t="str">
        <f aca="false">IF('(1)예금승인내역'!F1108="","",'(1)예금승인내역'!F1108)</f>
        <v>국제금속</v>
      </c>
      <c r="Q482" s="531" t="str">
        <f aca="false">IF('(1)예금승인내역'!C1108="","",'(1)예금승인내역'!C1108)</f>
        <v>영천영업부</v>
      </c>
      <c r="R482" s="531" t="str">
        <f aca="false">IF('(1)예금승인내역'!K1108="","",'(1)예금승인내역'!K1108)</f>
        <v>MMDA</v>
      </c>
      <c r="S482" s="548" t="n">
        <f aca="false">IF('(1)예금승인내역'!L1108="","",'(1)예금승인내역'!L1108)</f>
        <v>7.4</v>
      </c>
      <c r="T482" s="552" t="n">
        <f aca="false">IF('(1)예금승인내역'!AG1108="","",'(1)예금승인내역'!AG1108)</f>
        <v>0.0315</v>
      </c>
      <c r="U482" s="549" t="n">
        <f aca="false">IF('(1)예금승인내역'!X1108="","",'(1)예금승인내역'!X1108)</f>
        <v>0.004437</v>
      </c>
      <c r="V482" s="531" t="n">
        <f aca="false">IF(ISNUMBER(N482),N482-$B$2,"")</f>
        <v>-134</v>
      </c>
      <c r="W482" s="531" t="str">
        <f aca="false">IF(AND(ISNUMBER(N482),N482&gt;=$B$2,N482&lt;=$B$2+10),N482*100000+ROW(),"")</f>
        <v/>
      </c>
      <c r="X482" s="531"/>
      <c r="Y482" s="531"/>
      <c r="Z482" s="531"/>
      <c r="AA482" s="531"/>
      <c r="AB482" s="531"/>
      <c r="AC482" s="531"/>
      <c r="AD482" s="531"/>
      <c r="AE482" s="531"/>
      <c r="AF482" s="531"/>
      <c r="AG482" s="531"/>
      <c r="AH482" s="531"/>
      <c r="AI482" s="531"/>
      <c r="AJ482" s="531"/>
      <c r="AK482" s="531"/>
      <c r="AL482" s="531"/>
      <c r="AM482" s="531"/>
      <c r="AN482" s="531"/>
    </row>
    <row r="483" customFormat="false" ht="16.5" hidden="false" customHeight="true" outlineLevel="0" collapsed="false">
      <c r="A483" s="531"/>
      <c r="B483" s="531"/>
      <c r="C483" s="531"/>
      <c r="D483" s="531"/>
      <c r="E483" s="531"/>
      <c r="F483" s="531"/>
      <c r="G483" s="531"/>
      <c r="H483" s="531"/>
      <c r="I483" s="531"/>
      <c r="J483" s="531"/>
      <c r="K483" s="531"/>
      <c r="L483" s="531"/>
      <c r="M483" s="531"/>
      <c r="N483" s="547" t="n">
        <f aca="false">IF('(1)예금승인내역'!H1109="","",'(1)예금승인내역'!H1109)</f>
        <v>46055</v>
      </c>
      <c r="O483" s="547" t="n">
        <f aca="false">IF('(1)예금승인내역'!G1109="","",'(1)예금승인내역'!G1109)</f>
        <v>46024</v>
      </c>
      <c r="P483" s="531" t="str">
        <f aca="false">IF('(1)예금승인내역'!F1109="","",'(1)예금승인내역'!F1109)</f>
        <v>미래에셋컨설팅</v>
      </c>
      <c r="Q483" s="531" t="str">
        <f aca="false">IF('(1)예금승인내역'!C1109="","",'(1)예금승인내역'!C1109)</f>
        <v>서울영업부</v>
      </c>
      <c r="R483" s="531" t="str">
        <f aca="false">IF('(1)예금승인내역'!K1109="","",'(1)예금승인내역'!K1109)</f>
        <v>정기예금</v>
      </c>
      <c r="S483" s="548" t="n">
        <f aca="false">IF('(1)예금승인내역'!L1109="","",'(1)예금승인내역'!L1109)</f>
        <v>2</v>
      </c>
      <c r="T483" s="552" t="n">
        <f aca="false">IF('(1)예금승인내역'!AG1109="","",'(1)예금승인내역'!AG1109)</f>
        <v>0.0351</v>
      </c>
      <c r="U483" s="549" t="n">
        <f aca="false">IF('(1)예금승인내역'!X1109="","",'(1)예금승인내역'!X1109)</f>
        <v>0.002338</v>
      </c>
      <c r="V483" s="531" t="n">
        <f aca="false">IF(ISNUMBER(N483),N483-$B$2,"")</f>
        <v>-134</v>
      </c>
      <c r="W483" s="531" t="str">
        <f aca="false">IF(AND(ISNUMBER(N483),N483&gt;=$B$2,N483&lt;=$B$2+10),N483*100000+ROW(),"")</f>
        <v/>
      </c>
      <c r="X483" s="531"/>
      <c r="Y483" s="531"/>
      <c r="Z483" s="531"/>
      <c r="AA483" s="531"/>
      <c r="AB483" s="531"/>
      <c r="AC483" s="531"/>
      <c r="AD483" s="531"/>
      <c r="AE483" s="531"/>
      <c r="AF483" s="531"/>
      <c r="AG483" s="531"/>
      <c r="AH483" s="531"/>
      <c r="AI483" s="531"/>
      <c r="AJ483" s="531"/>
      <c r="AK483" s="531"/>
      <c r="AL483" s="531"/>
      <c r="AM483" s="531"/>
      <c r="AN483" s="531"/>
    </row>
    <row r="484" customFormat="false" ht="16.5" hidden="false" customHeight="true" outlineLevel="0" collapsed="false">
      <c r="A484" s="531"/>
      <c r="B484" s="531"/>
      <c r="C484" s="531"/>
      <c r="D484" s="531"/>
      <c r="E484" s="531"/>
      <c r="F484" s="531"/>
      <c r="G484" s="531"/>
      <c r="H484" s="531"/>
      <c r="I484" s="531"/>
      <c r="J484" s="531"/>
      <c r="K484" s="531"/>
      <c r="L484" s="531"/>
      <c r="M484" s="531"/>
      <c r="N484" s="547" t="n">
        <f aca="false">IF('(1)예금승인내역'!H1110="","",'(1)예금승인내역'!H1110)</f>
        <v>46055</v>
      </c>
      <c r="O484" s="547" t="n">
        <f aca="false">IF('(1)예금승인내역'!G1110="","",'(1)예금승인내역'!G1110)</f>
        <v>46024</v>
      </c>
      <c r="P484" s="531" t="str">
        <f aca="false">IF('(1)예금승인내역'!F1110="","",'(1)예금승인내역'!F1110)</f>
        <v>디오㈜</v>
      </c>
      <c r="Q484" s="531" t="str">
        <f aca="false">IF('(1)예금승인내역'!C1110="","",'(1)예금승인내역'!C1110)</f>
        <v>화성금융센터</v>
      </c>
      <c r="R484" s="531" t="str">
        <f aca="false">IF('(1)예금승인내역'!K1110="","",'(1)예금승인내역'!K1110)</f>
        <v>정기예금</v>
      </c>
      <c r="S484" s="548" t="n">
        <f aca="false">IF('(1)예금승인내역'!L1110="","",'(1)예금승인내역'!L1110)</f>
        <v>2</v>
      </c>
      <c r="T484" s="552" t="n">
        <f aca="false">IF('(1)예금승인내역'!AG1110="","",'(1)예금승인내역'!AG1110)</f>
        <v>0.035</v>
      </c>
      <c r="U484" s="549" t="n">
        <f aca="false">IF('(1)예금승인내역'!X1110="","",'(1)예금승인내역'!X1110)</f>
        <v>0.00248</v>
      </c>
      <c r="V484" s="531" t="n">
        <f aca="false">IF(ISNUMBER(N484),N484-$B$2,"")</f>
        <v>-134</v>
      </c>
      <c r="W484" s="531" t="str">
        <f aca="false">IF(AND(ISNUMBER(N484),N484&gt;=$B$2,N484&lt;=$B$2+10),N484*100000+ROW(),"")</f>
        <v/>
      </c>
      <c r="X484" s="531"/>
      <c r="Y484" s="531"/>
      <c r="Z484" s="531"/>
      <c r="AA484" s="531"/>
      <c r="AB484" s="531"/>
      <c r="AC484" s="531"/>
      <c r="AD484" s="531"/>
      <c r="AE484" s="531"/>
      <c r="AF484" s="531"/>
      <c r="AG484" s="531"/>
      <c r="AH484" s="531"/>
      <c r="AI484" s="531"/>
      <c r="AJ484" s="531"/>
      <c r="AK484" s="531"/>
      <c r="AL484" s="531"/>
      <c r="AM484" s="531"/>
      <c r="AN484" s="531"/>
    </row>
    <row r="485" customFormat="false" ht="16.5" hidden="false" customHeight="true" outlineLevel="0" collapsed="false">
      <c r="A485" s="531"/>
      <c r="B485" s="531"/>
      <c r="C485" s="531"/>
      <c r="D485" s="531"/>
      <c r="E485" s="531"/>
      <c r="F485" s="531"/>
      <c r="G485" s="531"/>
      <c r="H485" s="531"/>
      <c r="I485" s="531"/>
      <c r="J485" s="531"/>
      <c r="K485" s="531"/>
      <c r="L485" s="531"/>
      <c r="M485" s="531"/>
      <c r="N485" s="547" t="n">
        <f aca="false">IF('(1)예금승인내역'!H1111="","",'(1)예금승인내역'!H1111)</f>
        <v>46055</v>
      </c>
      <c r="O485" s="547" t="n">
        <f aca="false">IF('(1)예금승인내역'!G1111="","",'(1)예금승인내역'!G1111)</f>
        <v>46024</v>
      </c>
      <c r="P485" s="531" t="str">
        <f aca="false">IF('(1)예금승인내역'!F1111="","",'(1)예금승인내역'!F1111)</f>
        <v>거림테크주식회사</v>
      </c>
      <c r="Q485" s="531" t="str">
        <f aca="false">IF('(1)예금승인내역'!C1111="","",'(1)예금승인내역'!C1111)</f>
        <v>죽전지점</v>
      </c>
      <c r="R485" s="531" t="str">
        <f aca="false">IF('(1)예금승인내역'!K1111="","",'(1)예금승인내역'!K1111)</f>
        <v>MMDA</v>
      </c>
      <c r="S485" s="548" t="n">
        <f aca="false">IF('(1)예금승인내역'!L1111="","",'(1)예금승인내역'!L1111)</f>
        <v>1.46</v>
      </c>
      <c r="T485" s="552" t="n">
        <f aca="false">IF('(1)예금승인내역'!AG1111="","",'(1)예금승인내역'!AG1111)</f>
        <v>0.03</v>
      </c>
      <c r="U485" s="549" t="n">
        <f aca="false">IF('(1)예금승인내역'!X1111="","",'(1)예금승인내역'!X1111)</f>
        <v>0.005937</v>
      </c>
      <c r="V485" s="531" t="n">
        <f aca="false">IF(ISNUMBER(N485),N485-$B$2,"")</f>
        <v>-134</v>
      </c>
      <c r="W485" s="531" t="str">
        <f aca="false">IF(AND(ISNUMBER(N485),N485&gt;=$B$2,N485&lt;=$B$2+10),N485*100000+ROW(),"")</f>
        <v/>
      </c>
      <c r="X485" s="531"/>
      <c r="Y485" s="531"/>
      <c r="Z485" s="531"/>
      <c r="AA485" s="531"/>
      <c r="AB485" s="531"/>
      <c r="AC485" s="531"/>
      <c r="AD485" s="531"/>
      <c r="AE485" s="531"/>
      <c r="AF485" s="531"/>
      <c r="AG485" s="531"/>
      <c r="AH485" s="531"/>
      <c r="AI485" s="531"/>
      <c r="AJ485" s="531"/>
      <c r="AK485" s="531"/>
      <c r="AL485" s="531"/>
      <c r="AM485" s="531"/>
      <c r="AN485" s="531"/>
    </row>
    <row r="486" customFormat="false" ht="16.5" hidden="false" customHeight="true" outlineLevel="0" collapsed="false">
      <c r="A486" s="531"/>
      <c r="B486" s="531"/>
      <c r="C486" s="531"/>
      <c r="D486" s="531"/>
      <c r="E486" s="531"/>
      <c r="F486" s="531"/>
      <c r="G486" s="531"/>
      <c r="H486" s="531"/>
      <c r="I486" s="531"/>
      <c r="J486" s="531"/>
      <c r="K486" s="531"/>
      <c r="L486" s="531"/>
      <c r="M486" s="531"/>
      <c r="N486" s="547" t="n">
        <f aca="false">IF('(1)예금승인내역'!H1112="","",'(1)예금승인내역'!H1112)</f>
        <v>46391</v>
      </c>
      <c r="O486" s="547" t="n">
        <f aca="false">IF('(1)예금승인내역'!G1112="","",'(1)예금승인내역'!G1112)</f>
        <v>46024</v>
      </c>
      <c r="P486" s="531" t="str">
        <f aca="false">IF('(1)예금승인내역'!F1112="","",'(1)예금승인내역'!F1112)</f>
        <v>윤만수</v>
      </c>
      <c r="Q486" s="531" t="str">
        <f aca="false">IF('(1)예금승인내역'!C1112="","",'(1)예금승인내역'!C1112)</f>
        <v>경산공단영업부</v>
      </c>
      <c r="R486" s="531" t="str">
        <f aca="false">IF('(1)예금승인내역'!K1112="","",'(1)예금승인내역'!K1112)</f>
        <v>정기예금</v>
      </c>
      <c r="S486" s="548" t="n">
        <f aca="false">IF('(1)예금승인내역'!L1112="","",'(1)예금승인내역'!L1112)</f>
        <v>2</v>
      </c>
      <c r="T486" s="552" t="n">
        <f aca="false">IF('(1)예금승인내역'!AG1112="","",'(1)예금승인내역'!AG1112)</f>
        <v>0.0345</v>
      </c>
      <c r="U486" s="549" t="n">
        <f aca="false">IF('(1)예금승인내역'!X1112="","",'(1)예금승인내역'!X1112)</f>
        <v>0.003652</v>
      </c>
      <c r="V486" s="531" t="n">
        <f aca="false">IF(ISNUMBER(N486),N486-$B$2,"")</f>
        <v>202</v>
      </c>
      <c r="W486" s="531" t="str">
        <f aca="false">IF(AND(ISNUMBER(N486),N486&gt;=$B$2,N486&lt;=$B$2+10),N486*100000+ROW(),"")</f>
        <v/>
      </c>
      <c r="X486" s="531"/>
      <c r="Y486" s="531"/>
      <c r="Z486" s="531"/>
      <c r="AA486" s="531"/>
      <c r="AB486" s="531"/>
      <c r="AC486" s="531"/>
      <c r="AD486" s="531"/>
      <c r="AE486" s="531"/>
      <c r="AF486" s="531"/>
      <c r="AG486" s="531"/>
      <c r="AH486" s="531"/>
      <c r="AI486" s="531"/>
      <c r="AJ486" s="531"/>
      <c r="AK486" s="531"/>
      <c r="AL486" s="531"/>
      <c r="AM486" s="531"/>
      <c r="AN486" s="531"/>
    </row>
    <row r="487" customFormat="false" ht="16.5" hidden="false" customHeight="true" outlineLevel="0" collapsed="false">
      <c r="A487" s="531"/>
      <c r="B487" s="531"/>
      <c r="C487" s="531"/>
      <c r="D487" s="531"/>
      <c r="E487" s="531"/>
      <c r="F487" s="531"/>
      <c r="G487" s="531"/>
      <c r="H487" s="531"/>
      <c r="I487" s="531"/>
      <c r="J487" s="531"/>
      <c r="K487" s="531"/>
      <c r="L487" s="531"/>
      <c r="M487" s="531"/>
      <c r="N487" s="547" t="n">
        <f aca="false">IF('(1)예금승인내역'!H1113="","",'(1)예금승인내역'!H1113)</f>
        <v>46055</v>
      </c>
      <c r="O487" s="547" t="n">
        <f aca="false">IF('(1)예금승인내역'!G1113="","",'(1)예금승인내역'!G1113)</f>
        <v>46024</v>
      </c>
      <c r="P487" s="531" t="str">
        <f aca="false">IF('(1)예금승인내역'!F1113="","",'(1)예금승인내역'!F1113)</f>
        <v>㈜ 광성</v>
      </c>
      <c r="Q487" s="531" t="str">
        <f aca="false">IF('(1)예금승인내역'!C1113="","",'(1)예금승인내역'!C1113)</f>
        <v>경산공단영업부</v>
      </c>
      <c r="R487" s="531" t="str">
        <f aca="false">IF('(1)예금승인내역'!K1113="","",'(1)예금승인내역'!K1113)</f>
        <v>MMDA</v>
      </c>
      <c r="S487" s="548" t="n">
        <f aca="false">IF('(1)예금승인내역'!L1113="","",'(1)예금승인내역'!L1113)</f>
        <v>4</v>
      </c>
      <c r="T487" s="552" t="n">
        <f aca="false">IF('(1)예금승인내역'!AG1113="","",'(1)예금승인내역'!AG1113)</f>
        <v>0.032</v>
      </c>
      <c r="U487" s="549" t="n">
        <f aca="false">IF('(1)예금승인내역'!X1113="","",'(1)예금승인내역'!X1113)</f>
        <v>0.004437</v>
      </c>
      <c r="V487" s="531" t="n">
        <f aca="false">IF(ISNUMBER(N487),N487-$B$2,"")</f>
        <v>-134</v>
      </c>
      <c r="W487" s="531" t="str">
        <f aca="false">IF(AND(ISNUMBER(N487),N487&gt;=$B$2,N487&lt;=$B$2+10),N487*100000+ROW(),"")</f>
        <v/>
      </c>
      <c r="X487" s="531"/>
      <c r="Y487" s="531"/>
      <c r="Z487" s="531"/>
      <c r="AA487" s="531"/>
      <c r="AB487" s="531"/>
      <c r="AC487" s="531"/>
      <c r="AD487" s="531"/>
      <c r="AE487" s="531"/>
      <c r="AF487" s="531"/>
      <c r="AG487" s="531"/>
      <c r="AH487" s="531"/>
      <c r="AI487" s="531"/>
      <c r="AJ487" s="531"/>
      <c r="AK487" s="531"/>
      <c r="AL487" s="531"/>
      <c r="AM487" s="531"/>
      <c r="AN487" s="531"/>
    </row>
    <row r="488" customFormat="false" ht="16.5" hidden="false" customHeight="true" outlineLevel="0" collapsed="false">
      <c r="A488" s="531"/>
      <c r="B488" s="531"/>
      <c r="C488" s="531"/>
      <c r="D488" s="531"/>
      <c r="E488" s="531"/>
      <c r="F488" s="531"/>
      <c r="G488" s="531"/>
      <c r="H488" s="531"/>
      <c r="I488" s="531"/>
      <c r="J488" s="531"/>
      <c r="K488" s="531"/>
      <c r="L488" s="531"/>
      <c r="M488" s="531"/>
      <c r="N488" s="547" t="n">
        <f aca="false">IF('(1)예금승인내역'!H1114="","",'(1)예금승인내역'!H1114)</f>
        <v>46038</v>
      </c>
      <c r="O488" s="547" t="n">
        <f aca="false">IF('(1)예금승인내역'!G1114="","",'(1)예금승인내역'!G1114)</f>
        <v>46027</v>
      </c>
      <c r="P488" s="531" t="str">
        <f aca="false">IF('(1)예금승인내역'!F1114="","",'(1)예금승인내역'!F1114)</f>
        <v>㈜일지테크</v>
      </c>
      <c r="Q488" s="531" t="str">
        <f aca="false">IF('(1)예금승인내역'!C1114="","",'(1)예금승인내역'!C1114)</f>
        <v>경산공단영업부</v>
      </c>
      <c r="R488" s="531" t="str">
        <f aca="false">IF('(1)예금승인내역'!K1114="","",'(1)예금승인내역'!K1114)</f>
        <v>정기예금</v>
      </c>
      <c r="S488" s="548" t="n">
        <f aca="false">IF('(1)예금승인내역'!L1114="","",'(1)예금승인내역'!L1114)</f>
        <v>10.02</v>
      </c>
      <c r="T488" s="552" t="n">
        <f aca="false">IF('(1)예금승인내역'!AG1114="","",'(1)예금승인내역'!AG1114)</f>
        <v>0.032</v>
      </c>
      <c r="U488" s="549" t="n">
        <f aca="false">IF('(1)예금승인내역'!X1114="","",'(1)예금승인내역'!X1114)</f>
        <v>0.002216</v>
      </c>
      <c r="V488" s="531" t="n">
        <f aca="false">IF(ISNUMBER(N488),N488-$B$2,"")</f>
        <v>-151</v>
      </c>
      <c r="W488" s="531" t="str">
        <f aca="false">IF(AND(ISNUMBER(N488),N488&gt;=$B$2,N488&lt;=$B$2+10),N488*100000+ROW(),"")</f>
        <v/>
      </c>
      <c r="X488" s="531"/>
      <c r="Y488" s="531"/>
      <c r="Z488" s="531"/>
      <c r="AA488" s="531"/>
      <c r="AB488" s="531"/>
      <c r="AC488" s="531"/>
      <c r="AD488" s="531"/>
      <c r="AE488" s="531"/>
      <c r="AF488" s="531"/>
      <c r="AG488" s="531"/>
      <c r="AH488" s="531"/>
      <c r="AI488" s="531"/>
      <c r="AJ488" s="531"/>
      <c r="AK488" s="531"/>
      <c r="AL488" s="531"/>
      <c r="AM488" s="531"/>
      <c r="AN488" s="531"/>
    </row>
    <row r="489" customFormat="false" ht="16.5" hidden="false" customHeight="true" outlineLevel="0" collapsed="false">
      <c r="A489" s="531"/>
      <c r="B489" s="531"/>
      <c r="C489" s="531"/>
      <c r="D489" s="531"/>
      <c r="E489" s="531"/>
      <c r="F489" s="531"/>
      <c r="G489" s="531"/>
      <c r="H489" s="531"/>
      <c r="I489" s="531"/>
      <c r="J489" s="531"/>
      <c r="K489" s="531"/>
      <c r="L489" s="531"/>
      <c r="M489" s="531"/>
      <c r="N489" s="547" t="n">
        <f aca="false">IF('(1)예금승인내역'!H1115="","",'(1)예금승인내역'!H1115)</f>
        <v>46038</v>
      </c>
      <c r="O489" s="547" t="n">
        <f aca="false">IF('(1)예금승인내역'!G1115="","",'(1)예금승인내역'!G1115)</f>
        <v>46027</v>
      </c>
      <c r="P489" s="531" t="str">
        <f aca="false">IF('(1)예금승인내역'!F1115="","",'(1)예금승인내역'!F1115)</f>
        <v>㈜일지테크</v>
      </c>
      <c r="Q489" s="531" t="str">
        <f aca="false">IF('(1)예금승인내역'!C1115="","",'(1)예금승인내역'!C1115)</f>
        <v>경산공단영업부</v>
      </c>
      <c r="R489" s="531" t="str">
        <f aca="false">IF('(1)예금승인내역'!K1115="","",'(1)예금승인내역'!K1115)</f>
        <v>정기예금</v>
      </c>
      <c r="S489" s="548" t="n">
        <f aca="false">IF('(1)예금승인내역'!L1115="","",'(1)예금승인내역'!L1115)</f>
        <v>10.02</v>
      </c>
      <c r="T489" s="552" t="n">
        <f aca="false">IF('(1)예금승인내역'!AG1115="","",'(1)예금승인내역'!AG1115)</f>
        <v>0.032</v>
      </c>
      <c r="U489" s="549" t="n">
        <f aca="false">IF('(1)예금승인내역'!X1115="","",'(1)예금승인내역'!X1115)</f>
        <v>0.002216</v>
      </c>
      <c r="V489" s="531" t="n">
        <f aca="false">IF(ISNUMBER(N489),N489-$B$2,"")</f>
        <v>-151</v>
      </c>
      <c r="W489" s="531" t="str">
        <f aca="false">IF(AND(ISNUMBER(N489),N489&gt;=$B$2,N489&lt;=$B$2+10),N489*100000+ROW(),"")</f>
        <v/>
      </c>
      <c r="X489" s="531"/>
      <c r="Y489" s="531"/>
      <c r="Z489" s="531"/>
      <c r="AA489" s="531"/>
      <c r="AB489" s="531"/>
      <c r="AC489" s="531"/>
      <c r="AD489" s="531"/>
      <c r="AE489" s="531"/>
      <c r="AF489" s="531"/>
      <c r="AG489" s="531"/>
      <c r="AH489" s="531"/>
      <c r="AI489" s="531"/>
      <c r="AJ489" s="531"/>
      <c r="AK489" s="531"/>
      <c r="AL489" s="531"/>
      <c r="AM489" s="531"/>
      <c r="AN489" s="531"/>
    </row>
    <row r="490" customFormat="false" ht="16.5" hidden="false" customHeight="true" outlineLevel="0" collapsed="false">
      <c r="A490" s="531"/>
      <c r="B490" s="531"/>
      <c r="C490" s="531"/>
      <c r="D490" s="531"/>
      <c r="E490" s="531"/>
      <c r="F490" s="531"/>
      <c r="G490" s="531"/>
      <c r="H490" s="531"/>
      <c r="I490" s="531"/>
      <c r="J490" s="531"/>
      <c r="K490" s="531"/>
      <c r="L490" s="531"/>
      <c r="M490" s="531"/>
      <c r="N490" s="547" t="n">
        <f aca="false">IF('(1)예금승인내역'!H1116="","",'(1)예금승인내역'!H1116)</f>
        <v>46038</v>
      </c>
      <c r="O490" s="547" t="n">
        <f aca="false">IF('(1)예금승인내역'!G1116="","",'(1)예금승인내역'!G1116)</f>
        <v>46027</v>
      </c>
      <c r="P490" s="531" t="str">
        <f aca="false">IF('(1)예금승인내역'!F1116="","",'(1)예금승인내역'!F1116)</f>
        <v>㈜일지테크</v>
      </c>
      <c r="Q490" s="531" t="str">
        <f aca="false">IF('(1)예금승인내역'!C1116="","",'(1)예금승인내역'!C1116)</f>
        <v>경산공단영업부</v>
      </c>
      <c r="R490" s="531" t="str">
        <f aca="false">IF('(1)예금승인내역'!K1116="","",'(1)예금승인내역'!K1116)</f>
        <v>정기예금</v>
      </c>
      <c r="S490" s="548" t="n">
        <f aca="false">IF('(1)예금승인내역'!L1116="","",'(1)예금승인내역'!L1116)</f>
        <v>12.62</v>
      </c>
      <c r="T490" s="552" t="n">
        <f aca="false">IF('(1)예금승인내역'!AG1116="","",'(1)예금승인내역'!AG1116)</f>
        <v>0.032</v>
      </c>
      <c r="U490" s="549" t="n">
        <f aca="false">IF('(1)예금승인내역'!X1116="","",'(1)예금승인내역'!X1116)</f>
        <v>0.002216</v>
      </c>
      <c r="V490" s="531" t="n">
        <f aca="false">IF(ISNUMBER(N490),N490-$B$2,"")</f>
        <v>-151</v>
      </c>
      <c r="W490" s="531" t="str">
        <f aca="false">IF(AND(ISNUMBER(N490),N490&gt;=$B$2,N490&lt;=$B$2+10),N490*100000+ROW(),"")</f>
        <v/>
      </c>
      <c r="X490" s="531"/>
      <c r="Y490" s="531"/>
      <c r="Z490" s="531"/>
      <c r="AA490" s="531"/>
      <c r="AB490" s="531"/>
      <c r="AC490" s="531"/>
      <c r="AD490" s="531"/>
      <c r="AE490" s="531"/>
      <c r="AF490" s="531"/>
      <c r="AG490" s="531"/>
      <c r="AH490" s="531"/>
      <c r="AI490" s="531"/>
      <c r="AJ490" s="531"/>
      <c r="AK490" s="531"/>
      <c r="AL490" s="531"/>
      <c r="AM490" s="531"/>
      <c r="AN490" s="531"/>
    </row>
    <row r="491" customFormat="false" ht="16.5" hidden="false" customHeight="true" outlineLevel="0" collapsed="false">
      <c r="A491" s="531"/>
      <c r="B491" s="531"/>
      <c r="C491" s="531"/>
      <c r="D491" s="531"/>
      <c r="E491" s="531"/>
      <c r="F491" s="531"/>
      <c r="G491" s="531"/>
      <c r="H491" s="531"/>
      <c r="I491" s="531"/>
      <c r="J491" s="531"/>
      <c r="K491" s="531"/>
      <c r="L491" s="531"/>
      <c r="M491" s="531"/>
      <c r="N491" s="547" t="n">
        <f aca="false">IF('(1)예금승인내역'!H1117="","",'(1)예금승인내역'!H1117)</f>
        <v>46038</v>
      </c>
      <c r="O491" s="547" t="n">
        <f aca="false">IF('(1)예금승인내역'!G1117="","",'(1)예금승인내역'!G1117)</f>
        <v>46027</v>
      </c>
      <c r="P491" s="531" t="str">
        <f aca="false">IF('(1)예금승인내역'!F1117="","",'(1)예금승인내역'!F1117)</f>
        <v>㈜일지테크</v>
      </c>
      <c r="Q491" s="531" t="str">
        <f aca="false">IF('(1)예금승인내역'!C1117="","",'(1)예금승인내역'!C1117)</f>
        <v>경산공단영업부</v>
      </c>
      <c r="R491" s="531" t="str">
        <f aca="false">IF('(1)예금승인내역'!K1117="","",'(1)예금승인내역'!K1117)</f>
        <v>정기예금</v>
      </c>
      <c r="S491" s="548" t="n">
        <f aca="false">IF('(1)예금승인내역'!L1117="","",'(1)예금승인내역'!L1117)</f>
        <v>6.5</v>
      </c>
      <c r="T491" s="552" t="n">
        <f aca="false">IF('(1)예금승인내역'!AG1117="","",'(1)예금승인내역'!AG1117)</f>
        <v>0.032</v>
      </c>
      <c r="U491" s="549" t="n">
        <f aca="false">IF('(1)예금승인내역'!X1117="","",'(1)예금승인내역'!X1117)</f>
        <v>0.002216</v>
      </c>
      <c r="V491" s="531" t="n">
        <f aca="false">IF(ISNUMBER(N491),N491-$B$2,"")</f>
        <v>-151</v>
      </c>
      <c r="W491" s="531" t="str">
        <f aca="false">IF(AND(ISNUMBER(N491),N491&gt;=$B$2,N491&lt;=$B$2+10),N491*100000+ROW(),"")</f>
        <v/>
      </c>
      <c r="X491" s="531"/>
      <c r="Y491" s="531"/>
      <c r="Z491" s="531"/>
      <c r="AA491" s="531"/>
      <c r="AB491" s="531"/>
      <c r="AC491" s="531"/>
      <c r="AD491" s="531"/>
      <c r="AE491" s="531"/>
      <c r="AF491" s="531"/>
      <c r="AG491" s="531"/>
      <c r="AH491" s="531"/>
      <c r="AI491" s="531"/>
      <c r="AJ491" s="531"/>
      <c r="AK491" s="531"/>
      <c r="AL491" s="531"/>
      <c r="AM491" s="531"/>
      <c r="AN491" s="531"/>
    </row>
    <row r="492" customFormat="false" ht="16.5" hidden="false" customHeight="true" outlineLevel="0" collapsed="false">
      <c r="A492" s="531"/>
      <c r="B492" s="531"/>
      <c r="C492" s="531"/>
      <c r="D492" s="531"/>
      <c r="E492" s="531"/>
      <c r="F492" s="531"/>
      <c r="G492" s="531"/>
      <c r="H492" s="531"/>
      <c r="I492" s="531"/>
      <c r="J492" s="531"/>
      <c r="K492" s="531"/>
      <c r="L492" s="531"/>
      <c r="M492" s="531"/>
      <c r="N492" s="547" t="n">
        <f aca="false">IF('(1)예금승인내역'!H1118="","",'(1)예금승인내역'!H1118)</f>
        <v>46058</v>
      </c>
      <c r="O492" s="547" t="n">
        <f aca="false">IF('(1)예금승인내역'!G1118="","",'(1)예금승인내역'!G1118)</f>
        <v>46027</v>
      </c>
      <c r="P492" s="531" t="str">
        <f aca="false">IF('(1)예금승인내역'!F1118="","",'(1)예금승인내역'!F1118)</f>
        <v>동화인더스트리</v>
      </c>
      <c r="Q492" s="531" t="str">
        <f aca="false">IF('(1)예금승인내역'!C1118="","",'(1)예금승인내역'!C1118)</f>
        <v>중동지점</v>
      </c>
      <c r="R492" s="531" t="str">
        <f aca="false">IF('(1)예금승인내역'!K1118="","",'(1)예금승인내역'!K1118)</f>
        <v>정기예금</v>
      </c>
      <c r="S492" s="548" t="n">
        <f aca="false">IF('(1)예금승인내역'!L1118="","",'(1)예금승인내역'!L1118)</f>
        <v>3</v>
      </c>
      <c r="T492" s="552" t="n">
        <f aca="false">IF('(1)예금승인내역'!AG1118="","",'(1)예금승인내역'!AG1118)</f>
        <v>0.0352</v>
      </c>
      <c r="U492" s="549" t="n">
        <f aca="false">IF('(1)예금승인내역'!X1118="","",'(1)예금승인내역'!X1118)</f>
        <v>0.00212</v>
      </c>
      <c r="V492" s="531" t="n">
        <f aca="false">IF(ISNUMBER(N492),N492-$B$2,"")</f>
        <v>-131</v>
      </c>
      <c r="W492" s="531" t="str">
        <f aca="false">IF(AND(ISNUMBER(N492),N492&gt;=$B$2,N492&lt;=$B$2+10),N492*100000+ROW(),"")</f>
        <v/>
      </c>
      <c r="X492" s="531"/>
      <c r="Y492" s="531"/>
      <c r="Z492" s="531"/>
      <c r="AA492" s="531"/>
      <c r="AB492" s="531"/>
      <c r="AC492" s="531"/>
      <c r="AD492" s="531"/>
      <c r="AE492" s="531"/>
      <c r="AF492" s="531"/>
      <c r="AG492" s="531"/>
      <c r="AH492" s="531"/>
      <c r="AI492" s="531"/>
      <c r="AJ492" s="531"/>
      <c r="AK492" s="531"/>
      <c r="AL492" s="531"/>
      <c r="AM492" s="531"/>
      <c r="AN492" s="531"/>
    </row>
    <row r="493" customFormat="false" ht="16.5" hidden="false" customHeight="true" outlineLevel="0" collapsed="false">
      <c r="A493" s="531"/>
      <c r="B493" s="531"/>
      <c r="C493" s="531"/>
      <c r="D493" s="531"/>
      <c r="E493" s="531"/>
      <c r="F493" s="531"/>
      <c r="G493" s="531"/>
      <c r="H493" s="531"/>
      <c r="I493" s="531"/>
      <c r="J493" s="531"/>
      <c r="K493" s="531"/>
      <c r="L493" s="531"/>
      <c r="M493" s="531"/>
      <c r="N493" s="547" t="n">
        <f aca="false">IF('(1)예금승인내역'!H1119="","",'(1)예금승인내역'!H1119)</f>
        <v>46058</v>
      </c>
      <c r="O493" s="547" t="n">
        <f aca="false">IF('(1)예금승인내역'!G1119="","",'(1)예금승인내역'!G1119)</f>
        <v>46027</v>
      </c>
      <c r="P493" s="531" t="str">
        <f aca="false">IF('(1)예금승인내역'!F1119="","",'(1)예금승인내역'!F1119)</f>
        <v>동화인더스트리</v>
      </c>
      <c r="Q493" s="531" t="str">
        <f aca="false">IF('(1)예금승인내역'!C1119="","",'(1)예금승인내역'!C1119)</f>
        <v>중동지점</v>
      </c>
      <c r="R493" s="531" t="str">
        <f aca="false">IF('(1)예금승인내역'!K1119="","",'(1)예금승인내역'!K1119)</f>
        <v>정기예금</v>
      </c>
      <c r="S493" s="548" t="n">
        <f aca="false">IF('(1)예금승인내역'!L1119="","",'(1)예금승인내역'!L1119)</f>
        <v>2</v>
      </c>
      <c r="T493" s="552" t="n">
        <f aca="false">IF('(1)예금승인내역'!AG1119="","",'(1)예금승인내역'!AG1119)</f>
        <v>0.0352</v>
      </c>
      <c r="U493" s="549" t="n">
        <f aca="false">IF('(1)예금승인내역'!X1119="","",'(1)예금승인내역'!X1119)</f>
        <v>0.00212</v>
      </c>
      <c r="V493" s="531" t="n">
        <f aca="false">IF(ISNUMBER(N493),N493-$B$2,"")</f>
        <v>-131</v>
      </c>
      <c r="W493" s="531" t="str">
        <f aca="false">IF(AND(ISNUMBER(N493),N493&gt;=$B$2,N493&lt;=$B$2+10),N493*100000+ROW(),"")</f>
        <v/>
      </c>
      <c r="X493" s="531"/>
      <c r="Y493" s="531"/>
      <c r="Z493" s="531"/>
      <c r="AA493" s="531"/>
      <c r="AB493" s="531"/>
      <c r="AC493" s="531"/>
      <c r="AD493" s="531"/>
      <c r="AE493" s="531"/>
      <c r="AF493" s="531"/>
      <c r="AG493" s="531"/>
      <c r="AH493" s="531"/>
      <c r="AI493" s="531"/>
      <c r="AJ493" s="531"/>
      <c r="AK493" s="531"/>
      <c r="AL493" s="531"/>
      <c r="AM493" s="531"/>
      <c r="AN493" s="531"/>
    </row>
    <row r="494" customFormat="false" ht="16.5" hidden="false" customHeight="true" outlineLevel="0" collapsed="false">
      <c r="A494" s="531"/>
      <c r="B494" s="531"/>
      <c r="C494" s="531"/>
      <c r="D494" s="531"/>
      <c r="E494" s="531"/>
      <c r="F494" s="531"/>
      <c r="G494" s="531"/>
      <c r="H494" s="531"/>
      <c r="I494" s="531"/>
      <c r="J494" s="531"/>
      <c r="K494" s="531"/>
      <c r="L494" s="531"/>
      <c r="M494" s="531"/>
      <c r="N494" s="547" t="n">
        <f aca="false">IF('(1)예금승인내역'!H1120="","",'(1)예금승인내역'!H1120)</f>
        <v>46065</v>
      </c>
      <c r="O494" s="547" t="n">
        <f aca="false">IF('(1)예금승인내역'!G1120="","",'(1)예금승인내역'!G1120)</f>
        <v>46034</v>
      </c>
      <c r="P494" s="531" t="str">
        <f aca="false">IF('(1)예금승인내역'!F1120="","",'(1)예금승인내역'!F1120)</f>
        <v>㈜이수스페셜티케미컬</v>
      </c>
      <c r="Q494" s="531" t="str">
        <f aca="false">IF('(1)예금승인내역'!C1120="","",'(1)예금승인내역'!C1120)</f>
        <v>성남영업부</v>
      </c>
      <c r="R494" s="531" t="str">
        <f aca="false">IF('(1)예금승인내역'!K1120="","",'(1)예금승인내역'!K1120)</f>
        <v>MMDA</v>
      </c>
      <c r="S494" s="548" t="n">
        <f aca="false">IF('(1)예금승인내역'!L1120="","",'(1)예금승인내역'!L1120)</f>
        <v>13.3</v>
      </c>
      <c r="T494" s="549" t="n">
        <f aca="false">IF('(1)예금승인내역'!AG1120="","",'(1)예금승인내역'!AG1120)</f>
        <v>0.032</v>
      </c>
      <c r="U494" s="549" t="n">
        <f aca="false">IF('(1)예금승인내역'!X1120="","",'(1)예금승인내역'!X1120)</f>
        <v>0.003766</v>
      </c>
      <c r="V494" s="531" t="n">
        <f aca="false">IF(ISNUMBER(N494),N494-$B$2,"")</f>
        <v>-124</v>
      </c>
      <c r="W494" s="531" t="str">
        <f aca="false">IF(AND(ISNUMBER(N494),N494&gt;=$B$2,N494&lt;=$B$2+10),N494*100000+ROW(),"")</f>
        <v/>
      </c>
      <c r="X494" s="531"/>
      <c r="Y494" s="531"/>
      <c r="Z494" s="531"/>
      <c r="AA494" s="531"/>
      <c r="AB494" s="531"/>
      <c r="AC494" s="531"/>
      <c r="AD494" s="531"/>
      <c r="AE494" s="531"/>
      <c r="AF494" s="531"/>
      <c r="AG494" s="531"/>
      <c r="AH494" s="531"/>
      <c r="AI494" s="531"/>
      <c r="AJ494" s="531"/>
      <c r="AK494" s="531"/>
      <c r="AL494" s="531"/>
      <c r="AM494" s="531"/>
      <c r="AN494" s="531"/>
    </row>
    <row r="495" customFormat="false" ht="16.5" hidden="false" customHeight="true" outlineLevel="0" collapsed="false">
      <c r="A495" s="531"/>
      <c r="B495" s="531"/>
      <c r="C495" s="531"/>
      <c r="D495" s="531"/>
      <c r="E495" s="531"/>
      <c r="F495" s="531"/>
      <c r="G495" s="531"/>
      <c r="H495" s="531"/>
      <c r="I495" s="531"/>
      <c r="J495" s="531"/>
      <c r="K495" s="531"/>
      <c r="L495" s="531"/>
      <c r="M495" s="531"/>
      <c r="N495" s="547" t="n">
        <f aca="false">IF('(1)예금승인내역'!H1121="","",'(1)예금승인내역'!H1121)</f>
        <v>46065</v>
      </c>
      <c r="O495" s="547" t="n">
        <f aca="false">IF('(1)예금승인내역'!G1121="","",'(1)예금승인내역'!G1121)</f>
        <v>46034</v>
      </c>
      <c r="P495" s="531" t="str">
        <f aca="false">IF('(1)예금승인내역'!F1121="","",'(1)예금승인내역'!F1121)</f>
        <v>㈜현대그린푸드</v>
      </c>
      <c r="Q495" s="531" t="str">
        <f aca="false">IF('(1)예금승인내역'!C1121="","",'(1)예금승인내역'!C1121)</f>
        <v>성남영업부</v>
      </c>
      <c r="R495" s="531" t="str">
        <f aca="false">IF('(1)예금승인내역'!K1121="","",'(1)예금승인내역'!K1121)</f>
        <v>MMDA</v>
      </c>
      <c r="S495" s="548" t="n">
        <f aca="false">IF('(1)예금승인내역'!L1121="","",'(1)예금승인내역'!L1121)</f>
        <v>2</v>
      </c>
      <c r="T495" s="549" t="n">
        <f aca="false">IF('(1)예금승인내역'!AG1121="","",'(1)예금승인내역'!AG1121)</f>
        <v>0.032</v>
      </c>
      <c r="U495" s="549" t="n">
        <f aca="false">IF('(1)예금승인내역'!X1121="","",'(1)예금승인내역'!X1121)</f>
        <v>0.003766</v>
      </c>
      <c r="V495" s="531" t="n">
        <f aca="false">IF(ISNUMBER(N495),N495-$B$2,"")</f>
        <v>-124</v>
      </c>
      <c r="W495" s="531" t="str">
        <f aca="false">IF(AND(ISNUMBER(N495),N495&gt;=$B$2,N495&lt;=$B$2+10),N495*100000+ROW(),"")</f>
        <v/>
      </c>
      <c r="X495" s="531"/>
      <c r="Y495" s="531"/>
      <c r="Z495" s="531"/>
      <c r="AA495" s="531"/>
      <c r="AB495" s="531"/>
      <c r="AC495" s="531"/>
      <c r="AD495" s="531"/>
      <c r="AE495" s="531"/>
      <c r="AF495" s="531"/>
      <c r="AG495" s="531"/>
      <c r="AH495" s="531"/>
      <c r="AI495" s="531"/>
      <c r="AJ495" s="531"/>
      <c r="AK495" s="531"/>
      <c r="AL495" s="531"/>
      <c r="AM495" s="531"/>
      <c r="AN495" s="531"/>
    </row>
    <row r="496" customFormat="false" ht="16.5" hidden="false" customHeight="true" outlineLevel="0" collapsed="false">
      <c r="A496" s="531"/>
      <c r="B496" s="531"/>
      <c r="C496" s="531"/>
      <c r="D496" s="531"/>
      <c r="E496" s="531"/>
      <c r="F496" s="531"/>
      <c r="G496" s="531"/>
      <c r="H496" s="531"/>
      <c r="I496" s="531"/>
      <c r="J496" s="531"/>
      <c r="K496" s="531"/>
      <c r="L496" s="531"/>
      <c r="M496" s="531"/>
      <c r="N496" s="547" t="n">
        <f aca="false">IF('(1)예금승인내역'!H1122="","",'(1)예금승인내역'!H1122)</f>
        <v>46066</v>
      </c>
      <c r="O496" s="547" t="n">
        <f aca="false">IF('(1)예금승인내역'!G1122="","",'(1)예금승인내역'!G1122)</f>
        <v>46036</v>
      </c>
      <c r="P496" s="531" t="str">
        <f aca="false">IF('(1)예금승인내역'!F1122="","",'(1)예금승인내역'!F1122)</f>
        <v>서울산업 </v>
      </c>
      <c r="Q496" s="531" t="str">
        <f aca="false">IF('(1)예금승인내역'!C1122="","",'(1)예금승인내역'!C1122)</f>
        <v>화성금융센터</v>
      </c>
      <c r="R496" s="531" t="str">
        <f aca="false">IF('(1)예금승인내역'!K1122="","",'(1)예금승인내역'!K1122)</f>
        <v>MMDA</v>
      </c>
      <c r="S496" s="548" t="n">
        <f aca="false">IF('(1)예금승인내역'!L1122="","",'(1)예금승인내역'!L1122)</f>
        <v>2</v>
      </c>
      <c r="T496" s="549" t="n">
        <f aca="false">IF('(1)예금승인내역'!AG1122="","",'(1)예금승인내역'!AG1122)</f>
        <v>0.0315</v>
      </c>
      <c r="U496" s="549" t="n">
        <f aca="false">IF('(1)예금승인내역'!X1122="","",'(1)예금승인내역'!X1122)</f>
        <v>0.004372</v>
      </c>
      <c r="V496" s="531" t="n">
        <f aca="false">IF(ISNUMBER(N496),N496-$B$2,"")</f>
        <v>-123</v>
      </c>
      <c r="W496" s="531" t="str">
        <f aca="false">IF(AND(ISNUMBER(N496),N496&gt;=$B$2,N496&lt;=$B$2+10),N496*100000+ROW(),"")</f>
        <v/>
      </c>
      <c r="X496" s="531"/>
      <c r="Y496" s="531"/>
      <c r="Z496" s="531"/>
      <c r="AA496" s="531"/>
      <c r="AB496" s="531"/>
      <c r="AC496" s="531"/>
      <c r="AD496" s="531"/>
      <c r="AE496" s="531"/>
      <c r="AF496" s="531"/>
      <c r="AG496" s="531"/>
      <c r="AH496" s="531"/>
      <c r="AI496" s="531"/>
      <c r="AJ496" s="531"/>
      <c r="AK496" s="531"/>
      <c r="AL496" s="531"/>
      <c r="AM496" s="531"/>
      <c r="AN496" s="531"/>
    </row>
    <row r="497" customFormat="false" ht="16.5" hidden="false" customHeight="true" outlineLevel="0" collapsed="false">
      <c r="A497" s="531"/>
      <c r="B497" s="531"/>
      <c r="C497" s="531"/>
      <c r="D497" s="531"/>
      <c r="E497" s="531"/>
      <c r="F497" s="531"/>
      <c r="G497" s="531"/>
      <c r="H497" s="531"/>
      <c r="I497" s="531"/>
      <c r="J497" s="531"/>
      <c r="K497" s="531"/>
      <c r="L497" s="531"/>
      <c r="M497" s="531"/>
      <c r="N497" s="547" t="n">
        <f aca="false">IF('(1)예금승인내역'!H1123="","",'(1)예금승인내역'!H1123)</f>
        <v>46072</v>
      </c>
      <c r="O497" s="547" t="n">
        <f aca="false">IF('(1)예금승인내역'!G1123="","",'(1)예금승인내역'!G1123)</f>
        <v>46037</v>
      </c>
      <c r="P497" s="531" t="str">
        <f aca="false">IF('(1)예금승인내역'!F1123="","",'(1)예금승인내역'!F1123)</f>
        <v>한국비철㈜</v>
      </c>
      <c r="Q497" s="531" t="str">
        <f aca="false">IF('(1)예금승인내역'!C1123="","",'(1)예금승인내역'!C1123)</f>
        <v>달성공단영업부</v>
      </c>
      <c r="R497" s="531" t="str">
        <f aca="false">IF('(1)예금승인내역'!K1123="","",'(1)예금승인내역'!K1123)</f>
        <v>MMDA</v>
      </c>
      <c r="S497" s="548" t="n">
        <f aca="false">IF('(1)예금승인내역'!L1123="","",'(1)예금승인내역'!L1123)</f>
        <v>7.25</v>
      </c>
      <c r="T497" s="549" t="n">
        <f aca="false">IF('(1)예금승인내역'!AG1123="","",'(1)예금승인내역'!AG1123)</f>
        <v>0.0305</v>
      </c>
      <c r="U497" s="549" t="n">
        <f aca="false">IF('(1)예금승인내역'!X1123="","",'(1)예금승인내역'!X1123)</f>
        <v>0.0054</v>
      </c>
      <c r="V497" s="531" t="n">
        <f aca="false">IF(ISNUMBER(N497),N497-$B$2,"")</f>
        <v>-117</v>
      </c>
      <c r="W497" s="531" t="str">
        <f aca="false">IF(AND(ISNUMBER(N497),N497&gt;=$B$2,N497&lt;=$B$2+10),N497*100000+ROW(),"")</f>
        <v/>
      </c>
      <c r="X497" s="531"/>
      <c r="Y497" s="531"/>
      <c r="Z497" s="531"/>
      <c r="AA497" s="531"/>
      <c r="AB497" s="531"/>
      <c r="AC497" s="531"/>
      <c r="AD497" s="531"/>
      <c r="AE497" s="531"/>
      <c r="AF497" s="531"/>
      <c r="AG497" s="531"/>
      <c r="AH497" s="531"/>
      <c r="AI497" s="531"/>
      <c r="AJ497" s="531"/>
      <c r="AK497" s="531"/>
      <c r="AL497" s="531"/>
      <c r="AM497" s="531"/>
      <c r="AN497" s="531"/>
    </row>
    <row r="498" customFormat="false" ht="16.5" hidden="false" customHeight="true" outlineLevel="0" collapsed="false">
      <c r="A498" s="531"/>
      <c r="B498" s="531"/>
      <c r="C498" s="531"/>
      <c r="D498" s="531"/>
      <c r="E498" s="531"/>
      <c r="F498" s="531"/>
      <c r="G498" s="531"/>
      <c r="H498" s="531"/>
      <c r="I498" s="531"/>
      <c r="J498" s="531"/>
      <c r="K498" s="531"/>
      <c r="L498" s="531"/>
      <c r="M498" s="531"/>
      <c r="N498" s="547" t="n">
        <f aca="false">IF('(1)예금승인내역'!H1124="","",'(1)예금승인내역'!H1124)</f>
        <v>46072</v>
      </c>
      <c r="O498" s="547" t="n">
        <f aca="false">IF('(1)예금승인내역'!G1124="","",'(1)예금승인내역'!G1124)</f>
        <v>46037</v>
      </c>
      <c r="P498" s="531" t="str">
        <f aca="false">IF('(1)예금승인내역'!F1124="","",'(1)예금승인내역'!F1124)</f>
        <v>주식회사 한국비앤씨</v>
      </c>
      <c r="Q498" s="531" t="str">
        <f aca="false">IF('(1)예금승인내역'!C1124="","",'(1)예금승인내역'!C1124)</f>
        <v>유통단지영업부</v>
      </c>
      <c r="R498" s="531" t="str">
        <f aca="false">IF('(1)예금승인내역'!K1124="","",'(1)예금승인내역'!K1124)</f>
        <v>MMDA</v>
      </c>
      <c r="S498" s="548" t="n">
        <f aca="false">IF('(1)예금승인내역'!L1124="","",'(1)예금승인내역'!L1124)</f>
        <v>2.65</v>
      </c>
      <c r="T498" s="549" t="n">
        <f aca="false">IF('(1)예금승인내역'!AG1124="","",'(1)예금승인내역'!AG1124)</f>
        <v>0.032</v>
      </c>
      <c r="U498" s="549" t="n">
        <f aca="false">IF('(1)예금승인내역'!X1124="","",'(1)예금승인내역'!X1124)</f>
        <v>0.0039</v>
      </c>
      <c r="V498" s="531" t="n">
        <f aca="false">IF(ISNUMBER(N498),N498-$B$2,"")</f>
        <v>-117</v>
      </c>
      <c r="W498" s="531" t="str">
        <f aca="false">IF(AND(ISNUMBER(N498),N498&gt;=$B$2,N498&lt;=$B$2+10),N498*100000+ROW(),"")</f>
        <v/>
      </c>
      <c r="X498" s="531"/>
      <c r="Y498" s="531"/>
      <c r="Z498" s="531"/>
      <c r="AA498" s="531"/>
      <c r="AB498" s="531"/>
      <c r="AC498" s="531"/>
      <c r="AD498" s="531"/>
      <c r="AE498" s="531"/>
      <c r="AF498" s="531"/>
      <c r="AG498" s="531"/>
      <c r="AH498" s="531"/>
      <c r="AI498" s="531"/>
      <c r="AJ498" s="531"/>
      <c r="AK498" s="531"/>
      <c r="AL498" s="531"/>
      <c r="AM498" s="531"/>
      <c r="AN498" s="531"/>
    </row>
    <row r="499" customFormat="false" ht="16.5" hidden="false" customHeight="true" outlineLevel="0" collapsed="false">
      <c r="A499" s="531"/>
      <c r="B499" s="531"/>
      <c r="C499" s="531"/>
      <c r="D499" s="531"/>
      <c r="E499" s="531"/>
      <c r="F499" s="531"/>
      <c r="G499" s="531"/>
      <c r="H499" s="531"/>
      <c r="I499" s="531"/>
      <c r="J499" s="531"/>
      <c r="K499" s="531"/>
      <c r="L499" s="531"/>
      <c r="M499" s="531"/>
      <c r="N499" s="547" t="n">
        <f aca="false">IF('(1)예금승인내역'!H1125="","",'(1)예금승인내역'!H1125)</f>
        <v>46045</v>
      </c>
      <c r="O499" s="547" t="n">
        <f aca="false">IF('(1)예금승인내역'!G1125="","",'(1)예금승인내역'!G1125)</f>
        <v>46038</v>
      </c>
      <c r="P499" s="531" t="str">
        <f aca="false">IF('(1)예금승인내역'!F1125="","",'(1)예금승인내역'!F1125)</f>
        <v>㈜일지테크</v>
      </c>
      <c r="Q499" s="531" t="str">
        <f aca="false">IF('(1)예금승인내역'!C1125="","",'(1)예금승인내역'!C1125)</f>
        <v>경산공단영업부</v>
      </c>
      <c r="R499" s="531" t="str">
        <f aca="false">IF('(1)예금승인내역'!K1125="","",'(1)예금승인내역'!K1125)</f>
        <v>정기예금</v>
      </c>
      <c r="S499" s="548" t="n">
        <f aca="false">IF('(1)예금승인내역'!L1125="","",'(1)예금승인내역'!L1125)</f>
        <v>10.03</v>
      </c>
      <c r="T499" s="549" t="n">
        <f aca="false">IF('(1)예금승인내역'!AG1125="","",'(1)예금승인내역'!AG1125)</f>
        <v>0.0319</v>
      </c>
      <c r="U499" s="549" t="n">
        <f aca="false">IF('(1)예금승인내역'!X1125="","",'(1)예금승인내역'!X1125)</f>
        <v>0.001624</v>
      </c>
      <c r="V499" s="531" t="n">
        <f aca="false">IF(ISNUMBER(N499),N499-$B$2,"")</f>
        <v>-144</v>
      </c>
      <c r="W499" s="531" t="str">
        <f aca="false">IF(AND(ISNUMBER(N499),N499&gt;=$B$2,N499&lt;=$B$2+10),N499*100000+ROW(),"")</f>
        <v/>
      </c>
      <c r="X499" s="531"/>
      <c r="Y499" s="531"/>
      <c r="Z499" s="531"/>
      <c r="AA499" s="531"/>
      <c r="AB499" s="531"/>
      <c r="AC499" s="531"/>
      <c r="AD499" s="531"/>
      <c r="AE499" s="531"/>
      <c r="AF499" s="531"/>
      <c r="AG499" s="531"/>
      <c r="AH499" s="531"/>
      <c r="AI499" s="531"/>
      <c r="AJ499" s="531"/>
      <c r="AK499" s="531"/>
      <c r="AL499" s="531"/>
      <c r="AM499" s="531"/>
      <c r="AN499" s="531"/>
    </row>
    <row r="500" customFormat="false" ht="16.5" hidden="false" customHeight="true" outlineLevel="0" collapsed="false">
      <c r="A500" s="531"/>
      <c r="B500" s="531"/>
      <c r="C500" s="531"/>
      <c r="D500" s="531"/>
      <c r="E500" s="531"/>
      <c r="F500" s="531"/>
      <c r="G500" s="531"/>
      <c r="H500" s="531"/>
      <c r="I500" s="531"/>
      <c r="J500" s="531"/>
      <c r="K500" s="531"/>
      <c r="L500" s="531"/>
      <c r="M500" s="531"/>
      <c r="N500" s="547" t="n">
        <f aca="false">IF('(1)예금승인내역'!H1126="","",'(1)예금승인내역'!H1126)</f>
        <v>46045</v>
      </c>
      <c r="O500" s="547" t="n">
        <f aca="false">IF('(1)예금승인내역'!G1126="","",'(1)예금승인내역'!G1126)</f>
        <v>46038</v>
      </c>
      <c r="P500" s="531" t="str">
        <f aca="false">IF('(1)예금승인내역'!F1126="","",'(1)예금승인내역'!F1126)</f>
        <v>㈜일지테크</v>
      </c>
      <c r="Q500" s="531" t="str">
        <f aca="false">IF('(1)예금승인내역'!C1126="","",'(1)예금승인내역'!C1126)</f>
        <v>경산공단영업부</v>
      </c>
      <c r="R500" s="531" t="str">
        <f aca="false">IF('(1)예금승인내역'!K1126="","",'(1)예금승인내역'!K1126)</f>
        <v>정기예금</v>
      </c>
      <c r="S500" s="548" t="n">
        <f aca="false">IF('(1)예금승인내역'!L1126="","",'(1)예금승인내역'!L1126)</f>
        <v>10.03</v>
      </c>
      <c r="T500" s="549" t="n">
        <f aca="false">IF('(1)예금승인내역'!AG1126="","",'(1)예금승인내역'!AG1126)</f>
        <v>0.0319</v>
      </c>
      <c r="U500" s="549" t="n">
        <f aca="false">IF('(1)예금승인내역'!X1126="","",'(1)예금승인내역'!X1126)</f>
        <v>0.001624</v>
      </c>
      <c r="V500" s="531" t="n">
        <f aca="false">IF(ISNUMBER(N500),N500-$B$2,"")</f>
        <v>-144</v>
      </c>
      <c r="W500" s="531" t="str">
        <f aca="false">IF(AND(ISNUMBER(N500),N500&gt;=$B$2,N500&lt;=$B$2+10),N500*100000+ROW(),"")</f>
        <v/>
      </c>
      <c r="X500" s="531"/>
      <c r="Y500" s="531"/>
      <c r="Z500" s="531"/>
      <c r="AA500" s="531"/>
      <c r="AB500" s="531"/>
      <c r="AC500" s="531"/>
      <c r="AD500" s="531"/>
      <c r="AE500" s="531"/>
      <c r="AF500" s="531"/>
      <c r="AG500" s="531"/>
      <c r="AH500" s="531"/>
      <c r="AI500" s="531"/>
      <c r="AJ500" s="531"/>
      <c r="AK500" s="531"/>
      <c r="AL500" s="531"/>
      <c r="AM500" s="531"/>
      <c r="AN500" s="531"/>
    </row>
    <row r="501" customFormat="false" ht="16.5" hidden="false" customHeight="true" outlineLevel="0" collapsed="false">
      <c r="A501" s="531"/>
      <c r="B501" s="531"/>
      <c r="C501" s="531"/>
      <c r="D501" s="531"/>
      <c r="E501" s="531"/>
      <c r="F501" s="531"/>
      <c r="G501" s="531"/>
      <c r="H501" s="531"/>
      <c r="I501" s="531"/>
      <c r="J501" s="531"/>
      <c r="K501" s="531"/>
      <c r="L501" s="531"/>
      <c r="M501" s="531"/>
      <c r="N501" s="547" t="n">
        <f aca="false">IF('(1)예금승인내역'!H1127="","",'(1)예금승인내역'!H1127)</f>
        <v>46052</v>
      </c>
      <c r="O501" s="547" t="n">
        <f aca="false">IF('(1)예금승인내역'!G1127="","",'(1)예금승인내역'!G1127)</f>
        <v>46038</v>
      </c>
      <c r="P501" s="531" t="str">
        <f aca="false">IF('(1)예금승인내역'!F1127="","",'(1)예금승인내역'!F1127)</f>
        <v>㈜일지테크</v>
      </c>
      <c r="Q501" s="531" t="str">
        <f aca="false">IF('(1)예금승인내역'!C1127="","",'(1)예금승인내역'!C1127)</f>
        <v>경산공단영업부</v>
      </c>
      <c r="R501" s="531" t="str">
        <f aca="false">IF('(1)예금승인내역'!K1127="","",'(1)예금승인내역'!K1127)</f>
        <v>정기예금</v>
      </c>
      <c r="S501" s="548" t="n">
        <f aca="false">IF('(1)예금승인내역'!L1127="","",'(1)예금승인내역'!L1127)</f>
        <v>12.63</v>
      </c>
      <c r="T501" s="549" t="n">
        <f aca="false">IF('(1)예금승인내역'!AG1127="","",'(1)예금승인내역'!AG1127)</f>
        <v>0.0322</v>
      </c>
      <c r="U501" s="549" t="n">
        <f aca="false">IF('(1)예금승인내역'!X1127="","",'(1)예금승인내역'!X1127)</f>
        <v>0.001829</v>
      </c>
      <c r="V501" s="531" t="n">
        <f aca="false">IF(ISNUMBER(N501),N501-$B$2,"")</f>
        <v>-137</v>
      </c>
      <c r="W501" s="531" t="str">
        <f aca="false">IF(AND(ISNUMBER(N501),N501&gt;=$B$2,N501&lt;=$B$2+10),N501*100000+ROW(),"")</f>
        <v/>
      </c>
      <c r="X501" s="531"/>
      <c r="Y501" s="531"/>
      <c r="Z501" s="531"/>
      <c r="AA501" s="531"/>
      <c r="AB501" s="531"/>
      <c r="AC501" s="531"/>
      <c r="AD501" s="531"/>
      <c r="AE501" s="531"/>
      <c r="AF501" s="531"/>
      <c r="AG501" s="531"/>
      <c r="AH501" s="531"/>
      <c r="AI501" s="531"/>
      <c r="AJ501" s="531"/>
      <c r="AK501" s="531"/>
      <c r="AL501" s="531"/>
      <c r="AM501" s="531"/>
      <c r="AN501" s="531"/>
    </row>
    <row r="502" customFormat="false" ht="16.5" hidden="false" customHeight="true" outlineLevel="0" collapsed="false">
      <c r="A502" s="531"/>
      <c r="B502" s="531"/>
      <c r="C502" s="531"/>
      <c r="D502" s="531"/>
      <c r="E502" s="531"/>
      <c r="F502" s="531"/>
      <c r="G502" s="531"/>
      <c r="H502" s="531"/>
      <c r="I502" s="531"/>
      <c r="J502" s="531"/>
      <c r="K502" s="531"/>
      <c r="L502" s="531"/>
      <c r="M502" s="531"/>
      <c r="N502" s="547" t="n">
        <f aca="false">IF('(1)예금승인내역'!H1128="","",'(1)예금승인내역'!H1128)</f>
        <v>46052</v>
      </c>
      <c r="O502" s="547" t="n">
        <f aca="false">IF('(1)예금승인내역'!G1128="","",'(1)예금승인내역'!G1128)</f>
        <v>46038</v>
      </c>
      <c r="P502" s="531" t="str">
        <f aca="false">IF('(1)예금승인내역'!F1128="","",'(1)예금승인내역'!F1128)</f>
        <v>㈜일지테크</v>
      </c>
      <c r="Q502" s="531" t="str">
        <f aca="false">IF('(1)예금승인내역'!C1128="","",'(1)예금승인내역'!C1128)</f>
        <v>경산공단영업부</v>
      </c>
      <c r="R502" s="531" t="str">
        <f aca="false">IF('(1)예금승인내역'!K1128="","",'(1)예금승인내역'!K1128)</f>
        <v>정기예금</v>
      </c>
      <c r="S502" s="548" t="n">
        <f aca="false">IF('(1)예금승인내역'!L1128="","",'(1)예금승인내역'!L1128)</f>
        <v>10</v>
      </c>
      <c r="T502" s="549" t="n">
        <f aca="false">IF('(1)예금승인내역'!AG1128="","",'(1)예금승인내역'!AG1128)</f>
        <v>0.0322</v>
      </c>
      <c r="U502" s="549" t="n">
        <f aca="false">IF('(1)예금승인내역'!X1128="","",'(1)예금승인내역'!X1128)</f>
        <v>0.001829</v>
      </c>
      <c r="V502" s="531" t="n">
        <f aca="false">IF(ISNUMBER(N502),N502-$B$2,"")</f>
        <v>-137</v>
      </c>
      <c r="W502" s="531" t="str">
        <f aca="false">IF(AND(ISNUMBER(N502),N502&gt;=$B$2,N502&lt;=$B$2+10),N502*100000+ROW(),"")</f>
        <v/>
      </c>
      <c r="X502" s="531"/>
      <c r="Y502" s="531"/>
      <c r="Z502" s="531"/>
      <c r="AA502" s="531"/>
      <c r="AB502" s="531"/>
      <c r="AC502" s="531"/>
      <c r="AD502" s="531"/>
      <c r="AE502" s="531"/>
      <c r="AF502" s="531"/>
      <c r="AG502" s="531"/>
      <c r="AH502" s="531"/>
      <c r="AI502" s="531"/>
      <c r="AJ502" s="531"/>
      <c r="AK502" s="531"/>
      <c r="AL502" s="531"/>
      <c r="AM502" s="531"/>
      <c r="AN502" s="531"/>
    </row>
    <row r="503" customFormat="false" ht="16.5" hidden="false" customHeight="true" outlineLevel="0" collapsed="false">
      <c r="A503" s="531"/>
      <c r="B503" s="531"/>
      <c r="C503" s="531"/>
      <c r="D503" s="531"/>
      <c r="E503" s="531"/>
      <c r="F503" s="531"/>
      <c r="G503" s="531"/>
      <c r="H503" s="531"/>
      <c r="I503" s="531"/>
      <c r="J503" s="531"/>
      <c r="K503" s="531"/>
      <c r="L503" s="531"/>
      <c r="M503" s="531"/>
      <c r="N503" s="547" t="n">
        <f aca="false">IF('(1)예금승인내역'!H1129="","",'(1)예금승인내역'!H1129)</f>
        <v>46072</v>
      </c>
      <c r="O503" s="547" t="n">
        <f aca="false">IF('(1)예금승인내역'!G1129="","",'(1)예금승인내역'!G1129)</f>
        <v>46041</v>
      </c>
      <c r="P503" s="531" t="str">
        <f aca="false">IF('(1)예금승인내역'!F1129="","",'(1)예금승인내역'!F1129)</f>
        <v>와이엠에스에이</v>
      </c>
      <c r="Q503" s="531" t="str">
        <f aca="false">IF('(1)예금승인내역'!C1129="","",'(1)예금승인내역'!C1129)</f>
        <v>본점영업부</v>
      </c>
      <c r="R503" s="531" t="str">
        <f aca="false">IF('(1)예금승인내역'!K1129="","",'(1)예금승인내역'!K1129)</f>
        <v>MMDA</v>
      </c>
      <c r="S503" s="548" t="n">
        <f aca="false">IF('(1)예금승인내역'!L1129="","",'(1)예금승인내역'!L1129)</f>
        <v>1.02</v>
      </c>
      <c r="T503" s="549" t="n">
        <f aca="false">IF('(1)예금승인내역'!AG1129="","",'(1)예금승인내역'!AG1129)</f>
        <v>0.032</v>
      </c>
      <c r="U503" s="549" t="n">
        <f aca="false">IF('(1)예금승인내역'!X1129="","",'(1)예금승인내역'!X1129)</f>
        <v>0.003856</v>
      </c>
      <c r="V503" s="531" t="n">
        <f aca="false">IF(ISNUMBER(N503),N503-$B$2,"")</f>
        <v>-117</v>
      </c>
      <c r="W503" s="531" t="str">
        <f aca="false">IF(AND(ISNUMBER(N503),N503&gt;=$B$2,N503&lt;=$B$2+10),N503*100000+ROW(),"")</f>
        <v/>
      </c>
      <c r="X503" s="531"/>
      <c r="Y503" s="531"/>
      <c r="Z503" s="531"/>
      <c r="AA503" s="531"/>
      <c r="AB503" s="531"/>
      <c r="AC503" s="531"/>
      <c r="AD503" s="531"/>
      <c r="AE503" s="531"/>
      <c r="AF503" s="531"/>
      <c r="AG503" s="531"/>
      <c r="AH503" s="531"/>
      <c r="AI503" s="531"/>
      <c r="AJ503" s="531"/>
      <c r="AK503" s="531"/>
      <c r="AL503" s="531"/>
      <c r="AM503" s="531"/>
      <c r="AN503" s="531"/>
    </row>
    <row r="504" customFormat="false" ht="16.5" hidden="false" customHeight="true" outlineLevel="0" collapsed="false">
      <c r="A504" s="531"/>
      <c r="B504" s="531"/>
      <c r="C504" s="531"/>
      <c r="D504" s="531"/>
      <c r="E504" s="531"/>
      <c r="F504" s="531"/>
      <c r="G504" s="531"/>
      <c r="H504" s="531"/>
      <c r="I504" s="531"/>
      <c r="J504" s="531"/>
      <c r="K504" s="531"/>
      <c r="L504" s="531"/>
      <c r="M504" s="531"/>
      <c r="N504" s="547" t="n">
        <f aca="false">IF('(1)예금승인내역'!H1130="","",'(1)예금승인내역'!H1130)</f>
        <v>46072</v>
      </c>
      <c r="O504" s="547" t="n">
        <f aca="false">IF('(1)예금승인내역'!G1130="","",'(1)예금승인내역'!G1130)</f>
        <v>46041</v>
      </c>
      <c r="P504" s="531" t="str">
        <f aca="false">IF('(1)예금승인내역'!F1130="","",'(1)예금승인내역'!F1130)</f>
        <v>㈜약진통상</v>
      </c>
      <c r="Q504" s="531" t="str">
        <f aca="false">IF('(1)예금승인내역'!C1130="","",'(1)예금승인내역'!C1130)</f>
        <v>반월공단영업부</v>
      </c>
      <c r="R504" s="531" t="str">
        <f aca="false">IF('(1)예금승인내역'!K1130="","",'(1)예금승인내역'!K1130)</f>
        <v>MMDA</v>
      </c>
      <c r="S504" s="548" t="n">
        <f aca="false">IF('(1)예금승인내역'!L1130="","",'(1)예금승인내역'!L1130)</f>
        <v>6.75</v>
      </c>
      <c r="T504" s="549" t="n">
        <f aca="false">IF('(1)예금승인내역'!AG1130="","",'(1)예금승인내역'!AG1130)</f>
        <v>0.032</v>
      </c>
      <c r="U504" s="549" t="n">
        <f aca="false">IF('(1)예금승인내역'!X1130="","",'(1)예금승인내역'!X1130)</f>
        <v>0.003856</v>
      </c>
      <c r="V504" s="531" t="n">
        <f aca="false">IF(ISNUMBER(N504),N504-$B$2,"")</f>
        <v>-117</v>
      </c>
      <c r="W504" s="531" t="str">
        <f aca="false">IF(AND(ISNUMBER(N504),N504&gt;=$B$2,N504&lt;=$B$2+10),N504*100000+ROW(),"")</f>
        <v/>
      </c>
      <c r="X504" s="531"/>
      <c r="Y504" s="531"/>
      <c r="Z504" s="531"/>
      <c r="AA504" s="531"/>
      <c r="AB504" s="531"/>
      <c r="AC504" s="531"/>
      <c r="AD504" s="531"/>
      <c r="AE504" s="531"/>
      <c r="AF504" s="531"/>
      <c r="AG504" s="531"/>
      <c r="AH504" s="531"/>
      <c r="AI504" s="531"/>
      <c r="AJ504" s="531"/>
      <c r="AK504" s="531"/>
      <c r="AL504" s="531"/>
      <c r="AM504" s="531"/>
      <c r="AN504" s="531"/>
    </row>
    <row r="505" customFormat="false" ht="16.5" hidden="false" customHeight="true" outlineLevel="0" collapsed="false">
      <c r="A505" s="531"/>
      <c r="B505" s="531"/>
      <c r="C505" s="531"/>
      <c r="D505" s="531"/>
      <c r="E505" s="531"/>
      <c r="F505" s="531"/>
      <c r="G505" s="531"/>
      <c r="H505" s="531"/>
      <c r="I505" s="531"/>
      <c r="J505" s="531"/>
      <c r="K505" s="531"/>
      <c r="L505" s="531"/>
      <c r="M505" s="531"/>
      <c r="N505" s="547" t="n">
        <f aca="false">IF('(1)예금승인내역'!H1131="","",'(1)예금승인내역'!H1131)</f>
        <v>46345</v>
      </c>
      <c r="O505" s="547" t="n">
        <f aca="false">IF('(1)예금승인내역'!G1131="","",'(1)예금승인내역'!G1131)</f>
        <v>46041</v>
      </c>
      <c r="P505" s="531" t="str">
        <f aca="false">IF('(1)예금승인내역'!F1131="","",'(1)예금승인내역'!F1131)</f>
        <v>한국무역보험공사</v>
      </c>
      <c r="Q505" s="531" t="str">
        <f aca="false">IF('(1)예금승인내역'!C1131="","",'(1)예금승인내역'!C1131)</f>
        <v>서울영업부</v>
      </c>
      <c r="R505" s="531" t="str">
        <f aca="false">IF('(1)예금승인내역'!K1131="","",'(1)예금승인내역'!K1131)</f>
        <v>정기예금</v>
      </c>
      <c r="S505" s="548" t="n">
        <f aca="false">IF('(1)예금승인내역'!L1131="","",'(1)예금승인내역'!L1131)</f>
        <v>11.6</v>
      </c>
      <c r="T505" s="549" t="n">
        <f aca="false">IF('(1)예금승인내역'!AG1131="","",'(1)예금승인내역'!AG1131)</f>
        <v>0.0365</v>
      </c>
      <c r="U505" s="549" t="n">
        <f aca="false">IF('(1)예금승인내역'!X1131="","",'(1)예금승인내역'!X1131)</f>
        <v>0.002173</v>
      </c>
      <c r="V505" s="531" t="n">
        <f aca="false">IF(ISNUMBER(N505),N505-$B$2,"")</f>
        <v>156</v>
      </c>
      <c r="W505" s="531" t="str">
        <f aca="false">IF(AND(ISNUMBER(N505),N505&gt;=$B$2,N505&lt;=$B$2+10),N505*100000+ROW(),"")</f>
        <v/>
      </c>
      <c r="X505" s="531"/>
      <c r="Y505" s="531"/>
      <c r="Z505" s="531"/>
      <c r="AA505" s="531"/>
      <c r="AB505" s="531"/>
      <c r="AC505" s="531"/>
      <c r="AD505" s="531"/>
      <c r="AE505" s="531"/>
      <c r="AF505" s="531"/>
      <c r="AG505" s="531"/>
      <c r="AH505" s="531"/>
      <c r="AI505" s="531"/>
      <c r="AJ505" s="531"/>
      <c r="AK505" s="531"/>
      <c r="AL505" s="531"/>
      <c r="AM505" s="531"/>
      <c r="AN505" s="531"/>
    </row>
    <row r="506" customFormat="false" ht="16.5" hidden="false" customHeight="true" outlineLevel="0" collapsed="false">
      <c r="A506" s="531"/>
      <c r="B506" s="531"/>
      <c r="C506" s="531"/>
      <c r="D506" s="531"/>
      <c r="E506" s="531"/>
      <c r="F506" s="531"/>
      <c r="G506" s="531"/>
      <c r="H506" s="531"/>
      <c r="I506" s="531"/>
      <c r="J506" s="531"/>
      <c r="K506" s="531"/>
      <c r="L506" s="531"/>
      <c r="M506" s="531"/>
      <c r="N506" s="547" t="n">
        <f aca="false">IF('(1)예금승인내역'!H1132="","",'(1)예금승인내역'!H1132)</f>
        <v>46072</v>
      </c>
      <c r="O506" s="547" t="n">
        <f aca="false">IF('(1)예금승인내역'!G1132="","",'(1)예금승인내역'!G1132)</f>
        <v>46041</v>
      </c>
      <c r="P506" s="531" t="str">
        <f aca="false">IF('(1)예금승인내역'!F1132="","",'(1)예금승인내역'!F1132)</f>
        <v>대원지에스아이</v>
      </c>
      <c r="Q506" s="531" t="str">
        <f aca="false">IF('(1)예금승인내역'!C1132="","",'(1)예금승인내역'!C1132)</f>
        <v>유통단지영업부</v>
      </c>
      <c r="R506" s="531" t="str">
        <f aca="false">IF('(1)예금승인내역'!K1132="","",'(1)예금승인내역'!K1132)</f>
        <v>정기예금</v>
      </c>
      <c r="S506" s="548" t="n">
        <f aca="false">IF('(1)예금승인내역'!L1132="","",'(1)예금승인내역'!L1132)</f>
        <v>1.5</v>
      </c>
      <c r="T506" s="549" t="n">
        <f aca="false">IF('(1)예금승인내역'!AG1132="","",'(1)예금승인내역'!AG1132)</f>
        <v>0.035</v>
      </c>
      <c r="U506" s="549" t="n">
        <f aca="false">IF('(1)예금승인내역'!X1132="","",'(1)예금승인내역'!X1132)</f>
        <v>0.00219599999999999</v>
      </c>
      <c r="V506" s="531" t="n">
        <f aca="false">IF(ISNUMBER(N506),N506-$B$2,"")</f>
        <v>-117</v>
      </c>
      <c r="W506" s="531" t="str">
        <f aca="false">IF(AND(ISNUMBER(N506),N506&gt;=$B$2,N506&lt;=$B$2+10),N506*100000+ROW(),"")</f>
        <v/>
      </c>
      <c r="X506" s="531"/>
      <c r="Y506" s="531"/>
      <c r="Z506" s="531"/>
      <c r="AA506" s="531"/>
      <c r="AB506" s="531"/>
      <c r="AC506" s="531"/>
      <c r="AD506" s="531"/>
      <c r="AE506" s="531"/>
      <c r="AF506" s="531"/>
      <c r="AG506" s="531"/>
      <c r="AH506" s="531"/>
      <c r="AI506" s="531"/>
      <c r="AJ506" s="531"/>
      <c r="AK506" s="531"/>
      <c r="AL506" s="531"/>
      <c r="AM506" s="531"/>
      <c r="AN506" s="531"/>
    </row>
    <row r="507" customFormat="false" ht="16.5" hidden="false" customHeight="true" outlineLevel="0" collapsed="false">
      <c r="A507" s="531"/>
      <c r="B507" s="531"/>
      <c r="C507" s="531"/>
      <c r="D507" s="531"/>
      <c r="E507" s="531"/>
      <c r="F507" s="531"/>
      <c r="G507" s="531"/>
      <c r="H507" s="531"/>
      <c r="I507" s="531"/>
      <c r="J507" s="531"/>
      <c r="K507" s="531"/>
      <c r="L507" s="531"/>
      <c r="M507" s="531"/>
      <c r="N507" s="547" t="n">
        <f aca="false">IF('(1)예금승인내역'!H1133="","",'(1)예금승인내역'!H1133)</f>
        <v>46072</v>
      </c>
      <c r="O507" s="547" t="n">
        <f aca="false">IF('(1)예금승인내역'!G1133="","",'(1)예금승인내역'!G1133)</f>
        <v>46041</v>
      </c>
      <c r="P507" s="531" t="str">
        <f aca="false">IF('(1)예금승인내역'!F1133="","",'(1)예금승인내역'!F1133)</f>
        <v>㈜일지테크</v>
      </c>
      <c r="Q507" s="531" t="str">
        <f aca="false">IF('(1)예금승인내역'!C1133="","",'(1)예금승인내역'!C1133)</f>
        <v>경산공단영업부</v>
      </c>
      <c r="R507" s="531" t="str">
        <f aca="false">IF('(1)예금승인내역'!K1133="","",'(1)예금승인내역'!K1133)</f>
        <v>MMDA</v>
      </c>
      <c r="S507" s="548" t="n">
        <f aca="false">IF('(1)예금승인내역'!L1133="","",'(1)예금승인내역'!L1133)</f>
        <v>3.7</v>
      </c>
      <c r="T507" s="549" t="n">
        <f aca="false">IF('(1)예금승인내역'!AG1133="","",'(1)예금승인내역'!AG1133)</f>
        <v>0.032</v>
      </c>
      <c r="U507" s="549" t="n">
        <f aca="false">IF('(1)예금승인내역'!X1133="","",'(1)예금승인내역'!X1133)</f>
        <v>0.003857</v>
      </c>
      <c r="V507" s="531" t="n">
        <f aca="false">IF(ISNUMBER(N507),N507-$B$2,"")</f>
        <v>-117</v>
      </c>
      <c r="W507" s="531" t="str">
        <f aca="false">IF(AND(ISNUMBER(N507),N507&gt;=$B$2,N507&lt;=$B$2+10),N507*100000+ROW(),"")</f>
        <v/>
      </c>
      <c r="X507" s="531"/>
      <c r="Y507" s="531"/>
      <c r="Z507" s="531"/>
      <c r="AA507" s="531"/>
      <c r="AB507" s="531"/>
      <c r="AC507" s="531"/>
      <c r="AD507" s="531"/>
      <c r="AE507" s="531"/>
      <c r="AF507" s="531"/>
      <c r="AG507" s="531"/>
      <c r="AH507" s="531"/>
      <c r="AI507" s="531"/>
      <c r="AJ507" s="531"/>
      <c r="AK507" s="531"/>
      <c r="AL507" s="531"/>
      <c r="AM507" s="531"/>
      <c r="AN507" s="531"/>
    </row>
    <row r="508" customFormat="false" ht="16.5" hidden="false" customHeight="true" outlineLevel="0" collapsed="false">
      <c r="A508" s="531"/>
      <c r="B508" s="531"/>
      <c r="C508" s="531"/>
      <c r="D508" s="531"/>
      <c r="E508" s="531"/>
      <c r="F508" s="531"/>
      <c r="G508" s="531"/>
      <c r="H508" s="531"/>
      <c r="I508" s="531"/>
      <c r="J508" s="531"/>
      <c r="K508" s="531"/>
      <c r="L508" s="531"/>
      <c r="M508" s="531"/>
      <c r="N508" s="547" t="n">
        <f aca="false">IF('(1)예금승인내역'!H1134="","",'(1)예금승인내역'!H1134)</f>
        <v>46080</v>
      </c>
      <c r="O508" s="547" t="n">
        <f aca="false">IF('(1)예금승인내역'!G1134="","",'(1)예금승인내역'!G1134)</f>
        <v>46049</v>
      </c>
      <c r="P508" s="531" t="str">
        <f aca="false">IF('(1)예금승인내역'!F1134="","",'(1)예금승인내역'!F1134)</f>
        <v>김상범</v>
      </c>
      <c r="Q508" s="531" t="str">
        <f aca="false">IF('(1)예금승인내역'!C1134="","",'(1)예금승인내역'!C1134)</f>
        <v>이현공단영업부</v>
      </c>
      <c r="R508" s="531" t="str">
        <f aca="false">IF('(1)예금승인내역'!K1134="","",'(1)예금승인내역'!K1134)</f>
        <v>MMDA</v>
      </c>
      <c r="S508" s="548" t="n">
        <f aca="false">IF('(1)예금승인내역'!L1134="","",'(1)예금승인내역'!L1134)</f>
        <v>1</v>
      </c>
      <c r="T508" s="549" t="n">
        <f aca="false">IF('(1)예금승인내역'!AG1134="","",'(1)예금승인내역'!AG1134)</f>
        <v>0.0315</v>
      </c>
      <c r="U508" s="549" t="n">
        <f aca="false">IF('(1)예금승인내역'!X1134="","",'(1)예금승인내역'!X1134)</f>
        <v>0.004349</v>
      </c>
      <c r="V508" s="531" t="n">
        <f aca="false">IF(ISNUMBER(N508),N508-$B$2,"")</f>
        <v>-109</v>
      </c>
      <c r="W508" s="531" t="str">
        <f aca="false">IF(AND(ISNUMBER(N508),N508&gt;=$B$2,N508&lt;=$B$2+10),N508*100000+ROW(),"")</f>
        <v/>
      </c>
      <c r="X508" s="531"/>
      <c r="Y508" s="531"/>
      <c r="Z508" s="531"/>
      <c r="AA508" s="531"/>
      <c r="AB508" s="531"/>
      <c r="AC508" s="531"/>
      <c r="AD508" s="531"/>
      <c r="AE508" s="531"/>
      <c r="AF508" s="531"/>
      <c r="AG508" s="531"/>
      <c r="AH508" s="531"/>
      <c r="AI508" s="531"/>
      <c r="AJ508" s="531"/>
      <c r="AK508" s="531"/>
      <c r="AL508" s="531"/>
      <c r="AM508" s="531"/>
      <c r="AN508" s="531"/>
    </row>
    <row r="509" customFormat="false" ht="16.5" hidden="false" customHeight="true" outlineLevel="0" collapsed="false">
      <c r="A509" s="531"/>
      <c r="B509" s="531"/>
      <c r="C509" s="531"/>
      <c r="D509" s="531"/>
      <c r="E509" s="531"/>
      <c r="F509" s="531"/>
      <c r="G509" s="531"/>
      <c r="H509" s="531"/>
      <c r="I509" s="531"/>
      <c r="J509" s="531"/>
      <c r="K509" s="531"/>
      <c r="L509" s="531"/>
      <c r="M509" s="531"/>
      <c r="N509" s="547" t="n">
        <f aca="false">IF('(1)예금승인내역'!H1135="","",'(1)예금승인내역'!H1135)</f>
        <v>46084</v>
      </c>
      <c r="O509" s="547" t="n">
        <f aca="false">IF('(1)예금승인내역'!G1135="","",'(1)예금승인내역'!G1135)</f>
        <v>46055</v>
      </c>
      <c r="P509" s="531" t="str">
        <f aca="false">IF('(1)예금승인내역'!F1135="","",'(1)예금승인내역'!F1135)</f>
        <v>국제금속</v>
      </c>
      <c r="Q509" s="531" t="str">
        <f aca="false">IF('(1)예금승인내역'!C1135="","",'(1)예금승인내역'!C1135)</f>
        <v>영천영업부</v>
      </c>
      <c r="R509" s="531" t="str">
        <f aca="false">IF('(1)예금승인내역'!K1135="","",'(1)예금승인내역'!K1135)</f>
        <v>MMDA</v>
      </c>
      <c r="S509" s="548" t="n">
        <f aca="false">IF('(1)예금승인내역'!L1135="","",'(1)예금승인내역'!L1135)</f>
        <v>5.78</v>
      </c>
      <c r="T509" s="549" t="n">
        <f aca="false">IF('(1)예금승인내역'!AG1135="","",'(1)예금승인내역'!AG1135)</f>
        <v>0.032</v>
      </c>
      <c r="U509" s="549" t="n">
        <f aca="false">IF('(1)예금승인내역'!X1135="","",'(1)예금승인내역'!X1135)</f>
        <v>0.003809</v>
      </c>
      <c r="V509" s="531" t="n">
        <f aca="false">IF(ISNUMBER(N509),N509-$B$2,"")</f>
        <v>-105</v>
      </c>
      <c r="W509" s="531" t="str">
        <f aca="false">IF(AND(ISNUMBER(N509),N509&gt;=$B$2,N509&lt;=$B$2+10),N509*100000+ROW(),"")</f>
        <v/>
      </c>
      <c r="X509" s="531"/>
      <c r="Y509" s="531"/>
      <c r="Z509" s="531"/>
      <c r="AA509" s="531"/>
      <c r="AB509" s="531"/>
      <c r="AC509" s="531"/>
      <c r="AD509" s="531"/>
      <c r="AE509" s="531"/>
      <c r="AF509" s="531"/>
      <c r="AG509" s="531"/>
      <c r="AH509" s="531"/>
      <c r="AI509" s="531"/>
      <c r="AJ509" s="531"/>
      <c r="AK509" s="531"/>
      <c r="AL509" s="531"/>
      <c r="AM509" s="531"/>
      <c r="AN509" s="531"/>
    </row>
    <row r="510" customFormat="false" ht="16.5" hidden="false" customHeight="true" outlineLevel="0" collapsed="false">
      <c r="A510" s="531"/>
      <c r="B510" s="531"/>
      <c r="C510" s="531"/>
      <c r="D510" s="531"/>
      <c r="E510" s="531"/>
      <c r="F510" s="531"/>
      <c r="G510" s="531"/>
      <c r="H510" s="531"/>
      <c r="I510" s="531"/>
      <c r="J510" s="531"/>
      <c r="K510" s="531"/>
      <c r="L510" s="531"/>
      <c r="M510" s="531"/>
      <c r="N510" s="547" t="n">
        <f aca="false">IF('(1)예금승인내역'!H1136="","",'(1)예금승인내역'!H1136)</f>
        <v>46114</v>
      </c>
      <c r="O510" s="547" t="n">
        <f aca="false">IF('(1)예금승인내역'!G1136="","",'(1)예금승인내역'!G1136)</f>
        <v>46055</v>
      </c>
      <c r="P510" s="531" t="str">
        <f aca="false">IF('(1)예금승인내역'!F1136="","",'(1)예금승인내역'!F1136)</f>
        <v>디오㈜</v>
      </c>
      <c r="Q510" s="531" t="str">
        <f aca="false">IF('(1)예금승인내역'!C1136="","",'(1)예금승인내역'!C1136)</f>
        <v>화성금융센터</v>
      </c>
      <c r="R510" s="531" t="str">
        <f aca="false">IF('(1)예금승인내역'!K1136="","",'(1)예금승인내역'!K1136)</f>
        <v>정기예금</v>
      </c>
      <c r="S510" s="548" t="n">
        <f aca="false">IF('(1)예금승인내역'!L1136="","",'(1)예금승인내역'!L1136)</f>
        <v>3</v>
      </c>
      <c r="T510" s="549" t="n">
        <f aca="false">IF('(1)예금승인내역'!AG1136="","",'(1)예금승인내역'!AG1136)</f>
        <v>0.035</v>
      </c>
      <c r="U510" s="549" t="n">
        <f aca="false">IF('(1)예금승인내역'!X1136="","",'(1)예금승인내역'!X1136)</f>
        <v>0.002799</v>
      </c>
      <c r="V510" s="531" t="n">
        <f aca="false">IF(ISNUMBER(N510),N510-$B$2,"")</f>
        <v>-75</v>
      </c>
      <c r="W510" s="531" t="str">
        <f aca="false">IF(AND(ISNUMBER(N510),N510&gt;=$B$2,N510&lt;=$B$2+10),N510*100000+ROW(),"")</f>
        <v/>
      </c>
      <c r="X510" s="531"/>
      <c r="Y510" s="531"/>
      <c r="Z510" s="531"/>
      <c r="AA510" s="531"/>
      <c r="AB510" s="531"/>
      <c r="AC510" s="531"/>
      <c r="AD510" s="531"/>
      <c r="AE510" s="531"/>
      <c r="AF510" s="531"/>
      <c r="AG510" s="531"/>
      <c r="AH510" s="531"/>
      <c r="AI510" s="531"/>
      <c r="AJ510" s="531"/>
      <c r="AK510" s="531"/>
      <c r="AL510" s="531"/>
      <c r="AM510" s="531"/>
      <c r="AN510" s="531"/>
    </row>
    <row r="511" customFormat="false" ht="16.5" hidden="false" customHeight="true" outlineLevel="0" collapsed="false">
      <c r="A511" s="531"/>
      <c r="B511" s="531"/>
      <c r="C511" s="531"/>
      <c r="D511" s="531"/>
      <c r="E511" s="531"/>
      <c r="F511" s="531"/>
      <c r="G511" s="531"/>
      <c r="H511" s="531"/>
      <c r="I511" s="531"/>
      <c r="J511" s="531"/>
      <c r="K511" s="531"/>
      <c r="L511" s="531"/>
      <c r="M511" s="531"/>
      <c r="N511" s="547" t="n">
        <f aca="false">IF('(1)예금승인내역'!H1137="","",'(1)예금승인내역'!H1137)</f>
        <v>46084</v>
      </c>
      <c r="O511" s="547" t="n">
        <f aca="false">IF('(1)예금승인내역'!G1137="","",'(1)예금승인내역'!G1137)</f>
        <v>46055</v>
      </c>
      <c r="P511" s="531" t="str">
        <f aca="false">IF('(1)예금승인내역'!F1137="","",'(1)예금승인내역'!F1137)</f>
        <v>㈜ 광성</v>
      </c>
      <c r="Q511" s="531" t="str">
        <f aca="false">IF('(1)예금승인내역'!C1137="","",'(1)예금승인내역'!C1137)</f>
        <v>경산공단영업부</v>
      </c>
      <c r="R511" s="531" t="str">
        <f aca="false">IF('(1)예금승인내역'!K1137="","",'(1)예금승인내역'!K1137)</f>
        <v>MMDA</v>
      </c>
      <c r="S511" s="548" t="n">
        <f aca="false">IF('(1)예금승인내역'!L1137="","",'(1)예금승인내역'!L1137)</f>
        <v>4.05</v>
      </c>
      <c r="T511" s="549" t="n">
        <f aca="false">IF('(1)예금승인내역'!AG1137="","",'(1)예금승인내역'!AG1137)</f>
        <v>0.0315</v>
      </c>
      <c r="U511" s="549" t="n">
        <f aca="false">IF('(1)예금승인내역'!X1137="","",'(1)예금승인내역'!X1137)</f>
        <v>0.004309</v>
      </c>
      <c r="V511" s="531" t="n">
        <f aca="false">IF(ISNUMBER(N511),N511-$B$2,"")</f>
        <v>-105</v>
      </c>
      <c r="W511" s="531" t="str">
        <f aca="false">IF(AND(ISNUMBER(N511),N511&gt;=$B$2,N511&lt;=$B$2+10),N511*100000+ROW(),"")</f>
        <v/>
      </c>
      <c r="X511" s="531"/>
      <c r="Y511" s="531"/>
      <c r="Z511" s="531"/>
      <c r="AA511" s="531"/>
      <c r="AB511" s="531"/>
      <c r="AC511" s="531"/>
      <c r="AD511" s="531"/>
      <c r="AE511" s="531"/>
      <c r="AF511" s="531"/>
      <c r="AG511" s="531"/>
      <c r="AH511" s="531"/>
      <c r="AI511" s="531"/>
      <c r="AJ511" s="531"/>
      <c r="AK511" s="531"/>
      <c r="AL511" s="531"/>
      <c r="AM511" s="531"/>
      <c r="AN511" s="531"/>
    </row>
    <row r="512" customFormat="false" ht="16.5" hidden="false" customHeight="true" outlineLevel="0" collapsed="false">
      <c r="A512" s="531"/>
      <c r="B512" s="531"/>
      <c r="C512" s="531"/>
      <c r="D512" s="531"/>
      <c r="E512" s="531"/>
      <c r="F512" s="531"/>
      <c r="G512" s="531"/>
      <c r="H512" s="531"/>
      <c r="I512" s="531"/>
      <c r="J512" s="531"/>
      <c r="K512" s="531"/>
      <c r="L512" s="531"/>
      <c r="M512" s="531"/>
      <c r="N512" s="547" t="n">
        <f aca="false">IF('(1)예금승인내역'!H1138="","",'(1)예금승인내역'!H1138)</f>
        <v>46146</v>
      </c>
      <c r="O512" s="547" t="n">
        <f aca="false">IF('(1)예금승인내역'!G1138="","",'(1)예금승인내역'!G1138)</f>
        <v>46057</v>
      </c>
      <c r="P512" s="531" t="str">
        <f aca="false">IF('(1)예금승인내역'!F1138="","",'(1)예금승인내역'!F1138)</f>
        <v>해내다컨트리클럽</v>
      </c>
      <c r="Q512" s="531" t="str">
        <f aca="false">IF('(1)예금승인내역'!C1138="","",'(1)예금승인내역'!C1138)</f>
        <v>달성공단영업부</v>
      </c>
      <c r="R512" s="531" t="str">
        <f aca="false">IF('(1)예금승인내역'!K1138="","",'(1)예금승인내역'!K1138)</f>
        <v>자유적립예금</v>
      </c>
      <c r="S512" s="548" t="n">
        <f aca="false">IF('(1)예금승인내역'!L1138="","",'(1)예금승인내역'!L1138)</f>
        <v>2.15</v>
      </c>
      <c r="T512" s="549" t="n">
        <f aca="false">IF('(1)예금승인내역'!AG1138="","",'(1)예금승인내역'!AG1138)</f>
        <v>0.0362</v>
      </c>
      <c r="U512" s="549" t="n">
        <f aca="false">IF('(1)예금승인내역'!X1138="","",'(1)예금승인내역'!X1138)</f>
        <v>0.002258</v>
      </c>
      <c r="V512" s="531" t="n">
        <f aca="false">IF(ISNUMBER(N512),N512-$B$2,"")</f>
        <v>-43</v>
      </c>
      <c r="W512" s="531" t="str">
        <f aca="false">IF(AND(ISNUMBER(N512),N512&gt;=$B$2,N512&lt;=$B$2+10),N512*100000+ROW(),"")</f>
        <v/>
      </c>
      <c r="X512" s="531"/>
      <c r="Y512" s="531"/>
      <c r="Z512" s="531"/>
      <c r="AA512" s="531"/>
      <c r="AB512" s="531"/>
      <c r="AC512" s="531"/>
      <c r="AD512" s="531"/>
      <c r="AE512" s="531"/>
      <c r="AF512" s="531"/>
      <c r="AG512" s="531"/>
      <c r="AH512" s="531"/>
      <c r="AI512" s="531"/>
      <c r="AJ512" s="531"/>
      <c r="AK512" s="531"/>
      <c r="AL512" s="531"/>
      <c r="AM512" s="531"/>
      <c r="AN512" s="531"/>
    </row>
    <row r="513" customFormat="false" ht="16.5" hidden="false" customHeight="true" outlineLevel="0" collapsed="false">
      <c r="A513" s="531"/>
      <c r="B513" s="531"/>
      <c r="C513" s="531"/>
      <c r="D513" s="531"/>
      <c r="E513" s="531"/>
      <c r="F513" s="531"/>
      <c r="G513" s="531"/>
      <c r="H513" s="531"/>
      <c r="I513" s="531"/>
      <c r="J513" s="531"/>
      <c r="K513" s="531"/>
      <c r="L513" s="531"/>
      <c r="M513" s="531"/>
      <c r="N513" s="547" t="n">
        <f aca="false">IF('(1)예금승인내역'!H1139="","",'(1)예금승인내역'!H1139)</f>
        <v>46086</v>
      </c>
      <c r="O513" s="547" t="n">
        <f aca="false">IF('(1)예금승인내역'!G1139="","",'(1)예금승인내역'!G1139)</f>
        <v>46058</v>
      </c>
      <c r="P513" s="531" t="str">
        <f aca="false">IF('(1)예금승인내역'!F1139="","",'(1)예금승인내역'!F1139)</f>
        <v>㈜지엠메탈</v>
      </c>
      <c r="Q513" s="531" t="str">
        <f aca="false">IF('(1)예금승인내역'!C1139="","",'(1)예금승인내역'!C1139)</f>
        <v>이현공단영업부</v>
      </c>
      <c r="R513" s="531" t="str">
        <f aca="false">IF('(1)예금승인내역'!K1139="","",'(1)예금승인내역'!K1139)</f>
        <v>MMDA</v>
      </c>
      <c r="S513" s="548" t="n">
        <f aca="false">IF('(1)예금승인내역'!L1139="","",'(1)예금승인내역'!L1139)</f>
        <v>1.04</v>
      </c>
      <c r="T513" s="549" t="n">
        <f aca="false">IF('(1)예금승인내역'!AG1139="","",'(1)예금승인내역'!AG1139)</f>
        <v>0.0315</v>
      </c>
      <c r="U513" s="549" t="n">
        <f aca="false">IF('(1)예금승인내역'!X1139="","",'(1)예금승인내역'!X1139)</f>
        <v>0.004125</v>
      </c>
      <c r="V513" s="531" t="n">
        <f aca="false">IF(ISNUMBER(N513),N513-$B$2,"")</f>
        <v>-103</v>
      </c>
      <c r="W513" s="531" t="str">
        <f aca="false">IF(AND(ISNUMBER(N513),N513&gt;=$B$2,N513&lt;=$B$2+10),N513*100000+ROW(),"")</f>
        <v/>
      </c>
      <c r="X513" s="531"/>
      <c r="Y513" s="531"/>
      <c r="Z513" s="531"/>
      <c r="AA513" s="531"/>
      <c r="AB513" s="531"/>
      <c r="AC513" s="531"/>
      <c r="AD513" s="531"/>
      <c r="AE513" s="531"/>
      <c r="AF513" s="531"/>
      <c r="AG513" s="531"/>
      <c r="AH513" s="531"/>
      <c r="AI513" s="531"/>
      <c r="AJ513" s="531"/>
      <c r="AK513" s="531"/>
      <c r="AL513" s="531"/>
      <c r="AM513" s="531"/>
      <c r="AN513" s="531"/>
    </row>
    <row r="514" customFormat="false" ht="16.5" hidden="false" customHeight="true" outlineLevel="0" collapsed="false">
      <c r="A514" s="531"/>
      <c r="B514" s="531"/>
      <c r="C514" s="531"/>
      <c r="D514" s="531"/>
      <c r="E514" s="531"/>
      <c r="F514" s="531"/>
      <c r="G514" s="531"/>
      <c r="H514" s="531"/>
      <c r="I514" s="531"/>
      <c r="J514" s="531"/>
      <c r="K514" s="531"/>
      <c r="L514" s="531"/>
      <c r="M514" s="531"/>
      <c r="N514" s="547" t="n">
        <f aca="false">IF('(1)예금승인내역'!H1140="","",'(1)예금승인내역'!H1140)</f>
        <v>46086</v>
      </c>
      <c r="O514" s="547" t="n">
        <f aca="false">IF('(1)예금승인내역'!G1140="","",'(1)예금승인내역'!G1140)</f>
        <v>46058</v>
      </c>
      <c r="P514" s="531" t="str">
        <f aca="false">IF('(1)예금승인내역'!F1140="","",'(1)예금승인내역'!F1140)</f>
        <v>동화인더스트리</v>
      </c>
      <c r="Q514" s="531" t="str">
        <f aca="false">IF('(1)예금승인내역'!C1140="","",'(1)예금승인내역'!C1140)</f>
        <v>중동지점</v>
      </c>
      <c r="R514" s="531" t="str">
        <f aca="false">IF('(1)예금승인내역'!K1140="","",'(1)예금승인내역'!K1140)</f>
        <v>정기예금</v>
      </c>
      <c r="S514" s="548" t="n">
        <f aca="false">IF('(1)예금승인내역'!L1140="","",'(1)예금승인내역'!L1140)</f>
        <v>2</v>
      </c>
      <c r="T514" s="549" t="n">
        <f aca="false">IF('(1)예금승인내역'!AG1140="","",'(1)예금승인내역'!AG1140)</f>
        <v>0.034</v>
      </c>
      <c r="U514" s="549" t="n">
        <f aca="false">IF('(1)예금승인내역'!X1140="","",'(1)예금승인내역'!X1140)</f>
        <v>0.002991</v>
      </c>
      <c r="V514" s="531" t="n">
        <f aca="false">IF(ISNUMBER(N514),N514-$B$2,"")</f>
        <v>-103</v>
      </c>
      <c r="W514" s="531" t="str">
        <f aca="false">IF(AND(ISNUMBER(N514),N514&gt;=$B$2,N514&lt;=$B$2+10),N514*100000+ROW(),"")</f>
        <v/>
      </c>
      <c r="X514" s="531"/>
      <c r="Y514" s="531"/>
      <c r="Z514" s="531"/>
      <c r="AA514" s="531"/>
      <c r="AB514" s="531"/>
      <c r="AC514" s="531"/>
      <c r="AD514" s="531"/>
      <c r="AE514" s="531"/>
      <c r="AF514" s="531"/>
      <c r="AG514" s="531"/>
      <c r="AH514" s="531"/>
      <c r="AI514" s="531"/>
      <c r="AJ514" s="531"/>
      <c r="AK514" s="531"/>
      <c r="AL514" s="531"/>
      <c r="AM514" s="531"/>
      <c r="AN514" s="531"/>
    </row>
    <row r="515" customFormat="false" ht="16.5" hidden="false" customHeight="true" outlineLevel="0" collapsed="false">
      <c r="A515" s="531"/>
      <c r="B515" s="531"/>
      <c r="C515" s="531"/>
      <c r="D515" s="531"/>
      <c r="E515" s="531"/>
      <c r="F515" s="531"/>
      <c r="G515" s="531"/>
      <c r="H515" s="531"/>
      <c r="I515" s="531"/>
      <c r="J515" s="531"/>
      <c r="K515" s="531"/>
      <c r="L515" s="531"/>
      <c r="M515" s="531"/>
      <c r="N515" s="547" t="n">
        <f aca="false">IF('(1)예금승인내역'!H1141="","",'(1)예금승인내역'!H1141)</f>
        <v>46091</v>
      </c>
      <c r="O515" s="547" t="n">
        <f aca="false">IF('(1)예금승인내역'!G1141="","",'(1)예금승인내역'!G1141)</f>
        <v>46063</v>
      </c>
      <c r="P515" s="531" t="str">
        <f aca="false">IF('(1)예금승인내역'!F1141="","",'(1)예금승인내역'!F1141)</f>
        <v>오스템임플란트㈜</v>
      </c>
      <c r="Q515" s="531" t="str">
        <f aca="false">IF('(1)예금승인내역'!C1141="","",'(1)예금승인내역'!C1141)</f>
        <v>성남금융센터</v>
      </c>
      <c r="R515" s="531" t="str">
        <f aca="false">IF('(1)예금승인내역'!K1141="","",'(1)예금승인내역'!K1141)</f>
        <v>MMDA</v>
      </c>
      <c r="S515" s="548" t="n">
        <f aca="false">IF('(1)예금승인내역'!L1141="","",'(1)예금승인내역'!L1141)</f>
        <v>1</v>
      </c>
      <c r="T515" s="549" t="n">
        <f aca="false">IF('(1)예금승인내역'!AG1141="","",'(1)예금승인내역'!AG1141)</f>
        <v>0.032</v>
      </c>
      <c r="U515" s="549" t="n">
        <f aca="false">IF('(1)예금승인내역'!X1141="","",'(1)예금승인내역'!X1141)</f>
        <v>0.00368</v>
      </c>
      <c r="V515" s="531" t="n">
        <f aca="false">IF(ISNUMBER(N515),N515-$B$2,"")</f>
        <v>-98</v>
      </c>
      <c r="W515" s="531" t="str">
        <f aca="false">IF(AND(ISNUMBER(N515),N515&gt;=$B$2,N515&lt;=$B$2+10),N515*100000+ROW(),"")</f>
        <v/>
      </c>
      <c r="X515" s="531"/>
      <c r="Y515" s="531"/>
      <c r="Z515" s="531"/>
      <c r="AA515" s="531"/>
      <c r="AB515" s="531"/>
      <c r="AC515" s="531"/>
      <c r="AD515" s="531"/>
      <c r="AE515" s="531"/>
      <c r="AF515" s="531"/>
      <c r="AG515" s="531"/>
      <c r="AH515" s="531"/>
      <c r="AI515" s="531"/>
      <c r="AJ515" s="531"/>
      <c r="AK515" s="531"/>
      <c r="AL515" s="531"/>
      <c r="AM515" s="531"/>
      <c r="AN515" s="531"/>
    </row>
    <row r="516" customFormat="false" ht="16.5" hidden="false" customHeight="true" outlineLevel="0" collapsed="false">
      <c r="A516" s="531"/>
      <c r="B516" s="531"/>
      <c r="C516" s="531"/>
      <c r="D516" s="531"/>
      <c r="E516" s="531"/>
      <c r="F516" s="531"/>
      <c r="G516" s="531"/>
      <c r="H516" s="531"/>
      <c r="I516" s="531"/>
      <c r="J516" s="531"/>
      <c r="K516" s="531"/>
      <c r="L516" s="531"/>
      <c r="M516" s="531"/>
      <c r="N516" s="547" t="n">
        <f aca="false">IF('(1)예금승인내역'!H1142="","",'(1)예금승인내역'!H1142)</f>
        <v>46093</v>
      </c>
      <c r="O516" s="547" t="n">
        <f aca="false">IF('(1)예금승인내역'!G1142="","",'(1)예금승인내역'!G1142)</f>
        <v>46065</v>
      </c>
      <c r="P516" s="531" t="str">
        <f aca="false">IF('(1)예금승인내역'!F1142="","",'(1)예금승인내역'!F1142)</f>
        <v>㈜이수스페셜티케미컬</v>
      </c>
      <c r="Q516" s="531" t="str">
        <f aca="false">IF('(1)예금승인내역'!C1142="","",'(1)예금승인내역'!C1142)</f>
        <v>성남영업부</v>
      </c>
      <c r="R516" s="531" t="str">
        <f aca="false">IF('(1)예금승인내역'!K1142="","",'(1)예금승인내역'!K1142)</f>
        <v>MMDA</v>
      </c>
      <c r="S516" s="548" t="n">
        <f aca="false">IF('(1)예금승인내역'!L1142="","",'(1)예금승인내역'!L1142)</f>
        <v>5.74</v>
      </c>
      <c r="T516" s="549" t="n">
        <f aca="false">IF('(1)예금승인내역'!AG1142="","",'(1)예금승인내역'!AG1142)</f>
        <v>0.032</v>
      </c>
      <c r="U516" s="549" t="n">
        <f aca="false">IF('(1)예금승인내역'!X1142="","",'(1)예금승인내역'!X1142)</f>
        <v>0.003653</v>
      </c>
      <c r="V516" s="531" t="n">
        <f aca="false">IF(ISNUMBER(N516),N516-$B$2,"")</f>
        <v>-96</v>
      </c>
      <c r="W516" s="531" t="str">
        <f aca="false">IF(AND(ISNUMBER(N516),N516&gt;=$B$2,N516&lt;=$B$2+10),N516*100000+ROW(),"")</f>
        <v/>
      </c>
      <c r="X516" s="531"/>
      <c r="Y516" s="531"/>
      <c r="Z516" s="531"/>
      <c r="AA516" s="531"/>
      <c r="AB516" s="531"/>
      <c r="AC516" s="531"/>
      <c r="AD516" s="531"/>
      <c r="AE516" s="531"/>
      <c r="AF516" s="531"/>
      <c r="AG516" s="531"/>
      <c r="AH516" s="531"/>
      <c r="AI516" s="531"/>
      <c r="AJ516" s="531"/>
      <c r="AK516" s="531"/>
      <c r="AL516" s="531"/>
      <c r="AM516" s="531"/>
      <c r="AN516" s="531"/>
    </row>
    <row r="517" customFormat="false" ht="16.5" hidden="false" customHeight="true" outlineLevel="0" collapsed="false">
      <c r="A517" s="531"/>
      <c r="B517" s="531"/>
      <c r="C517" s="531"/>
      <c r="D517" s="531"/>
      <c r="E517" s="531"/>
      <c r="F517" s="531"/>
      <c r="G517" s="531"/>
      <c r="H517" s="531"/>
      <c r="I517" s="531"/>
      <c r="J517" s="531"/>
      <c r="K517" s="531"/>
      <c r="L517" s="531"/>
      <c r="M517" s="531"/>
      <c r="N517" s="547" t="n">
        <f aca="false">IF('(1)예금승인내역'!H1143="","",'(1)예금승인내역'!H1143)</f>
        <v>46093</v>
      </c>
      <c r="O517" s="547" t="n">
        <f aca="false">IF('(1)예금승인내역'!G1143="","",'(1)예금승인내역'!G1143)</f>
        <v>46065</v>
      </c>
      <c r="P517" s="531" t="str">
        <f aca="false">IF('(1)예금승인내역'!F1143="","",'(1)예금승인내역'!F1143)</f>
        <v>㈜현대그린푸드</v>
      </c>
      <c r="Q517" s="531" t="str">
        <f aca="false">IF('(1)예금승인내역'!C1143="","",'(1)예금승인내역'!C1143)</f>
        <v>성남영업부</v>
      </c>
      <c r="R517" s="531" t="str">
        <f aca="false">IF('(1)예금승인내역'!K1143="","",'(1)예금승인내역'!K1143)</f>
        <v>MMDA</v>
      </c>
      <c r="S517" s="548" t="n">
        <f aca="false">IF('(1)예금승인내역'!L1143="","",'(1)예금승인내역'!L1143)</f>
        <v>1.82</v>
      </c>
      <c r="T517" s="549" t="n">
        <f aca="false">IF('(1)예금승인내역'!AG1143="","",'(1)예금승인내역'!AG1143)</f>
        <v>0.032</v>
      </c>
      <c r="U517" s="549" t="n">
        <f aca="false">IF('(1)예금승인내역'!X1143="","",'(1)예금승인내역'!X1143)</f>
        <v>0.003653</v>
      </c>
      <c r="V517" s="531" t="n">
        <f aca="false">IF(ISNUMBER(N517),N517-$B$2,"")</f>
        <v>-96</v>
      </c>
      <c r="W517" s="531" t="str">
        <f aca="false">IF(AND(ISNUMBER(N517),N517&gt;=$B$2,N517&lt;=$B$2+10),N517*100000+ROW(),"")</f>
        <v/>
      </c>
      <c r="X517" s="531"/>
      <c r="Y517" s="531"/>
      <c r="Z517" s="531"/>
      <c r="AA517" s="531"/>
      <c r="AB517" s="531"/>
      <c r="AC517" s="531"/>
      <c r="AD517" s="531"/>
      <c r="AE517" s="531"/>
      <c r="AF517" s="531"/>
      <c r="AG517" s="531"/>
      <c r="AH517" s="531"/>
      <c r="AI517" s="531"/>
      <c r="AJ517" s="531"/>
      <c r="AK517" s="531"/>
      <c r="AL517" s="531"/>
      <c r="AM517" s="531"/>
      <c r="AN517" s="531"/>
    </row>
    <row r="518" customFormat="false" ht="16.5" hidden="false" customHeight="true" outlineLevel="0" collapsed="false">
      <c r="A518" s="531"/>
      <c r="B518" s="531"/>
      <c r="C518" s="531"/>
      <c r="D518" s="531"/>
      <c r="E518" s="531"/>
      <c r="F518" s="531"/>
      <c r="G518" s="531"/>
      <c r="H518" s="531"/>
      <c r="I518" s="531"/>
      <c r="J518" s="531"/>
      <c r="K518" s="531"/>
      <c r="L518" s="531"/>
      <c r="M518" s="531"/>
      <c r="N518" s="547" t="n">
        <f aca="false">IF('(1)예금승인내역'!H1144="","",'(1)예금승인내역'!H1144)</f>
        <v>46156</v>
      </c>
      <c r="O518" s="547" t="n">
        <f aca="false">IF('(1)예금승인내역'!G1144="","",'(1)예금승인내역'!G1144)</f>
        <v>46065</v>
      </c>
      <c r="P518" s="531" t="str">
        <f aca="false">IF('(1)예금승인내역'!F1144="","",'(1)예금승인내역'!F1144)</f>
        <v>미래나노텍㈜</v>
      </c>
      <c r="Q518" s="531" t="str">
        <f aca="false">IF('(1)예금승인내역'!C1144="","",'(1)예금승인내역'!C1144)</f>
        <v>본점PB센터</v>
      </c>
      <c r="R518" s="531" t="str">
        <f aca="false">IF('(1)예금승인내역'!K1144="","",'(1)예금승인내역'!K1144)</f>
        <v>정기예금</v>
      </c>
      <c r="S518" s="548" t="n">
        <f aca="false">IF('(1)예금승인내역'!L1144="","",'(1)예금승인내역'!L1144)</f>
        <v>2.05</v>
      </c>
      <c r="T518" s="549" t="n">
        <f aca="false">IF('(1)예금승인내역'!AG1144="","",'(1)예금승인내역'!AG1144)</f>
        <v>0.0355</v>
      </c>
      <c r="U518" s="549" t="n">
        <f aca="false">IF('(1)예금승인내역'!X1144="","",'(1)예금승인내역'!X1144)</f>
        <v>0.002793</v>
      </c>
      <c r="V518" s="531" t="n">
        <f aca="false">IF(ISNUMBER(N518),N518-$B$2,"")</f>
        <v>-33</v>
      </c>
      <c r="W518" s="531" t="str">
        <f aca="false">IF(AND(ISNUMBER(N518),N518&gt;=$B$2,N518&lt;=$B$2+10),N518*100000+ROW(),"")</f>
        <v/>
      </c>
      <c r="X518" s="531"/>
      <c r="Y518" s="531"/>
      <c r="Z518" s="531"/>
      <c r="AA518" s="531"/>
      <c r="AB518" s="531"/>
      <c r="AC518" s="531"/>
      <c r="AD518" s="531"/>
      <c r="AE518" s="531"/>
      <c r="AF518" s="531"/>
      <c r="AG518" s="531"/>
      <c r="AH518" s="531"/>
      <c r="AI518" s="531"/>
      <c r="AJ518" s="531"/>
      <c r="AK518" s="531"/>
      <c r="AL518" s="531"/>
      <c r="AM518" s="531"/>
      <c r="AN518" s="531"/>
    </row>
    <row r="519" customFormat="false" ht="16.5" hidden="false" customHeight="true" outlineLevel="0" collapsed="false">
      <c r="A519" s="531"/>
      <c r="B519" s="531"/>
      <c r="C519" s="531"/>
      <c r="D519" s="531"/>
      <c r="E519" s="531"/>
      <c r="F519" s="531"/>
      <c r="G519" s="531"/>
      <c r="H519" s="531"/>
      <c r="I519" s="531"/>
      <c r="J519" s="531"/>
      <c r="K519" s="531"/>
      <c r="L519" s="531"/>
      <c r="M519" s="531"/>
      <c r="N519" s="547" t="n">
        <f aca="false">IF('(1)예금승인내역'!H1145="","",'(1)예금승인내역'!H1145)</f>
        <v>46094</v>
      </c>
      <c r="O519" s="547" t="n">
        <f aca="false">IF('(1)예금승인내역'!G1145="","",'(1)예금승인내역'!G1145)</f>
        <v>46066</v>
      </c>
      <c r="P519" s="531" t="str">
        <f aca="false">IF('(1)예금승인내역'!F1145="","",'(1)예금승인내역'!F1145)</f>
        <v>서울산업 </v>
      </c>
      <c r="Q519" s="531" t="str">
        <f aca="false">IF('(1)예금승인내역'!C1145="","",'(1)예금승인내역'!C1145)</f>
        <v>화성금융센터</v>
      </c>
      <c r="R519" s="531" t="str">
        <f aca="false">IF('(1)예금승인내역'!K1145="","",'(1)예금승인내역'!K1145)</f>
        <v>MMDA</v>
      </c>
      <c r="S519" s="548" t="n">
        <f aca="false">IF('(1)예금승인내역'!L1145="","",'(1)예금승인내역'!L1145)</f>
        <v>2</v>
      </c>
      <c r="T519" s="549" t="n">
        <f aca="false">IF('(1)예금승인내역'!AG1145="","",'(1)예금승인내역'!AG1145)</f>
        <v>0.0315</v>
      </c>
      <c r="U519" s="549" t="n">
        <f aca="false">IF('(1)예금승인내역'!X1145="","",'(1)예금승인내역'!X1145)</f>
        <v>0.004123</v>
      </c>
      <c r="V519" s="531" t="n">
        <f aca="false">IF(ISNUMBER(N519),N519-$B$2,"")</f>
        <v>-95</v>
      </c>
      <c r="W519" s="531" t="str">
        <f aca="false">IF(AND(ISNUMBER(N519),N519&gt;=$B$2,N519&lt;=$B$2+10),N519*100000+ROW(),"")</f>
        <v/>
      </c>
      <c r="X519" s="531"/>
      <c r="Y519" s="531"/>
      <c r="Z519" s="531"/>
      <c r="AA519" s="531"/>
      <c r="AB519" s="531"/>
      <c r="AC519" s="531"/>
      <c r="AD519" s="531"/>
      <c r="AE519" s="531"/>
      <c r="AF519" s="531"/>
      <c r="AG519" s="531"/>
      <c r="AH519" s="531"/>
      <c r="AI519" s="531"/>
      <c r="AJ519" s="531"/>
      <c r="AK519" s="531"/>
      <c r="AL519" s="531"/>
      <c r="AM519" s="531"/>
      <c r="AN519" s="531"/>
    </row>
    <row r="520" customFormat="false" ht="16.5" hidden="false" customHeight="true" outlineLevel="0" collapsed="false">
      <c r="A520" s="531"/>
      <c r="B520" s="531"/>
      <c r="C520" s="531"/>
      <c r="D520" s="531"/>
      <c r="E520" s="531"/>
      <c r="F520" s="531"/>
      <c r="G520" s="531"/>
      <c r="H520" s="531"/>
      <c r="I520" s="531"/>
      <c r="J520" s="531"/>
      <c r="K520" s="531"/>
      <c r="L520" s="531"/>
      <c r="M520" s="531"/>
      <c r="N520" s="547" t="n">
        <f aca="false">IF('(1)예금승인내역'!H1146="","",'(1)예금승인내역'!H1146)</f>
        <v>46155</v>
      </c>
      <c r="O520" s="547" t="n">
        <f aca="false">IF('(1)예금승인내역'!G1146="","",'(1)예금승인내역'!G1146)</f>
        <v>46066</v>
      </c>
      <c r="P520" s="531" t="str">
        <f aca="false">IF('(1)예금승인내역'!F1146="","",'(1)예금승인내역'!F1146)</f>
        <v>해내다컨트리클럽</v>
      </c>
      <c r="Q520" s="531" t="str">
        <f aca="false">IF('(1)예금승인내역'!C1146="","",'(1)예금승인내역'!C1146)</f>
        <v>달성공단영업부</v>
      </c>
      <c r="R520" s="531" t="str">
        <f aca="false">IF('(1)예금승인내역'!K1146="","",'(1)예금승인내역'!K1146)</f>
        <v>정기예금</v>
      </c>
      <c r="S520" s="548" t="n">
        <f aca="false">IF('(1)예금승인내역'!L1146="","",'(1)예금승인내역'!L1146)</f>
        <v>1.44</v>
      </c>
      <c r="T520" s="549" t="n">
        <f aca="false">IF('(1)예금승인내역'!AG1146="","",'(1)예금승인내역'!AG1146)</f>
        <v>0.0355</v>
      </c>
      <c r="U520" s="549" t="n">
        <f aca="false">IF('(1)예금승인내역'!X1146="","",'(1)예금승인내역'!X1146)</f>
        <v>0.002693</v>
      </c>
      <c r="V520" s="531" t="n">
        <f aca="false">IF(ISNUMBER(N520),N520-$B$2,"")</f>
        <v>-34</v>
      </c>
      <c r="W520" s="531" t="str">
        <f aca="false">IF(AND(ISNUMBER(N520),N520&gt;=$B$2,N520&lt;=$B$2+10),N520*100000+ROW(),"")</f>
        <v/>
      </c>
      <c r="X520" s="531"/>
      <c r="Y520" s="531"/>
      <c r="Z520" s="531"/>
      <c r="AA520" s="531"/>
      <c r="AB520" s="531"/>
      <c r="AC520" s="531"/>
      <c r="AD520" s="531"/>
      <c r="AE520" s="531"/>
      <c r="AF520" s="531"/>
      <c r="AG520" s="531"/>
      <c r="AH520" s="531"/>
      <c r="AI520" s="531"/>
      <c r="AJ520" s="531"/>
      <c r="AK520" s="531"/>
      <c r="AL520" s="531"/>
      <c r="AM520" s="531"/>
      <c r="AN520" s="531"/>
    </row>
    <row r="521" customFormat="false" ht="16.5" hidden="false" customHeight="true" outlineLevel="0" collapsed="false">
      <c r="A521" s="531"/>
      <c r="B521" s="531"/>
      <c r="C521" s="531"/>
      <c r="D521" s="531"/>
      <c r="E521" s="531"/>
      <c r="F521" s="531"/>
      <c r="G521" s="531"/>
      <c r="H521" s="531"/>
      <c r="I521" s="531"/>
      <c r="J521" s="531"/>
      <c r="K521" s="531"/>
      <c r="L521" s="531"/>
      <c r="M521" s="531"/>
      <c r="N521" s="547" t="n">
        <f aca="false">IF('(1)예금승인내역'!H1147="","",'(1)예금승인내역'!H1147)</f>
        <v>46155</v>
      </c>
      <c r="O521" s="547" t="n">
        <f aca="false">IF('(1)예금승인내역'!G1147="","",'(1)예금승인내역'!G1147)</f>
        <v>46066</v>
      </c>
      <c r="P521" s="531" t="str">
        <f aca="false">IF('(1)예금승인내역'!F1147="","",'(1)예금승인내역'!F1147)</f>
        <v>동아홀딩스</v>
      </c>
      <c r="Q521" s="531" t="str">
        <f aca="false">IF('(1)예금승인내역'!C1147="","",'(1)예금승인내역'!C1147)</f>
        <v>달성공단영업부</v>
      </c>
      <c r="R521" s="531" t="str">
        <f aca="false">IF('(1)예금승인내역'!K1147="","",'(1)예금승인내역'!K1147)</f>
        <v>정기예금</v>
      </c>
      <c r="S521" s="548" t="n">
        <f aca="false">IF('(1)예금승인내역'!L1147="","",'(1)예금승인내역'!L1147)</f>
        <v>1.44</v>
      </c>
      <c r="T521" s="549" t="n">
        <f aca="false">IF('(1)예금승인내역'!AG1147="","",'(1)예금승인내역'!AG1147)</f>
        <v>0.0355</v>
      </c>
      <c r="U521" s="549" t="n">
        <f aca="false">IF('(1)예금승인내역'!X1147="","",'(1)예금승인내역'!X1147)</f>
        <v>0.002693</v>
      </c>
      <c r="V521" s="531" t="n">
        <f aca="false">IF(ISNUMBER(N521),N521-$B$2,"")</f>
        <v>-34</v>
      </c>
      <c r="W521" s="531" t="str">
        <f aca="false">IF(AND(ISNUMBER(N521),N521&gt;=$B$2,N521&lt;=$B$2+10),N521*100000+ROW(),"")</f>
        <v/>
      </c>
      <c r="X521" s="531"/>
      <c r="Y521" s="531"/>
      <c r="Z521" s="531"/>
      <c r="AA521" s="531"/>
      <c r="AB521" s="531"/>
      <c r="AC521" s="531"/>
      <c r="AD521" s="531"/>
      <c r="AE521" s="531"/>
      <c r="AF521" s="531"/>
      <c r="AG521" s="531"/>
      <c r="AH521" s="531"/>
      <c r="AI521" s="531"/>
      <c r="AJ521" s="531"/>
      <c r="AK521" s="531"/>
      <c r="AL521" s="531"/>
      <c r="AM521" s="531"/>
      <c r="AN521" s="531"/>
    </row>
    <row r="522" customFormat="false" ht="16.5" hidden="false" customHeight="true" outlineLevel="0" collapsed="false">
      <c r="A522" s="531"/>
      <c r="B522" s="531"/>
      <c r="C522" s="531"/>
      <c r="D522" s="531"/>
      <c r="E522" s="531"/>
      <c r="F522" s="531"/>
      <c r="G522" s="531"/>
      <c r="H522" s="531"/>
      <c r="I522" s="531"/>
      <c r="J522" s="531"/>
      <c r="K522" s="531"/>
      <c r="L522" s="531"/>
      <c r="M522" s="531"/>
      <c r="N522" s="547" t="n">
        <f aca="false">IF('(1)예금승인내역'!H1148="","",'(1)예금승인내역'!H1148)</f>
        <v>46155</v>
      </c>
      <c r="O522" s="547" t="n">
        <f aca="false">IF('(1)예금승인내역'!G1148="","",'(1)예금승인내역'!G1148)</f>
        <v>46066</v>
      </c>
      <c r="P522" s="531" t="str">
        <f aca="false">IF('(1)예금승인내역'!F1148="","",'(1)예금승인내역'!F1148)</f>
        <v>동아홀딩스</v>
      </c>
      <c r="Q522" s="531" t="str">
        <f aca="false">IF('(1)예금승인내역'!C1148="","",'(1)예금승인내역'!C1148)</f>
        <v>달성공단영업부</v>
      </c>
      <c r="R522" s="531" t="str">
        <f aca="false">IF('(1)예금승인내역'!K1148="","",'(1)예금승인내역'!K1148)</f>
        <v>정기예금</v>
      </c>
      <c r="S522" s="548" t="n">
        <f aca="false">IF('(1)예금승인내역'!L1148="","",'(1)예금승인내역'!L1148)</f>
        <v>3.61</v>
      </c>
      <c r="T522" s="549" t="n">
        <f aca="false">IF('(1)예금승인내역'!AG1148="","",'(1)예금승인내역'!AG1148)</f>
        <v>0.0355</v>
      </c>
      <c r="U522" s="549" t="n">
        <f aca="false">IF('(1)예금승인내역'!X1148="","",'(1)예금승인내역'!X1148)</f>
        <v>0.002693</v>
      </c>
      <c r="V522" s="531" t="n">
        <f aca="false">IF(ISNUMBER(N522),N522-$B$2,"")</f>
        <v>-34</v>
      </c>
      <c r="W522" s="531" t="str">
        <f aca="false">IF(AND(ISNUMBER(N522),N522&gt;=$B$2,N522&lt;=$B$2+10),N522*100000+ROW(),"")</f>
        <v/>
      </c>
      <c r="X522" s="531"/>
      <c r="Y522" s="531"/>
      <c r="Z522" s="531"/>
      <c r="AA522" s="531"/>
      <c r="AB522" s="531"/>
      <c r="AC522" s="531"/>
      <c r="AD522" s="531"/>
      <c r="AE522" s="531"/>
      <c r="AF522" s="531"/>
      <c r="AG522" s="531"/>
      <c r="AH522" s="531"/>
      <c r="AI522" s="531"/>
      <c r="AJ522" s="531"/>
      <c r="AK522" s="531"/>
      <c r="AL522" s="531"/>
      <c r="AM522" s="531"/>
      <c r="AN522" s="531"/>
    </row>
    <row r="523" customFormat="false" ht="16.5" hidden="false" customHeight="true" outlineLevel="0" collapsed="false">
      <c r="A523" s="531"/>
      <c r="B523" s="531"/>
      <c r="C523" s="531"/>
      <c r="D523" s="531"/>
      <c r="E523" s="531"/>
      <c r="F523" s="531"/>
      <c r="G523" s="531"/>
      <c r="H523" s="531"/>
      <c r="I523" s="531"/>
      <c r="J523" s="531"/>
      <c r="K523" s="531"/>
      <c r="L523" s="531"/>
      <c r="M523" s="531"/>
      <c r="N523" s="547" t="n">
        <f aca="false">IF('(1)예금승인내역'!H1149="","",'(1)예금승인내역'!H1149)</f>
        <v>46100</v>
      </c>
      <c r="O523" s="547" t="n">
        <f aca="false">IF('(1)예금승인내역'!G1149="","",'(1)예금승인내역'!G1149)</f>
        <v>46072</v>
      </c>
      <c r="P523" s="531" t="str">
        <f aca="false">IF('(1)예금승인내역'!F1149="","",'(1)예금승인내역'!F1149)</f>
        <v>와이엠에스에이</v>
      </c>
      <c r="Q523" s="531" t="str">
        <f aca="false">IF('(1)예금승인내역'!C1149="","",'(1)예금승인내역'!C1149)</f>
        <v>본점영업부</v>
      </c>
      <c r="R523" s="531" t="str">
        <f aca="false">IF('(1)예금승인내역'!K1149="","",'(1)예금승인내역'!K1149)</f>
        <v>MMDA</v>
      </c>
      <c r="S523" s="548" t="n">
        <f aca="false">IF('(1)예금승인내역'!L1149="","",'(1)예금승인내역'!L1149)</f>
        <v>5.48</v>
      </c>
      <c r="T523" s="549" t="n">
        <f aca="false">IF('(1)예금승인내역'!AG1149="","",'(1)예금승인내역'!AG1149)</f>
        <v>0.032</v>
      </c>
      <c r="U523" s="549" t="n">
        <f aca="false">IF('(1)예금승인내역'!X1149="","",'(1)예금승인내역'!X1149)</f>
        <v>0.003713</v>
      </c>
      <c r="V523" s="531" t="n">
        <f aca="false">IF(ISNUMBER(N523),N523-$B$2,"")</f>
        <v>-89</v>
      </c>
      <c r="W523" s="531" t="str">
        <f aca="false">IF(AND(ISNUMBER(N523),N523&gt;=$B$2,N523&lt;=$B$2+10),N523*100000+ROW(),"")</f>
        <v/>
      </c>
      <c r="X523" s="531"/>
      <c r="Y523" s="531"/>
      <c r="Z523" s="531"/>
      <c r="AA523" s="531"/>
      <c r="AB523" s="531"/>
      <c r="AC523" s="531"/>
      <c r="AD523" s="531"/>
      <c r="AE523" s="531"/>
      <c r="AF523" s="531"/>
      <c r="AG523" s="531"/>
      <c r="AH523" s="531"/>
      <c r="AI523" s="531"/>
      <c r="AJ523" s="531"/>
      <c r="AK523" s="531"/>
      <c r="AL523" s="531"/>
      <c r="AM523" s="531"/>
      <c r="AN523" s="531"/>
    </row>
    <row r="524" customFormat="false" ht="16.5" hidden="false" customHeight="true" outlineLevel="0" collapsed="false">
      <c r="A524" s="531"/>
      <c r="B524" s="531"/>
      <c r="C524" s="531"/>
      <c r="D524" s="531"/>
      <c r="E524" s="531"/>
      <c r="F524" s="531"/>
      <c r="G524" s="531"/>
      <c r="H524" s="531"/>
      <c r="I524" s="531"/>
      <c r="J524" s="531"/>
      <c r="K524" s="531"/>
      <c r="L524" s="531"/>
      <c r="M524" s="531"/>
      <c r="N524" s="547" t="n">
        <f aca="false">IF('(1)예금승인내역'!H1150="","",'(1)예금승인내역'!H1150)</f>
        <v>46100</v>
      </c>
      <c r="O524" s="547" t="n">
        <f aca="false">IF('(1)예금승인내역'!G1150="","",'(1)예금승인내역'!G1150)</f>
        <v>46072</v>
      </c>
      <c r="P524" s="531" t="str">
        <f aca="false">IF('(1)예금승인내역'!F1150="","",'(1)예금승인내역'!F1150)</f>
        <v>㈜약진통상</v>
      </c>
      <c r="Q524" s="531" t="str">
        <f aca="false">IF('(1)예금승인내역'!C1150="","",'(1)예금승인내역'!C1150)</f>
        <v>반월공단영업부</v>
      </c>
      <c r="R524" s="531" t="str">
        <f aca="false">IF('(1)예금승인내역'!K1150="","",'(1)예금승인내역'!K1150)</f>
        <v>MMDA</v>
      </c>
      <c r="S524" s="548" t="n">
        <f aca="false">IF('(1)예금승인내역'!L1150="","",'(1)예금승인내역'!L1150)</f>
        <v>6.48</v>
      </c>
      <c r="T524" s="549" t="n">
        <f aca="false">IF('(1)예금승인내역'!AG1150="","",'(1)예금승인내역'!AG1150)</f>
        <v>0.032</v>
      </c>
      <c r="U524" s="549" t="n">
        <f aca="false">IF('(1)예금승인내역'!X1150="","",'(1)예금승인내역'!X1150)</f>
        <v>0.003713</v>
      </c>
      <c r="V524" s="531" t="n">
        <f aca="false">IF(ISNUMBER(N524),N524-$B$2,"")</f>
        <v>-89</v>
      </c>
      <c r="W524" s="531" t="str">
        <f aca="false">IF(AND(ISNUMBER(N524),N524&gt;=$B$2,N524&lt;=$B$2+10),N524*100000+ROW(),"")</f>
        <v/>
      </c>
      <c r="X524" s="531"/>
      <c r="Y524" s="531"/>
      <c r="Z524" s="531"/>
      <c r="AA524" s="531"/>
      <c r="AB524" s="531"/>
      <c r="AC524" s="531"/>
      <c r="AD524" s="531"/>
      <c r="AE524" s="531"/>
      <c r="AF524" s="531"/>
      <c r="AG524" s="531"/>
      <c r="AH524" s="531"/>
      <c r="AI524" s="531"/>
      <c r="AJ524" s="531"/>
      <c r="AK524" s="531"/>
      <c r="AL524" s="531"/>
      <c r="AM524" s="531"/>
      <c r="AN524" s="531"/>
    </row>
    <row r="525" customFormat="false" ht="16.5" hidden="false" customHeight="true" outlineLevel="0" collapsed="false">
      <c r="A525" s="531"/>
      <c r="B525" s="531"/>
      <c r="C525" s="531"/>
      <c r="D525" s="531"/>
      <c r="E525" s="531"/>
      <c r="F525" s="531"/>
      <c r="G525" s="531"/>
      <c r="H525" s="531"/>
      <c r="I525" s="531"/>
      <c r="J525" s="531"/>
      <c r="K525" s="531"/>
      <c r="L525" s="531"/>
      <c r="M525" s="531"/>
      <c r="N525" s="547" t="n">
        <f aca="false">IF('(1)예금승인내역'!H1151="","",'(1)예금승인내역'!H1151)</f>
        <v>46101</v>
      </c>
      <c r="O525" s="547" t="n">
        <f aca="false">IF('(1)예금승인내역'!G1151="","",'(1)예금승인내역'!G1151)</f>
        <v>46072</v>
      </c>
      <c r="P525" s="531" t="str">
        <f aca="false">IF('(1)예금승인내역'!F1151="","",'(1)예금승인내역'!F1151)</f>
        <v>대원지에스아이</v>
      </c>
      <c r="Q525" s="531" t="str">
        <f aca="false">IF('(1)예금승인내역'!C1151="","",'(1)예금승인내역'!C1151)</f>
        <v>유통단지영업부</v>
      </c>
      <c r="R525" s="531" t="str">
        <f aca="false">IF('(1)예금승인내역'!K1151="","",'(1)예금승인내역'!K1151)</f>
        <v>정기예금</v>
      </c>
      <c r="S525" s="548" t="n">
        <f aca="false">IF('(1)예금승인내역'!L1151="","",'(1)예금승인내역'!L1151)</f>
        <v>1.5</v>
      </c>
      <c r="T525" s="549" t="n">
        <f aca="false">IF('(1)예금승인내역'!AG1151="","",'(1)예금승인내역'!AG1151)</f>
        <v>0.0345</v>
      </c>
      <c r="U525" s="549" t="n">
        <f aca="false">IF('(1)예금승인내역'!X1151="","",'(1)예금승인내역'!X1151)</f>
        <v>0.002659</v>
      </c>
      <c r="V525" s="531" t="n">
        <f aca="false">IF(ISNUMBER(N525),N525-$B$2,"")</f>
        <v>-88</v>
      </c>
      <c r="W525" s="531" t="str">
        <f aca="false">IF(AND(ISNUMBER(N525),N525&gt;=$B$2,N525&lt;=$B$2+10),N525*100000+ROW(),"")</f>
        <v/>
      </c>
      <c r="X525" s="531"/>
      <c r="Y525" s="531"/>
      <c r="Z525" s="531"/>
      <c r="AA525" s="531"/>
      <c r="AB525" s="531"/>
      <c r="AC525" s="531"/>
      <c r="AD525" s="531"/>
      <c r="AE525" s="531"/>
      <c r="AF525" s="531"/>
      <c r="AG525" s="531"/>
      <c r="AH525" s="531"/>
      <c r="AI525" s="531"/>
      <c r="AJ525" s="531"/>
      <c r="AK525" s="531"/>
      <c r="AL525" s="531"/>
      <c r="AM525" s="531"/>
      <c r="AN525" s="531"/>
    </row>
    <row r="526" customFormat="false" ht="16.5" hidden="false" customHeight="true" outlineLevel="0" collapsed="false">
      <c r="A526" s="531"/>
      <c r="B526" s="531"/>
      <c r="C526" s="531"/>
      <c r="D526" s="531"/>
      <c r="E526" s="531"/>
      <c r="F526" s="531"/>
      <c r="G526" s="531"/>
      <c r="H526" s="531"/>
      <c r="I526" s="531"/>
      <c r="J526" s="531"/>
      <c r="K526" s="531"/>
      <c r="L526" s="531"/>
      <c r="M526" s="531"/>
      <c r="N526" s="547" t="n">
        <f aca="false">IF('(1)예금승인내역'!H1152="","",'(1)예금승인내역'!H1152)</f>
        <v>46100</v>
      </c>
      <c r="O526" s="547" t="n">
        <f aca="false">IF('(1)예금승인내역'!G1152="","",'(1)예금승인내역'!G1152)</f>
        <v>46072</v>
      </c>
      <c r="P526" s="531" t="str">
        <f aca="false">IF('(1)예금승인내역'!F1152="","",'(1)예금승인내역'!F1152)</f>
        <v>㈜일지테크</v>
      </c>
      <c r="Q526" s="531" t="str">
        <f aca="false">IF('(1)예금승인내역'!C1152="","",'(1)예금승인내역'!C1152)</f>
        <v>경산공단영업부</v>
      </c>
      <c r="R526" s="531" t="str">
        <f aca="false">IF('(1)예금승인내역'!K1152="","",'(1)예금승인내역'!K1152)</f>
        <v>MMDA</v>
      </c>
      <c r="S526" s="548" t="n">
        <f aca="false">IF('(1)예금승인내역'!L1152="","",'(1)예금승인내역'!L1152)</f>
        <v>46.54</v>
      </c>
      <c r="T526" s="549" t="n">
        <f aca="false">IF('(1)예금승인내역'!AG1152="","",'(1)예금승인내역'!AG1152)</f>
        <v>0.032</v>
      </c>
      <c r="U526" s="549" t="n">
        <f aca="false">IF('(1)예금승인내역'!X1152="","",'(1)예금승인내역'!X1152)</f>
        <v>0.003713</v>
      </c>
      <c r="V526" s="531" t="n">
        <f aca="false">IF(ISNUMBER(N526),N526-$B$2,"")</f>
        <v>-89</v>
      </c>
      <c r="W526" s="531" t="str">
        <f aca="false">IF(AND(ISNUMBER(N526),N526&gt;=$B$2,N526&lt;=$B$2+10),N526*100000+ROW(),"")</f>
        <v/>
      </c>
      <c r="X526" s="531"/>
      <c r="Y526" s="531"/>
      <c r="Z526" s="531"/>
      <c r="AA526" s="531"/>
      <c r="AB526" s="531"/>
      <c r="AC526" s="531"/>
      <c r="AD526" s="531"/>
      <c r="AE526" s="531"/>
      <c r="AF526" s="531"/>
      <c r="AG526" s="531"/>
      <c r="AH526" s="531"/>
      <c r="AI526" s="531"/>
      <c r="AJ526" s="531"/>
      <c r="AK526" s="531"/>
      <c r="AL526" s="531"/>
      <c r="AM526" s="531"/>
      <c r="AN526" s="531"/>
    </row>
    <row r="527" customFormat="false" ht="16.5" hidden="false" customHeight="true" outlineLevel="0" collapsed="false">
      <c r="A527" s="531"/>
      <c r="B527" s="531"/>
      <c r="C527" s="531"/>
      <c r="D527" s="531"/>
      <c r="E527" s="531"/>
      <c r="F527" s="531"/>
      <c r="G527" s="531"/>
      <c r="H527" s="531"/>
      <c r="I527" s="531"/>
      <c r="J527" s="531"/>
      <c r="K527" s="531"/>
      <c r="L527" s="531"/>
      <c r="M527" s="531"/>
      <c r="N527" s="547" t="n">
        <f aca="false">IF('(1)예금승인내역'!H1153="","",'(1)예금승인내역'!H1153)</f>
        <v>46100</v>
      </c>
      <c r="O527" s="547" t="n">
        <f aca="false">IF('(1)예금승인내역'!G1153="","",'(1)예금승인내역'!G1153)</f>
        <v>46072</v>
      </c>
      <c r="P527" s="531" t="str">
        <f aca="false">IF('(1)예금승인내역'!F1153="","",'(1)예금승인내역'!F1153)</f>
        <v>한국비철㈜</v>
      </c>
      <c r="Q527" s="531" t="str">
        <f aca="false">IF('(1)예금승인내역'!C1153="","",'(1)예금승인내역'!C1153)</f>
        <v>달성공단영업부</v>
      </c>
      <c r="R527" s="531" t="str">
        <f aca="false">IF('(1)예금승인내역'!K1153="","",'(1)예금승인내역'!K1153)</f>
        <v>MMDA</v>
      </c>
      <c r="S527" s="548" t="n">
        <f aca="false">IF('(1)예금승인내역'!L1153="","",'(1)예금승인내역'!L1153)</f>
        <v>4.66</v>
      </c>
      <c r="T527" s="549" t="n">
        <f aca="false">IF('(1)예금승인내역'!AG1153="","",'(1)예금승인내역'!AG1153)</f>
        <v>0.032</v>
      </c>
      <c r="U527" s="549" t="n">
        <f aca="false">IF('(1)예금승인내역'!X1153="","",'(1)예금승인내역'!X1153)</f>
        <v>0.003713</v>
      </c>
      <c r="V527" s="531" t="n">
        <f aca="false">IF(ISNUMBER(N527),N527-$B$2,"")</f>
        <v>-89</v>
      </c>
      <c r="W527" s="531" t="str">
        <f aca="false">IF(AND(ISNUMBER(N527),N527&gt;=$B$2,N527&lt;=$B$2+10),N527*100000+ROW(),"")</f>
        <v/>
      </c>
      <c r="X527" s="531"/>
      <c r="Y527" s="531"/>
      <c r="Z527" s="531"/>
      <c r="AA527" s="531"/>
      <c r="AB527" s="531"/>
      <c r="AC527" s="531"/>
      <c r="AD527" s="531"/>
      <c r="AE527" s="531"/>
      <c r="AF527" s="531"/>
      <c r="AG527" s="531"/>
      <c r="AH527" s="531"/>
      <c r="AI527" s="531"/>
      <c r="AJ527" s="531"/>
      <c r="AK527" s="531"/>
      <c r="AL527" s="531"/>
      <c r="AM527" s="531"/>
      <c r="AN527" s="531"/>
    </row>
    <row r="528" customFormat="false" ht="16.5" hidden="false" customHeight="true" outlineLevel="0" collapsed="false">
      <c r="A528" s="531"/>
      <c r="B528" s="531"/>
      <c r="C528" s="531"/>
      <c r="D528" s="531"/>
      <c r="E528" s="531"/>
      <c r="F528" s="531"/>
      <c r="G528" s="531"/>
      <c r="H528" s="531"/>
      <c r="I528" s="531"/>
      <c r="J528" s="531"/>
      <c r="K528" s="531"/>
      <c r="L528" s="531"/>
      <c r="M528" s="531"/>
      <c r="N528" s="547" t="n">
        <f aca="false">IF('(1)예금승인내역'!H1154="","",'(1)예금승인내역'!H1154)</f>
        <v>46101</v>
      </c>
      <c r="O528" s="547" t="n">
        <f aca="false">IF('(1)예금승인내역'!G1154="","",'(1)예금승인내역'!G1154)</f>
        <v>46073</v>
      </c>
      <c r="P528" s="531" t="str">
        <f aca="false">IF('(1)예금승인내역'!F1154="","",'(1)예금승인내역'!F1154)</f>
        <v>주식회사 한국비앤씨</v>
      </c>
      <c r="Q528" s="531" t="str">
        <f aca="false">IF('(1)예금승인내역'!C1154="","",'(1)예금승인내역'!C1154)</f>
        <v>유통단지영업부</v>
      </c>
      <c r="R528" s="531" t="str">
        <f aca="false">IF('(1)예금승인내역'!K1154="","",'(1)예금승인내역'!K1154)</f>
        <v>MMDA</v>
      </c>
      <c r="S528" s="548" t="n">
        <f aca="false">IF('(1)예금승인내역'!L1154="","",'(1)예금승인내역'!L1154)</f>
        <v>7.36</v>
      </c>
      <c r="T528" s="549" t="n">
        <f aca="false">IF('(1)예금승인내역'!AG1154="","",'(1)예금승인내역'!AG1154)</f>
        <v>0.03</v>
      </c>
      <c r="U528" s="549" t="n">
        <f aca="false">IF('(1)예금승인내역'!X1154="","",'(1)예금승인내역'!X1154)</f>
        <v>0.005713</v>
      </c>
      <c r="V528" s="531" t="n">
        <f aca="false">IF(ISNUMBER(N528),N528-$B$2,"")</f>
        <v>-88</v>
      </c>
      <c r="W528" s="531" t="str">
        <f aca="false">IF(AND(ISNUMBER(N528),N528&gt;=$B$2,N528&lt;=$B$2+10),N528*100000+ROW(),"")</f>
        <v/>
      </c>
      <c r="X528" s="531"/>
      <c r="Y528" s="531"/>
      <c r="Z528" s="531"/>
      <c r="AA528" s="531"/>
      <c r="AB528" s="531"/>
      <c r="AC528" s="531"/>
      <c r="AD528" s="531"/>
      <c r="AE528" s="531"/>
      <c r="AF528" s="531"/>
      <c r="AG528" s="531"/>
      <c r="AH528" s="531"/>
      <c r="AI528" s="531"/>
      <c r="AJ528" s="531"/>
      <c r="AK528" s="531"/>
      <c r="AL528" s="531"/>
      <c r="AM528" s="531"/>
      <c r="AN528" s="531"/>
    </row>
    <row r="529" customFormat="false" ht="16.5" hidden="false" customHeight="true" outlineLevel="0" collapsed="false">
      <c r="A529" s="531"/>
      <c r="B529" s="531"/>
      <c r="C529" s="531"/>
      <c r="D529" s="531"/>
      <c r="E529" s="531"/>
      <c r="F529" s="531"/>
      <c r="G529" s="531"/>
      <c r="H529" s="531"/>
      <c r="I529" s="531"/>
      <c r="J529" s="531"/>
      <c r="K529" s="531"/>
      <c r="L529" s="531"/>
      <c r="M529" s="531"/>
      <c r="N529" s="547" t="n">
        <f aca="false">IF('(1)예금승인내역'!H1155="","",'(1)예금승인내역'!H1155)</f>
        <v>46104</v>
      </c>
      <c r="O529" s="547" t="n">
        <f aca="false">IF('(1)예금승인내역'!G1155="","",'(1)예금승인내역'!G1155)</f>
        <v>46076</v>
      </c>
      <c r="P529" s="531" t="str">
        <f aca="false">IF('(1)예금승인내역'!F1155="","",'(1)예금승인내역'!F1155)</f>
        <v>케이씨에이치에너지㈜</v>
      </c>
      <c r="Q529" s="531" t="str">
        <f aca="false">IF('(1)예금승인내역'!C1155="","",'(1)예금승인내역'!C1155)</f>
        <v>강남영업부</v>
      </c>
      <c r="R529" s="531" t="str">
        <f aca="false">IF('(1)예금승인내역'!K1155="","",'(1)예금승인내역'!K1155)</f>
        <v>MMDA</v>
      </c>
      <c r="S529" s="548" t="n">
        <f aca="false">IF('(1)예금승인내역'!L1155="","",'(1)예금승인내역'!L1155)</f>
        <v>2.46</v>
      </c>
      <c r="T529" s="549" t="n">
        <f aca="false">IF('(1)예금승인내역'!AG1155="","",'(1)예금승인내역'!AG1155)</f>
        <v>0.032</v>
      </c>
      <c r="U529" s="549" t="n">
        <f aca="false">IF('(1)예금승인내역'!X1155="","",'(1)예금승인내역'!X1155)</f>
        <v>0.003848</v>
      </c>
      <c r="V529" s="531" t="n">
        <f aca="false">IF(ISNUMBER(N529),N529-$B$2,"")</f>
        <v>-85</v>
      </c>
      <c r="W529" s="531" t="str">
        <f aca="false">IF(AND(ISNUMBER(N529),N529&gt;=$B$2,N529&lt;=$B$2+10),N529*100000+ROW(),"")</f>
        <v/>
      </c>
      <c r="X529" s="531"/>
      <c r="Y529" s="531"/>
      <c r="Z529" s="531"/>
      <c r="AA529" s="531"/>
      <c r="AB529" s="531"/>
      <c r="AC529" s="531"/>
      <c r="AD529" s="531"/>
      <c r="AE529" s="531"/>
      <c r="AF529" s="531"/>
      <c r="AG529" s="531"/>
      <c r="AH529" s="531"/>
      <c r="AI529" s="531"/>
      <c r="AJ529" s="531"/>
      <c r="AK529" s="531"/>
      <c r="AL529" s="531"/>
      <c r="AM529" s="531"/>
      <c r="AN529" s="531"/>
    </row>
    <row r="530" customFormat="false" ht="16.5" hidden="false" customHeight="true" outlineLevel="0" collapsed="false">
      <c r="A530" s="531"/>
      <c r="B530" s="531"/>
      <c r="C530" s="531"/>
      <c r="D530" s="531"/>
      <c r="E530" s="531"/>
      <c r="F530" s="531"/>
      <c r="G530" s="531"/>
      <c r="H530" s="531"/>
      <c r="I530" s="531"/>
      <c r="J530" s="531"/>
      <c r="K530" s="531"/>
      <c r="L530" s="531"/>
      <c r="M530" s="531"/>
      <c r="N530" s="547" t="n">
        <f aca="false">IF('(1)예금승인내역'!H1156="","",'(1)예금승인내역'!H1156)</f>
        <v>46108</v>
      </c>
      <c r="O530" s="547" t="n">
        <f aca="false">IF('(1)예금승인내역'!G1156="","",'(1)예금승인내역'!G1156)</f>
        <v>46080</v>
      </c>
      <c r="P530" s="531" t="str">
        <f aca="false">IF('(1)예금승인내역'!F1156="","",'(1)예금승인내역'!F1156)</f>
        <v>㈜더블유비엘</v>
      </c>
      <c r="Q530" s="531" t="str">
        <f aca="false">IF('(1)예금승인내역'!C1156="","",'(1)예금승인내역'!C1156)</f>
        <v>가산디지털금융센터</v>
      </c>
      <c r="R530" s="531" t="str">
        <f aca="false">IF('(1)예금승인내역'!K1156="","",'(1)예금승인내역'!K1156)</f>
        <v>MMDA</v>
      </c>
      <c r="S530" s="548" t="n">
        <f aca="false">IF('(1)예금승인내역'!L1156="","",'(1)예금승인내역'!L1156)</f>
        <v>1.5</v>
      </c>
      <c r="T530" s="549" t="n">
        <f aca="false">IF('(1)예금승인내역'!AG1156="","",'(1)예금승인내역'!AG1156)</f>
        <v>0.03</v>
      </c>
      <c r="U530" s="549" t="n">
        <f aca="false">IF('(1)예금승인내역'!X1156="","",'(1)예금승인내역'!X1156)</f>
        <v>0.005869</v>
      </c>
      <c r="V530" s="531" t="n">
        <f aca="false">IF(ISNUMBER(N530),N530-$B$2,"")</f>
        <v>-81</v>
      </c>
      <c r="W530" s="531" t="str">
        <f aca="false">IF(AND(ISNUMBER(N530),N530&gt;=$B$2,N530&lt;=$B$2+10),N530*100000+ROW(),"")</f>
        <v/>
      </c>
      <c r="X530" s="531"/>
      <c r="Y530" s="531"/>
      <c r="Z530" s="531"/>
      <c r="AA530" s="531"/>
      <c r="AB530" s="531"/>
      <c r="AC530" s="531"/>
      <c r="AD530" s="531"/>
      <c r="AE530" s="531"/>
      <c r="AF530" s="531"/>
      <c r="AG530" s="531"/>
      <c r="AH530" s="531"/>
      <c r="AI530" s="531"/>
      <c r="AJ530" s="531"/>
      <c r="AK530" s="531"/>
      <c r="AL530" s="531"/>
      <c r="AM530" s="531"/>
      <c r="AN530" s="531"/>
    </row>
    <row r="531" customFormat="false" ht="16.5" hidden="false" customHeight="true" outlineLevel="0" collapsed="false">
      <c r="A531" s="531"/>
      <c r="B531" s="531"/>
      <c r="C531" s="531"/>
      <c r="D531" s="531"/>
      <c r="E531" s="531"/>
      <c r="F531" s="531"/>
      <c r="G531" s="531"/>
      <c r="H531" s="531"/>
      <c r="I531" s="531"/>
      <c r="J531" s="531"/>
      <c r="K531" s="531"/>
      <c r="L531" s="531"/>
      <c r="M531" s="531"/>
      <c r="N531" s="547" t="n">
        <f aca="false">IF('(1)예금승인내역'!H1157="","",'(1)예금승인내역'!H1157)</f>
        <v>46113</v>
      </c>
      <c r="O531" s="547" t="n">
        <f aca="false">IF('(1)예금승인내역'!G1157="","",'(1)예금승인내역'!G1157)</f>
        <v>46084</v>
      </c>
      <c r="P531" s="531" t="str">
        <f aca="false">IF('(1)예금승인내역'!F1157="","",'(1)예금승인내역'!F1157)</f>
        <v>국제금속</v>
      </c>
      <c r="Q531" s="531" t="str">
        <f aca="false">IF('(1)예금승인내역'!C1157="","",'(1)예금승인내역'!C1157)</f>
        <v>영천영업부</v>
      </c>
      <c r="R531" s="531" t="str">
        <f aca="false">IF('(1)예금승인내역'!K1157="","",'(1)예금승인내역'!K1157)</f>
        <v>MMDA</v>
      </c>
      <c r="S531" s="548" t="n">
        <f aca="false">IF('(1)예금승인내역'!L1157="","",'(1)예금승인내역'!L1157)</f>
        <v>10.43</v>
      </c>
      <c r="T531" s="549" t="n">
        <f aca="false">IF('(1)예금승인내역'!AG1157="","",'(1)예금승인내역'!AG1157)</f>
        <v>0.031</v>
      </c>
      <c r="U531" s="549" t="n">
        <f aca="false">IF('(1)예금승인내역'!X1157="","",'(1)예금승인내역'!X1157)</f>
        <v>0.00482</v>
      </c>
      <c r="V531" s="531" t="n">
        <f aca="false">IF(ISNUMBER(N531),N531-$B$2,"")</f>
        <v>-76</v>
      </c>
      <c r="W531" s="531" t="str">
        <f aca="false">IF(AND(ISNUMBER(N531),N531&gt;=$B$2,N531&lt;=$B$2+10),N531*100000+ROW(),"")</f>
        <v/>
      </c>
      <c r="X531" s="531"/>
      <c r="Y531" s="531"/>
      <c r="Z531" s="531"/>
      <c r="AA531" s="531"/>
      <c r="AB531" s="531"/>
      <c r="AC531" s="531"/>
      <c r="AD531" s="531"/>
      <c r="AE531" s="531"/>
      <c r="AF531" s="531"/>
      <c r="AG531" s="531"/>
      <c r="AH531" s="531"/>
      <c r="AI531" s="531"/>
      <c r="AJ531" s="531"/>
      <c r="AK531" s="531"/>
      <c r="AL531" s="531"/>
      <c r="AM531" s="531"/>
      <c r="AN531" s="531"/>
    </row>
    <row r="532" customFormat="false" ht="16.5" hidden="false" customHeight="true" outlineLevel="0" collapsed="false">
      <c r="A532" s="531"/>
      <c r="B532" s="531"/>
      <c r="C532" s="531"/>
      <c r="D532" s="531"/>
      <c r="E532" s="531"/>
      <c r="F532" s="531"/>
      <c r="G532" s="531"/>
      <c r="H532" s="531"/>
      <c r="I532" s="531"/>
      <c r="J532" s="531"/>
      <c r="K532" s="531"/>
      <c r="L532" s="531"/>
      <c r="M532" s="531"/>
      <c r="N532" s="547" t="n">
        <f aca="false">IF('(1)예금승인내역'!H1158="","",'(1)예금승인내역'!H1158)</f>
        <v>46115</v>
      </c>
      <c r="O532" s="547" t="n">
        <f aca="false">IF('(1)예금승인내역'!G1158="","",'(1)예금승인내역'!G1158)</f>
        <v>46084</v>
      </c>
      <c r="P532" s="531" t="str">
        <f aca="false">IF('(1)예금승인내역'!F1158="","",'(1)예금승인내역'!F1158)</f>
        <v>㈜ 광성</v>
      </c>
      <c r="Q532" s="531" t="str">
        <f aca="false">IF('(1)예금승인내역'!C1158="","",'(1)예금승인내역'!C1158)</f>
        <v>경산공단영업부</v>
      </c>
      <c r="R532" s="531" t="str">
        <f aca="false">IF('(1)예금승인내역'!K1158="","",'(1)예금승인내역'!K1158)</f>
        <v>MMDA</v>
      </c>
      <c r="S532" s="548" t="n">
        <f aca="false">IF('(1)예금승인내역'!L1158="","",'(1)예금승인내역'!L1158)</f>
        <v>4.05</v>
      </c>
      <c r="T532" s="549" t="n">
        <f aca="false">IF('(1)예금승인내역'!AG1158="","",'(1)예금승인내역'!AG1158)</f>
        <v>0.0315</v>
      </c>
      <c r="U532" s="549" t="n">
        <f aca="false">IF('(1)예금승인내역'!X1158="","",'(1)예금승인내역'!X1158)</f>
        <v>0.00432</v>
      </c>
      <c r="V532" s="531" t="n">
        <f aca="false">IF(ISNUMBER(N532),N532-$B$2,"")</f>
        <v>-74</v>
      </c>
      <c r="W532" s="531" t="str">
        <f aca="false">IF(AND(ISNUMBER(N532),N532&gt;=$B$2,N532&lt;=$B$2+10),N532*100000+ROW(),"")</f>
        <v/>
      </c>
      <c r="X532" s="531"/>
      <c r="Y532" s="531"/>
      <c r="Z532" s="531"/>
      <c r="AA532" s="531"/>
      <c r="AB532" s="531"/>
      <c r="AC532" s="531"/>
      <c r="AD532" s="531"/>
      <c r="AE532" s="531"/>
      <c r="AF532" s="531"/>
      <c r="AG532" s="531"/>
      <c r="AH532" s="531"/>
      <c r="AI532" s="531"/>
      <c r="AJ532" s="531"/>
      <c r="AK532" s="531"/>
      <c r="AL532" s="531"/>
      <c r="AM532" s="531"/>
      <c r="AN532" s="531"/>
    </row>
    <row r="533" customFormat="false" ht="16.5" hidden="false" customHeight="true" outlineLevel="0" collapsed="false">
      <c r="A533" s="531"/>
      <c r="B533" s="531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47" t="n">
        <f aca="false">IF('(1)예금승인내역'!H1159="","",'(1)예금승인내역'!H1159)</f>
        <v>46118</v>
      </c>
      <c r="O533" s="547" t="n">
        <f aca="false">IF('(1)예금승인내역'!G1159="","",'(1)예금승인내역'!G1159)</f>
        <v>46085</v>
      </c>
      <c r="P533" s="531" t="str">
        <f aca="false">IF('(1)예금승인내역'!F1159="","",'(1)예금승인내역'!F1159)</f>
        <v>동화인더스트리</v>
      </c>
      <c r="Q533" s="531" t="str">
        <f aca="false">IF('(1)예금승인내역'!C1159="","",'(1)예금승인내역'!C1159)</f>
        <v>중동지점</v>
      </c>
      <c r="R533" s="531" t="str">
        <f aca="false">IF('(1)예금승인내역'!K1159="","",'(1)예금승인내역'!K1159)</f>
        <v>정기예금</v>
      </c>
      <c r="S533" s="548" t="n">
        <f aca="false">IF('(1)예금승인내역'!L1159="","",'(1)예금승인내역'!L1159)</f>
        <v>2</v>
      </c>
      <c r="T533" s="549" t="n">
        <f aca="false">IF('(1)예금승인내역'!AG1159="","",'(1)예금승인내역'!AG1159)</f>
        <v>0.0345</v>
      </c>
      <c r="U533" s="549" t="n">
        <f aca="false">IF('(1)예금승인내역'!X1159="","",'(1)예금승인내역'!X1159)</f>
        <v>0.002586</v>
      </c>
      <c r="V533" s="531" t="n">
        <f aca="false">IF(ISNUMBER(N533),N533-$B$2,"")</f>
        <v>-71</v>
      </c>
      <c r="W533" s="531" t="str">
        <f aca="false">IF(AND(ISNUMBER(N533),N533&gt;=$B$2,N533&lt;=$B$2+10),N533*100000+ROW(),"")</f>
        <v/>
      </c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</row>
    <row r="534" customFormat="false" ht="16.5" hidden="false" customHeight="true" outlineLevel="0" collapsed="false">
      <c r="A534" s="531"/>
      <c r="B534" s="531"/>
      <c r="C534" s="531"/>
      <c r="D534" s="531"/>
      <c r="E534" s="531"/>
      <c r="F534" s="531"/>
      <c r="G534" s="531"/>
      <c r="H534" s="531"/>
      <c r="I534" s="531"/>
      <c r="J534" s="531"/>
      <c r="K534" s="531"/>
      <c r="L534" s="531"/>
      <c r="M534" s="531"/>
      <c r="N534" s="547" t="n">
        <f aca="false">IF('(1)예금승인내역'!H1160="","",'(1)예금승인내역'!H1160)</f>
        <v>46177</v>
      </c>
      <c r="O534" s="547" t="n">
        <f aca="false">IF('(1)예금승인내역'!G1160="","",'(1)예금승인내역'!G1160)</f>
        <v>46085</v>
      </c>
      <c r="P534" s="531" t="str">
        <f aca="false">IF('(1)예금승인내역'!F1160="","",'(1)예금승인내역'!F1160)</f>
        <v>거림테크주식회사</v>
      </c>
      <c r="Q534" s="531" t="str">
        <f aca="false">IF('(1)예금승인내역'!C1160="","",'(1)예금승인내역'!C1160)</f>
        <v>죽전지점</v>
      </c>
      <c r="R534" s="531" t="str">
        <f aca="false">IF('(1)예금승인내역'!K1160="","",'(1)예금승인내역'!K1160)</f>
        <v>정기예금</v>
      </c>
      <c r="S534" s="548" t="n">
        <f aca="false">IF('(1)예금승인내역'!L1160="","",'(1)예금승인내역'!L1160)</f>
        <v>2</v>
      </c>
      <c r="T534" s="549" t="n">
        <f aca="false">IF('(1)예금승인내역'!AG1160="","",'(1)예금승인내역'!AG1160)</f>
        <v>0.036</v>
      </c>
      <c r="U534" s="549" t="n">
        <f aca="false">IF('(1)예금승인내역'!X1160="","",'(1)예금승인내역'!X1160)</f>
        <v>0.00247</v>
      </c>
      <c r="V534" s="531" t="n">
        <f aca="false">IF(ISNUMBER(N534),N534-$B$2,"")</f>
        <v>-12</v>
      </c>
      <c r="W534" s="531" t="str">
        <f aca="false">IF(AND(ISNUMBER(N534),N534&gt;=$B$2,N534&lt;=$B$2+10),N534*100000+ROW(),"")</f>
        <v/>
      </c>
      <c r="X534" s="531"/>
      <c r="Y534" s="531"/>
      <c r="Z534" s="531"/>
      <c r="AA534" s="531"/>
      <c r="AB534" s="531"/>
      <c r="AC534" s="531"/>
      <c r="AD534" s="531"/>
      <c r="AE534" s="531"/>
      <c r="AF534" s="531"/>
      <c r="AG534" s="531"/>
      <c r="AH534" s="531"/>
      <c r="AI534" s="531"/>
      <c r="AJ534" s="531"/>
      <c r="AK534" s="531"/>
      <c r="AL534" s="531"/>
      <c r="AM534" s="531"/>
      <c r="AN534" s="531"/>
    </row>
    <row r="535" customFormat="false" ht="16.5" hidden="false" customHeight="true" outlineLevel="0" collapsed="false">
      <c r="A535" s="531"/>
      <c r="B535" s="531"/>
      <c r="C535" s="531"/>
      <c r="D535" s="531"/>
      <c r="E535" s="531"/>
      <c r="F535" s="531"/>
      <c r="G535" s="531"/>
      <c r="H535" s="531"/>
      <c r="I535" s="531"/>
      <c r="J535" s="531"/>
      <c r="K535" s="531"/>
      <c r="L535" s="531"/>
      <c r="M535" s="531"/>
      <c r="N535" s="547" t="n">
        <f aca="false">IF('(1)예금승인내역'!H1161="","",'(1)예금승인내역'!H1161)</f>
        <v>46118</v>
      </c>
      <c r="O535" s="547" t="n">
        <f aca="false">IF('(1)예금승인내역'!G1161="","",'(1)예금승인내역'!G1161)</f>
        <v>46086</v>
      </c>
      <c r="P535" s="531" t="str">
        <f aca="false">IF('(1)예금승인내역'!F1161="","",'(1)예금승인내역'!F1161)</f>
        <v>㈜지엠메탈</v>
      </c>
      <c r="Q535" s="531" t="str">
        <f aca="false">IF('(1)예금승인내역'!C1161="","",'(1)예금승인내역'!C1161)</f>
        <v>이현공단영업부</v>
      </c>
      <c r="R535" s="531" t="str">
        <f aca="false">IF('(1)예금승인내역'!K1161="","",'(1)예금승인내역'!K1161)</f>
        <v>MMDA</v>
      </c>
      <c r="S535" s="548" t="n">
        <f aca="false">IF('(1)예금승인내역'!L1161="","",'(1)예금승인내역'!L1161)</f>
        <v>1.15</v>
      </c>
      <c r="T535" s="549" t="n">
        <f aca="false">IF('(1)예금승인내역'!AG1161="","",'(1)예금승인내역'!AG1161)</f>
        <v>0.0315</v>
      </c>
      <c r="U535" s="549" t="n">
        <f aca="false">IF('(1)예금승인내역'!X1161="","",'(1)예금승인내역'!X1161)</f>
        <v>0.004125</v>
      </c>
      <c r="V535" s="531" t="n">
        <f aca="false">IF(ISNUMBER(N535),N535-$B$2,"")</f>
        <v>-71</v>
      </c>
      <c r="W535" s="531" t="str">
        <f aca="false">IF(AND(ISNUMBER(N535),N535&gt;=$B$2,N535&lt;=$B$2+10),N535*100000+ROW(),"")</f>
        <v/>
      </c>
      <c r="X535" s="531"/>
      <c r="Y535" s="531"/>
      <c r="Z535" s="531"/>
      <c r="AA535" s="531"/>
      <c r="AB535" s="531"/>
      <c r="AC535" s="531"/>
      <c r="AD535" s="531"/>
      <c r="AE535" s="531"/>
      <c r="AF535" s="531"/>
      <c r="AG535" s="531"/>
      <c r="AH535" s="531"/>
      <c r="AI535" s="531"/>
      <c r="AJ535" s="531"/>
      <c r="AK535" s="531"/>
      <c r="AL535" s="531"/>
      <c r="AM535" s="531"/>
      <c r="AN535" s="531"/>
    </row>
    <row r="536" customFormat="false" ht="16.5" hidden="false" customHeight="true" outlineLevel="0" collapsed="false">
      <c r="A536" s="531"/>
      <c r="B536" s="531"/>
      <c r="C536" s="531"/>
      <c r="D536" s="531"/>
      <c r="E536" s="531"/>
      <c r="F536" s="531"/>
      <c r="G536" s="531"/>
      <c r="H536" s="531"/>
      <c r="I536" s="531"/>
      <c r="J536" s="531"/>
      <c r="K536" s="531"/>
      <c r="L536" s="531"/>
      <c r="M536" s="531"/>
      <c r="N536" s="547" t="n">
        <f aca="false">IF('(1)예금승인내역'!H1162="","",'(1)예금승인내역'!H1162)</f>
        <v>46118</v>
      </c>
      <c r="O536" s="547" t="n">
        <f aca="false">IF('(1)예금승인내역'!G1162="","",'(1)예금승인내역'!G1162)</f>
        <v>46086</v>
      </c>
      <c r="P536" s="531" t="str">
        <f aca="false">IF('(1)예금승인내역'!F1162="","",'(1)예금승인내역'!F1162)</f>
        <v>미래에셋컨설팅</v>
      </c>
      <c r="Q536" s="531" t="str">
        <f aca="false">IF('(1)예금승인내역'!C1162="","",'(1)예금승인내역'!C1162)</f>
        <v>서울영업부</v>
      </c>
      <c r="R536" s="531" t="str">
        <f aca="false">IF('(1)예금승인내역'!K1162="","",'(1)예금승인내역'!K1162)</f>
        <v>정기예금</v>
      </c>
      <c r="S536" s="548" t="n">
        <f aca="false">IF('(1)예금승인내역'!L1162="","",'(1)예금승인내역'!L1162)</f>
        <v>5</v>
      </c>
      <c r="T536" s="549" t="n">
        <f aca="false">IF('(1)예금승인내역'!AG1162="","",'(1)예금승인내역'!AG1162)</f>
        <v>0.034</v>
      </c>
      <c r="U536" s="549" t="n">
        <f aca="false">IF('(1)예금승인내역'!X1162="","",'(1)예금승인내역'!X1162)</f>
        <v>0.002338</v>
      </c>
      <c r="V536" s="531" t="n">
        <f aca="false">IF(ISNUMBER(N536),N536-$B$2,"")</f>
        <v>-71</v>
      </c>
      <c r="W536" s="531" t="str">
        <f aca="false">IF(AND(ISNUMBER(N536),N536&gt;=$B$2,N536&lt;=$B$2+10),N536*100000+ROW(),"")</f>
        <v/>
      </c>
      <c r="X536" s="531"/>
      <c r="Y536" s="531"/>
      <c r="Z536" s="531"/>
      <c r="AA536" s="531"/>
      <c r="AB536" s="531"/>
      <c r="AC536" s="531"/>
      <c r="AD536" s="531"/>
      <c r="AE536" s="531"/>
      <c r="AF536" s="531"/>
      <c r="AG536" s="531"/>
      <c r="AH536" s="531"/>
      <c r="AI536" s="531"/>
      <c r="AJ536" s="531"/>
      <c r="AK536" s="531"/>
      <c r="AL536" s="531"/>
      <c r="AM536" s="531"/>
      <c r="AN536" s="531"/>
    </row>
    <row r="537" customFormat="false" ht="16.5" hidden="false" customHeight="true" outlineLevel="0" collapsed="false">
      <c r="A537" s="531"/>
      <c r="B537" s="531"/>
      <c r="C537" s="531"/>
      <c r="D537" s="531"/>
      <c r="E537" s="531"/>
      <c r="F537" s="531"/>
      <c r="G537" s="531"/>
      <c r="H537" s="531"/>
      <c r="I537" s="531"/>
      <c r="J537" s="531"/>
      <c r="K537" s="531"/>
      <c r="L537" s="531"/>
      <c r="M537" s="531"/>
      <c r="N537" s="547" t="n">
        <f aca="false">IF('(1)예금승인내역'!H1163="","",'(1)예금승인내역'!H1163)</f>
        <v>46182</v>
      </c>
      <c r="O537" s="547" t="n">
        <f aca="false">IF('(1)예금승인내역'!G1163="","",'(1)예금승인내역'!G1163)</f>
        <v>46090</v>
      </c>
      <c r="P537" s="531" t="str">
        <f aca="false">IF('(1)예금승인내역'!F1163="","",'(1)예금승인내역'!F1163)</f>
        <v>에이치라인해운㈜ </v>
      </c>
      <c r="Q537" s="531" t="str">
        <f aca="false">IF('(1)예금승인내역'!C1163="","",'(1)예금승인내역'!C1163)</f>
        <v>강남영업부</v>
      </c>
      <c r="R537" s="531" t="str">
        <f aca="false">IF('(1)예금승인내역'!K1163="","",'(1)예금승인내역'!K1163)</f>
        <v>정기예금</v>
      </c>
      <c r="S537" s="548" t="n">
        <f aca="false">IF('(1)예금승인내역'!L1163="","",'(1)예금승인내역'!L1163)</f>
        <v>15</v>
      </c>
      <c r="T537" s="549" t="n">
        <f aca="false">IF('(1)예금승인내역'!AG1163="","",'(1)예금승인내역'!AG1163)</f>
        <v>0.036</v>
      </c>
      <c r="U537" s="549" t="n">
        <f aca="false">IF('(1)예금승인내역'!X1163="","",'(1)예금승인내역'!X1163)</f>
        <v>0.002595</v>
      </c>
      <c r="V537" s="531" t="n">
        <f aca="false">IF(ISNUMBER(N537),N537-$B$2,"")</f>
        <v>-7</v>
      </c>
      <c r="W537" s="531" t="str">
        <f aca="false">IF(AND(ISNUMBER(N537),N537&gt;=$B$2,N537&lt;=$B$2+10),N537*100000+ROW(),"")</f>
        <v/>
      </c>
      <c r="X537" s="531"/>
      <c r="Y537" s="531"/>
      <c r="Z537" s="531"/>
      <c r="AA537" s="531"/>
      <c r="AB537" s="531"/>
      <c r="AC537" s="531"/>
      <c r="AD537" s="531"/>
      <c r="AE537" s="531"/>
      <c r="AF537" s="531"/>
      <c r="AG537" s="531"/>
      <c r="AH537" s="531"/>
      <c r="AI537" s="531"/>
      <c r="AJ537" s="531"/>
      <c r="AK537" s="531"/>
      <c r="AL537" s="531"/>
      <c r="AM537" s="531"/>
      <c r="AN537" s="531"/>
    </row>
    <row r="538" customFormat="false" ht="16.5" hidden="false" customHeight="true" outlineLevel="0" collapsed="false">
      <c r="A538" s="531"/>
      <c r="B538" s="531"/>
      <c r="C538" s="531"/>
      <c r="D538" s="531"/>
      <c r="E538" s="531"/>
      <c r="F538" s="531"/>
      <c r="G538" s="531"/>
      <c r="H538" s="531"/>
      <c r="I538" s="531"/>
      <c r="J538" s="531"/>
      <c r="K538" s="531"/>
      <c r="L538" s="531"/>
      <c r="M538" s="531"/>
      <c r="N538" s="547" t="n">
        <f aca="false">IF('(1)예금승인내역'!H1164="","",'(1)예금승인내역'!H1164)</f>
        <v>46122</v>
      </c>
      <c r="O538" s="547" t="n">
        <f aca="false">IF('(1)예금승인내역'!G1164="","",'(1)예금승인내역'!G1164)</f>
        <v>46091</v>
      </c>
      <c r="P538" s="531" t="str">
        <f aca="false">IF('(1)예금승인내역'!F1164="","",'(1)예금승인내역'!F1164)</f>
        <v>오스템임플란트㈜</v>
      </c>
      <c r="Q538" s="531" t="str">
        <f aca="false">IF('(1)예금승인내역'!C1164="","",'(1)예금승인내역'!C1164)</f>
        <v>성남금융센터</v>
      </c>
      <c r="R538" s="531" t="str">
        <f aca="false">IF('(1)예금승인내역'!K1164="","",'(1)예금승인내역'!K1164)</f>
        <v>MMDA</v>
      </c>
      <c r="S538" s="548" t="n">
        <f aca="false">IF('(1)예금승인내역'!L1164="","",'(1)예금승인내역'!L1164)</f>
        <v>2</v>
      </c>
      <c r="T538" s="549" t="n">
        <f aca="false">IF('(1)예금승인내역'!AG1164="","",'(1)예금승인내역'!AG1164)</f>
        <v>0.032</v>
      </c>
      <c r="U538" s="549" t="n">
        <f aca="false">IF('(1)예금승인내역'!X1164="","",'(1)예금승인내역'!X1164)</f>
        <v>0.003825</v>
      </c>
      <c r="V538" s="531" t="n">
        <f aca="false">IF(ISNUMBER(N538),N538-$B$2,"")</f>
        <v>-67</v>
      </c>
      <c r="W538" s="531" t="str">
        <f aca="false">IF(AND(ISNUMBER(N538),N538&gt;=$B$2,N538&lt;=$B$2+10),N538*100000+ROW(),"")</f>
        <v/>
      </c>
      <c r="X538" s="531"/>
      <c r="Y538" s="531"/>
      <c r="Z538" s="531"/>
      <c r="AA538" s="531"/>
      <c r="AB538" s="531"/>
      <c r="AC538" s="531"/>
      <c r="AD538" s="531"/>
      <c r="AE538" s="531"/>
      <c r="AF538" s="531"/>
      <c r="AG538" s="531"/>
      <c r="AH538" s="531"/>
      <c r="AI538" s="531"/>
      <c r="AJ538" s="531"/>
      <c r="AK538" s="531"/>
      <c r="AL538" s="531"/>
      <c r="AM538" s="531"/>
      <c r="AN538" s="531"/>
    </row>
    <row r="539" customFormat="false" ht="16.5" hidden="false" customHeight="true" outlineLevel="0" collapsed="false">
      <c r="A539" s="531"/>
      <c r="B539" s="531"/>
      <c r="C539" s="531"/>
      <c r="D539" s="531"/>
      <c r="E539" s="531"/>
      <c r="F539" s="531"/>
      <c r="G539" s="531"/>
      <c r="H539" s="531"/>
      <c r="I539" s="531"/>
      <c r="J539" s="531"/>
      <c r="K539" s="531"/>
      <c r="L539" s="531"/>
      <c r="M539" s="531"/>
      <c r="N539" s="547" t="n">
        <f aca="false">IF('(1)예금승인내역'!H1165="","",'(1)예금승인내역'!H1165)</f>
        <v>46125</v>
      </c>
      <c r="O539" s="547" t="n">
        <f aca="false">IF('(1)예금승인내역'!G1165="","",'(1)예금승인내역'!G1165)</f>
        <v>46093</v>
      </c>
      <c r="P539" s="531" t="str">
        <f aca="false">IF('(1)예금승인내역'!F1165="","",'(1)예금승인내역'!F1165)</f>
        <v>㈜이수스페셜티케미컬</v>
      </c>
      <c r="Q539" s="531" t="str">
        <f aca="false">IF('(1)예금승인내역'!C1165="","",'(1)예금승인내역'!C1165)</f>
        <v>성남영업부</v>
      </c>
      <c r="R539" s="531" t="str">
        <f aca="false">IF('(1)예금승인내역'!K1165="","",'(1)예금승인내역'!K1165)</f>
        <v>MMDA</v>
      </c>
      <c r="S539" s="548" t="n">
        <f aca="false">IF('(1)예금승인내역'!L1165="","",'(1)예금승인내역'!L1165)</f>
        <v>9.95</v>
      </c>
      <c r="T539" s="549" t="n">
        <f aca="false">IF('(1)예금승인내역'!AG1165="","",'(1)예금승인내역'!AG1165)</f>
        <v>0.032</v>
      </c>
      <c r="U539" s="549" t="n">
        <f aca="false">IF('(1)예금승인내역'!X1165="","",'(1)예금승인내역'!X1165)</f>
        <v>0.003895</v>
      </c>
      <c r="V539" s="531" t="n">
        <f aca="false">IF(ISNUMBER(N539),N539-$B$2,"")</f>
        <v>-64</v>
      </c>
      <c r="W539" s="531" t="str">
        <f aca="false">IF(AND(ISNUMBER(N539),N539&gt;=$B$2,N539&lt;=$B$2+10),N539*100000+ROW(),"")</f>
        <v/>
      </c>
      <c r="X539" s="531"/>
      <c r="Y539" s="531"/>
      <c r="Z539" s="531"/>
      <c r="AA539" s="531"/>
      <c r="AB539" s="531"/>
      <c r="AC539" s="531"/>
      <c r="AD539" s="531"/>
      <c r="AE539" s="531"/>
      <c r="AF539" s="531"/>
      <c r="AG539" s="531"/>
      <c r="AH539" s="531"/>
      <c r="AI539" s="531"/>
      <c r="AJ539" s="531"/>
      <c r="AK539" s="531"/>
      <c r="AL539" s="531"/>
      <c r="AM539" s="531"/>
      <c r="AN539" s="531"/>
    </row>
    <row r="540" customFormat="false" ht="16.5" hidden="false" customHeight="true" outlineLevel="0" collapsed="false">
      <c r="A540" s="531"/>
      <c r="B540" s="531"/>
      <c r="C540" s="531"/>
      <c r="D540" s="531"/>
      <c r="E540" s="531"/>
      <c r="F540" s="531"/>
      <c r="G540" s="531"/>
      <c r="H540" s="531"/>
      <c r="I540" s="531"/>
      <c r="J540" s="531"/>
      <c r="K540" s="531"/>
      <c r="L540" s="531"/>
      <c r="M540" s="531"/>
      <c r="N540" s="547" t="n">
        <f aca="false">IF('(1)예금승인내역'!H1166="","",'(1)예금승인내역'!H1166)</f>
        <v>46125</v>
      </c>
      <c r="O540" s="547" t="n">
        <f aca="false">IF('(1)예금승인내역'!G1166="","",'(1)예금승인내역'!G1166)</f>
        <v>46093</v>
      </c>
      <c r="P540" s="531" t="str">
        <f aca="false">IF('(1)예금승인내역'!F1166="","",'(1)예금승인내역'!F1166)</f>
        <v>㈜현대그린푸드</v>
      </c>
      <c r="Q540" s="531" t="str">
        <f aca="false">IF('(1)예금승인내역'!C1166="","",'(1)예금승인내역'!C1166)</f>
        <v>성남영업부</v>
      </c>
      <c r="R540" s="531" t="str">
        <f aca="false">IF('(1)예금승인내역'!K1166="","",'(1)예금승인내역'!K1166)</f>
        <v>MMDA</v>
      </c>
      <c r="S540" s="548" t="n">
        <f aca="false">IF('(1)예금승인내역'!L1166="","",'(1)예금승인내역'!L1166)</f>
        <v>1.82</v>
      </c>
      <c r="T540" s="549" t="n">
        <f aca="false">IF('(1)예금승인내역'!AG1166="","",'(1)예금승인내역'!AG1166)</f>
        <v>0.032</v>
      </c>
      <c r="U540" s="549" t="n">
        <f aca="false">IF('(1)예금승인내역'!X1166="","",'(1)예금승인내역'!X1166)</f>
        <v>0.003895</v>
      </c>
      <c r="V540" s="531" t="n">
        <f aca="false">IF(ISNUMBER(N540),N540-$B$2,"")</f>
        <v>-64</v>
      </c>
      <c r="W540" s="531" t="str">
        <f aca="false">IF(AND(ISNUMBER(N540),N540&gt;=$B$2,N540&lt;=$B$2+10),N540*100000+ROW(),"")</f>
        <v/>
      </c>
      <c r="X540" s="531"/>
      <c r="Y540" s="531"/>
      <c r="Z540" s="531"/>
      <c r="AA540" s="531"/>
      <c r="AB540" s="531"/>
      <c r="AC540" s="531"/>
      <c r="AD540" s="531"/>
      <c r="AE540" s="531"/>
      <c r="AF540" s="531"/>
      <c r="AG540" s="531"/>
      <c r="AH540" s="531"/>
      <c r="AI540" s="531"/>
      <c r="AJ540" s="531"/>
      <c r="AK540" s="531"/>
      <c r="AL540" s="531"/>
      <c r="AM540" s="531"/>
      <c r="AN540" s="531"/>
    </row>
    <row r="541" customFormat="false" ht="16.5" hidden="false" customHeight="true" outlineLevel="0" collapsed="false">
      <c r="A541" s="531"/>
      <c r="B541" s="531"/>
      <c r="C541" s="531"/>
      <c r="D541" s="531"/>
      <c r="E541" s="531"/>
      <c r="F541" s="531"/>
      <c r="G541" s="531"/>
      <c r="H541" s="531"/>
      <c r="I541" s="531"/>
      <c r="J541" s="531"/>
      <c r="K541" s="531"/>
      <c r="L541" s="531"/>
      <c r="M541" s="531"/>
      <c r="N541" s="547" t="n">
        <f aca="false">IF('(1)예금승인내역'!H1167="","",'(1)예금승인내역'!H1167)</f>
        <v>46189</v>
      </c>
      <c r="O541" s="547" t="n">
        <f aca="false">IF('(1)예금승인내역'!G1167="","",'(1)예금승인내역'!G1167)</f>
        <v>46097</v>
      </c>
      <c r="P541" s="531" t="str">
        <f aca="false">IF('(1)예금승인내역'!F1167="","",'(1)예금승인내역'!F1167)</f>
        <v>㈜ 동아홀딩스 </v>
      </c>
      <c r="Q541" s="531" t="str">
        <f aca="false">IF('(1)예금승인내역'!C1167="","",'(1)예금승인내역'!C1167)</f>
        <v>달성공단영업부</v>
      </c>
      <c r="R541" s="531" t="str">
        <f aca="false">IF('(1)예금승인내역'!K1167="","",'(1)예금승인내역'!K1167)</f>
        <v>정기예금</v>
      </c>
      <c r="S541" s="548" t="n">
        <f aca="false">IF('(1)예금승인내역'!L1167="","",'(1)예금승인내역'!L1167)</f>
        <v>2.19</v>
      </c>
      <c r="T541" s="549" t="n">
        <f aca="false">IF('(1)예금승인내역'!AG1167="","",'(1)예금승인내역'!AG1167)</f>
        <v>0.036</v>
      </c>
      <c r="U541" s="549" t="n">
        <f aca="false">IF('(1)예금승인내역'!X1167="","",'(1)예금승인내역'!X1167)</f>
        <v>0.00264</v>
      </c>
      <c r="V541" s="531" t="n">
        <f aca="false">IF(ISNUMBER(N541),N541-$B$2,"")</f>
        <v>0</v>
      </c>
      <c r="W541" s="531" t="n">
        <f aca="false">IF(AND(ISNUMBER(N541),N541&gt;=$B$2,N541&lt;=$B$2+10),N541*100000+ROW(),"")</f>
        <v>4618900541</v>
      </c>
      <c r="X541" s="531"/>
      <c r="Y541" s="531"/>
      <c r="Z541" s="531"/>
      <c r="AA541" s="531"/>
      <c r="AB541" s="531"/>
      <c r="AC541" s="531"/>
      <c r="AD541" s="531"/>
      <c r="AE541" s="531"/>
      <c r="AF541" s="531"/>
      <c r="AG541" s="531"/>
      <c r="AH541" s="531"/>
      <c r="AI541" s="531"/>
      <c r="AJ541" s="531"/>
      <c r="AK541" s="531"/>
      <c r="AL541" s="531"/>
      <c r="AM541" s="531"/>
      <c r="AN541" s="531"/>
    </row>
    <row r="542" customFormat="false" ht="16.5" hidden="false" customHeight="true" outlineLevel="0" collapsed="false">
      <c r="A542" s="531"/>
      <c r="B542" s="531"/>
      <c r="C542" s="531"/>
      <c r="D542" s="531"/>
      <c r="E542" s="531"/>
      <c r="F542" s="531"/>
      <c r="G542" s="531"/>
      <c r="H542" s="531"/>
      <c r="I542" s="531"/>
      <c r="J542" s="531"/>
      <c r="K542" s="531"/>
      <c r="L542" s="531"/>
      <c r="M542" s="531"/>
      <c r="N542" s="547" t="n">
        <f aca="false">IF('(1)예금승인내역'!H1168="","",'(1)예금승인내역'!H1168)</f>
        <v>46189</v>
      </c>
      <c r="O542" s="547" t="n">
        <f aca="false">IF('(1)예금승인내역'!G1168="","",'(1)예금승인내역'!G1168)</f>
        <v>46097</v>
      </c>
      <c r="P542" s="531" t="str">
        <f aca="false">IF('(1)예금승인내역'!F1168="","",'(1)예금승인내역'!F1168)</f>
        <v>해내다컨트리클럽</v>
      </c>
      <c r="Q542" s="531" t="str">
        <f aca="false">IF('(1)예금승인내역'!C1168="","",'(1)예금승인내역'!C1168)</f>
        <v>달성공단영업부</v>
      </c>
      <c r="R542" s="531" t="str">
        <f aca="false">IF('(1)예금승인내역'!K1168="","",'(1)예금승인내역'!K1168)</f>
        <v>정기예금</v>
      </c>
      <c r="S542" s="548" t="n">
        <f aca="false">IF('(1)예금승인내역'!L1168="","",'(1)예금승인내역'!L1168)</f>
        <v>3.65</v>
      </c>
      <c r="T542" s="549" t="n">
        <f aca="false">IF('(1)예금승인내역'!AG1168="","",'(1)예금승인내역'!AG1168)</f>
        <v>0.036</v>
      </c>
      <c r="U542" s="549" t="n">
        <f aca="false">IF('(1)예금승인내역'!X1168="","",'(1)예금승인내역'!X1168)</f>
        <v>0.00264</v>
      </c>
      <c r="V542" s="531" t="n">
        <f aca="false">IF(ISNUMBER(N542),N542-$B$2,"")</f>
        <v>0</v>
      </c>
      <c r="W542" s="531" t="n">
        <f aca="false">IF(AND(ISNUMBER(N542),N542&gt;=$B$2,N542&lt;=$B$2+10),N542*100000+ROW(),"")</f>
        <v>4618900542</v>
      </c>
      <c r="X542" s="531"/>
      <c r="Y542" s="531"/>
      <c r="Z542" s="531"/>
      <c r="AA542" s="531"/>
      <c r="AB542" s="531"/>
      <c r="AC542" s="531"/>
      <c r="AD542" s="531"/>
      <c r="AE542" s="531"/>
      <c r="AF542" s="531"/>
      <c r="AG542" s="531"/>
      <c r="AH542" s="531"/>
      <c r="AI542" s="531"/>
      <c r="AJ542" s="531"/>
      <c r="AK542" s="531"/>
      <c r="AL542" s="531"/>
      <c r="AM542" s="531"/>
      <c r="AN542" s="531"/>
    </row>
    <row r="543" customFormat="false" ht="16.5" hidden="false" customHeight="true" outlineLevel="0" collapsed="false">
      <c r="A543" s="531"/>
      <c r="B543" s="531"/>
      <c r="C543" s="531"/>
      <c r="D543" s="531"/>
      <c r="E543" s="531"/>
      <c r="F543" s="531"/>
      <c r="G543" s="531"/>
      <c r="H543" s="531"/>
      <c r="I543" s="531"/>
      <c r="J543" s="531"/>
      <c r="K543" s="531"/>
      <c r="L543" s="531"/>
      <c r="M543" s="531"/>
      <c r="N543" s="547" t="n">
        <f aca="false">IF('(1)예금승인내역'!H1169="","",'(1)예금승인내역'!H1169)</f>
        <v>46189</v>
      </c>
      <c r="O543" s="547" t="n">
        <f aca="false">IF('(1)예금승인내역'!G1169="","",'(1)예금승인내역'!G1169)</f>
        <v>46097</v>
      </c>
      <c r="P543" s="531" t="str">
        <f aca="false">IF('(1)예금승인내역'!F1169="","",'(1)예금승인내역'!F1169)</f>
        <v>거림테크주식회사</v>
      </c>
      <c r="Q543" s="531" t="str">
        <f aca="false">IF('(1)예금승인내역'!C1169="","",'(1)예금승인내역'!C1169)</f>
        <v>죽전지점</v>
      </c>
      <c r="R543" s="531" t="str">
        <f aca="false">IF('(1)예금승인내역'!K1169="","",'(1)예금승인내역'!K1169)</f>
        <v>정기예금</v>
      </c>
      <c r="S543" s="548" t="n">
        <f aca="false">IF('(1)예금승인내역'!L1169="","",'(1)예금승인내역'!L1169)</f>
        <v>2</v>
      </c>
      <c r="T543" s="549" t="n">
        <f aca="false">IF('(1)예금승인내역'!AG1169="","",'(1)예금승인내역'!AG1169)</f>
        <v>0.0365</v>
      </c>
      <c r="U543" s="549" t="n">
        <f aca="false">IF('(1)예금승인내역'!X1169="","",'(1)예금승인내역'!X1169)</f>
        <v>0.00214</v>
      </c>
      <c r="V543" s="531" t="n">
        <f aca="false">IF(ISNUMBER(N543),N543-$B$2,"")</f>
        <v>0</v>
      </c>
      <c r="W543" s="531" t="n">
        <f aca="false">IF(AND(ISNUMBER(N543),N543&gt;=$B$2,N543&lt;=$B$2+10),N543*100000+ROW(),"")</f>
        <v>4618900543</v>
      </c>
      <c r="X543" s="531"/>
      <c r="Y543" s="531"/>
      <c r="Z543" s="531"/>
      <c r="AA543" s="531"/>
      <c r="AB543" s="531"/>
      <c r="AC543" s="531"/>
      <c r="AD543" s="531"/>
      <c r="AE543" s="531"/>
      <c r="AF543" s="531"/>
      <c r="AG543" s="531"/>
      <c r="AH543" s="531"/>
      <c r="AI543" s="531"/>
      <c r="AJ543" s="531"/>
      <c r="AK543" s="531"/>
      <c r="AL543" s="531"/>
      <c r="AM543" s="531"/>
      <c r="AN543" s="531"/>
    </row>
    <row r="544" customFormat="false" ht="16.5" hidden="false" customHeight="true" outlineLevel="0" collapsed="false">
      <c r="A544" s="531"/>
      <c r="B544" s="531"/>
      <c r="C544" s="531"/>
      <c r="D544" s="531"/>
      <c r="E544" s="531"/>
      <c r="F544" s="531"/>
      <c r="G544" s="531"/>
      <c r="H544" s="531"/>
      <c r="I544" s="531"/>
      <c r="J544" s="531"/>
      <c r="K544" s="531"/>
      <c r="L544" s="531"/>
      <c r="M544" s="531"/>
      <c r="N544" s="547" t="n">
        <f aca="false">IF('(1)예금승인내역'!H1170="","",'(1)예금승인내역'!H1170)</f>
        <v>46190</v>
      </c>
      <c r="O544" s="547" t="n">
        <f aca="false">IF('(1)예금승인내역'!G1170="","",'(1)예금승인내역'!G1170)</f>
        <v>46098</v>
      </c>
      <c r="P544" s="531" t="str">
        <f aca="false">IF('(1)예금승인내역'!F1170="","",'(1)예금승인내역'!F1170)</f>
        <v>거림테크주식회사</v>
      </c>
      <c r="Q544" s="531" t="str">
        <f aca="false">IF('(1)예금승인내역'!C1170="","",'(1)예금승인내역'!C1170)</f>
        <v>죽전지점</v>
      </c>
      <c r="R544" s="531" t="str">
        <f aca="false">IF('(1)예금승인내역'!K1170="","",'(1)예금승인내역'!K1170)</f>
        <v>정기예금</v>
      </c>
      <c r="S544" s="548" t="n">
        <f aca="false">IF('(1)예금승인내역'!L1170="","",'(1)예금승인내역'!L1170)</f>
        <v>2</v>
      </c>
      <c r="T544" s="549" t="n">
        <f aca="false">IF('(1)예금승인내역'!AG1170="","",'(1)예금승인내역'!AG1170)</f>
        <v>0.0365</v>
      </c>
      <c r="U544" s="549" t="n">
        <f aca="false">IF('(1)예금승인내역'!X1170="","",'(1)예금승인내역'!X1170)</f>
        <v>0.002232</v>
      </c>
      <c r="V544" s="531" t="n">
        <f aca="false">IF(ISNUMBER(N544),N544-$B$2,"")</f>
        <v>1</v>
      </c>
      <c r="W544" s="531" t="n">
        <f aca="false">IF(AND(ISNUMBER(N544),N544&gt;=$B$2,N544&lt;=$B$2+10),N544*100000+ROW(),"")</f>
        <v>4619000544</v>
      </c>
      <c r="X544" s="531"/>
      <c r="Y544" s="531"/>
      <c r="Z544" s="531"/>
      <c r="AA544" s="531"/>
      <c r="AB544" s="531"/>
      <c r="AC544" s="531"/>
      <c r="AD544" s="531"/>
      <c r="AE544" s="531"/>
      <c r="AF544" s="531"/>
      <c r="AG544" s="531"/>
      <c r="AH544" s="531"/>
      <c r="AI544" s="531"/>
      <c r="AJ544" s="531"/>
      <c r="AK544" s="531"/>
      <c r="AL544" s="531"/>
      <c r="AM544" s="531"/>
      <c r="AN544" s="531"/>
    </row>
    <row r="545" customFormat="false" ht="16.5" hidden="false" customHeight="true" outlineLevel="0" collapsed="false">
      <c r="A545" s="531"/>
      <c r="B545" s="531"/>
      <c r="C545" s="531"/>
      <c r="D545" s="531"/>
      <c r="E545" s="531"/>
      <c r="F545" s="531"/>
      <c r="G545" s="531"/>
      <c r="H545" s="531"/>
      <c r="I545" s="531"/>
      <c r="J545" s="531"/>
      <c r="K545" s="531"/>
      <c r="L545" s="531"/>
      <c r="M545" s="531"/>
      <c r="N545" s="547" t="n">
        <f aca="false">IF('(1)예금승인내역'!H1171="","",'(1)예금승인내역'!H1171)</f>
        <v>46129</v>
      </c>
      <c r="O545" s="547" t="n">
        <f aca="false">IF('(1)예금승인내역'!G1171="","",'(1)예금승인내역'!G1171)</f>
        <v>46100</v>
      </c>
      <c r="P545" s="531" t="str">
        <f aca="false">IF('(1)예금승인내역'!F1171="","",'(1)예금승인내역'!F1171)</f>
        <v>와이엠에스에이</v>
      </c>
      <c r="Q545" s="531" t="str">
        <f aca="false">IF('(1)예금승인내역'!C1171="","",'(1)예금승인내역'!C1171)</f>
        <v>본점영업부</v>
      </c>
      <c r="R545" s="531" t="str">
        <f aca="false">IF('(1)예금승인내역'!K1171="","",'(1)예금승인내역'!K1171)</f>
        <v>MMDA</v>
      </c>
      <c r="S545" s="548" t="n">
        <f aca="false">IF('(1)예금승인내역'!L1171="","",'(1)예금승인내역'!L1171)</f>
        <v>5.18</v>
      </c>
      <c r="T545" s="549" t="n">
        <f aca="false">IF('(1)예금승인내역'!AG1171="","",'(1)예금승인내역'!AG1171)</f>
        <v>0.032</v>
      </c>
      <c r="U545" s="549" t="n">
        <f aca="false">IF('(1)예금승인내역'!X1171="","",'(1)예금승인내역'!X1171)</f>
        <v>0.003951</v>
      </c>
      <c r="V545" s="531" t="n">
        <f aca="false">IF(ISNUMBER(N545),N545-$B$2,"")</f>
        <v>-60</v>
      </c>
      <c r="W545" s="531" t="str">
        <f aca="false">IF(AND(ISNUMBER(N545),N545&gt;=$B$2,N545&lt;=$B$2+10),N545*100000+ROW(),"")</f>
        <v/>
      </c>
      <c r="X545" s="531"/>
      <c r="Y545" s="531"/>
      <c r="Z545" s="531"/>
      <c r="AA545" s="531"/>
      <c r="AB545" s="531"/>
      <c r="AC545" s="531"/>
      <c r="AD545" s="531"/>
      <c r="AE545" s="531"/>
      <c r="AF545" s="531"/>
      <c r="AG545" s="531"/>
      <c r="AH545" s="531"/>
      <c r="AI545" s="531"/>
      <c r="AJ545" s="531"/>
      <c r="AK545" s="531"/>
      <c r="AL545" s="531"/>
      <c r="AM545" s="531"/>
      <c r="AN545" s="531"/>
    </row>
    <row r="546" customFormat="false" ht="16.5" hidden="false" customHeight="true" outlineLevel="0" collapsed="false">
      <c r="A546" s="531"/>
      <c r="B546" s="531"/>
      <c r="C546" s="531"/>
      <c r="D546" s="531"/>
      <c r="E546" s="531"/>
      <c r="F546" s="531"/>
      <c r="G546" s="531"/>
      <c r="H546" s="531"/>
      <c r="I546" s="531"/>
      <c r="J546" s="531"/>
      <c r="K546" s="531"/>
      <c r="L546" s="531"/>
      <c r="M546" s="531"/>
      <c r="N546" s="547" t="n">
        <f aca="false">IF('(1)예금승인내역'!H1172="","",'(1)예금승인내역'!H1172)</f>
        <v>46132</v>
      </c>
      <c r="O546" s="547" t="n">
        <f aca="false">IF('(1)예금승인내역'!G1172="","",'(1)예금승인내역'!G1172)</f>
        <v>46100</v>
      </c>
      <c r="P546" s="531" t="str">
        <f aca="false">IF('(1)예금승인내역'!F1172="","",'(1)예금승인내역'!F1172)</f>
        <v>더스킨팩토리</v>
      </c>
      <c r="Q546" s="531" t="str">
        <f aca="false">IF('(1)예금승인내역'!C1172="","",'(1)예금승인내역'!C1172)</f>
        <v>강남영업부</v>
      </c>
      <c r="R546" s="531" t="str">
        <f aca="false">IF('(1)예금승인내역'!K1172="","",'(1)예금승인내역'!K1172)</f>
        <v>정기예금</v>
      </c>
      <c r="S546" s="548" t="n">
        <f aca="false">IF('(1)예금승인내역'!L1172="","",'(1)예금승인내역'!L1172)</f>
        <v>1</v>
      </c>
      <c r="T546" s="549" t="n">
        <f aca="false">IF('(1)예금승인내역'!AG1172="","",'(1)예금승인내역'!AG1172)</f>
        <v>0.0345</v>
      </c>
      <c r="U546" s="549" t="n">
        <f aca="false">IF('(1)예금승인내역'!X1172="","",'(1)예금승인내역'!X1172)</f>
        <v>0.002711</v>
      </c>
      <c r="V546" s="531" t="n">
        <f aca="false">IF(ISNUMBER(N546),N546-$B$2,"")</f>
        <v>-57</v>
      </c>
      <c r="W546" s="531" t="str">
        <f aca="false">IF(AND(ISNUMBER(N546),N546&gt;=$B$2,N546&lt;=$B$2+10),N546*100000+ROW(),"")</f>
        <v/>
      </c>
      <c r="X546" s="531"/>
      <c r="Y546" s="531"/>
      <c r="Z546" s="531"/>
      <c r="AA546" s="531"/>
      <c r="AB546" s="531"/>
      <c r="AC546" s="531"/>
      <c r="AD546" s="531"/>
      <c r="AE546" s="531"/>
      <c r="AF546" s="531"/>
      <c r="AG546" s="531"/>
      <c r="AH546" s="531"/>
      <c r="AI546" s="531"/>
      <c r="AJ546" s="531"/>
      <c r="AK546" s="531"/>
      <c r="AL546" s="531"/>
      <c r="AM546" s="531"/>
      <c r="AN546" s="531"/>
    </row>
    <row r="547" customFormat="false" ht="16.5" hidden="false" customHeight="true" outlineLevel="0" collapsed="false">
      <c r="A547" s="531"/>
      <c r="B547" s="531"/>
      <c r="C547" s="531"/>
      <c r="D547" s="531"/>
      <c r="E547" s="531"/>
      <c r="F547" s="531"/>
      <c r="G547" s="531"/>
      <c r="H547" s="531"/>
      <c r="I547" s="531"/>
      <c r="J547" s="531"/>
      <c r="K547" s="531"/>
      <c r="L547" s="531"/>
      <c r="M547" s="531"/>
      <c r="N547" s="547" t="n">
        <f aca="false">IF('(1)예금승인내역'!H1173="","",'(1)예금승인내역'!H1173)</f>
        <v>46132</v>
      </c>
      <c r="O547" s="547" t="n">
        <f aca="false">IF('(1)예금승인내역'!G1173="","",'(1)예금승인내역'!G1173)</f>
        <v>46100</v>
      </c>
      <c r="P547" s="531" t="str">
        <f aca="false">IF('(1)예금승인내역'!F1173="","",'(1)예금승인내역'!F1173)</f>
        <v>㈜일지테크</v>
      </c>
      <c r="Q547" s="531" t="str">
        <f aca="false">IF('(1)예금승인내역'!C1173="","",'(1)예금승인내역'!C1173)</f>
        <v>경산공단영업부</v>
      </c>
      <c r="R547" s="531" t="str">
        <f aca="false">IF('(1)예금승인내역'!K1173="","",'(1)예금승인내역'!K1173)</f>
        <v>MMDA</v>
      </c>
      <c r="S547" s="548" t="n">
        <f aca="false">IF('(1)예금승인내역'!L1173="","",'(1)예금승인내역'!L1173)</f>
        <v>21.97</v>
      </c>
      <c r="T547" s="549" t="n">
        <f aca="false">IF('(1)예금승인내역'!AG1173="","",'(1)예금승인내역'!AG1173)</f>
        <v>0.032</v>
      </c>
      <c r="U547" s="549" t="n">
        <f aca="false">IF('(1)예금승인내역'!X1173="","",'(1)예금승인내역'!X1173)</f>
        <v>0.003969</v>
      </c>
      <c r="V547" s="531" t="n">
        <f aca="false">IF(ISNUMBER(N547),N547-$B$2,"")</f>
        <v>-57</v>
      </c>
      <c r="W547" s="531" t="str">
        <f aca="false">IF(AND(ISNUMBER(N547),N547&gt;=$B$2,N547&lt;=$B$2+10),N547*100000+ROW(),"")</f>
        <v/>
      </c>
      <c r="X547" s="531"/>
      <c r="Y547" s="531"/>
      <c r="Z547" s="531"/>
      <c r="AA547" s="531"/>
      <c r="AB547" s="531"/>
      <c r="AC547" s="531"/>
      <c r="AD547" s="531"/>
      <c r="AE547" s="531"/>
      <c r="AF547" s="531"/>
      <c r="AG547" s="531"/>
      <c r="AH547" s="531"/>
      <c r="AI547" s="531"/>
      <c r="AJ547" s="531"/>
      <c r="AK547" s="531"/>
      <c r="AL547" s="531"/>
      <c r="AM547" s="531"/>
      <c r="AN547" s="531"/>
    </row>
    <row r="548" customFormat="false" ht="16.5" hidden="false" customHeight="true" outlineLevel="0" collapsed="false">
      <c r="A548" s="531"/>
      <c r="B548" s="531"/>
      <c r="C548" s="531"/>
      <c r="D548" s="531"/>
      <c r="E548" s="531"/>
      <c r="F548" s="531"/>
      <c r="G548" s="531"/>
      <c r="H548" s="531"/>
      <c r="I548" s="531"/>
      <c r="J548" s="531"/>
      <c r="K548" s="531"/>
      <c r="L548" s="531"/>
      <c r="M548" s="531"/>
      <c r="N548" s="547" t="n">
        <f aca="false">IF('(1)예금승인내역'!H1174="","",'(1)예금승인내역'!H1174)</f>
        <v>46132</v>
      </c>
      <c r="O548" s="547" t="n">
        <f aca="false">IF('(1)예금승인내역'!G1174="","",'(1)예금승인내역'!G1174)</f>
        <v>46100</v>
      </c>
      <c r="P548" s="531" t="str">
        <f aca="false">IF('(1)예금승인내역'!F1174="","",'(1)예금승인내역'!F1174)</f>
        <v>한국비철㈜</v>
      </c>
      <c r="Q548" s="531" t="str">
        <f aca="false">IF('(1)예금승인내역'!C1174="","",'(1)예금승인내역'!C1174)</f>
        <v>달성공단영업부</v>
      </c>
      <c r="R548" s="531" t="str">
        <f aca="false">IF('(1)예금승인내역'!K1174="","",'(1)예금승인내역'!K1174)</f>
        <v>MMDA</v>
      </c>
      <c r="S548" s="548" t="n">
        <f aca="false">IF('(1)예금승인내역'!L1174="","",'(1)예금승인내역'!L1174)</f>
        <v>8.151</v>
      </c>
      <c r="T548" s="549" t="n">
        <f aca="false">IF('(1)예금승인내역'!AG1174="","",'(1)예금승인내역'!AG1174)</f>
        <v>0.032</v>
      </c>
      <c r="U548" s="549" t="n">
        <f aca="false">IF('(1)예금승인내역'!X1174="","",'(1)예금승인내역'!X1174)</f>
        <v>0.003969</v>
      </c>
      <c r="V548" s="531" t="n">
        <f aca="false">IF(ISNUMBER(N548),N548-$B$2,"")</f>
        <v>-57</v>
      </c>
      <c r="W548" s="531" t="str">
        <f aca="false">IF(AND(ISNUMBER(N548),N548&gt;=$B$2,N548&lt;=$B$2+10),N548*100000+ROW(),"")</f>
        <v/>
      </c>
      <c r="X548" s="531"/>
      <c r="Y548" s="531"/>
      <c r="Z548" s="531"/>
      <c r="AA548" s="531"/>
      <c r="AB548" s="531"/>
      <c r="AC548" s="531"/>
      <c r="AD548" s="531"/>
      <c r="AE548" s="531"/>
      <c r="AF548" s="531"/>
      <c r="AG548" s="531"/>
      <c r="AH548" s="531"/>
      <c r="AI548" s="531"/>
      <c r="AJ548" s="531"/>
      <c r="AK548" s="531"/>
      <c r="AL548" s="531"/>
      <c r="AM548" s="531"/>
      <c r="AN548" s="531"/>
    </row>
    <row r="549" customFormat="false" ht="16.5" hidden="false" customHeight="true" outlineLevel="0" collapsed="false">
      <c r="A549" s="531"/>
      <c r="B549" s="531"/>
      <c r="C549" s="531"/>
      <c r="D549" s="531"/>
      <c r="E549" s="531"/>
      <c r="F549" s="531"/>
      <c r="G549" s="531"/>
      <c r="H549" s="531"/>
      <c r="I549" s="531"/>
      <c r="J549" s="531"/>
      <c r="K549" s="531"/>
      <c r="L549" s="531"/>
      <c r="M549" s="531"/>
      <c r="N549" s="547" t="n">
        <f aca="false">IF('(1)예금승인내역'!H1175="","",'(1)예금승인내역'!H1175)</f>
        <v>46132</v>
      </c>
      <c r="O549" s="547" t="n">
        <f aca="false">IF('(1)예금승인내역'!G1175="","",'(1)예금승인내역'!G1175)</f>
        <v>46101</v>
      </c>
      <c r="P549" s="531" t="str">
        <f aca="false">IF('(1)예금승인내역'!F1175="","",'(1)예금승인내역'!F1175)</f>
        <v>㈜약진통상</v>
      </c>
      <c r="Q549" s="531" t="str">
        <f aca="false">IF('(1)예금승인내역'!C1175="","",'(1)예금승인내역'!C1175)</f>
        <v>반월공단영업부</v>
      </c>
      <c r="R549" s="531" t="str">
        <f aca="false">IF('(1)예금승인내역'!K1175="","",'(1)예금승인내역'!K1175)</f>
        <v>MMDA</v>
      </c>
      <c r="S549" s="548" t="n">
        <f aca="false">IF('(1)예금승인내역'!L1175="","",'(1)예금승인내역'!L1175)</f>
        <v>14.4</v>
      </c>
      <c r="T549" s="549" t="n">
        <f aca="false">IF('(1)예금승인내역'!AG1175="","",'(1)예금승인내역'!AG1175)</f>
        <v>0.0322</v>
      </c>
      <c r="U549" s="549" t="n">
        <f aca="false">IF('(1)예금승인내역'!X1175="","",'(1)예금승인내역'!X1175)</f>
        <v>0.003736</v>
      </c>
      <c r="V549" s="531" t="n">
        <f aca="false">IF(ISNUMBER(N549),N549-$B$2,"")</f>
        <v>-57</v>
      </c>
      <c r="W549" s="531" t="str">
        <f aca="false">IF(AND(ISNUMBER(N549),N549&gt;=$B$2,N549&lt;=$B$2+10),N549*100000+ROW(),"")</f>
        <v/>
      </c>
      <c r="X549" s="531"/>
      <c r="Y549" s="531"/>
      <c r="Z549" s="531"/>
      <c r="AA549" s="531"/>
      <c r="AB549" s="531"/>
      <c r="AC549" s="531"/>
      <c r="AD549" s="531"/>
      <c r="AE549" s="531"/>
      <c r="AF549" s="531"/>
      <c r="AG549" s="531"/>
      <c r="AH549" s="531"/>
      <c r="AI549" s="531"/>
      <c r="AJ549" s="531"/>
      <c r="AK549" s="531"/>
      <c r="AL549" s="531"/>
      <c r="AM549" s="531"/>
      <c r="AN549" s="531"/>
    </row>
    <row r="550" customFormat="false" ht="16.5" hidden="false" customHeight="true" outlineLevel="0" collapsed="false">
      <c r="A550" s="531"/>
      <c r="B550" s="531"/>
      <c r="C550" s="531"/>
      <c r="D550" s="531"/>
      <c r="E550" s="531"/>
      <c r="F550" s="531"/>
      <c r="G550" s="531"/>
      <c r="H550" s="531"/>
      <c r="I550" s="531"/>
      <c r="J550" s="531"/>
      <c r="K550" s="531"/>
      <c r="L550" s="531"/>
      <c r="M550" s="531"/>
      <c r="N550" s="547" t="n">
        <f aca="false">IF('(1)예금승인내역'!H1176="","",'(1)예금승인내역'!H1176)</f>
        <v>46132</v>
      </c>
      <c r="O550" s="547" t="n">
        <f aca="false">IF('(1)예금승인내역'!G1176="","",'(1)예금승인내역'!G1176)</f>
        <v>46101</v>
      </c>
      <c r="P550" s="531" t="str">
        <f aca="false">IF('(1)예금승인내역'!F1176="","",'(1)예금승인내역'!F1176)</f>
        <v>대원지에스아이</v>
      </c>
      <c r="Q550" s="531" t="str">
        <f aca="false">IF('(1)예금승인내역'!C1176="","",'(1)예금승인내역'!C1176)</f>
        <v>유통단지영업부</v>
      </c>
      <c r="R550" s="531" t="str">
        <f aca="false">IF('(1)예금승인내역'!K1176="","",'(1)예금승인내역'!K1176)</f>
        <v>정기예금</v>
      </c>
      <c r="S550" s="548" t="n">
        <f aca="false">IF('(1)예금승인내역'!L1176="","",'(1)예금승인내역'!L1176)</f>
        <v>1.5</v>
      </c>
      <c r="T550" s="549" t="n">
        <f aca="false">IF('(1)예금승인내역'!AG1176="","",'(1)예금승인내역'!AG1176)</f>
        <v>0.0345</v>
      </c>
      <c r="U550" s="549" t="n">
        <f aca="false">IF('(1)예금승인내역'!X1176="","",'(1)예금승인내역'!X1176)</f>
        <v>0.002694</v>
      </c>
      <c r="V550" s="531" t="n">
        <f aca="false">IF(ISNUMBER(N550),N550-$B$2,"")</f>
        <v>-57</v>
      </c>
      <c r="W550" s="531" t="str">
        <f aca="false">IF(AND(ISNUMBER(N550),N550&gt;=$B$2,N550&lt;=$B$2+10),N550*100000+ROW(),"")</f>
        <v/>
      </c>
      <c r="X550" s="531"/>
      <c r="Y550" s="531"/>
      <c r="Z550" s="531"/>
      <c r="AA550" s="531"/>
      <c r="AB550" s="531"/>
      <c r="AC550" s="531"/>
      <c r="AD550" s="531"/>
      <c r="AE550" s="531"/>
      <c r="AF550" s="531"/>
      <c r="AG550" s="531"/>
      <c r="AH550" s="531"/>
      <c r="AI550" s="531"/>
      <c r="AJ550" s="531"/>
      <c r="AK550" s="531"/>
      <c r="AL550" s="531"/>
      <c r="AM550" s="531"/>
      <c r="AN550" s="531"/>
    </row>
    <row r="551" customFormat="false" ht="16.5" hidden="false" customHeight="true" outlineLevel="0" collapsed="false">
      <c r="A551" s="531"/>
      <c r="B551" s="531"/>
      <c r="C551" s="531"/>
      <c r="D551" s="531"/>
      <c r="E551" s="531"/>
      <c r="F551" s="531"/>
      <c r="G551" s="531"/>
      <c r="H551" s="531"/>
      <c r="I551" s="531"/>
      <c r="J551" s="531"/>
      <c r="K551" s="531"/>
      <c r="L551" s="531"/>
      <c r="M551" s="531"/>
      <c r="N551" s="547" t="n">
        <f aca="false">IF('(1)예금승인내역'!H1177="","",'(1)예금승인내역'!H1177)</f>
        <v>46196</v>
      </c>
      <c r="O551" s="547" t="n">
        <f aca="false">IF('(1)예금승인내역'!G1177="","",'(1)예금승인내역'!G1177)</f>
        <v>46104</v>
      </c>
      <c r="P551" s="531" t="str">
        <f aca="false">IF('(1)예금승인내역'!F1177="","",'(1)예금승인내역'!F1177)</f>
        <v>㈜비앤에프</v>
      </c>
      <c r="Q551" s="531" t="str">
        <f aca="false">IF('(1)예금승인내역'!C1177="","",'(1)예금승인내역'!C1177)</f>
        <v>죽전지점</v>
      </c>
      <c r="R551" s="531" t="str">
        <f aca="false">IF('(1)예금승인내역'!K1177="","",'(1)예금승인내역'!K1177)</f>
        <v>정기예금</v>
      </c>
      <c r="S551" s="548" t="n">
        <f aca="false">IF('(1)예금승인내역'!L1177="","",'(1)예금승인내역'!L1177)</f>
        <v>1</v>
      </c>
      <c r="T551" s="549" t="n">
        <f aca="false">IF('(1)예금승인내역'!AG1177="","",'(1)예금승인내역'!AG1177)</f>
        <v>0.0365</v>
      </c>
      <c r="U551" s="549" t="n">
        <f aca="false">IF('(1)예금승인내역'!X1177="","",'(1)예금승인내역'!X1177)</f>
        <v>0.002274</v>
      </c>
      <c r="V551" s="531" t="n">
        <f aca="false">IF(ISNUMBER(N551),N551-$B$2,"")</f>
        <v>7</v>
      </c>
      <c r="W551" s="531" t="n">
        <f aca="false">IF(AND(ISNUMBER(N551),N551&gt;=$B$2,N551&lt;=$B$2+10),N551*100000+ROW(),"")</f>
        <v>4619600551</v>
      </c>
      <c r="X551" s="531"/>
      <c r="Y551" s="531"/>
      <c r="Z551" s="531"/>
      <c r="AA551" s="531"/>
      <c r="AB551" s="531"/>
      <c r="AC551" s="531"/>
      <c r="AD551" s="531"/>
      <c r="AE551" s="531"/>
      <c r="AF551" s="531"/>
      <c r="AG551" s="531"/>
      <c r="AH551" s="531"/>
      <c r="AI551" s="531"/>
      <c r="AJ551" s="531"/>
      <c r="AK551" s="531"/>
      <c r="AL551" s="531"/>
      <c r="AM551" s="531"/>
      <c r="AN551" s="531"/>
    </row>
    <row r="552" customFormat="false" ht="16.5" hidden="false" customHeight="true" outlineLevel="0" collapsed="false">
      <c r="A552" s="531"/>
      <c r="B552" s="531"/>
      <c r="C552" s="531"/>
      <c r="D552" s="531"/>
      <c r="E552" s="531"/>
      <c r="F552" s="531"/>
      <c r="G552" s="531"/>
      <c r="H552" s="531"/>
      <c r="I552" s="531"/>
      <c r="J552" s="531"/>
      <c r="K552" s="531"/>
      <c r="L552" s="531"/>
      <c r="M552" s="531"/>
      <c r="N552" s="547" t="n">
        <f aca="false">IF('(1)예금승인내역'!H1178="","",'(1)예금승인내역'!H1178)</f>
        <v>46295</v>
      </c>
      <c r="O552" s="547" t="n">
        <f aca="false">IF('(1)예금승인내역'!G1178="","",'(1)예금승인내역'!G1178)</f>
        <v>46111</v>
      </c>
      <c r="P552" s="531" t="str">
        <f aca="false">IF('(1)예금승인내역'!F1178="","",'(1)예금승인내역'!F1178)</f>
        <v>케이와이글로벌셀앤진사모투자</v>
      </c>
      <c r="Q552" s="531" t="str">
        <f aca="false">IF('(1)예금승인내역'!C1178="","",'(1)예금승인내역'!C1178)</f>
        <v>평택금융센터</v>
      </c>
      <c r="R552" s="531" t="str">
        <f aca="false">IF('(1)예금승인내역'!K1178="","",'(1)예금승인내역'!K1178)</f>
        <v>정기예금</v>
      </c>
      <c r="S552" s="548" t="n">
        <f aca="false">IF('(1)예금승인내역'!L1178="","",'(1)예금승인내역'!L1178)</f>
        <v>2.21</v>
      </c>
      <c r="T552" s="549" t="n">
        <f aca="false">IF('(1)예금승인내역'!AG1178="","",'(1)예금승인내역'!AG1178)</f>
        <v>0.036</v>
      </c>
      <c r="U552" s="549" t="n">
        <f aca="false">IF('(1)예금승인내역'!X1178="","",'(1)예금승인내역'!X1178)</f>
        <v>0.00373</v>
      </c>
      <c r="V552" s="531" t="n">
        <f aca="false">IF(ISNUMBER(N552),N552-$B$2,"")</f>
        <v>106</v>
      </c>
      <c r="W552" s="531" t="str">
        <f aca="false">IF(AND(ISNUMBER(N552),N552&gt;=$B$2,N552&lt;=$B$2+10),N552*100000+ROW(),"")</f>
        <v/>
      </c>
      <c r="X552" s="531"/>
      <c r="Y552" s="531"/>
      <c r="Z552" s="531"/>
      <c r="AA552" s="531"/>
      <c r="AB552" s="531"/>
      <c r="AC552" s="531"/>
      <c r="AD552" s="531"/>
      <c r="AE552" s="531"/>
      <c r="AF552" s="531"/>
      <c r="AG552" s="531"/>
      <c r="AH552" s="531"/>
      <c r="AI552" s="531"/>
      <c r="AJ552" s="531"/>
      <c r="AK552" s="531"/>
      <c r="AL552" s="531"/>
      <c r="AM552" s="531"/>
      <c r="AN552" s="531"/>
    </row>
    <row r="553" customFormat="false" ht="16.5" hidden="false" customHeight="true" outlineLevel="0" collapsed="false">
      <c r="A553" s="531"/>
      <c r="B553" s="531"/>
      <c r="C553" s="531"/>
      <c r="D553" s="531"/>
      <c r="E553" s="531"/>
      <c r="F553" s="531"/>
      <c r="G553" s="531"/>
      <c r="H553" s="531"/>
      <c r="I553" s="531"/>
      <c r="J553" s="531"/>
      <c r="K553" s="531"/>
      <c r="L553" s="531"/>
      <c r="M553" s="531"/>
      <c r="N553" s="547" t="n">
        <f aca="false">IF('(1)예금승인내역'!H1179="","",'(1)예금승인내역'!H1179)</f>
        <v>46146</v>
      </c>
      <c r="O553" s="547" t="n">
        <f aca="false">IF('(1)예금승인내역'!G1179="","",'(1)예금승인내역'!G1179)</f>
        <v>46113</v>
      </c>
      <c r="P553" s="531" t="str">
        <f aca="false">IF('(1)예금승인내역'!F1179="","",'(1)예금승인내역'!F1179)</f>
        <v>국제금속</v>
      </c>
      <c r="Q553" s="531" t="str">
        <f aca="false">IF('(1)예금승인내역'!C1179="","",'(1)예금승인내역'!C1179)</f>
        <v>영천영업부</v>
      </c>
      <c r="R553" s="531" t="str">
        <f aca="false">IF('(1)예금승인내역'!K1179="","",'(1)예금승인내역'!K1179)</f>
        <v>MMDA</v>
      </c>
      <c r="S553" s="548" t="n">
        <f aca="false">IF('(1)예금승인내역'!L1179="","",'(1)예금승인내역'!L1179)</f>
        <v>6.54</v>
      </c>
      <c r="T553" s="549" t="n">
        <f aca="false">IF('(1)예금승인내역'!AG1179="","",'(1)예금승인내역'!AG1179)</f>
        <v>0.032</v>
      </c>
      <c r="U553" s="549" t="n">
        <f aca="false">IF('(1)예금승인내역'!X1179="","",'(1)예금승인내역'!X1179)</f>
        <v>0.003919</v>
      </c>
      <c r="V553" s="531" t="n">
        <f aca="false">IF(ISNUMBER(N553),N553-$B$2,"")</f>
        <v>-43</v>
      </c>
      <c r="W553" s="531" t="str">
        <f aca="false">IF(AND(ISNUMBER(N553),N553&gt;=$B$2,N553&lt;=$B$2+10),N553*100000+ROW(),"")</f>
        <v/>
      </c>
      <c r="X553" s="531"/>
      <c r="Y553" s="531"/>
      <c r="Z553" s="531"/>
      <c r="AA553" s="531"/>
      <c r="AB553" s="531"/>
      <c r="AC553" s="531"/>
      <c r="AD553" s="531"/>
      <c r="AE553" s="531"/>
      <c r="AF553" s="531"/>
      <c r="AG553" s="531"/>
      <c r="AH553" s="531"/>
      <c r="AI553" s="531"/>
      <c r="AJ553" s="531"/>
      <c r="AK553" s="531"/>
      <c r="AL553" s="531"/>
      <c r="AM553" s="531"/>
      <c r="AN553" s="531"/>
    </row>
    <row r="554" customFormat="false" ht="16.5" hidden="false" customHeight="true" outlineLevel="0" collapsed="false">
      <c r="A554" s="531"/>
      <c r="B554" s="531"/>
      <c r="C554" s="531"/>
      <c r="D554" s="531"/>
      <c r="E554" s="531"/>
      <c r="F554" s="531"/>
      <c r="G554" s="531"/>
      <c r="H554" s="531"/>
      <c r="I554" s="531"/>
      <c r="J554" s="531"/>
      <c r="K554" s="531"/>
      <c r="L554" s="531"/>
      <c r="M554" s="531"/>
      <c r="N554" s="547" t="n">
        <f aca="false">IF('(1)예금승인내역'!H1180="","",'(1)예금승인내역'!H1180)</f>
        <v>46142</v>
      </c>
      <c r="O554" s="547" t="n">
        <f aca="false">IF('(1)예금승인내역'!G1180="","",'(1)예금승인내역'!G1180)</f>
        <v>46113</v>
      </c>
      <c r="P554" s="531" t="str">
        <f aca="false">IF('(1)예금승인내역'!F1180="","",'(1)예금승인내역'!F1180)</f>
        <v>㈜더블유비엘</v>
      </c>
      <c r="Q554" s="531" t="str">
        <f aca="false">IF('(1)예금승인내역'!C1180="","",'(1)예금승인내역'!C1180)</f>
        <v>가산디지털금융센터</v>
      </c>
      <c r="R554" s="531" t="str">
        <f aca="false">IF('(1)예금승인내역'!K1180="","",'(1)예금승인내역'!K1180)</f>
        <v>MMDA</v>
      </c>
      <c r="S554" s="548" t="n">
        <f aca="false">IF('(1)예금승인내역'!L1180="","",'(1)예금승인내역'!L1180)</f>
        <v>1</v>
      </c>
      <c r="T554" s="549" t="n">
        <f aca="false">IF('(1)예금승인내역'!AG1180="","",'(1)예금승인내역'!AG1180)</f>
        <v>0.03</v>
      </c>
      <c r="U554" s="549" t="n">
        <f aca="false">IF('(1)예금승인내역'!X1180="","",'(1)예금승인내역'!X1180)</f>
        <v>0.005919</v>
      </c>
      <c r="V554" s="531" t="n">
        <f aca="false">IF(ISNUMBER(N554),N554-$B$2,"")</f>
        <v>-47</v>
      </c>
      <c r="W554" s="531" t="str">
        <f aca="false">IF(AND(ISNUMBER(N554),N554&gt;=$B$2,N554&lt;=$B$2+10),N554*100000+ROW(),"")</f>
        <v/>
      </c>
      <c r="X554" s="531"/>
      <c r="Y554" s="531"/>
      <c r="Z554" s="531"/>
      <c r="AA554" s="531"/>
      <c r="AB554" s="531"/>
      <c r="AC554" s="531"/>
      <c r="AD554" s="531"/>
      <c r="AE554" s="531"/>
      <c r="AF554" s="531"/>
      <c r="AG554" s="531"/>
      <c r="AH554" s="531"/>
      <c r="AI554" s="531"/>
      <c r="AJ554" s="531"/>
      <c r="AK554" s="531"/>
      <c r="AL554" s="531"/>
      <c r="AM554" s="531"/>
      <c r="AN554" s="531"/>
    </row>
    <row r="555" customFormat="false" ht="16.5" hidden="false" customHeight="true" outlineLevel="0" collapsed="false">
      <c r="A555" s="531"/>
      <c r="B555" s="531"/>
      <c r="C555" s="531"/>
      <c r="D555" s="531"/>
      <c r="E555" s="531"/>
      <c r="F555" s="531"/>
      <c r="G555" s="531"/>
      <c r="H555" s="531"/>
      <c r="I555" s="531"/>
      <c r="J555" s="531"/>
      <c r="K555" s="531"/>
      <c r="L555" s="531"/>
      <c r="M555" s="531"/>
      <c r="N555" s="547" t="n">
        <f aca="false">IF('(1)예금승인내역'!H1181="","",'(1)예금승인내역'!H1181)</f>
        <v>46142</v>
      </c>
      <c r="O555" s="547" t="n">
        <f aca="false">IF('(1)예금승인내역'!G1181="","",'(1)예금승인내역'!G1181)</f>
        <v>46115</v>
      </c>
      <c r="P555" s="531" t="str">
        <f aca="false">IF('(1)예금승인내역'!F1181="","",'(1)예금승인내역'!F1181)</f>
        <v>㈜ 광성</v>
      </c>
      <c r="Q555" s="531" t="str">
        <f aca="false">IF('(1)예금승인내역'!C1181="","",'(1)예금승인내역'!C1181)</f>
        <v>경산공단영업부</v>
      </c>
      <c r="R555" s="531" t="str">
        <f aca="false">IF('(1)예금승인내역'!K1181="","",'(1)예금승인내역'!K1181)</f>
        <v>MMDA</v>
      </c>
      <c r="S555" s="548" t="n">
        <f aca="false">IF('(1)예금승인내역'!L1181="","",'(1)예금승인내역'!L1181)</f>
        <v>3.05</v>
      </c>
      <c r="T555" s="549" t="n">
        <f aca="false">IF('(1)예금승인내역'!AG1181="","",'(1)예금승인내역'!AG1181)</f>
        <v>0.0315</v>
      </c>
      <c r="U555" s="549" t="n">
        <f aca="false">IF('(1)예금승인내역'!X1181="","",'(1)예금승인내역'!X1181)</f>
        <v>0.004332</v>
      </c>
      <c r="V555" s="531" t="n">
        <f aca="false">IF(ISNUMBER(N555),N555-$B$2,"")</f>
        <v>-47</v>
      </c>
      <c r="W555" s="531" t="str">
        <f aca="false">IF(AND(ISNUMBER(N555),N555&gt;=$B$2,N555&lt;=$B$2+10),N555*100000+ROW(),"")</f>
        <v/>
      </c>
      <c r="X555" s="531"/>
      <c r="Y555" s="531"/>
      <c r="Z555" s="531"/>
      <c r="AA555" s="531"/>
      <c r="AB555" s="531"/>
      <c r="AC555" s="531"/>
      <c r="AD555" s="531"/>
      <c r="AE555" s="531"/>
      <c r="AF555" s="531"/>
      <c r="AG555" s="531"/>
      <c r="AH555" s="531"/>
      <c r="AI555" s="531"/>
      <c r="AJ555" s="531"/>
      <c r="AK555" s="531"/>
      <c r="AL555" s="531"/>
      <c r="AM555" s="531"/>
      <c r="AN555" s="531"/>
    </row>
    <row r="556" customFormat="false" ht="16.5" hidden="false" customHeight="true" outlineLevel="0" collapsed="false">
      <c r="A556" s="531"/>
      <c r="B556" s="531"/>
      <c r="C556" s="531"/>
      <c r="D556" s="531"/>
      <c r="E556" s="531"/>
      <c r="F556" s="531"/>
      <c r="G556" s="531"/>
      <c r="H556" s="531"/>
      <c r="I556" s="531"/>
      <c r="J556" s="531"/>
      <c r="K556" s="531"/>
      <c r="L556" s="531"/>
      <c r="M556" s="531"/>
      <c r="N556" s="547" t="n">
        <f aca="false">IF('(1)예금승인내역'!H1182="","",'(1)예금승인내역'!H1182)</f>
        <v>46146</v>
      </c>
      <c r="O556" s="547" t="n">
        <f aca="false">IF('(1)예금승인내역'!G1182="","",'(1)예금승인내역'!G1182)</f>
        <v>46115</v>
      </c>
      <c r="P556" s="531" t="str">
        <f aca="false">IF('(1)예금승인내역'!F1182="","",'(1)예금승인내역'!F1182)</f>
        <v>디오㈜</v>
      </c>
      <c r="Q556" s="531" t="str">
        <f aca="false">IF('(1)예금승인내역'!C1182="","",'(1)예금승인내역'!C1182)</f>
        <v>화성금융센터</v>
      </c>
      <c r="R556" s="531" t="str">
        <f aca="false">IF('(1)예금승인내역'!K1182="","",'(1)예금승인내역'!K1182)</f>
        <v>정기예금</v>
      </c>
      <c r="S556" s="548" t="n">
        <f aca="false">IF('(1)예금승인내역'!L1182="","",'(1)예금승인내역'!L1182)</f>
        <v>3</v>
      </c>
      <c r="T556" s="549" t="n">
        <f aca="false">IF('(1)예금승인내역'!AG1182="","",'(1)예금승인내역'!AG1182)</f>
        <v>0.0345</v>
      </c>
      <c r="U556" s="549" t="n">
        <f aca="false">IF('(1)예금승인내역'!X1182="","",'(1)예금승인내역'!X1182)</f>
        <v>0.00251299999999999</v>
      </c>
      <c r="V556" s="531" t="n">
        <f aca="false">IF(ISNUMBER(N556),N556-$B$2,"")</f>
        <v>-43</v>
      </c>
      <c r="W556" s="531" t="str">
        <f aca="false">IF(AND(ISNUMBER(N556),N556&gt;=$B$2,N556&lt;=$B$2+10),N556*100000+ROW(),"")</f>
        <v/>
      </c>
      <c r="X556" s="531"/>
      <c r="Y556" s="531"/>
      <c r="Z556" s="531"/>
      <c r="AA556" s="531"/>
      <c r="AB556" s="531"/>
      <c r="AC556" s="531"/>
      <c r="AD556" s="531"/>
      <c r="AE556" s="531"/>
      <c r="AF556" s="531"/>
      <c r="AG556" s="531"/>
      <c r="AH556" s="531"/>
      <c r="AI556" s="531"/>
      <c r="AJ556" s="531"/>
      <c r="AK556" s="531"/>
      <c r="AL556" s="531"/>
      <c r="AM556" s="531"/>
      <c r="AN556" s="531"/>
    </row>
    <row r="557" customFormat="false" ht="16.5" hidden="false" customHeight="true" outlineLevel="0" collapsed="false">
      <c r="A557" s="531"/>
      <c r="B557" s="531"/>
      <c r="C557" s="531"/>
      <c r="D557" s="531"/>
      <c r="E557" s="531"/>
      <c r="F557" s="531"/>
      <c r="G557" s="531"/>
      <c r="H557" s="531"/>
      <c r="I557" s="531"/>
      <c r="J557" s="531"/>
      <c r="K557" s="531"/>
      <c r="L557" s="531"/>
      <c r="M557" s="531"/>
      <c r="N557" s="547" t="n">
        <f aca="false">IF('(1)예금승인내역'!H1183="","",'(1)예금승인내역'!H1183)</f>
        <v>46148</v>
      </c>
      <c r="O557" s="547" t="n">
        <f aca="false">IF('(1)예금승인내역'!G1183="","",'(1)예금승인내역'!G1183)</f>
        <v>46118</v>
      </c>
      <c r="P557" s="531" t="str">
        <f aca="false">IF('(1)예금승인내역'!F1183="","",'(1)예금승인내역'!F1183)</f>
        <v>㈜지엠메탈</v>
      </c>
      <c r="Q557" s="531" t="str">
        <f aca="false">IF('(1)예금승인내역'!C1183="","",'(1)예금승인내역'!C1183)</f>
        <v>이현공단영업부</v>
      </c>
      <c r="R557" s="531" t="str">
        <f aca="false">IF('(1)예금승인내역'!K1183="","",'(1)예금승인내역'!K1183)</f>
        <v>MMDA</v>
      </c>
      <c r="S557" s="548" t="n">
        <f aca="false">IF('(1)예금승인내역'!L1183="","",'(1)예금승인내역'!L1183)</f>
        <v>1.37</v>
      </c>
      <c r="T557" s="549" t="n">
        <f aca="false">IF('(1)예금승인내역'!AG1183="","",'(1)예금승인내역'!AG1183)</f>
        <v>0.0315</v>
      </c>
      <c r="U557" s="549" t="n">
        <f aca="false">IF('(1)예금승인내역'!X1183="","",'(1)예금승인내역'!X1183)</f>
        <v>0.004299</v>
      </c>
      <c r="V557" s="531" t="n">
        <f aca="false">IF(ISNUMBER(N557),N557-$B$2,"")</f>
        <v>-41</v>
      </c>
      <c r="W557" s="531" t="str">
        <f aca="false">IF(AND(ISNUMBER(N557),N557&gt;=$B$2,N557&lt;=$B$2+10),N557*100000+ROW(),"")</f>
        <v/>
      </c>
      <c r="X557" s="531"/>
      <c r="Y557" s="531"/>
      <c r="Z557" s="531"/>
      <c r="AA557" s="531"/>
      <c r="AB557" s="531"/>
      <c r="AC557" s="531"/>
      <c r="AD557" s="531"/>
      <c r="AE557" s="531"/>
      <c r="AF557" s="531"/>
      <c r="AG557" s="531"/>
      <c r="AH557" s="531"/>
      <c r="AI557" s="531"/>
      <c r="AJ557" s="531"/>
      <c r="AK557" s="531"/>
      <c r="AL557" s="531"/>
      <c r="AM557" s="531"/>
      <c r="AN557" s="531"/>
    </row>
    <row r="558" customFormat="false" ht="16.5" hidden="false" customHeight="true" outlineLevel="0" collapsed="false">
      <c r="A558" s="531"/>
      <c r="B558" s="531"/>
      <c r="C558" s="531"/>
      <c r="D558" s="531"/>
      <c r="E558" s="531"/>
      <c r="F558" s="531"/>
      <c r="G558" s="531"/>
      <c r="H558" s="531"/>
      <c r="I558" s="531"/>
      <c r="J558" s="531"/>
      <c r="K558" s="531"/>
      <c r="L558" s="531"/>
      <c r="M558" s="531"/>
      <c r="N558" s="547" t="n">
        <f aca="false">IF('(1)예금승인내역'!H1184="","",'(1)예금승인내역'!H1184)</f>
        <v>46148</v>
      </c>
      <c r="O558" s="547" t="n">
        <f aca="false">IF('(1)예금승인내역'!G1184="","",'(1)예금승인내역'!G1184)</f>
        <v>46118</v>
      </c>
      <c r="P558" s="531" t="str">
        <f aca="false">IF('(1)예금승인내역'!F1184="","",'(1)예금승인내역'!F1184)</f>
        <v>미래에셋컨설팅</v>
      </c>
      <c r="Q558" s="531" t="str">
        <f aca="false">IF('(1)예금승인내역'!C1184="","",'(1)예금승인내역'!C1184)</f>
        <v>서울영업부</v>
      </c>
      <c r="R558" s="531" t="str">
        <f aca="false">IF('(1)예금승인내역'!K1184="","",'(1)예금승인내역'!K1184)</f>
        <v>정기예금</v>
      </c>
      <c r="S558" s="548" t="n">
        <f aca="false">IF('(1)예금승인내역'!L1184="","",'(1)예금승인내역'!L1184)</f>
        <v>5</v>
      </c>
      <c r="T558" s="549" t="n">
        <f aca="false">IF('(1)예금승인내역'!AG1184="","",'(1)예금승인내역'!AG1184)</f>
        <v>0.0342</v>
      </c>
      <c r="U558" s="549" t="n">
        <f aca="false">IF('(1)예금승인내역'!X1184="","",'(1)예금승인내역'!X1184)</f>
        <v>0.002772</v>
      </c>
      <c r="V558" s="531" t="n">
        <f aca="false">IF(ISNUMBER(N558),N558-$B$2,"")</f>
        <v>-41</v>
      </c>
      <c r="W558" s="531" t="str">
        <f aca="false">IF(AND(ISNUMBER(N558),N558&gt;=$B$2,N558&lt;=$B$2+10),N558*100000+ROW(),"")</f>
        <v/>
      </c>
      <c r="X558" s="531"/>
      <c r="Y558" s="531"/>
      <c r="Z558" s="531"/>
      <c r="AA558" s="531"/>
      <c r="AB558" s="531"/>
      <c r="AC558" s="531"/>
      <c r="AD558" s="531"/>
      <c r="AE558" s="531"/>
      <c r="AF558" s="531"/>
      <c r="AG558" s="531"/>
      <c r="AH558" s="531"/>
      <c r="AI558" s="531"/>
      <c r="AJ558" s="531"/>
      <c r="AK558" s="531"/>
      <c r="AL558" s="531"/>
      <c r="AM558" s="531"/>
      <c r="AN558" s="531"/>
    </row>
    <row r="559" customFormat="false" ht="16.5" hidden="false" customHeight="true" outlineLevel="0" collapsed="false">
      <c r="A559" s="531"/>
      <c r="B559" s="531"/>
      <c r="C559" s="531"/>
      <c r="D559" s="531"/>
      <c r="E559" s="531"/>
      <c r="F559" s="531"/>
      <c r="G559" s="531"/>
      <c r="H559" s="531"/>
      <c r="I559" s="531"/>
      <c r="J559" s="531"/>
      <c r="K559" s="531"/>
      <c r="L559" s="531"/>
      <c r="M559" s="531"/>
      <c r="N559" s="547" t="n">
        <f aca="false">IF('(1)예금승인내역'!H1185="","",'(1)예금승인내역'!H1185)</f>
        <v>46148</v>
      </c>
      <c r="O559" s="547" t="n">
        <f aca="false">IF('(1)예금승인내역'!G1185="","",'(1)예금승인내역'!G1185)</f>
        <v>46118</v>
      </c>
      <c r="P559" s="531" t="str">
        <f aca="false">IF('(1)예금승인내역'!F1185="","",'(1)예금승인내역'!F1185)</f>
        <v>동화인더스트리</v>
      </c>
      <c r="Q559" s="531" t="str">
        <f aca="false">IF('(1)예금승인내역'!C1185="","",'(1)예금승인내역'!C1185)</f>
        <v>중동지점</v>
      </c>
      <c r="R559" s="531" t="str">
        <f aca="false">IF('(1)예금승인내역'!K1185="","",'(1)예금승인내역'!K1185)</f>
        <v>정기예금</v>
      </c>
      <c r="S559" s="548" t="n">
        <f aca="false">IF('(1)예금승인내역'!L1185="","",'(1)예금승인내역'!L1185)</f>
        <v>3</v>
      </c>
      <c r="T559" s="549" t="n">
        <f aca="false">IF('(1)예금승인내역'!AG1185="","",'(1)예금승인내역'!AG1185)</f>
        <v>0.035</v>
      </c>
      <c r="U559" s="549" t="n">
        <f aca="false">IF('(1)예금승인내역'!X1185="","",'(1)예금승인내역'!X1185)</f>
        <v>0.00197199999999999</v>
      </c>
      <c r="V559" s="531" t="n">
        <f aca="false">IF(ISNUMBER(N559),N559-$B$2,"")</f>
        <v>-41</v>
      </c>
      <c r="W559" s="531" t="str">
        <f aca="false">IF(AND(ISNUMBER(N559),N559&gt;=$B$2,N559&lt;=$B$2+10),N559*100000+ROW(),"")</f>
        <v/>
      </c>
      <c r="X559" s="531"/>
      <c r="Y559" s="531"/>
      <c r="Z559" s="531"/>
      <c r="AA559" s="531"/>
      <c r="AB559" s="531"/>
      <c r="AC559" s="531"/>
      <c r="AD559" s="531"/>
      <c r="AE559" s="531"/>
      <c r="AF559" s="531"/>
      <c r="AG559" s="531"/>
      <c r="AH559" s="531"/>
      <c r="AI559" s="531"/>
      <c r="AJ559" s="531"/>
      <c r="AK559" s="531"/>
      <c r="AL559" s="531"/>
      <c r="AM559" s="531"/>
      <c r="AN559" s="531"/>
    </row>
    <row r="560" customFormat="false" ht="16.5" hidden="false" customHeight="true" outlineLevel="0" collapsed="false">
      <c r="A560" s="531"/>
      <c r="B560" s="531"/>
      <c r="C560" s="531"/>
      <c r="D560" s="531"/>
      <c r="E560" s="531"/>
      <c r="F560" s="531"/>
      <c r="G560" s="531"/>
      <c r="H560" s="531"/>
      <c r="I560" s="531"/>
      <c r="J560" s="531"/>
      <c r="K560" s="531"/>
      <c r="L560" s="531"/>
      <c r="M560" s="531"/>
      <c r="N560" s="547" t="n">
        <f aca="false">IF('(1)예금승인내역'!H1186="","",'(1)예금승인내역'!H1186)</f>
        <v>46153</v>
      </c>
      <c r="O560" s="547" t="n">
        <f aca="false">IF('(1)예금승인내역'!G1186="","",'(1)예금승인내역'!G1186)</f>
        <v>46122</v>
      </c>
      <c r="P560" s="531" t="str">
        <f aca="false">IF('(1)예금승인내역'!F1186="","",'(1)예금승인내역'!F1186)</f>
        <v>오스템임플란트㈜</v>
      </c>
      <c r="Q560" s="531" t="str">
        <f aca="false">IF('(1)예금승인내역'!C1186="","",'(1)예금승인내역'!C1186)</f>
        <v>성남금융센터</v>
      </c>
      <c r="R560" s="531" t="str">
        <f aca="false">IF('(1)예금승인내역'!K1186="","",'(1)예금승인내역'!K1186)</f>
        <v>MMDA</v>
      </c>
      <c r="S560" s="548" t="n">
        <f aca="false">IF('(1)예금승인내역'!L1186="","",'(1)예금승인내역'!L1186)</f>
        <v>2</v>
      </c>
      <c r="T560" s="549" t="n">
        <f aca="false">IF('(1)예금승인내역'!AG1186="","",'(1)예금승인내역'!AG1186)</f>
        <v>0.032</v>
      </c>
      <c r="U560" s="549" t="n">
        <f aca="false">IF('(1)예금승인내역'!X1186="","",'(1)예금승인내역'!X1186)</f>
        <v>0.003827</v>
      </c>
      <c r="V560" s="531" t="n">
        <f aca="false">IF(ISNUMBER(N560),N560-$B$2,"")</f>
        <v>-36</v>
      </c>
      <c r="W560" s="531" t="str">
        <f aca="false">IF(AND(ISNUMBER(N560),N560&gt;=$B$2,N560&lt;=$B$2+10),N560*100000+ROW(),"")</f>
        <v/>
      </c>
      <c r="X560" s="531"/>
      <c r="Y560" s="531"/>
      <c r="Z560" s="531"/>
      <c r="AA560" s="531"/>
      <c r="AB560" s="531"/>
      <c r="AC560" s="531"/>
      <c r="AD560" s="531"/>
      <c r="AE560" s="531"/>
      <c r="AF560" s="531"/>
      <c r="AG560" s="531"/>
      <c r="AH560" s="531"/>
      <c r="AI560" s="531"/>
      <c r="AJ560" s="531"/>
      <c r="AK560" s="531"/>
      <c r="AL560" s="531"/>
      <c r="AM560" s="531"/>
      <c r="AN560" s="531"/>
    </row>
    <row r="561" customFormat="false" ht="16.5" hidden="false" customHeight="true" outlineLevel="0" collapsed="false">
      <c r="A561" s="531"/>
      <c r="B561" s="531"/>
      <c r="C561" s="531"/>
      <c r="D561" s="531"/>
      <c r="E561" s="531"/>
      <c r="F561" s="531"/>
      <c r="G561" s="531"/>
      <c r="H561" s="531"/>
      <c r="I561" s="531"/>
      <c r="J561" s="531"/>
      <c r="K561" s="531"/>
      <c r="L561" s="531"/>
      <c r="M561" s="531"/>
      <c r="N561" s="547" t="n">
        <f aca="false">IF('(1)예금승인내역'!H1187="","",'(1)예금승인내역'!H1187)</f>
        <v>46155</v>
      </c>
      <c r="O561" s="547" t="n">
        <f aca="false">IF('(1)예금승인내역'!G1187="","",'(1)예금승인내역'!G1187)</f>
        <v>46125</v>
      </c>
      <c r="P561" s="531" t="str">
        <f aca="false">IF('(1)예금승인내역'!F1187="","",'(1)예금승인내역'!F1187)</f>
        <v>㈜이수스페셜티케미컬</v>
      </c>
      <c r="Q561" s="531" t="str">
        <f aca="false">IF('(1)예금승인내역'!C1187="","",'(1)예금승인내역'!C1187)</f>
        <v>성남영업부</v>
      </c>
      <c r="R561" s="531" t="str">
        <f aca="false">IF('(1)예금승인내역'!K1187="","",'(1)예금승인내역'!K1187)</f>
        <v>MMDA</v>
      </c>
      <c r="S561" s="548" t="n">
        <f aca="false">IF('(1)예금승인내역'!L1187="","",'(1)예금승인내역'!L1187)</f>
        <v>6.01</v>
      </c>
      <c r="T561" s="549" t="n">
        <f aca="false">IF('(1)예금승인내역'!AG1187="","",'(1)예금승인내역'!AG1187)</f>
        <v>0.032</v>
      </c>
      <c r="U561" s="549" t="n">
        <f aca="false">IF('(1)예금승인내역'!X1187="","",'(1)예금승인내역'!X1187)</f>
        <v>0.003752</v>
      </c>
      <c r="V561" s="531" t="n">
        <f aca="false">IF(ISNUMBER(N561),N561-$B$2,"")</f>
        <v>-34</v>
      </c>
      <c r="W561" s="531" t="str">
        <f aca="false">IF(AND(ISNUMBER(N561),N561&gt;=$B$2,N561&lt;=$B$2+10),N561*100000+ROW(),"")</f>
        <v/>
      </c>
      <c r="X561" s="531"/>
      <c r="Y561" s="531"/>
      <c r="Z561" s="531"/>
      <c r="AA561" s="531"/>
      <c r="AB561" s="531"/>
      <c r="AC561" s="531"/>
      <c r="AD561" s="531"/>
      <c r="AE561" s="531"/>
      <c r="AF561" s="531"/>
      <c r="AG561" s="531"/>
      <c r="AH561" s="531"/>
      <c r="AI561" s="531"/>
      <c r="AJ561" s="531"/>
      <c r="AK561" s="531"/>
      <c r="AL561" s="531"/>
      <c r="AM561" s="531"/>
      <c r="AN561" s="531"/>
    </row>
    <row r="562" customFormat="false" ht="16.5" hidden="false" customHeight="true" outlineLevel="0" collapsed="false">
      <c r="A562" s="531"/>
      <c r="B562" s="531"/>
      <c r="C562" s="531"/>
      <c r="D562" s="531"/>
      <c r="E562" s="531"/>
      <c r="F562" s="531"/>
      <c r="G562" s="531"/>
      <c r="H562" s="531"/>
      <c r="I562" s="531"/>
      <c r="J562" s="531"/>
      <c r="K562" s="531"/>
      <c r="L562" s="531"/>
      <c r="M562" s="531"/>
      <c r="N562" s="547" t="n">
        <f aca="false">IF('(1)예금승인내역'!H1188="","",'(1)예금승인내역'!H1188)</f>
        <v>46155</v>
      </c>
      <c r="O562" s="547" t="n">
        <f aca="false">IF('(1)예금승인내역'!G1188="","",'(1)예금승인내역'!G1188)</f>
        <v>46125</v>
      </c>
      <c r="P562" s="531" t="str">
        <f aca="false">IF('(1)예금승인내역'!F1188="","",'(1)예금승인내역'!F1188)</f>
        <v>㈜현대그린푸드</v>
      </c>
      <c r="Q562" s="531" t="str">
        <f aca="false">IF('(1)예금승인내역'!C1188="","",'(1)예금승인내역'!C1188)</f>
        <v>성남영업부</v>
      </c>
      <c r="R562" s="531" t="str">
        <f aca="false">IF('(1)예금승인내역'!K1188="","",'(1)예금승인내역'!K1188)</f>
        <v>MMDA</v>
      </c>
      <c r="S562" s="548" t="n">
        <f aca="false">IF('(1)예금승인내역'!L1188="","",'(1)예금승인내역'!L1188)</f>
        <v>1.43</v>
      </c>
      <c r="T562" s="549" t="n">
        <f aca="false">IF('(1)예금승인내역'!AG1188="","",'(1)예금승인내역'!AG1188)</f>
        <v>0.032</v>
      </c>
      <c r="U562" s="549" t="n">
        <f aca="false">IF('(1)예금승인내역'!X1188="","",'(1)예금승인내역'!X1188)</f>
        <v>0.003752</v>
      </c>
      <c r="V562" s="531" t="n">
        <f aca="false">IF(ISNUMBER(N562),N562-$B$2,"")</f>
        <v>-34</v>
      </c>
      <c r="W562" s="531" t="str">
        <f aca="false">IF(AND(ISNUMBER(N562),N562&gt;=$B$2,N562&lt;=$B$2+10),N562*100000+ROW(),"")</f>
        <v/>
      </c>
      <c r="X562" s="531"/>
      <c r="Y562" s="531"/>
      <c r="Z562" s="531"/>
      <c r="AA562" s="531"/>
      <c r="AB562" s="531"/>
      <c r="AC562" s="531"/>
      <c r="AD562" s="531"/>
      <c r="AE562" s="531"/>
      <c r="AF562" s="531"/>
      <c r="AG562" s="531"/>
      <c r="AH562" s="531"/>
      <c r="AI562" s="531"/>
      <c r="AJ562" s="531"/>
      <c r="AK562" s="531"/>
      <c r="AL562" s="531"/>
      <c r="AM562" s="531"/>
      <c r="AN562" s="531"/>
    </row>
    <row r="563" customFormat="false" ht="16.5" hidden="false" customHeight="true" outlineLevel="0" collapsed="false">
      <c r="A563" s="531"/>
      <c r="B563" s="531"/>
      <c r="C563" s="531"/>
      <c r="D563" s="531"/>
      <c r="E563" s="531"/>
      <c r="F563" s="531"/>
      <c r="G563" s="531"/>
      <c r="H563" s="531"/>
      <c r="I563" s="531"/>
      <c r="J563" s="531"/>
      <c r="K563" s="531"/>
      <c r="L563" s="531"/>
      <c r="M563" s="531"/>
      <c r="N563" s="547" t="n">
        <f aca="false">IF('(1)예금승인내역'!H1189="","",'(1)예금승인내역'!H1189)</f>
        <v>46244</v>
      </c>
      <c r="O563" s="547" t="n">
        <f aca="false">IF('(1)예금승인내역'!G1189="","",'(1)예금승인내역'!G1189)</f>
        <v>46128</v>
      </c>
      <c r="P563" s="531" t="str">
        <f aca="false">IF('(1)예금승인내역'!F1189="","",'(1)예금승인내역'!F1189)</f>
        <v>㈜신한은행(JB자산운용)</v>
      </c>
      <c r="Q563" s="531" t="str">
        <f aca="false">IF('(1)예금승인내역'!C1189="","",'(1)예금승인내역'!C1189)</f>
        <v>여의도영업부</v>
      </c>
      <c r="R563" s="531" t="str">
        <f aca="false">IF('(1)예금승인내역'!K1189="","",'(1)예금승인내역'!K1189)</f>
        <v>정기예금</v>
      </c>
      <c r="S563" s="548" t="n">
        <f aca="false">IF('(1)예금승인내역'!L1189="","",'(1)예금승인내역'!L1189)</f>
        <v>5</v>
      </c>
      <c r="T563" s="549" t="n">
        <f aca="false">IF('(1)예금승인내역'!AG1189="","",'(1)예금승인내역'!AG1189)</f>
        <v>0.036</v>
      </c>
      <c r="U563" s="549" t="n">
        <f aca="false">IF('(1)예금승인내역'!X1189="","",'(1)예금승인내역'!X1189)</f>
        <v>0.002869</v>
      </c>
      <c r="V563" s="531" t="n">
        <f aca="false">IF(ISNUMBER(N563),N563-$B$2,"")</f>
        <v>55</v>
      </c>
      <c r="W563" s="531" t="str">
        <f aca="false">IF(AND(ISNUMBER(N563),N563&gt;=$B$2,N563&lt;=$B$2+10),N563*100000+ROW(),"")</f>
        <v/>
      </c>
      <c r="X563" s="531"/>
      <c r="Y563" s="531"/>
      <c r="Z563" s="531"/>
      <c r="AA563" s="531"/>
      <c r="AB563" s="531"/>
      <c r="AC563" s="531"/>
      <c r="AD563" s="531"/>
      <c r="AE563" s="531"/>
      <c r="AF563" s="531"/>
      <c r="AG563" s="531"/>
      <c r="AH563" s="531"/>
      <c r="AI563" s="531"/>
      <c r="AJ563" s="531"/>
      <c r="AK563" s="531"/>
      <c r="AL563" s="531"/>
      <c r="AM563" s="531"/>
      <c r="AN563" s="531"/>
    </row>
    <row r="564" customFormat="false" ht="16.5" hidden="false" customHeight="true" outlineLevel="0" collapsed="false">
      <c r="A564" s="531"/>
      <c r="B564" s="531"/>
      <c r="C564" s="531"/>
      <c r="D564" s="531"/>
      <c r="E564" s="531"/>
      <c r="F564" s="531"/>
      <c r="G564" s="531"/>
      <c r="H564" s="531"/>
      <c r="I564" s="531"/>
      <c r="J564" s="531"/>
      <c r="K564" s="531"/>
      <c r="L564" s="531"/>
      <c r="M564" s="531"/>
      <c r="N564" s="547" t="n">
        <f aca="false">IF('(1)예금승인내역'!H1190="","",'(1)예금승인내역'!H1190)</f>
        <v>46157</v>
      </c>
      <c r="O564" s="547" t="n">
        <f aca="false">IF('(1)예금승인내역'!G1190="","",'(1)예금승인내역'!G1190)</f>
        <v>46129</v>
      </c>
      <c r="P564" s="531" t="str">
        <f aca="false">IF('(1)예금승인내역'!F1190="","",'(1)예금승인내역'!F1190)</f>
        <v>와이엠에스에이</v>
      </c>
      <c r="Q564" s="531" t="str">
        <f aca="false">IF('(1)예금승인내역'!C1190="","",'(1)예금승인내역'!C1190)</f>
        <v>본점영업부</v>
      </c>
      <c r="R564" s="531" t="str">
        <f aca="false">IF('(1)예금승인내역'!K1190="","",'(1)예금승인내역'!K1190)</f>
        <v>MMDA</v>
      </c>
      <c r="S564" s="548" t="n">
        <f aca="false">IF('(1)예금승인내역'!L1190="","",'(1)예금승인내역'!L1190)</f>
        <v>6.02</v>
      </c>
      <c r="T564" s="549" t="n">
        <f aca="false">IF('(1)예금승인내역'!AG1190="","",'(1)예금승인내역'!AG1190)</f>
        <v>0.032</v>
      </c>
      <c r="U564" s="549" t="n">
        <f aca="false">IF('(1)예금승인내역'!X1190="","",'(1)예금승인내역'!X1190)</f>
        <v>0.003881</v>
      </c>
      <c r="V564" s="531" t="n">
        <f aca="false">IF(ISNUMBER(N564),N564-$B$2,"")</f>
        <v>-32</v>
      </c>
      <c r="W564" s="531" t="str">
        <f aca="false">IF(AND(ISNUMBER(N564),N564&gt;=$B$2,N564&lt;=$B$2+10),N564*100000+ROW(),"")</f>
        <v/>
      </c>
      <c r="X564" s="531"/>
      <c r="Y564" s="531"/>
      <c r="Z564" s="531"/>
      <c r="AA564" s="531"/>
      <c r="AB564" s="531"/>
      <c r="AC564" s="531"/>
      <c r="AD564" s="531"/>
      <c r="AE564" s="531"/>
      <c r="AF564" s="531"/>
      <c r="AG564" s="531"/>
      <c r="AH564" s="531"/>
      <c r="AI564" s="531"/>
      <c r="AJ564" s="531"/>
      <c r="AK564" s="531"/>
      <c r="AL564" s="531"/>
      <c r="AM564" s="531"/>
      <c r="AN564" s="531"/>
    </row>
    <row r="565" customFormat="false" ht="16.5" hidden="false" customHeight="true" outlineLevel="0" collapsed="false">
      <c r="A565" s="531"/>
      <c r="B565" s="531"/>
      <c r="C565" s="531"/>
      <c r="D565" s="531"/>
      <c r="E565" s="531"/>
      <c r="F565" s="531"/>
      <c r="G565" s="531"/>
      <c r="H565" s="531"/>
      <c r="I565" s="531"/>
      <c r="J565" s="531"/>
      <c r="K565" s="531"/>
      <c r="L565" s="531"/>
      <c r="M565" s="531"/>
      <c r="N565" s="547" t="n">
        <f aca="false">IF('(1)예금승인내역'!H1191="","",'(1)예금승인내역'!H1191)</f>
        <v>46223</v>
      </c>
      <c r="O565" s="547" t="n">
        <f aca="false">IF('(1)예금승인내역'!G1191="","",'(1)예금승인내역'!G1191)</f>
        <v>46129</v>
      </c>
      <c r="P565" s="531" t="str">
        <f aca="false">IF('(1)예금승인내역'!F1191="","",'(1)예금승인내역'!F1191)</f>
        <v>상신브레이크㈜</v>
      </c>
      <c r="Q565" s="531" t="str">
        <f aca="false">IF('(1)예금승인내역'!C1191="","",'(1)예금승인내역'!C1191)</f>
        <v>달성공단영업부</v>
      </c>
      <c r="R565" s="531" t="str">
        <f aca="false">IF('(1)예금승인내역'!K1191="","",'(1)예금승인내역'!K1191)</f>
        <v>정기예금</v>
      </c>
      <c r="S565" s="548" t="n">
        <f aca="false">IF('(1)예금승인내역'!L1191="","",'(1)예금승인내역'!L1191)</f>
        <v>3</v>
      </c>
      <c r="T565" s="549" t="n">
        <f aca="false">IF('(1)예금승인내역'!AG1191="","",'(1)예금승인내역'!AG1191)</f>
        <v>0.036</v>
      </c>
      <c r="U565" s="549" t="n">
        <f aca="false">IF('(1)예금승인내역'!X1191="","",'(1)예금승인내역'!X1191)</f>
        <v>0.00272</v>
      </c>
      <c r="V565" s="531" t="n">
        <f aca="false">IF(ISNUMBER(N565),N565-$B$2,"")</f>
        <v>34</v>
      </c>
      <c r="W565" s="531" t="str">
        <f aca="false">IF(AND(ISNUMBER(N565),N565&gt;=$B$2,N565&lt;=$B$2+10),N565*100000+ROW(),"")</f>
        <v/>
      </c>
      <c r="X565" s="531"/>
      <c r="Y565" s="531"/>
      <c r="Z565" s="531"/>
      <c r="AA565" s="531"/>
      <c r="AB565" s="531"/>
      <c r="AC565" s="531"/>
      <c r="AD565" s="531"/>
      <c r="AE565" s="531"/>
      <c r="AF565" s="531"/>
      <c r="AG565" s="531"/>
      <c r="AH565" s="531"/>
      <c r="AI565" s="531"/>
      <c r="AJ565" s="531"/>
      <c r="AK565" s="531"/>
      <c r="AL565" s="531"/>
      <c r="AM565" s="531"/>
      <c r="AN565" s="531"/>
    </row>
    <row r="566" customFormat="false" ht="16.5" hidden="false" customHeight="true" outlineLevel="0" collapsed="false">
      <c r="A566" s="531"/>
      <c r="B566" s="531"/>
      <c r="C566" s="531"/>
      <c r="D566" s="531"/>
      <c r="E566" s="531"/>
      <c r="F566" s="531"/>
      <c r="G566" s="531"/>
      <c r="H566" s="531"/>
      <c r="I566" s="531"/>
      <c r="J566" s="531"/>
      <c r="K566" s="531"/>
      <c r="L566" s="531"/>
      <c r="M566" s="531"/>
      <c r="N566" s="547" t="n">
        <f aca="false">IF('(1)예금승인내역'!H1192="","",'(1)예금승인내역'!H1192)</f>
        <v>46162</v>
      </c>
      <c r="O566" s="547" t="n">
        <f aca="false">IF('(1)예금승인내역'!G1192="","",'(1)예금승인내역'!G1192)</f>
        <v>46132</v>
      </c>
      <c r="P566" s="531" t="str">
        <f aca="false">IF('(1)예금승인내역'!F1192="","",'(1)예금승인내역'!F1192)</f>
        <v>㈜일지테크</v>
      </c>
      <c r="Q566" s="531" t="str">
        <f aca="false">IF('(1)예금승인내역'!C1192="","",'(1)예금승인내역'!C1192)</f>
        <v>경산공단영업부</v>
      </c>
      <c r="R566" s="531" t="str">
        <f aca="false">IF('(1)예금승인내역'!K1192="","",'(1)예금승인내역'!K1192)</f>
        <v>MMDA</v>
      </c>
      <c r="S566" s="548" t="n">
        <f aca="false">IF('(1)예금승인내역'!L1192="","",'(1)예금승인내역'!L1192)</f>
        <v>8.37</v>
      </c>
      <c r="T566" s="549" t="n">
        <f aca="false">IF('(1)예금승인내역'!AG1192="","",'(1)예금승인내역'!AG1192)</f>
        <v>0.032</v>
      </c>
      <c r="U566" s="549" t="n">
        <f aca="false">IF('(1)예금승인내역'!X1192="","",'(1)예금승인내역'!X1192)</f>
        <v>0.003736</v>
      </c>
      <c r="V566" s="531" t="n">
        <f aca="false">IF(ISNUMBER(N566),N566-$B$2,"")</f>
        <v>-27</v>
      </c>
      <c r="W566" s="531" t="str">
        <f aca="false">IF(AND(ISNUMBER(N566),N566&gt;=$B$2,N566&lt;=$B$2+10),N566*100000+ROW(),"")</f>
        <v/>
      </c>
      <c r="X566" s="531"/>
      <c r="Y566" s="531"/>
      <c r="Z566" s="531"/>
      <c r="AA566" s="531"/>
      <c r="AB566" s="531"/>
      <c r="AC566" s="531"/>
      <c r="AD566" s="531"/>
      <c r="AE566" s="531"/>
      <c r="AF566" s="531"/>
      <c r="AG566" s="531"/>
      <c r="AH566" s="531"/>
      <c r="AI566" s="531"/>
      <c r="AJ566" s="531"/>
      <c r="AK566" s="531"/>
      <c r="AL566" s="531"/>
      <c r="AM566" s="531"/>
      <c r="AN566" s="531"/>
    </row>
    <row r="567" customFormat="false" ht="16.5" hidden="false" customHeight="true" outlineLevel="0" collapsed="false">
      <c r="A567" s="531"/>
      <c r="B567" s="531"/>
      <c r="C567" s="531"/>
      <c r="D567" s="531"/>
      <c r="E567" s="531"/>
      <c r="F567" s="531"/>
      <c r="G567" s="531"/>
      <c r="H567" s="531"/>
      <c r="I567" s="531"/>
      <c r="J567" s="531"/>
      <c r="K567" s="531"/>
      <c r="L567" s="531"/>
      <c r="M567" s="531"/>
      <c r="N567" s="547" t="n">
        <f aca="false">IF('(1)예금승인내역'!H1193="","",'(1)예금승인내역'!H1193)</f>
        <v>46162</v>
      </c>
      <c r="O567" s="547" t="n">
        <f aca="false">IF('(1)예금승인내역'!G1193="","",'(1)예금승인내역'!G1193)</f>
        <v>46132</v>
      </c>
      <c r="P567" s="531" t="str">
        <f aca="false">IF('(1)예금승인내역'!F1193="","",'(1)예금승인내역'!F1193)</f>
        <v>한국비앤씨㈜</v>
      </c>
      <c r="Q567" s="531" t="str">
        <f aca="false">IF('(1)예금승인내역'!C1193="","",'(1)예금승인내역'!C1193)</f>
        <v>달성공단영업부</v>
      </c>
      <c r="R567" s="531" t="str">
        <f aca="false">IF('(1)예금승인내역'!K1193="","",'(1)예금승인내역'!K1193)</f>
        <v>MMDA</v>
      </c>
      <c r="S567" s="548" t="n">
        <f aca="false">IF('(1)예금승인내역'!L1193="","",'(1)예금승인내역'!L1193)</f>
        <v>8.55</v>
      </c>
      <c r="T567" s="549" t="n">
        <f aca="false">IF('(1)예금승인내역'!AG1193="","",'(1)예금승인내역'!AG1193)</f>
        <v>0.032</v>
      </c>
      <c r="U567" s="549" t="n">
        <f aca="false">IF('(1)예금승인내역'!X1193="","",'(1)예금승인내역'!X1193)</f>
        <v>0.003736</v>
      </c>
      <c r="V567" s="531" t="n">
        <f aca="false">IF(ISNUMBER(N567),N567-$B$2,"")</f>
        <v>-27</v>
      </c>
      <c r="W567" s="531" t="str">
        <f aca="false">IF(AND(ISNUMBER(N567),N567&gt;=$B$2,N567&lt;=$B$2+10),N567*100000+ROW(),"")</f>
        <v/>
      </c>
      <c r="X567" s="531"/>
      <c r="Y567" s="531"/>
      <c r="Z567" s="531"/>
      <c r="AA567" s="531"/>
      <c r="AB567" s="531"/>
      <c r="AC567" s="531"/>
      <c r="AD567" s="531"/>
      <c r="AE567" s="531"/>
      <c r="AF567" s="531"/>
      <c r="AG567" s="531"/>
      <c r="AH567" s="531"/>
      <c r="AI567" s="531"/>
      <c r="AJ567" s="531"/>
      <c r="AK567" s="531"/>
      <c r="AL567" s="531"/>
      <c r="AM567" s="531"/>
      <c r="AN567" s="531"/>
    </row>
    <row r="568" customFormat="false" ht="16.5" hidden="false" customHeight="true" outlineLevel="0" collapsed="false">
      <c r="A568" s="531"/>
      <c r="B568" s="531"/>
      <c r="C568" s="531"/>
      <c r="D568" s="531"/>
      <c r="E568" s="531"/>
      <c r="F568" s="531"/>
      <c r="G568" s="531"/>
      <c r="H568" s="531"/>
      <c r="I568" s="531"/>
      <c r="J568" s="531"/>
      <c r="K568" s="531"/>
      <c r="L568" s="531"/>
      <c r="M568" s="531"/>
      <c r="N568" s="547" t="n">
        <f aca="false">IF('(1)예금승인내역'!H1194="","",'(1)예금승인내역'!H1194)</f>
        <v>46162</v>
      </c>
      <c r="O568" s="547" t="n">
        <f aca="false">IF('(1)예금승인내역'!G1194="","",'(1)예금승인내역'!G1194)</f>
        <v>46132</v>
      </c>
      <c r="P568" s="531" t="str">
        <f aca="false">IF('(1)예금승인내역'!F1194="","",'(1)예금승인내역'!F1194)</f>
        <v>㈜약진통상</v>
      </c>
      <c r="Q568" s="531" t="str">
        <f aca="false">IF('(1)예금승인내역'!C1194="","",'(1)예금승인내역'!C1194)</f>
        <v>반월공단영업부</v>
      </c>
      <c r="R568" s="531" t="str">
        <f aca="false">IF('(1)예금승인내역'!K1194="","",'(1)예금승인내역'!K1194)</f>
        <v>MMDA</v>
      </c>
      <c r="S568" s="548" t="n">
        <f aca="false">IF('(1)예금승인내역'!L1194="","",'(1)예금승인내역'!L1194)</f>
        <v>18.01</v>
      </c>
      <c r="T568" s="549" t="n">
        <f aca="false">IF('(1)예금승인내역'!AG1194="","",'(1)예금승인내역'!AG1194)</f>
        <v>0.032</v>
      </c>
      <c r="U568" s="549" t="n">
        <f aca="false">IF('(1)예금승인내역'!X1194="","",'(1)예금승인내역'!X1194)</f>
        <v>0.003736</v>
      </c>
      <c r="V568" s="531" t="n">
        <f aca="false">IF(ISNUMBER(N568),N568-$B$2,"")</f>
        <v>-27</v>
      </c>
      <c r="W568" s="531" t="str">
        <f aca="false">IF(AND(ISNUMBER(N568),N568&gt;=$B$2,N568&lt;=$B$2+10),N568*100000+ROW(),"")</f>
        <v/>
      </c>
      <c r="X568" s="531"/>
      <c r="Y568" s="531"/>
      <c r="Z568" s="531"/>
      <c r="AA568" s="531"/>
      <c r="AB568" s="531"/>
      <c r="AC568" s="531"/>
      <c r="AD568" s="531"/>
      <c r="AE568" s="531"/>
      <c r="AF568" s="531"/>
      <c r="AG568" s="531"/>
      <c r="AH568" s="531"/>
      <c r="AI568" s="531"/>
      <c r="AJ568" s="531"/>
      <c r="AK568" s="531"/>
      <c r="AL568" s="531"/>
      <c r="AM568" s="531"/>
      <c r="AN568" s="531"/>
    </row>
    <row r="569" customFormat="false" ht="16.5" hidden="false" customHeight="true" outlineLevel="0" collapsed="false">
      <c r="A569" s="531"/>
      <c r="B569" s="531"/>
      <c r="C569" s="531"/>
      <c r="D569" s="531"/>
      <c r="E569" s="531"/>
      <c r="F569" s="531"/>
      <c r="G569" s="531"/>
      <c r="H569" s="531"/>
      <c r="I569" s="531"/>
      <c r="J569" s="531"/>
      <c r="K569" s="531"/>
      <c r="L569" s="531"/>
      <c r="M569" s="531"/>
      <c r="N569" s="547" t="n">
        <f aca="false">IF('(1)예금승인내역'!H1195="","",'(1)예금승인내역'!H1195)</f>
        <v>46162</v>
      </c>
      <c r="O569" s="547" t="n">
        <f aca="false">IF('(1)예금승인내역'!G1195="","",'(1)예금승인내역'!G1195)</f>
        <v>46132</v>
      </c>
      <c r="P569" s="531" t="str">
        <f aca="false">IF('(1)예금승인내역'!F1195="","",'(1)예금승인내역'!F1195)</f>
        <v>대원지에스아이</v>
      </c>
      <c r="Q569" s="531" t="str">
        <f aca="false">IF('(1)예금승인내역'!C1195="","",'(1)예금승인내역'!C1195)</f>
        <v>유통단지영업부</v>
      </c>
      <c r="R569" s="531" t="str">
        <f aca="false">IF('(1)예금승인내역'!K1195="","",'(1)예금승인내역'!K1195)</f>
        <v>정기예금</v>
      </c>
      <c r="S569" s="548" t="n">
        <f aca="false">IF('(1)예금승인내역'!L1195="","",'(1)예금승인내역'!L1195)</f>
        <v>1.5</v>
      </c>
      <c r="T569" s="549" t="n">
        <f aca="false">IF('(1)예금승인내역'!AG1195="","",'(1)예금승인내역'!AG1195)</f>
        <v>0.0345</v>
      </c>
      <c r="U569" s="549" t="n">
        <f aca="false">IF('(1)예금승인내역'!X1195="","",'(1)예금승인내역'!X1195)</f>
        <v>0.002522</v>
      </c>
      <c r="V569" s="531" t="n">
        <f aca="false">IF(ISNUMBER(N569),N569-$B$2,"")</f>
        <v>-27</v>
      </c>
      <c r="W569" s="531" t="str">
        <f aca="false">IF(AND(ISNUMBER(N569),N569&gt;=$B$2,N569&lt;=$B$2+10),N569*100000+ROW(),"")</f>
        <v/>
      </c>
      <c r="X569" s="531"/>
      <c r="Y569" s="531"/>
      <c r="Z569" s="531"/>
      <c r="AA569" s="531"/>
      <c r="AB569" s="531"/>
      <c r="AC569" s="531"/>
      <c r="AD569" s="531"/>
      <c r="AE569" s="531"/>
      <c r="AF569" s="531"/>
      <c r="AG569" s="531"/>
      <c r="AH569" s="531"/>
      <c r="AI569" s="531"/>
      <c r="AJ569" s="531"/>
      <c r="AK569" s="531"/>
      <c r="AL569" s="531"/>
      <c r="AM569" s="531"/>
      <c r="AN569" s="531"/>
    </row>
    <row r="570" customFormat="false" ht="16.5" hidden="false" customHeight="true" outlineLevel="0" collapsed="false">
      <c r="A570" s="531"/>
      <c r="B570" s="531"/>
      <c r="C570" s="531"/>
      <c r="D570" s="531"/>
      <c r="E570" s="531"/>
      <c r="F570" s="531"/>
      <c r="G570" s="531"/>
      <c r="H570" s="531"/>
      <c r="I570" s="531"/>
      <c r="J570" s="531"/>
      <c r="K570" s="531"/>
      <c r="L570" s="531"/>
      <c r="M570" s="531"/>
      <c r="N570" s="547" t="n">
        <f aca="false">IF('(1)예금승인내역'!H1196="","",'(1)예금승인내역'!H1196)</f>
        <v>46315</v>
      </c>
      <c r="O570" s="547" t="n">
        <f aca="false">IF('(1)예금승인내역'!G1196="","",'(1)예금승인내역'!G1196)</f>
        <v>46132</v>
      </c>
      <c r="P570" s="531" t="str">
        <f aca="false">IF('(1)예금승인내역'!F1196="","",'(1)예금승인내역'!F1196)</f>
        <v>루브캠코리아</v>
      </c>
      <c r="Q570" s="531" t="str">
        <f aca="false">IF('(1)예금승인내역'!C1196="","",'(1)예금승인내역'!C1196)</f>
        <v>다사지점</v>
      </c>
      <c r="R570" s="531" t="str">
        <f aca="false">IF('(1)예금승인내역'!K1196="","",'(1)예금승인내역'!K1196)</f>
        <v>정기예금</v>
      </c>
      <c r="S570" s="548" t="n">
        <f aca="false">IF('(1)예금승인내역'!L1196="","",'(1)예금승인내역'!L1196)</f>
        <v>1</v>
      </c>
      <c r="T570" s="549" t="n">
        <f aca="false">IF('(1)예금승인내역'!AG1196="","",'(1)예금승인내역'!AG1196)</f>
        <v>0.036</v>
      </c>
      <c r="U570" s="549" t="n">
        <f aca="false">IF('(1)예금승인내역'!X1196="","",'(1)예금승인내역'!X1196)</f>
        <v>0.003267</v>
      </c>
      <c r="V570" s="531" t="n">
        <f aca="false">IF(ISNUMBER(N570),N570-$B$2,"")</f>
        <v>126</v>
      </c>
      <c r="W570" s="531" t="str">
        <f aca="false">IF(AND(ISNUMBER(N570),N570&gt;=$B$2,N570&lt;=$B$2+10),N570*100000+ROW(),"")</f>
        <v/>
      </c>
      <c r="X570" s="531"/>
      <c r="Y570" s="531"/>
      <c r="Z570" s="531"/>
      <c r="AA570" s="531"/>
      <c r="AB570" s="531"/>
      <c r="AC570" s="531"/>
      <c r="AD570" s="531"/>
      <c r="AE570" s="531"/>
      <c r="AF570" s="531"/>
      <c r="AG570" s="531"/>
      <c r="AH570" s="531"/>
      <c r="AI570" s="531"/>
      <c r="AJ570" s="531"/>
      <c r="AK570" s="531"/>
      <c r="AL570" s="531"/>
      <c r="AM570" s="531"/>
      <c r="AN570" s="531"/>
    </row>
    <row r="571" customFormat="false" ht="16.5" hidden="false" customHeight="true" outlineLevel="0" collapsed="false">
      <c r="A571" s="531"/>
      <c r="B571" s="531"/>
      <c r="C571" s="531"/>
      <c r="D571" s="531"/>
      <c r="E571" s="531"/>
      <c r="F571" s="531"/>
      <c r="G571" s="531"/>
      <c r="H571" s="531"/>
      <c r="I571" s="531"/>
      <c r="J571" s="531"/>
      <c r="K571" s="531"/>
      <c r="L571" s="531"/>
      <c r="M571" s="531"/>
      <c r="N571" s="547" t="n">
        <f aca="false">IF('(1)예금승인내역'!H1197="","",'(1)예금승인내역'!H1197)</f>
        <v>46162</v>
      </c>
      <c r="O571" s="547" t="n">
        <f aca="false">IF('(1)예금승인내역'!G1197="","",'(1)예금승인내역'!G1197)</f>
        <v>46132</v>
      </c>
      <c r="P571" s="531" t="str">
        <f aca="false">IF('(1)예금승인내역'!F1197="","",'(1)예금승인내역'!F1197)</f>
        <v>㈜비알팜</v>
      </c>
      <c r="Q571" s="531" t="str">
        <f aca="false">IF('(1)예금승인내역'!C1197="","",'(1)예금승인내역'!C1197)</f>
        <v>원주금융센터</v>
      </c>
      <c r="R571" s="531" t="str">
        <f aca="false">IF('(1)예금승인내역'!K1197="","",'(1)예금승인내역'!K1197)</f>
        <v>MMDA</v>
      </c>
      <c r="S571" s="548" t="n">
        <f aca="false">IF('(1)예금승인내역'!L1197="","",'(1)예금승인내역'!L1197)</f>
        <v>1.63</v>
      </c>
      <c r="T571" s="549" t="n">
        <f aca="false">IF('(1)예금승인내역'!AG1197="","",'(1)예금승인내역'!AG1197)</f>
        <v>0.032</v>
      </c>
      <c r="U571" s="549" t="n">
        <f aca="false">IF('(1)예금승인내역'!X1197="","",'(1)예금승인내역'!X1197)</f>
        <v>0.003736</v>
      </c>
      <c r="V571" s="531" t="n">
        <f aca="false">IF(ISNUMBER(N571),N571-$B$2,"")</f>
        <v>-27</v>
      </c>
      <c r="W571" s="531" t="str">
        <f aca="false">IF(AND(ISNUMBER(N571),N571&gt;=$B$2,N571&lt;=$B$2+10),N571*100000+ROW(),"")</f>
        <v/>
      </c>
      <c r="X571" s="531"/>
      <c r="Y571" s="531"/>
      <c r="Z571" s="531"/>
      <c r="AA571" s="531"/>
      <c r="AB571" s="531"/>
      <c r="AC571" s="531"/>
      <c r="AD571" s="531"/>
      <c r="AE571" s="531"/>
      <c r="AF571" s="531"/>
      <c r="AG571" s="531"/>
      <c r="AH571" s="531"/>
      <c r="AI571" s="531"/>
      <c r="AJ571" s="531"/>
      <c r="AK571" s="531"/>
      <c r="AL571" s="531"/>
      <c r="AM571" s="531"/>
      <c r="AN571" s="531"/>
    </row>
    <row r="572" customFormat="false" ht="16.5" hidden="false" customHeight="true" outlineLevel="0" collapsed="false">
      <c r="A572" s="531"/>
      <c r="B572" s="531"/>
      <c r="C572" s="531"/>
      <c r="D572" s="531"/>
      <c r="E572" s="531"/>
      <c r="F572" s="531"/>
      <c r="G572" s="531"/>
      <c r="H572" s="531"/>
      <c r="I572" s="531"/>
      <c r="J572" s="531"/>
      <c r="K572" s="531"/>
      <c r="L572" s="531"/>
      <c r="M572" s="531"/>
      <c r="N572" s="547" t="n">
        <f aca="false">IF('(1)예금승인내역'!H1198="","",'(1)예금승인내역'!H1198)</f>
        <v>46163</v>
      </c>
      <c r="O572" s="547" t="n">
        <f aca="false">IF('(1)예금승인내역'!G1198="","",'(1)예금승인내역'!G1198)</f>
        <v>46133</v>
      </c>
      <c r="P572" s="531" t="str">
        <f aca="false">IF('(1)예금승인내역'!F1198="","",'(1)예금승인내역'!F1198)</f>
        <v>더스킨팩토리</v>
      </c>
      <c r="Q572" s="531" t="str">
        <f aca="false">IF('(1)예금승인내역'!C1198="","",'(1)예금승인내역'!C1198)</f>
        <v>강남영업부</v>
      </c>
      <c r="R572" s="531" t="str">
        <f aca="false">IF('(1)예금승인내역'!K1198="","",'(1)예금승인내역'!K1198)</f>
        <v>정기예금</v>
      </c>
      <c r="S572" s="548" t="n">
        <f aca="false">IF('(1)예금승인내역'!L1198="","",'(1)예금승인내역'!L1198)</f>
        <v>1</v>
      </c>
      <c r="T572" s="549" t="n">
        <f aca="false">IF('(1)예금승인내역'!AG1198="","",'(1)예금승인내역'!AG1198)</f>
        <v>0.034</v>
      </c>
      <c r="U572" s="549" t="n">
        <f aca="false">IF('(1)예금승인내역'!X1198="","",'(1)예금승인내역'!X1198)</f>
        <v>0.00297899999999999</v>
      </c>
      <c r="V572" s="531" t="n">
        <f aca="false">IF(ISNUMBER(N572),N572-$B$2,"")</f>
        <v>-26</v>
      </c>
      <c r="W572" s="531" t="str">
        <f aca="false">IF(AND(ISNUMBER(N572),N572&gt;=$B$2,N572&lt;=$B$2+10),N572*100000+ROW(),"")</f>
        <v/>
      </c>
      <c r="X572" s="531"/>
      <c r="Y572" s="531"/>
      <c r="Z572" s="531"/>
      <c r="AA572" s="531"/>
      <c r="AB572" s="531"/>
      <c r="AC572" s="531"/>
      <c r="AD572" s="531"/>
      <c r="AE572" s="531"/>
      <c r="AF572" s="531"/>
      <c r="AG572" s="531"/>
      <c r="AH572" s="531"/>
      <c r="AI572" s="531"/>
      <c r="AJ572" s="531"/>
      <c r="AK572" s="531"/>
      <c r="AL572" s="531"/>
      <c r="AM572" s="531"/>
      <c r="AN572" s="531"/>
    </row>
    <row r="573" customFormat="false" ht="16.5" hidden="false" customHeight="true" outlineLevel="0" collapsed="false">
      <c r="A573" s="531"/>
      <c r="B573" s="531"/>
      <c r="C573" s="531"/>
      <c r="D573" s="531"/>
      <c r="E573" s="531"/>
      <c r="F573" s="531"/>
      <c r="G573" s="531"/>
      <c r="H573" s="531"/>
      <c r="I573" s="531"/>
      <c r="J573" s="531"/>
      <c r="K573" s="531"/>
      <c r="L573" s="531"/>
      <c r="M573" s="531"/>
      <c r="N573" s="547" t="n">
        <f aca="false">IF('(1)예금승인내역'!H1199="","",'(1)예금승인내역'!H1199)</f>
        <v>46171</v>
      </c>
      <c r="O573" s="547" t="n">
        <f aca="false">IF('(1)예금승인내역'!G1199="","",'(1)예금승인내역'!G1199)</f>
        <v>46142</v>
      </c>
      <c r="P573" s="531" t="str">
        <f aca="false">IF('(1)예금승인내역'!F1199="","",'(1)예금승인내역'!F1199)</f>
        <v>㈜ 광성</v>
      </c>
      <c r="Q573" s="531" t="str">
        <f aca="false">IF('(1)예금승인내역'!C1199="","",'(1)예금승인내역'!C1199)</f>
        <v>경산공단영업부</v>
      </c>
      <c r="R573" s="531" t="str">
        <f aca="false">IF('(1)예금승인내역'!K1199="","",'(1)예금승인내역'!K1199)</f>
        <v>MMDA</v>
      </c>
      <c r="S573" s="548" t="n">
        <f aca="false">IF('(1)예금승인내역'!L1199="","",'(1)예금승인내역'!L1199)</f>
        <v>3.55</v>
      </c>
      <c r="T573" s="549" t="n">
        <f aca="false">IF('(1)예금승인내역'!AG1199="","",'(1)예금승인내역'!AG1199)</f>
        <v>0.0315</v>
      </c>
      <c r="U573" s="549" t="n">
        <f aca="false">IF('(1)예금승인내역'!X1199="","",'(1)예금승인내역'!X1199)</f>
        <v>0.004228</v>
      </c>
      <c r="V573" s="531" t="n">
        <f aca="false">IF(ISNUMBER(N573),N573-$B$2,"")</f>
        <v>-18</v>
      </c>
      <c r="W573" s="531" t="str">
        <f aca="false">IF(AND(ISNUMBER(N573),N573&gt;=$B$2,N573&lt;=$B$2+10),N573*100000+ROW(),"")</f>
        <v/>
      </c>
      <c r="X573" s="531"/>
      <c r="Y573" s="531"/>
      <c r="Z573" s="531"/>
      <c r="AA573" s="531"/>
      <c r="AB573" s="531"/>
      <c r="AC573" s="531"/>
      <c r="AD573" s="531"/>
      <c r="AE573" s="531"/>
      <c r="AF573" s="531"/>
      <c r="AG573" s="531"/>
      <c r="AH573" s="531"/>
      <c r="AI573" s="531"/>
      <c r="AJ573" s="531"/>
      <c r="AK573" s="531"/>
      <c r="AL573" s="531"/>
      <c r="AM573" s="531"/>
      <c r="AN573" s="531"/>
    </row>
    <row r="574" customFormat="false" ht="16.5" hidden="false" customHeight="true" outlineLevel="0" collapsed="false">
      <c r="A574" s="531"/>
      <c r="B574" s="531"/>
      <c r="C574" s="531"/>
      <c r="D574" s="531"/>
      <c r="E574" s="531"/>
      <c r="F574" s="531"/>
      <c r="G574" s="531"/>
      <c r="H574" s="531"/>
      <c r="I574" s="531"/>
      <c r="J574" s="531"/>
      <c r="K574" s="531"/>
      <c r="L574" s="531"/>
      <c r="M574" s="531"/>
      <c r="N574" s="547" t="n">
        <f aca="false">IF('(1)예금승인내역'!H1200="","",'(1)예금승인내역'!H1200)</f>
        <v>46174</v>
      </c>
      <c r="O574" s="547" t="n">
        <f aca="false">IF('(1)예금승인내역'!G1200="","",'(1)예금승인내역'!G1200)</f>
        <v>46146</v>
      </c>
      <c r="P574" s="531" t="str">
        <f aca="false">IF('(1)예금승인내역'!F1200="","",'(1)예금승인내역'!F1200)</f>
        <v>국제금속</v>
      </c>
      <c r="Q574" s="531" t="str">
        <f aca="false">IF('(1)예금승인내역'!C1200="","",'(1)예금승인내역'!C1200)</f>
        <v>영천영업부</v>
      </c>
      <c r="R574" s="531" t="str">
        <f aca="false">IF('(1)예금승인내역'!K1200="","",'(1)예금승인내역'!K1200)</f>
        <v>MMDA</v>
      </c>
      <c r="S574" s="548" t="n">
        <f aca="false">IF('(1)예금승인내역'!L1200="","",'(1)예금승인내역'!L1200)</f>
        <v>7.73</v>
      </c>
      <c r="T574" s="549" t="n">
        <f aca="false">IF('(1)예금승인내역'!AG1200="","",'(1)예금승인내역'!AG1200)</f>
        <v>0.032</v>
      </c>
      <c r="U574" s="549" t="n">
        <f aca="false">IF('(1)예금승인내역'!X1200="","",'(1)예금승인내역'!X1200)</f>
        <v>0.003715</v>
      </c>
      <c r="V574" s="531" t="n">
        <f aca="false">IF(ISNUMBER(N574),N574-$B$2,"")</f>
        <v>-15</v>
      </c>
      <c r="W574" s="531" t="str">
        <f aca="false">IF(AND(ISNUMBER(N574),N574&gt;=$B$2,N574&lt;=$B$2+10),N574*100000+ROW(),"")</f>
        <v/>
      </c>
      <c r="X574" s="531"/>
      <c r="Y574" s="531"/>
      <c r="Z574" s="531"/>
      <c r="AA574" s="531"/>
      <c r="AB574" s="531"/>
      <c r="AC574" s="531"/>
      <c r="AD574" s="531"/>
      <c r="AE574" s="531"/>
      <c r="AF574" s="531"/>
      <c r="AG574" s="531"/>
      <c r="AH574" s="531"/>
      <c r="AI574" s="531"/>
      <c r="AJ574" s="531"/>
      <c r="AK574" s="531"/>
      <c r="AL574" s="531"/>
      <c r="AM574" s="531"/>
      <c r="AN574" s="531"/>
    </row>
    <row r="575" customFormat="false" ht="16.5" hidden="false" customHeight="true" outlineLevel="0" collapsed="false">
      <c r="A575" s="531"/>
      <c r="B575" s="531"/>
      <c r="C575" s="531"/>
      <c r="D575" s="531"/>
      <c r="E575" s="531"/>
      <c r="F575" s="531"/>
      <c r="G575" s="531"/>
      <c r="H575" s="531"/>
      <c r="I575" s="531"/>
      <c r="J575" s="531"/>
      <c r="K575" s="531"/>
      <c r="L575" s="531"/>
      <c r="M575" s="531"/>
      <c r="N575" s="547" t="n">
        <f aca="false">IF('(1)예금승인내역'!H1201="","",'(1)예금승인내역'!H1201)</f>
        <v>46177</v>
      </c>
      <c r="O575" s="547" t="n">
        <f aca="false">IF('(1)예금승인내역'!G1201="","",'(1)예금승인내역'!G1201)</f>
        <v>46146</v>
      </c>
      <c r="P575" s="531" t="str">
        <f aca="false">IF('(1)예금승인내역'!F1201="","",'(1)예금승인내역'!F1201)</f>
        <v>디오㈜</v>
      </c>
      <c r="Q575" s="531" t="str">
        <f aca="false">IF('(1)예금승인내역'!C1201="","",'(1)예금승인내역'!C1201)</f>
        <v>부산동부점</v>
      </c>
      <c r="R575" s="531" t="str">
        <f aca="false">IF('(1)예금승인내역'!K1201="","",'(1)예금승인내역'!K1201)</f>
        <v>정기예금</v>
      </c>
      <c r="S575" s="548" t="n">
        <f aca="false">IF('(1)예금승인내역'!L1201="","",'(1)예금승인내역'!L1201)</f>
        <v>2</v>
      </c>
      <c r="T575" s="549" t="n">
        <f aca="false">IF('(1)예금승인내역'!AG1201="","",'(1)예금승인내역'!AG1201)</f>
        <v>0.034</v>
      </c>
      <c r="U575" s="549" t="n">
        <f aca="false">IF('(1)예금승인내역'!X1201="","",'(1)예금승인내역'!X1201)</f>
        <v>0.002943</v>
      </c>
      <c r="V575" s="531" t="n">
        <f aca="false">IF(ISNUMBER(N575),N575-$B$2,"")</f>
        <v>-12</v>
      </c>
      <c r="W575" s="531" t="str">
        <f aca="false">IF(AND(ISNUMBER(N575),N575&gt;=$B$2,N575&lt;=$B$2+10),N575*100000+ROW(),"")</f>
        <v/>
      </c>
      <c r="X575" s="531"/>
      <c r="Y575" s="531"/>
      <c r="Z575" s="531"/>
      <c r="AA575" s="531"/>
      <c r="AB575" s="531"/>
      <c r="AC575" s="531"/>
      <c r="AD575" s="531"/>
      <c r="AE575" s="531"/>
      <c r="AF575" s="531"/>
      <c r="AG575" s="531"/>
      <c r="AH575" s="531"/>
      <c r="AI575" s="531"/>
      <c r="AJ575" s="531"/>
      <c r="AK575" s="531"/>
      <c r="AL575" s="531"/>
      <c r="AM575" s="531"/>
      <c r="AN575" s="531"/>
    </row>
    <row r="576" customFormat="false" ht="16.5" hidden="false" customHeight="true" outlineLevel="0" collapsed="false">
      <c r="A576" s="531"/>
      <c r="B576" s="531"/>
      <c r="C576" s="531"/>
      <c r="D576" s="531"/>
      <c r="E576" s="531"/>
      <c r="F576" s="531"/>
      <c r="G576" s="531"/>
      <c r="H576" s="531"/>
      <c r="I576" s="531"/>
      <c r="J576" s="531"/>
      <c r="K576" s="531"/>
      <c r="L576" s="531"/>
      <c r="M576" s="531"/>
      <c r="N576" s="547" t="n">
        <f aca="false">IF('(1)예금승인내역'!H1202="","",'(1)예금승인내역'!H1202)</f>
        <v>46238</v>
      </c>
      <c r="O576" s="547" t="n">
        <f aca="false">IF('(1)예금승인내역'!G1202="","",'(1)예금승인내역'!G1202)</f>
        <v>46146</v>
      </c>
      <c r="P576" s="531" t="str">
        <f aca="false">IF('(1)예금승인내역'!F1202="","",'(1)예금승인내역'!F1202)</f>
        <v>해내다컨트리클럽</v>
      </c>
      <c r="Q576" s="531" t="str">
        <f aca="false">IF('(1)예금승인내역'!C1202="","",'(1)예금승인내역'!C1202)</f>
        <v>달성공단영업부</v>
      </c>
      <c r="R576" s="531" t="str">
        <f aca="false">IF('(1)예금승인내역'!K1202="","",'(1)예금승인내역'!K1202)</f>
        <v>자유적립예금</v>
      </c>
      <c r="S576" s="548" t="n">
        <f aca="false">IF('(1)예금승인내역'!L1202="","",'(1)예금승인내역'!L1202)</f>
        <v>2.17</v>
      </c>
      <c r="T576" s="549" t="n">
        <f aca="false">IF('(1)예금승인내역'!AG1202="","",'(1)예금승인내역'!AG1202)</f>
        <v>0.036</v>
      </c>
      <c r="U576" s="549" t="n">
        <f aca="false">IF('(1)예금승인내역'!X1202="","",'(1)예금승인내역'!X1202)</f>
        <v>0.002537</v>
      </c>
      <c r="V576" s="531" t="n">
        <f aca="false">IF(ISNUMBER(N576),N576-$B$2,"")</f>
        <v>49</v>
      </c>
      <c r="W576" s="531" t="str">
        <f aca="false">IF(AND(ISNUMBER(N576),N576&gt;=$B$2,N576&lt;=$B$2+10),N576*100000+ROW(),"")</f>
        <v/>
      </c>
      <c r="X576" s="531"/>
      <c r="Y576" s="531"/>
      <c r="Z576" s="531"/>
      <c r="AA576" s="531"/>
      <c r="AB576" s="531"/>
      <c r="AC576" s="531"/>
      <c r="AD576" s="531"/>
      <c r="AE576" s="531"/>
      <c r="AF576" s="531"/>
      <c r="AG576" s="531"/>
      <c r="AH576" s="531"/>
      <c r="AI576" s="531"/>
      <c r="AJ576" s="531"/>
      <c r="AK576" s="531"/>
      <c r="AL576" s="531"/>
      <c r="AM576" s="531"/>
      <c r="AN576" s="531"/>
    </row>
    <row r="577" customFormat="false" ht="16.5" hidden="false" customHeight="true" outlineLevel="0" collapsed="false">
      <c r="A577" s="531"/>
      <c r="B577" s="531"/>
      <c r="C577" s="531"/>
      <c r="D577" s="531"/>
      <c r="E577" s="531"/>
      <c r="F577" s="531"/>
      <c r="G577" s="531"/>
      <c r="H577" s="531"/>
      <c r="I577" s="531"/>
      <c r="J577" s="531"/>
      <c r="K577" s="531"/>
      <c r="L577" s="531"/>
      <c r="M577" s="531"/>
      <c r="N577" s="547" t="n">
        <f aca="false">IF('(1)예금승인내역'!H1203="","",'(1)예금승인내역'!H1203)</f>
        <v>46181</v>
      </c>
      <c r="O577" s="547" t="n">
        <f aca="false">IF('(1)예금승인내역'!G1203="","",'(1)예금승인내역'!G1203)</f>
        <v>46148</v>
      </c>
      <c r="P577" s="531" t="str">
        <f aca="false">IF('(1)예금승인내역'!F1203="","",'(1)예금승인내역'!F1203)</f>
        <v>㈜지엠메탈</v>
      </c>
      <c r="Q577" s="531" t="str">
        <f aca="false">IF('(1)예금승인내역'!C1203="","",'(1)예금승인내역'!C1203)</f>
        <v>이현공단영업부</v>
      </c>
      <c r="R577" s="531" t="str">
        <f aca="false">IF('(1)예금승인내역'!K1203="","",'(1)예금승인내역'!K1203)</f>
        <v>MMDA</v>
      </c>
      <c r="S577" s="548" t="n">
        <f aca="false">IF('(1)예금승인내역'!L1203="","",'(1)예금승인내역'!L1203)</f>
        <v>1.37</v>
      </c>
      <c r="T577" s="549" t="n">
        <f aca="false">IF('(1)예금승인내역'!AG1203="","",'(1)예금승인내역'!AG1203)</f>
        <v>0.0315</v>
      </c>
      <c r="U577" s="549" t="n">
        <f aca="false">IF('(1)예금승인내역'!X1203="","",'(1)예금승인내역'!X1203)</f>
        <v>0.004177</v>
      </c>
      <c r="V577" s="531" t="n">
        <f aca="false">IF(ISNUMBER(N577),N577-$B$2,"")</f>
        <v>-8</v>
      </c>
      <c r="W577" s="531" t="str">
        <f aca="false">IF(AND(ISNUMBER(N577),N577&gt;=$B$2,N577&lt;=$B$2+10),N577*100000+ROW(),"")</f>
        <v/>
      </c>
      <c r="X577" s="531"/>
      <c r="Y577" s="531"/>
      <c r="Z577" s="531"/>
      <c r="AA577" s="531"/>
      <c r="AB577" s="531"/>
      <c r="AC577" s="531"/>
      <c r="AD577" s="531"/>
      <c r="AE577" s="531"/>
      <c r="AF577" s="531"/>
      <c r="AG577" s="531"/>
      <c r="AH577" s="531"/>
      <c r="AI577" s="531"/>
      <c r="AJ577" s="531"/>
      <c r="AK577" s="531"/>
      <c r="AL577" s="531"/>
      <c r="AM577" s="531"/>
      <c r="AN577" s="531"/>
    </row>
    <row r="578" customFormat="false" ht="16.5" hidden="false" customHeight="true" outlineLevel="0" collapsed="false">
      <c r="A578" s="531"/>
      <c r="B578" s="531"/>
      <c r="C578" s="531"/>
      <c r="D578" s="531"/>
      <c r="E578" s="531"/>
      <c r="F578" s="531"/>
      <c r="G578" s="531"/>
      <c r="H578" s="531"/>
      <c r="I578" s="531"/>
      <c r="J578" s="531"/>
      <c r="K578" s="531"/>
      <c r="L578" s="531"/>
      <c r="M578" s="531"/>
      <c r="N578" s="547" t="n">
        <f aca="false">IF('(1)예금승인내역'!H1204="","",'(1)예금승인내역'!H1204)</f>
        <v>46181</v>
      </c>
      <c r="O578" s="547" t="n">
        <f aca="false">IF('(1)예금승인내역'!G1204="","",'(1)예금승인내역'!G1204)</f>
        <v>46148</v>
      </c>
      <c r="P578" s="531" t="str">
        <f aca="false">IF('(1)예금승인내역'!F1204="","",'(1)예금승인내역'!F1204)</f>
        <v>미래에셋컨설팅</v>
      </c>
      <c r="Q578" s="531" t="str">
        <f aca="false">IF('(1)예금승인내역'!C1204="","",'(1)예금승인내역'!C1204)</f>
        <v>서울영업부</v>
      </c>
      <c r="R578" s="531" t="str">
        <f aca="false">IF('(1)예금승인내역'!K1204="","",'(1)예금승인내역'!K1204)</f>
        <v>정기예금</v>
      </c>
      <c r="S578" s="548" t="n">
        <f aca="false">IF('(1)예금승인내역'!L1204="","",'(1)예금승인내역'!L1204)</f>
        <v>5.01</v>
      </c>
      <c r="T578" s="549" t="n">
        <f aca="false">IF('(1)예금승인내역'!AG1204="","",'(1)예금승인내역'!AG1204)</f>
        <v>0.034</v>
      </c>
      <c r="U578" s="549" t="n">
        <f aca="false">IF('(1)예금승인내역'!X1204="","",'(1)예금승인내역'!X1204)</f>
        <v>0.002913</v>
      </c>
      <c r="V578" s="531" t="n">
        <f aca="false">IF(ISNUMBER(N578),N578-$B$2,"")</f>
        <v>-8</v>
      </c>
      <c r="W578" s="531" t="str">
        <f aca="false">IF(AND(ISNUMBER(N578),N578&gt;=$B$2,N578&lt;=$B$2+10),N578*100000+ROW(),"")</f>
        <v/>
      </c>
      <c r="X578" s="531"/>
      <c r="Y578" s="531"/>
      <c r="Z578" s="531"/>
      <c r="AA578" s="531"/>
      <c r="AB578" s="531"/>
      <c r="AC578" s="531"/>
      <c r="AD578" s="531"/>
      <c r="AE578" s="531"/>
      <c r="AF578" s="531"/>
      <c r="AG578" s="531"/>
      <c r="AH578" s="531"/>
      <c r="AI578" s="531"/>
      <c r="AJ578" s="531"/>
      <c r="AK578" s="531"/>
      <c r="AL578" s="531"/>
      <c r="AM578" s="531"/>
      <c r="AN578" s="531"/>
    </row>
    <row r="579" customFormat="false" ht="16.5" hidden="false" customHeight="true" outlineLevel="0" collapsed="false">
      <c r="A579" s="531"/>
      <c r="B579" s="531"/>
      <c r="C579" s="531"/>
      <c r="D579" s="531"/>
      <c r="E579" s="531"/>
      <c r="F579" s="531"/>
      <c r="G579" s="531"/>
      <c r="H579" s="531"/>
      <c r="I579" s="531"/>
      <c r="J579" s="531"/>
      <c r="K579" s="531"/>
      <c r="L579" s="531"/>
      <c r="M579" s="531"/>
      <c r="N579" s="547" t="n">
        <f aca="false">IF('(1)예금승인내역'!H1205="","",'(1)예금승인내역'!H1205)</f>
        <v>46181</v>
      </c>
      <c r="O579" s="547" t="n">
        <f aca="false">IF('(1)예금승인내역'!G1205="","",'(1)예금승인내역'!G1205)</f>
        <v>46148</v>
      </c>
      <c r="P579" s="531" t="str">
        <f aca="false">IF('(1)예금승인내역'!F1205="","",'(1)예금승인내역'!F1205)</f>
        <v>동화인더스트리</v>
      </c>
      <c r="Q579" s="531" t="str">
        <f aca="false">IF('(1)예금승인내역'!C1205="","",'(1)예금승인내역'!C1205)</f>
        <v>중동지점</v>
      </c>
      <c r="R579" s="531" t="str">
        <f aca="false">IF('(1)예금승인내역'!K1205="","",'(1)예금승인내역'!K1205)</f>
        <v>정기예금</v>
      </c>
      <c r="S579" s="548" t="n">
        <f aca="false">IF('(1)예금승인내역'!L1205="","",'(1)예금승인내역'!L1205)</f>
        <v>2.01</v>
      </c>
      <c r="T579" s="549" t="n">
        <f aca="false">IF('(1)예금승인내역'!AG1205="","",'(1)예금승인내역'!AG1205)</f>
        <v>0.0345</v>
      </c>
      <c r="U579" s="549" t="n">
        <f aca="false">IF('(1)예금승인내역'!X1205="","",'(1)예금승인내역'!X1205)</f>
        <v>0.002413</v>
      </c>
      <c r="V579" s="531" t="n">
        <f aca="false">IF(ISNUMBER(N579),N579-$B$2,"")</f>
        <v>-8</v>
      </c>
      <c r="W579" s="531" t="str">
        <f aca="false">IF(AND(ISNUMBER(N579),N579&gt;=$B$2,N579&lt;=$B$2+10),N579*100000+ROW(),"")</f>
        <v/>
      </c>
      <c r="X579" s="531"/>
      <c r="Y579" s="531"/>
      <c r="Z579" s="531"/>
      <c r="AA579" s="531"/>
      <c r="AB579" s="531"/>
      <c r="AC579" s="531"/>
      <c r="AD579" s="531"/>
      <c r="AE579" s="531"/>
      <c r="AF579" s="531"/>
      <c r="AG579" s="531"/>
      <c r="AH579" s="531"/>
      <c r="AI579" s="531"/>
      <c r="AJ579" s="531"/>
      <c r="AK579" s="531"/>
      <c r="AL579" s="531"/>
      <c r="AM579" s="531"/>
      <c r="AN579" s="531"/>
    </row>
    <row r="580" customFormat="false" ht="16.5" hidden="false" customHeight="true" outlineLevel="0" collapsed="false">
      <c r="A580" s="531"/>
      <c r="B580" s="531"/>
      <c r="C580" s="531"/>
      <c r="D580" s="531"/>
      <c r="E580" s="531"/>
      <c r="F580" s="531"/>
      <c r="G580" s="531"/>
      <c r="H580" s="531"/>
      <c r="I580" s="531"/>
      <c r="J580" s="531"/>
      <c r="K580" s="531"/>
      <c r="L580" s="531"/>
      <c r="M580" s="531"/>
      <c r="N580" s="547" t="n">
        <f aca="false">IF('(1)예금승인내역'!H1206="","",'(1)예금승인내역'!H1206)</f>
        <v>46184</v>
      </c>
      <c r="O580" s="547" t="n">
        <f aca="false">IF('(1)예금승인내역'!G1206="","",'(1)예금승인내역'!G1206)</f>
        <v>46153</v>
      </c>
      <c r="P580" s="531" t="str">
        <f aca="false">IF('(1)예금승인내역'!F1206="","",'(1)예금승인내역'!F1206)</f>
        <v>오스템임플란트㈜</v>
      </c>
      <c r="Q580" s="531" t="str">
        <f aca="false">IF('(1)예금승인내역'!C1206="","",'(1)예금승인내역'!C1206)</f>
        <v>성남금융센터</v>
      </c>
      <c r="R580" s="531" t="str">
        <f aca="false">IF('(1)예금승인내역'!K1206="","",'(1)예금승인내역'!K1206)</f>
        <v>MMDA</v>
      </c>
      <c r="S580" s="548" t="n">
        <f aca="false">IF('(1)예금승인내역'!L1206="","",'(1)예금승인내역'!L1206)</f>
        <v>1</v>
      </c>
      <c r="T580" s="549" t="n">
        <f aca="false">IF('(1)예금승인내역'!AG1206="","",'(1)예금승인내역'!AG1206)</f>
        <v>0.032</v>
      </c>
      <c r="U580" s="549" t="n">
        <f aca="false">IF('(1)예금승인내역'!X1206="","",'(1)예금승인내역'!X1206)</f>
        <v>0.003589</v>
      </c>
      <c r="V580" s="531" t="n">
        <f aca="false">IF(ISNUMBER(N580),N580-$B$2,"")</f>
        <v>-5</v>
      </c>
      <c r="W580" s="531" t="str">
        <f aca="false">IF(AND(ISNUMBER(N580),N580&gt;=$B$2,N580&lt;=$B$2+10),N580*100000+ROW(),"")</f>
        <v/>
      </c>
      <c r="X580" s="531"/>
      <c r="Y580" s="531"/>
      <c r="Z580" s="531"/>
      <c r="AA580" s="531"/>
      <c r="AB580" s="531"/>
      <c r="AC580" s="531"/>
      <c r="AD580" s="531"/>
      <c r="AE580" s="531"/>
      <c r="AF580" s="531"/>
      <c r="AG580" s="531"/>
      <c r="AH580" s="531"/>
      <c r="AI580" s="531"/>
      <c r="AJ580" s="531"/>
      <c r="AK580" s="531"/>
      <c r="AL580" s="531"/>
      <c r="AM580" s="531"/>
      <c r="AN580" s="531"/>
    </row>
    <row r="581" customFormat="false" ht="16.5" hidden="false" customHeight="true" outlineLevel="0" collapsed="false">
      <c r="A581" s="531"/>
      <c r="B581" s="531"/>
      <c r="C581" s="531"/>
      <c r="D581" s="531"/>
      <c r="E581" s="531"/>
      <c r="F581" s="531"/>
      <c r="G581" s="531"/>
      <c r="H581" s="531"/>
      <c r="I581" s="531"/>
      <c r="J581" s="531"/>
      <c r="K581" s="531"/>
      <c r="L581" s="531"/>
      <c r="M581" s="531"/>
      <c r="N581" s="547" t="n">
        <f aca="false">IF('(1)예금승인내역'!H1207="","",'(1)예금승인내역'!H1207)</f>
        <v>46184</v>
      </c>
      <c r="O581" s="547" t="n">
        <f aca="false">IF('(1)예금승인내역'!G1207="","",'(1)예금승인내역'!G1207)</f>
        <v>46153</v>
      </c>
      <c r="P581" s="531" t="str">
        <f aca="false">IF('(1)예금승인내역'!F1207="","",'(1)예금승인내역'!F1207)</f>
        <v>윤상락</v>
      </c>
      <c r="Q581" s="531" t="str">
        <f aca="false">IF('(1)예금승인내역'!C1207="","",'(1)예금승인내역'!C1207)</f>
        <v>본점PB센터</v>
      </c>
      <c r="R581" s="531" t="str">
        <f aca="false">IF('(1)예금승인내역'!K1207="","",'(1)예금승인내역'!K1207)</f>
        <v>MMDA</v>
      </c>
      <c r="S581" s="548" t="n">
        <f aca="false">IF('(1)예금승인내역'!L1207="","",'(1)예금승인내역'!L1207)</f>
        <v>1.3</v>
      </c>
      <c r="T581" s="549" t="n">
        <f aca="false">IF('(1)예금승인내역'!AG1207="","",'(1)예금승인내역'!AG1207)</f>
        <v>0.031</v>
      </c>
      <c r="U581" s="549" t="n">
        <f aca="false">IF('(1)예금승인내역'!X1207="","",'(1)예금승인내역'!X1207)</f>
        <v>0.004589</v>
      </c>
      <c r="V581" s="531" t="n">
        <f aca="false">IF(ISNUMBER(N581),N581-$B$2,"")</f>
        <v>-5</v>
      </c>
      <c r="W581" s="531" t="str">
        <f aca="false">IF(AND(ISNUMBER(N581),N581&gt;=$B$2,N581&lt;=$B$2+10),N581*100000+ROW(),"")</f>
        <v/>
      </c>
      <c r="X581" s="531"/>
      <c r="Y581" s="531"/>
      <c r="Z581" s="531"/>
      <c r="AA581" s="531"/>
      <c r="AB581" s="531"/>
      <c r="AC581" s="531"/>
      <c r="AD581" s="531"/>
      <c r="AE581" s="531"/>
      <c r="AF581" s="531"/>
      <c r="AG581" s="531"/>
      <c r="AH581" s="531"/>
      <c r="AI581" s="531"/>
      <c r="AJ581" s="531"/>
      <c r="AK581" s="531"/>
      <c r="AL581" s="531"/>
      <c r="AM581" s="531"/>
      <c r="AN581" s="531"/>
    </row>
    <row r="582" customFormat="false" ht="16.5" hidden="false" customHeight="true" outlineLevel="0" collapsed="false">
      <c r="A582" s="531"/>
      <c r="B582" s="531"/>
      <c r="C582" s="531"/>
      <c r="D582" s="531"/>
      <c r="E582" s="531"/>
      <c r="F582" s="531"/>
      <c r="G582" s="531"/>
      <c r="H582" s="531"/>
      <c r="I582" s="531"/>
      <c r="J582" s="531"/>
      <c r="K582" s="531"/>
      <c r="L582" s="531"/>
      <c r="M582" s="531"/>
      <c r="N582" s="547" t="n">
        <f aca="false">IF('(1)예금승인내역'!H1208="","",'(1)예금승인내역'!H1208)</f>
        <v>46188</v>
      </c>
      <c r="O582" s="547" t="n">
        <f aca="false">IF('(1)예금승인내역'!G1208="","",'(1)예금승인내역'!G1208)</f>
        <v>46155</v>
      </c>
      <c r="P582" s="531" t="str">
        <f aca="false">IF('(1)예금승인내역'!F1208="","",'(1)예금승인내역'!F1208)</f>
        <v>㈜이수스페셜티케미컬</v>
      </c>
      <c r="Q582" s="531" t="str">
        <f aca="false">IF('(1)예금승인내역'!C1208="","",'(1)예금승인내역'!C1208)</f>
        <v>성남영업부</v>
      </c>
      <c r="R582" s="531" t="str">
        <f aca="false">IF('(1)예금승인내역'!K1208="","",'(1)예금승인내역'!K1208)</f>
        <v>MMDA</v>
      </c>
      <c r="S582" s="548" t="n">
        <f aca="false">IF('(1)예금승인내역'!L1208="","",'(1)예금승인내역'!L1208)</f>
        <v>7.97</v>
      </c>
      <c r="T582" s="549" t="n">
        <f aca="false">IF('(1)예금승인내역'!AG1208="","",'(1)예금승인내역'!AG1208)</f>
        <v>0.032</v>
      </c>
      <c r="U582" s="549" t="n">
        <f aca="false">IF('(1)예금승인내역'!X1208="","",'(1)예금승인내역'!X1208)</f>
        <v>0.003543</v>
      </c>
      <c r="V582" s="531" t="n">
        <f aca="false">IF(ISNUMBER(N582),N582-$B$2,"")</f>
        <v>-1</v>
      </c>
      <c r="W582" s="531" t="str">
        <f aca="false">IF(AND(ISNUMBER(N582),N582&gt;=$B$2,N582&lt;=$B$2+10),N582*100000+ROW(),"")</f>
        <v/>
      </c>
      <c r="X582" s="531"/>
      <c r="Y582" s="531"/>
      <c r="Z582" s="531"/>
      <c r="AA582" s="531"/>
      <c r="AB582" s="531"/>
      <c r="AC582" s="531"/>
      <c r="AD582" s="531"/>
      <c r="AE582" s="531"/>
      <c r="AF582" s="531"/>
      <c r="AG582" s="531"/>
      <c r="AH582" s="531"/>
      <c r="AI582" s="531"/>
      <c r="AJ582" s="531"/>
      <c r="AK582" s="531"/>
      <c r="AL582" s="531"/>
      <c r="AM582" s="531"/>
      <c r="AN582" s="531"/>
    </row>
    <row r="583" customFormat="false" ht="16.5" hidden="false" customHeight="true" outlineLevel="0" collapsed="false">
      <c r="A583" s="531"/>
      <c r="B583" s="531"/>
      <c r="C583" s="531"/>
      <c r="D583" s="531"/>
      <c r="E583" s="531"/>
      <c r="F583" s="531"/>
      <c r="G583" s="531"/>
      <c r="H583" s="531"/>
      <c r="I583" s="531"/>
      <c r="J583" s="531"/>
      <c r="K583" s="531"/>
      <c r="L583" s="531"/>
      <c r="M583" s="531"/>
      <c r="N583" s="547" t="n">
        <f aca="false">IF('(1)예금승인내역'!H1209="","",'(1)예금승인내역'!H1209)</f>
        <v>46188</v>
      </c>
      <c r="O583" s="547" t="n">
        <f aca="false">IF('(1)예금승인내역'!G1209="","",'(1)예금승인내역'!G1209)</f>
        <v>46155</v>
      </c>
      <c r="P583" s="531" t="str">
        <f aca="false">IF('(1)예금승인내역'!F1209="","",'(1)예금승인내역'!F1209)</f>
        <v>㈜현대그린푸드</v>
      </c>
      <c r="Q583" s="531" t="str">
        <f aca="false">IF('(1)예금승인내역'!C1209="","",'(1)예금승인내역'!C1209)</f>
        <v>성남영업부</v>
      </c>
      <c r="R583" s="531" t="str">
        <f aca="false">IF('(1)예금승인내역'!K1209="","",'(1)예금승인내역'!K1209)</f>
        <v>MMDA</v>
      </c>
      <c r="S583" s="548" t="n">
        <f aca="false">IF('(1)예금승인내역'!L1209="","",'(1)예금승인내역'!L1209)</f>
        <v>1.43</v>
      </c>
      <c r="T583" s="549" t="n">
        <f aca="false">IF('(1)예금승인내역'!AG1209="","",'(1)예금승인내역'!AG1209)</f>
        <v>0.032</v>
      </c>
      <c r="U583" s="549" t="n">
        <f aca="false">IF('(1)예금승인내역'!X1209="","",'(1)예금승인내역'!X1209)</f>
        <v>0.003543</v>
      </c>
      <c r="V583" s="531" t="n">
        <f aca="false">IF(ISNUMBER(N583),N583-$B$2,"")</f>
        <v>-1</v>
      </c>
      <c r="W583" s="531" t="str">
        <f aca="false">IF(AND(ISNUMBER(N583),N583&gt;=$B$2,N583&lt;=$B$2+10),N583*100000+ROW(),"")</f>
        <v/>
      </c>
      <c r="X583" s="531"/>
      <c r="Y583" s="531"/>
      <c r="Z583" s="531"/>
      <c r="AA583" s="531"/>
      <c r="AB583" s="531"/>
      <c r="AC583" s="531"/>
      <c r="AD583" s="531"/>
      <c r="AE583" s="531"/>
      <c r="AF583" s="531"/>
      <c r="AG583" s="531"/>
      <c r="AH583" s="531"/>
      <c r="AI583" s="531"/>
      <c r="AJ583" s="531"/>
      <c r="AK583" s="531"/>
      <c r="AL583" s="531"/>
      <c r="AM583" s="531"/>
      <c r="AN583" s="531"/>
    </row>
    <row r="584" customFormat="false" ht="16.5" hidden="false" customHeight="true" outlineLevel="0" collapsed="false">
      <c r="A584" s="531"/>
      <c r="B584" s="531"/>
      <c r="C584" s="531"/>
      <c r="D584" s="531"/>
      <c r="E584" s="531"/>
      <c r="F584" s="531"/>
      <c r="G584" s="531"/>
      <c r="H584" s="531"/>
      <c r="I584" s="531"/>
      <c r="J584" s="531"/>
      <c r="K584" s="531"/>
      <c r="L584" s="531"/>
      <c r="M584" s="531"/>
      <c r="N584" s="547" t="n">
        <f aca="false">IF('(1)예금승인내역'!H1210="","",'(1)예금승인내역'!H1210)</f>
        <v>46247</v>
      </c>
      <c r="O584" s="547" t="n">
        <f aca="false">IF('(1)예금승인내역'!G1210="","",'(1)예금승인내역'!G1210)</f>
        <v>46155</v>
      </c>
      <c r="P584" s="531" t="str">
        <f aca="false">IF('(1)예금승인내역'!F1210="","",'(1)예금승인내역'!F1210)</f>
        <v>해내다컨트리클럽</v>
      </c>
      <c r="Q584" s="531" t="str">
        <f aca="false">IF('(1)예금승인내역'!C1210="","",'(1)예금승인내역'!C1210)</f>
        <v>달성공단영업부</v>
      </c>
      <c r="R584" s="531" t="str">
        <f aca="false">IF('(1)예금승인내역'!K1210="","",'(1)예금승인내역'!K1210)</f>
        <v>정기예금</v>
      </c>
      <c r="S584" s="548" t="n">
        <f aca="false">IF('(1)예금승인내역'!L1210="","",'(1)예금승인내역'!L1210)</f>
        <v>1.44</v>
      </c>
      <c r="T584" s="549" t="n">
        <f aca="false">IF('(1)예금승인내역'!AG1210="","",'(1)예금승인내역'!AG1210)</f>
        <v>0.036</v>
      </c>
      <c r="U584" s="549" t="n">
        <f aca="false">IF('(1)예금승인내역'!X1210="","",'(1)예금승인내역'!X1210)</f>
        <v>0.00235</v>
      </c>
      <c r="V584" s="531" t="n">
        <f aca="false">IF(ISNUMBER(N584),N584-$B$2,"")</f>
        <v>58</v>
      </c>
      <c r="W584" s="531" t="str">
        <f aca="false">IF(AND(ISNUMBER(N584),N584&gt;=$B$2,N584&lt;=$B$2+10),N584*100000+ROW(),"")</f>
        <v/>
      </c>
      <c r="X584" s="531"/>
      <c r="Y584" s="531"/>
      <c r="Z584" s="531"/>
      <c r="AA584" s="531"/>
      <c r="AB584" s="531"/>
      <c r="AC584" s="531"/>
      <c r="AD584" s="531"/>
      <c r="AE584" s="531"/>
      <c r="AF584" s="531"/>
      <c r="AG584" s="531"/>
      <c r="AH584" s="531"/>
      <c r="AI584" s="531"/>
      <c r="AJ584" s="531"/>
      <c r="AK584" s="531"/>
      <c r="AL584" s="531"/>
      <c r="AM584" s="531"/>
      <c r="AN584" s="531"/>
    </row>
    <row r="585" customFormat="false" ht="16.5" hidden="false" customHeight="true" outlineLevel="0" collapsed="false">
      <c r="A585" s="531"/>
      <c r="B585" s="531"/>
      <c r="C585" s="531"/>
      <c r="D585" s="531"/>
      <c r="E585" s="531"/>
      <c r="F585" s="531"/>
      <c r="G585" s="531"/>
      <c r="H585" s="531"/>
      <c r="I585" s="531"/>
      <c r="J585" s="531"/>
      <c r="K585" s="531"/>
      <c r="L585" s="531"/>
      <c r="M585" s="531"/>
      <c r="N585" s="547" t="n">
        <f aca="false">IF('(1)예금승인내역'!H1211="","",'(1)예금승인내역'!H1211)</f>
        <v>46247</v>
      </c>
      <c r="O585" s="547" t="n">
        <f aca="false">IF('(1)예금승인내역'!G1211="","",'(1)예금승인내역'!G1211)</f>
        <v>46155</v>
      </c>
      <c r="P585" s="531" t="str">
        <f aca="false">IF('(1)예금승인내역'!F1211="","",'(1)예금승인내역'!F1211)</f>
        <v>동아홀딩스</v>
      </c>
      <c r="Q585" s="531" t="str">
        <f aca="false">IF('(1)예금승인내역'!C1211="","",'(1)예금승인내역'!C1211)</f>
        <v>달성공단영업부</v>
      </c>
      <c r="R585" s="531" t="str">
        <f aca="false">IF('(1)예금승인내역'!K1211="","",'(1)예금승인내역'!K1211)</f>
        <v>정기예금</v>
      </c>
      <c r="S585" s="548" t="n">
        <f aca="false">IF('(1)예금승인내역'!L1211="","",'(1)예금승인내역'!L1211)</f>
        <v>1.44</v>
      </c>
      <c r="T585" s="549" t="n">
        <f aca="false">IF('(1)예금승인내역'!AG1211="","",'(1)예금승인내역'!AG1211)</f>
        <v>0.036</v>
      </c>
      <c r="U585" s="549" t="n">
        <f aca="false">IF('(1)예금승인내역'!X1211="","",'(1)예금승인내역'!X1211)</f>
        <v>0.00235</v>
      </c>
      <c r="V585" s="531" t="n">
        <f aca="false">IF(ISNUMBER(N585),N585-$B$2,"")</f>
        <v>58</v>
      </c>
      <c r="W585" s="531" t="str">
        <f aca="false">IF(AND(ISNUMBER(N585),N585&gt;=$B$2,N585&lt;=$B$2+10),N585*100000+ROW(),"")</f>
        <v/>
      </c>
      <c r="X585" s="531"/>
      <c r="Y585" s="531"/>
      <c r="Z585" s="531"/>
      <c r="AA585" s="531"/>
      <c r="AB585" s="531"/>
      <c r="AC585" s="531"/>
      <c r="AD585" s="531"/>
      <c r="AE585" s="531"/>
      <c r="AF585" s="531"/>
      <c r="AG585" s="531"/>
      <c r="AH585" s="531"/>
      <c r="AI585" s="531"/>
      <c r="AJ585" s="531"/>
      <c r="AK585" s="531"/>
      <c r="AL585" s="531"/>
      <c r="AM585" s="531"/>
      <c r="AN585" s="531"/>
    </row>
    <row r="586" customFormat="false" ht="16.5" hidden="false" customHeight="true" outlineLevel="0" collapsed="false">
      <c r="A586" s="531"/>
      <c r="B586" s="531"/>
      <c r="C586" s="531"/>
      <c r="D586" s="531"/>
      <c r="E586" s="531"/>
      <c r="F586" s="531"/>
      <c r="G586" s="531"/>
      <c r="H586" s="531"/>
      <c r="I586" s="531"/>
      <c r="J586" s="531"/>
      <c r="K586" s="531"/>
      <c r="L586" s="531"/>
      <c r="M586" s="531"/>
      <c r="N586" s="547" t="n">
        <f aca="false">IF('(1)예금승인내역'!H1212="","",'(1)예금승인내역'!H1212)</f>
        <v>46247</v>
      </c>
      <c r="O586" s="547" t="n">
        <f aca="false">IF('(1)예금승인내역'!G1212="","",'(1)예금승인내역'!G1212)</f>
        <v>46155</v>
      </c>
      <c r="P586" s="531" t="str">
        <f aca="false">IF('(1)예금승인내역'!F1212="","",'(1)예금승인내역'!F1212)</f>
        <v>동아홀딩스</v>
      </c>
      <c r="Q586" s="531" t="str">
        <f aca="false">IF('(1)예금승인내역'!C1212="","",'(1)예금승인내역'!C1212)</f>
        <v>달성공단영업부</v>
      </c>
      <c r="R586" s="531" t="str">
        <f aca="false">IF('(1)예금승인내역'!K1212="","",'(1)예금승인내역'!K1212)</f>
        <v>정기예금</v>
      </c>
      <c r="S586" s="548" t="n">
        <f aca="false">IF('(1)예금승인내역'!L1212="","",'(1)예금승인내역'!L1212)</f>
        <v>3.61</v>
      </c>
      <c r="T586" s="549" t="n">
        <f aca="false">IF('(1)예금승인내역'!AG1212="","",'(1)예금승인내역'!AG1212)</f>
        <v>0.036</v>
      </c>
      <c r="U586" s="549" t="n">
        <f aca="false">IF('(1)예금승인내역'!X1212="","",'(1)예금승인내역'!X1212)</f>
        <v>0.00235</v>
      </c>
      <c r="V586" s="531" t="n">
        <f aca="false">IF(ISNUMBER(N586),N586-$B$2,"")</f>
        <v>58</v>
      </c>
      <c r="W586" s="531" t="str">
        <f aca="false">IF(AND(ISNUMBER(N586),N586&gt;=$B$2,N586&lt;=$B$2+10),N586*100000+ROW(),"")</f>
        <v/>
      </c>
      <c r="X586" s="531"/>
      <c r="Y586" s="531"/>
      <c r="Z586" s="531"/>
      <c r="AA586" s="531"/>
      <c r="AB586" s="531"/>
      <c r="AC586" s="531"/>
      <c r="AD586" s="531"/>
      <c r="AE586" s="531"/>
      <c r="AF586" s="531"/>
      <c r="AG586" s="531"/>
      <c r="AH586" s="531"/>
      <c r="AI586" s="531"/>
      <c r="AJ586" s="531"/>
      <c r="AK586" s="531"/>
      <c r="AL586" s="531"/>
      <c r="AM586" s="531"/>
      <c r="AN586" s="531"/>
    </row>
    <row r="587" customFormat="false" ht="16.5" hidden="false" customHeight="true" outlineLevel="0" collapsed="false">
      <c r="A587" s="531"/>
      <c r="B587" s="531"/>
      <c r="C587" s="531"/>
      <c r="D587" s="531"/>
      <c r="E587" s="531"/>
      <c r="F587" s="531"/>
      <c r="G587" s="531"/>
      <c r="H587" s="531"/>
      <c r="I587" s="531"/>
      <c r="J587" s="531"/>
      <c r="K587" s="531"/>
      <c r="L587" s="531"/>
      <c r="M587" s="531"/>
      <c r="N587" s="547" t="n">
        <f aca="false">IF('(1)예금승인내역'!H1213="","",'(1)예금승인내역'!H1213)</f>
        <v>46252</v>
      </c>
      <c r="O587" s="547" t="n">
        <f aca="false">IF('(1)예금승인내역'!G1213="","",'(1)예금승인내역'!G1213)</f>
        <v>46156</v>
      </c>
      <c r="P587" s="531" t="str">
        <f aca="false">IF('(1)예금승인내역'!F1213="","",'(1)예금승인내역'!F1213)</f>
        <v>미래나노텍㈜</v>
      </c>
      <c r="Q587" s="531" t="str">
        <f aca="false">IF('(1)예금승인내역'!C1213="","",'(1)예금승인내역'!C1213)</f>
        <v>본점PB센터</v>
      </c>
      <c r="R587" s="531" t="str">
        <f aca="false">IF('(1)예금승인내역'!K1213="","",'(1)예금승인내역'!K1213)</f>
        <v>정기예금</v>
      </c>
      <c r="S587" s="548" t="n">
        <f aca="false">IF('(1)예금승인내역'!L1213="","",'(1)예금승인내역'!L1213)</f>
        <v>2.06</v>
      </c>
      <c r="T587" s="549" t="n">
        <f aca="false">IF('(1)예금승인내역'!AG1213="","",'(1)예금승인내역'!AG1213)</f>
        <v>0.0355</v>
      </c>
      <c r="U587" s="549" t="n">
        <f aca="false">IF('(1)예금승인내역'!X1213="","",'(1)예금승인내역'!X1213)</f>
        <v>0.002874</v>
      </c>
      <c r="V587" s="531" t="n">
        <f aca="false">IF(ISNUMBER(N587),N587-$B$2,"")</f>
        <v>63</v>
      </c>
      <c r="W587" s="531" t="str">
        <f aca="false">IF(AND(ISNUMBER(N587),N587&gt;=$B$2,N587&lt;=$B$2+10),N587*100000+ROW(),"")</f>
        <v/>
      </c>
      <c r="X587" s="531"/>
      <c r="Y587" s="531"/>
      <c r="Z587" s="531"/>
      <c r="AA587" s="531"/>
      <c r="AB587" s="531"/>
      <c r="AC587" s="531"/>
      <c r="AD587" s="531"/>
      <c r="AE587" s="531"/>
      <c r="AF587" s="531"/>
      <c r="AG587" s="531"/>
      <c r="AH587" s="531"/>
      <c r="AI587" s="531"/>
      <c r="AJ587" s="531"/>
      <c r="AK587" s="531"/>
      <c r="AL587" s="531"/>
      <c r="AM587" s="531"/>
      <c r="AN587" s="531"/>
    </row>
    <row r="588" customFormat="false" ht="16.5" hidden="false" customHeight="true" outlineLevel="0" collapsed="false">
      <c r="A588" s="531"/>
      <c r="B588" s="531"/>
      <c r="C588" s="531"/>
      <c r="D588" s="531"/>
      <c r="E588" s="531"/>
      <c r="F588" s="531"/>
      <c r="G588" s="531"/>
      <c r="H588" s="531"/>
      <c r="I588" s="531"/>
      <c r="J588" s="531"/>
      <c r="K588" s="531"/>
      <c r="L588" s="531"/>
      <c r="M588" s="531"/>
      <c r="N588" s="547" t="n">
        <f aca="false">IF('(1)예금승인내역'!H1214="","",'(1)예금승인내역'!H1214)</f>
        <v>46188</v>
      </c>
      <c r="O588" s="547" t="n">
        <f aca="false">IF('(1)예금승인내역'!G1214="","",'(1)예금승인내역'!G1214)</f>
        <v>46157</v>
      </c>
      <c r="P588" s="531" t="str">
        <f aca="false">IF('(1)예금승인내역'!F1214="","",'(1)예금승인내역'!F1214)</f>
        <v>와이엠에스에이</v>
      </c>
      <c r="Q588" s="531" t="str">
        <f aca="false">IF('(1)예금승인내역'!C1214="","",'(1)예금승인내역'!C1214)</f>
        <v>본점영업부</v>
      </c>
      <c r="R588" s="531" t="str">
        <f aca="false">IF('(1)예금승인내역'!K1214="","",'(1)예금승인내역'!K1214)</f>
        <v>MMDA</v>
      </c>
      <c r="S588" s="548" t="n">
        <f aca="false">IF('(1)예금승인내역'!L1214="","",'(1)예금승인내역'!L1214)</f>
        <v>4.3</v>
      </c>
      <c r="T588" s="549" t="n">
        <f aca="false">IF('(1)예금승인내역'!AG1214="","",'(1)예금승인내역'!AG1214)</f>
        <v>0.032</v>
      </c>
      <c r="U588" s="549" t="n">
        <f aca="false">IF('(1)예금승인내역'!X1214="","",'(1)예금승인내역'!X1214)</f>
        <v>0.003554</v>
      </c>
      <c r="V588" s="531" t="n">
        <f aca="false">IF(ISNUMBER(N588),N588-$B$2,"")</f>
        <v>-1</v>
      </c>
      <c r="W588" s="531" t="str">
        <f aca="false">IF(AND(ISNUMBER(N588),N588&gt;=$B$2,N588&lt;=$B$2+10),N588*100000+ROW(),"")</f>
        <v/>
      </c>
      <c r="X588" s="531"/>
      <c r="Y588" s="531"/>
      <c r="Z588" s="531"/>
      <c r="AA588" s="531"/>
      <c r="AB588" s="531"/>
      <c r="AC588" s="531"/>
      <c r="AD588" s="531"/>
      <c r="AE588" s="531"/>
      <c r="AF588" s="531"/>
      <c r="AG588" s="531"/>
      <c r="AH588" s="531"/>
      <c r="AI588" s="531"/>
      <c r="AJ588" s="531"/>
      <c r="AK588" s="531"/>
      <c r="AL588" s="531"/>
      <c r="AM588" s="531"/>
      <c r="AN588" s="531"/>
    </row>
    <row r="589" customFormat="false" ht="16.5" hidden="false" customHeight="true" outlineLevel="0" collapsed="false">
      <c r="A589" s="531"/>
      <c r="B589" s="531"/>
      <c r="C589" s="531"/>
      <c r="D589" s="531"/>
      <c r="E589" s="531"/>
      <c r="F589" s="531"/>
      <c r="G589" s="531"/>
      <c r="H589" s="531"/>
      <c r="I589" s="531"/>
      <c r="J589" s="531"/>
      <c r="K589" s="531"/>
      <c r="L589" s="531"/>
      <c r="M589" s="531"/>
      <c r="N589" s="547" t="n">
        <f aca="false">IF('(1)예금승인내역'!H1215="","",'(1)예금승인내역'!H1215)</f>
        <v>46188</v>
      </c>
      <c r="O589" s="547" t="n">
        <f aca="false">IF('(1)예금승인내역'!G1215="","",'(1)예금승인내역'!G1215)</f>
        <v>46157</v>
      </c>
      <c r="P589" s="531" t="str">
        <f aca="false">IF('(1)예금승인내역'!F1215="","",'(1)예금승인내역'!F1215)</f>
        <v>엘티메탈</v>
      </c>
      <c r="Q589" s="531" t="str">
        <f aca="false">IF('(1)예금승인내역'!C1215="","",'(1)예금승인내역'!C1215)</f>
        <v>마곡금융센터</v>
      </c>
      <c r="R589" s="531" t="str">
        <f aca="false">IF('(1)예금승인내역'!K1215="","",'(1)예금승인내역'!K1215)</f>
        <v>MMDA</v>
      </c>
      <c r="S589" s="548" t="n">
        <f aca="false">IF('(1)예금승인내역'!L1215="","",'(1)예금승인내역'!L1215)</f>
        <v>7</v>
      </c>
      <c r="T589" s="549" t="n">
        <f aca="false">IF('(1)예금승인내역'!AG1215="","",'(1)예금승인내역'!AG1215)</f>
        <v>0.032</v>
      </c>
      <c r="U589" s="549" t="n">
        <f aca="false">IF('(1)예금승인내역'!X1215="","",'(1)예금승인내역'!X1215)</f>
        <v>0.003554</v>
      </c>
      <c r="V589" s="531" t="n">
        <f aca="false">IF(ISNUMBER(N589),N589-$B$2,"")</f>
        <v>-1</v>
      </c>
      <c r="W589" s="531" t="str">
        <f aca="false">IF(AND(ISNUMBER(N589),N589&gt;=$B$2,N589&lt;=$B$2+10),N589*100000+ROW(),"")</f>
        <v/>
      </c>
      <c r="X589" s="531"/>
      <c r="Y589" s="531"/>
      <c r="Z589" s="531"/>
      <c r="AA589" s="531"/>
      <c r="AB589" s="531"/>
      <c r="AC589" s="531"/>
      <c r="AD589" s="531"/>
      <c r="AE589" s="531"/>
      <c r="AF589" s="531"/>
      <c r="AG589" s="531"/>
      <c r="AH589" s="531"/>
      <c r="AI589" s="531"/>
      <c r="AJ589" s="531"/>
      <c r="AK589" s="531"/>
      <c r="AL589" s="531"/>
      <c r="AM589" s="531"/>
      <c r="AN589" s="531"/>
    </row>
    <row r="590" customFormat="false" ht="16.5" hidden="false" customHeight="true" outlineLevel="0" collapsed="false">
      <c r="A590" s="531"/>
      <c r="B590" s="531"/>
      <c r="C590" s="531"/>
      <c r="D590" s="531"/>
      <c r="E590" s="531"/>
      <c r="F590" s="531"/>
      <c r="G590" s="531"/>
      <c r="H590" s="531"/>
      <c r="I590" s="531"/>
      <c r="J590" s="531"/>
      <c r="K590" s="531"/>
      <c r="L590" s="531"/>
      <c r="M590" s="531"/>
      <c r="N590" s="547" t="n">
        <f aca="false">IF('(1)예금승인내역'!H1216="","",'(1)예금승인내역'!H1216)</f>
        <v>46192</v>
      </c>
      <c r="O590" s="547" t="n">
        <f aca="false">IF('(1)예금승인내역'!G1216="","",'(1)예금승인내역'!G1216)</f>
        <v>46162</v>
      </c>
      <c r="P590" s="531" t="str">
        <f aca="false">IF('(1)예금승인내역'!F1216="","",'(1)예금승인내역'!F1216)</f>
        <v>㈜일지테크</v>
      </c>
      <c r="Q590" s="531" t="str">
        <f aca="false">IF('(1)예금승인내역'!C1216="","",'(1)예금승인내역'!C1216)</f>
        <v>경산공단영업부</v>
      </c>
      <c r="R590" s="531" t="str">
        <f aca="false">IF('(1)예금승인내역'!K1216="","",'(1)예금승인내역'!K1216)</f>
        <v>MMDA</v>
      </c>
      <c r="S590" s="548" t="n">
        <f aca="false">IF('(1)예금승인내역'!L1216="","",'(1)예금승인내역'!L1216)</f>
        <v>11.11</v>
      </c>
      <c r="T590" s="549" t="n">
        <f aca="false">IF('(1)예금승인내역'!AG1216="","",'(1)예금승인내역'!AG1216)</f>
        <v>0.032</v>
      </c>
      <c r="U590" s="549" t="n">
        <f aca="false">IF('(1)예금승인내역'!X1216="","",'(1)예금승인내역'!X1216)</f>
        <v>0.003398</v>
      </c>
      <c r="V590" s="531" t="n">
        <f aca="false">IF(ISNUMBER(N590),N590-$B$2,"")</f>
        <v>3</v>
      </c>
      <c r="W590" s="531" t="n">
        <f aca="false">IF(AND(ISNUMBER(N590),N590&gt;=$B$2,N590&lt;=$B$2+10),N590*100000+ROW(),"")</f>
        <v>4619200590</v>
      </c>
      <c r="X590" s="531"/>
      <c r="Y590" s="531"/>
      <c r="Z590" s="531"/>
      <c r="AA590" s="531"/>
      <c r="AB590" s="531"/>
      <c r="AC590" s="531"/>
      <c r="AD590" s="531"/>
      <c r="AE590" s="531"/>
      <c r="AF590" s="531"/>
      <c r="AG590" s="531"/>
      <c r="AH590" s="531"/>
      <c r="AI590" s="531"/>
      <c r="AJ590" s="531"/>
      <c r="AK590" s="531"/>
      <c r="AL590" s="531"/>
      <c r="AM590" s="531"/>
      <c r="AN590" s="531"/>
    </row>
    <row r="591" customFormat="false" ht="16.5" hidden="false" customHeight="true" outlineLevel="0" collapsed="false">
      <c r="A591" s="531"/>
      <c r="B591" s="531"/>
      <c r="C591" s="531"/>
      <c r="D591" s="531"/>
      <c r="E591" s="531"/>
      <c r="F591" s="531"/>
      <c r="G591" s="531"/>
      <c r="H591" s="531"/>
      <c r="I591" s="531"/>
      <c r="J591" s="531"/>
      <c r="K591" s="531"/>
      <c r="L591" s="531"/>
      <c r="M591" s="531"/>
      <c r="N591" s="547" t="n">
        <f aca="false">IF('(1)예금승인내역'!H1217="","",'(1)예금승인내역'!H1217)</f>
        <v>46192</v>
      </c>
      <c r="O591" s="547" t="n">
        <f aca="false">IF('(1)예금승인내역'!G1217="","",'(1)예금승인내역'!G1217)</f>
        <v>46162</v>
      </c>
      <c r="P591" s="531" t="str">
        <f aca="false">IF('(1)예금승인내역'!F1217="","",'(1)예금승인내역'!F1217)</f>
        <v>㈜약진통상</v>
      </c>
      <c r="Q591" s="531" t="str">
        <f aca="false">IF('(1)예금승인내역'!C1217="","",'(1)예금승인내역'!C1217)</f>
        <v>반월공단영업부</v>
      </c>
      <c r="R591" s="531" t="str">
        <f aca="false">IF('(1)예금승인내역'!K1217="","",'(1)예금승인내역'!K1217)</f>
        <v>MMDA</v>
      </c>
      <c r="S591" s="548" t="n">
        <f aca="false">IF('(1)예금승인내역'!L1217="","",'(1)예금승인내역'!L1217)</f>
        <v>12.39</v>
      </c>
      <c r="T591" s="549" t="n">
        <f aca="false">IF('(1)예금승인내역'!AG1217="","",'(1)예금승인내역'!AG1217)</f>
        <v>0.032</v>
      </c>
      <c r="U591" s="549" t="n">
        <f aca="false">IF('(1)예금승인내역'!X1217="","",'(1)예금승인내역'!X1217)</f>
        <v>0.003398</v>
      </c>
      <c r="V591" s="531" t="n">
        <f aca="false">IF(ISNUMBER(N591),N591-$B$2,"")</f>
        <v>3</v>
      </c>
      <c r="W591" s="531" t="n">
        <f aca="false">IF(AND(ISNUMBER(N591),N591&gt;=$B$2,N591&lt;=$B$2+10),N591*100000+ROW(),"")</f>
        <v>4619200591</v>
      </c>
      <c r="X591" s="531"/>
      <c r="Y591" s="531"/>
      <c r="Z591" s="531"/>
      <c r="AA591" s="531"/>
      <c r="AB591" s="531"/>
      <c r="AC591" s="531"/>
      <c r="AD591" s="531"/>
      <c r="AE591" s="531"/>
      <c r="AF591" s="531"/>
      <c r="AG591" s="531"/>
      <c r="AH591" s="531"/>
      <c r="AI591" s="531"/>
      <c r="AJ591" s="531"/>
      <c r="AK591" s="531"/>
      <c r="AL591" s="531"/>
      <c r="AM591" s="531"/>
      <c r="AN591" s="531"/>
    </row>
    <row r="592" customFormat="false" ht="16.5" hidden="false" customHeight="true" outlineLevel="0" collapsed="false">
      <c r="A592" s="531"/>
      <c r="B592" s="531"/>
      <c r="C592" s="531"/>
      <c r="D592" s="531"/>
      <c r="E592" s="531"/>
      <c r="F592" s="531"/>
      <c r="G592" s="531"/>
      <c r="H592" s="531"/>
      <c r="I592" s="531"/>
      <c r="J592" s="531"/>
      <c r="K592" s="531"/>
      <c r="L592" s="531"/>
      <c r="M592" s="531"/>
      <c r="N592" s="547" t="n">
        <f aca="false">IF('(1)예금승인내역'!H1218="","",'(1)예금승인내역'!H1218)</f>
        <v>46192</v>
      </c>
      <c r="O592" s="547" t="n">
        <f aca="false">IF('(1)예금승인내역'!G1218="","",'(1)예금승인내역'!G1218)</f>
        <v>46162</v>
      </c>
      <c r="P592" s="531" t="str">
        <f aca="false">IF('(1)예금승인내역'!F1218="","",'(1)예금승인내역'!F1218)</f>
        <v>대원지에스아이</v>
      </c>
      <c r="Q592" s="531" t="str">
        <f aca="false">IF('(1)예금승인내역'!C1218="","",'(1)예금승인내역'!C1218)</f>
        <v>유통단지영업부</v>
      </c>
      <c r="R592" s="531" t="str">
        <f aca="false">IF('(1)예금승인내역'!K1218="","",'(1)예금승인내역'!K1218)</f>
        <v>정기예금</v>
      </c>
      <c r="S592" s="548" t="n">
        <f aca="false">IF('(1)예금승인내역'!L1218="","",'(1)예금승인내역'!L1218)</f>
        <v>1.5</v>
      </c>
      <c r="T592" s="549" t="n">
        <f aca="false">IF('(1)예금승인내역'!AG1218="","",'(1)예금승인내역'!AG1218)</f>
        <v>0.034</v>
      </c>
      <c r="U592" s="549" t="n">
        <f aca="false">IF('(1)예금승인내역'!X1218="","",'(1)예금승인내역'!X1218)</f>
        <v>0.002487</v>
      </c>
      <c r="V592" s="531" t="n">
        <f aca="false">IF(ISNUMBER(N592),N592-$B$2,"")</f>
        <v>3</v>
      </c>
      <c r="W592" s="531" t="n">
        <f aca="false">IF(AND(ISNUMBER(N592),N592&gt;=$B$2,N592&lt;=$B$2+10),N592*100000+ROW(),"")</f>
        <v>4619200592</v>
      </c>
      <c r="X592" s="531"/>
      <c r="Y592" s="531"/>
      <c r="Z592" s="531"/>
      <c r="AA592" s="531"/>
      <c r="AB592" s="531"/>
      <c r="AC592" s="531"/>
      <c r="AD592" s="531"/>
      <c r="AE592" s="531"/>
      <c r="AF592" s="531"/>
      <c r="AG592" s="531"/>
      <c r="AH592" s="531"/>
      <c r="AI592" s="531"/>
      <c r="AJ592" s="531"/>
      <c r="AK592" s="531"/>
      <c r="AL592" s="531"/>
      <c r="AM592" s="531"/>
      <c r="AN592" s="531"/>
    </row>
    <row r="593" customFormat="false" ht="16.5" hidden="false" customHeight="true" outlineLevel="0" collapsed="false">
      <c r="A593" s="531"/>
      <c r="B593" s="531"/>
      <c r="C593" s="531"/>
      <c r="D593" s="531"/>
      <c r="E593" s="531"/>
      <c r="F593" s="531"/>
      <c r="G593" s="531"/>
      <c r="H593" s="531"/>
      <c r="I593" s="531"/>
      <c r="J593" s="531"/>
      <c r="K593" s="531"/>
      <c r="L593" s="531"/>
      <c r="M593" s="531"/>
      <c r="N593" s="547" t="n">
        <f aca="false">IF('(1)예금승인내역'!H1219="","",'(1)예금승인내역'!H1219)</f>
        <v>46192</v>
      </c>
      <c r="O593" s="547" t="n">
        <f aca="false">IF('(1)예금승인내역'!G1219="","",'(1)예금승인내역'!G1219)</f>
        <v>46162</v>
      </c>
      <c r="P593" s="531" t="str">
        <f aca="false">IF('(1)예금승인내역'!F1219="","",'(1)예금승인내역'!F1219)</f>
        <v>㈜비알팜</v>
      </c>
      <c r="Q593" s="531" t="str">
        <f aca="false">IF('(1)예금승인내역'!C1219="","",'(1)예금승인내역'!C1219)</f>
        <v>원주금융센터</v>
      </c>
      <c r="R593" s="531" t="str">
        <f aca="false">IF('(1)예금승인내역'!K1219="","",'(1)예금승인내역'!K1219)</f>
        <v>MMDA</v>
      </c>
      <c r="S593" s="548" t="n">
        <f aca="false">IF('(1)예금승인내역'!L1219="","",'(1)예금승인내역'!L1219)</f>
        <v>5.73</v>
      </c>
      <c r="T593" s="549" t="n">
        <f aca="false">IF('(1)예금승인내역'!AG1219="","",'(1)예금승인내역'!AG1219)</f>
        <v>0.032</v>
      </c>
      <c r="U593" s="549" t="n">
        <f aca="false">IF('(1)예금승인내역'!X1219="","",'(1)예금승인내역'!X1219)</f>
        <v>0.003398</v>
      </c>
      <c r="V593" s="531" t="n">
        <f aca="false">IF(ISNUMBER(N593),N593-$B$2,"")</f>
        <v>3</v>
      </c>
      <c r="W593" s="531" t="n">
        <f aca="false">IF(AND(ISNUMBER(N593),N593&gt;=$B$2,N593&lt;=$B$2+10),N593*100000+ROW(),"")</f>
        <v>4619200593</v>
      </c>
      <c r="X593" s="531"/>
      <c r="Y593" s="531"/>
      <c r="Z593" s="531"/>
      <c r="AA593" s="531"/>
      <c r="AB593" s="531"/>
      <c r="AC593" s="531"/>
      <c r="AD593" s="531"/>
      <c r="AE593" s="531"/>
      <c r="AF593" s="531"/>
      <c r="AG593" s="531"/>
      <c r="AH593" s="531"/>
      <c r="AI593" s="531"/>
      <c r="AJ593" s="531"/>
      <c r="AK593" s="531"/>
      <c r="AL593" s="531"/>
      <c r="AM593" s="531"/>
      <c r="AN593" s="531"/>
    </row>
    <row r="594" customFormat="false" ht="16.5" hidden="false" customHeight="true" outlineLevel="0" collapsed="false">
      <c r="A594" s="531"/>
      <c r="B594" s="531"/>
      <c r="C594" s="531"/>
      <c r="D594" s="531"/>
      <c r="E594" s="531"/>
      <c r="F594" s="531"/>
      <c r="G594" s="531"/>
      <c r="H594" s="531"/>
      <c r="I594" s="531"/>
      <c r="J594" s="531"/>
      <c r="K594" s="531"/>
      <c r="L594" s="531"/>
      <c r="M594" s="531"/>
      <c r="N594" s="547" t="n">
        <f aca="false">IF('(1)예금승인내역'!H1220="","",'(1)예금승인내역'!H1220)</f>
        <v>46195</v>
      </c>
      <c r="O594" s="547" t="n">
        <f aca="false">IF('(1)예금승인내역'!G1220="","",'(1)예금승인내역'!G1220)</f>
        <v>46162</v>
      </c>
      <c r="P594" s="531" t="str">
        <f aca="false">IF('(1)예금승인내역'!F1220="","",'(1)예금승인내역'!F1220)</f>
        <v>한국비앤씨㈜</v>
      </c>
      <c r="Q594" s="531" t="str">
        <f aca="false">IF('(1)예금승인내역'!C1220="","",'(1)예금승인내역'!C1220)</f>
        <v>달성공단영업부</v>
      </c>
      <c r="R594" s="531" t="str">
        <f aca="false">IF('(1)예금승인내역'!K1220="","",'(1)예금승인내역'!K1220)</f>
        <v>MMDA</v>
      </c>
      <c r="S594" s="548" t="n">
        <f aca="false">IF('(1)예금승인내역'!L1220="","",'(1)예금승인내역'!L1220)</f>
        <v>8.67</v>
      </c>
      <c r="T594" s="549" t="n">
        <f aca="false">IF('(1)예금승인내역'!AG1220="","",'(1)예금승인내역'!AG1220)</f>
        <v>0.032</v>
      </c>
      <c r="U594" s="549" t="n">
        <f aca="false">IF('(1)예금승인내역'!X1220="","",'(1)예금승인내역'!X1220)</f>
        <v>0.003398</v>
      </c>
      <c r="V594" s="531" t="n">
        <f aca="false">IF(ISNUMBER(N594),N594-$B$2,"")</f>
        <v>6</v>
      </c>
      <c r="W594" s="531" t="n">
        <f aca="false">IF(AND(ISNUMBER(N594),N594&gt;=$B$2,N594&lt;=$B$2+10),N594*100000+ROW(),"")</f>
        <v>4619500594</v>
      </c>
      <c r="X594" s="531"/>
      <c r="Y594" s="531"/>
      <c r="Z594" s="531"/>
      <c r="AA594" s="531"/>
      <c r="AB594" s="531"/>
      <c r="AC594" s="531"/>
      <c r="AD594" s="531"/>
      <c r="AE594" s="531"/>
      <c r="AF594" s="531"/>
      <c r="AG594" s="531"/>
      <c r="AH594" s="531"/>
      <c r="AI594" s="531"/>
      <c r="AJ594" s="531"/>
      <c r="AK594" s="531"/>
      <c r="AL594" s="531"/>
      <c r="AM594" s="531"/>
      <c r="AN594" s="531"/>
    </row>
    <row r="595" customFormat="false" ht="16.5" hidden="false" customHeight="true" outlineLevel="0" collapsed="false">
      <c r="A595" s="531"/>
      <c r="B595" s="531"/>
      <c r="C595" s="531"/>
      <c r="D595" s="531"/>
      <c r="E595" s="531"/>
      <c r="F595" s="531"/>
      <c r="G595" s="531"/>
      <c r="H595" s="531"/>
      <c r="I595" s="531"/>
      <c r="J595" s="531"/>
      <c r="K595" s="531"/>
      <c r="L595" s="531"/>
      <c r="M595" s="531"/>
      <c r="N595" s="547" t="n">
        <f aca="false">IF('(1)예금승인내역'!H1221="","",'(1)예금승인내역'!H1221)</f>
        <v>46195</v>
      </c>
      <c r="O595" s="547" t="n">
        <f aca="false">IF('(1)예금승인내역'!G1221="","",'(1)예금승인내역'!G1221)</f>
        <v>46163</v>
      </c>
      <c r="P595" s="531" t="str">
        <f aca="false">IF('(1)예금승인내역'!F1221="","",'(1)예금승인내역'!F1221)</f>
        <v>더스킨팩토리</v>
      </c>
      <c r="Q595" s="531" t="str">
        <f aca="false">IF('(1)예금승인내역'!C1221="","",'(1)예금승인내역'!C1221)</f>
        <v>강남영업부</v>
      </c>
      <c r="R595" s="531" t="str">
        <f aca="false">IF('(1)예금승인내역'!K1221="","",'(1)예금승인내역'!K1221)</f>
        <v>정기예금</v>
      </c>
      <c r="S595" s="548" t="n">
        <f aca="false">IF('(1)예금승인내역'!L1221="","",'(1)예금승인내역'!L1221)</f>
        <v>1</v>
      </c>
      <c r="T595" s="549" t="n">
        <f aca="false">IF('(1)예금승인내역'!AG1221="","",'(1)예금승인내역'!AG1221)</f>
        <v>0.0335</v>
      </c>
      <c r="U595" s="549" t="n">
        <f aca="false">IF('(1)예금승인내역'!X1221="","",'(1)예금승인내역'!X1221)</f>
        <v>0.002944</v>
      </c>
      <c r="V595" s="531" t="n">
        <f aca="false">IF(ISNUMBER(N595),N595-$B$2,"")</f>
        <v>6</v>
      </c>
      <c r="W595" s="531" t="n">
        <f aca="false">IF(AND(ISNUMBER(N595),N595&gt;=$B$2,N595&lt;=$B$2+10),N595*100000+ROW(),"")</f>
        <v>4619500595</v>
      </c>
      <c r="X595" s="531"/>
      <c r="Y595" s="531"/>
      <c r="Z595" s="531"/>
      <c r="AA595" s="531"/>
      <c r="AB595" s="531"/>
      <c r="AC595" s="531"/>
      <c r="AD595" s="531"/>
      <c r="AE595" s="531"/>
      <c r="AF595" s="531"/>
      <c r="AG595" s="531"/>
      <c r="AH595" s="531"/>
      <c r="AI595" s="531"/>
      <c r="AJ595" s="531"/>
      <c r="AK595" s="531"/>
      <c r="AL595" s="531"/>
      <c r="AM595" s="531"/>
      <c r="AN595" s="531"/>
    </row>
    <row r="596" customFormat="false" ht="16.5" hidden="false" customHeight="true" outlineLevel="0" collapsed="false">
      <c r="A596" s="531"/>
      <c r="B596" s="531"/>
      <c r="C596" s="531"/>
      <c r="D596" s="531"/>
      <c r="E596" s="531"/>
      <c r="F596" s="531"/>
      <c r="G596" s="531"/>
      <c r="H596" s="531"/>
      <c r="I596" s="531"/>
      <c r="J596" s="531"/>
      <c r="K596" s="531"/>
      <c r="L596" s="531"/>
      <c r="M596" s="531"/>
      <c r="N596" s="547" t="n">
        <f aca="false">IF('(1)예금승인내역'!H1222="","",'(1)예금승인내역'!H1222)</f>
        <v>46200</v>
      </c>
      <c r="O596" s="547" t="n">
        <f aca="false">IF('(1)예금승인내역'!G1222="","",'(1)예금승인내역'!G1222)</f>
        <v>46169</v>
      </c>
      <c r="P596" s="531" t="str">
        <f aca="false">IF('(1)예금승인내역'!F1222="","",'(1)예금승인내역'!F1222)</f>
        <v>예스티</v>
      </c>
      <c r="Q596" s="531" t="str">
        <f aca="false">IF('(1)예금승인내역'!C1222="","",'(1)예금승인내역'!C1222)</f>
        <v>동탄금융센터</v>
      </c>
      <c r="R596" s="531" t="str">
        <f aca="false">IF('(1)예금승인내역'!K1222="","",'(1)예금승인내역'!K1222)</f>
        <v>MMDA</v>
      </c>
      <c r="S596" s="548" t="n">
        <f aca="false">IF('(1)예금승인내역'!L1222="","",'(1)예금승인내역'!L1222)</f>
        <v>1.3</v>
      </c>
      <c r="T596" s="549" t="n">
        <f aca="false">IF('(1)예금승인내역'!AG1222="","",'(1)예금승인내역'!AG1222)</f>
        <v>0.031</v>
      </c>
      <c r="U596" s="549" t="n">
        <f aca="false">IF('(1)예금승인내역'!X1222="","",'(1)예금승인내역'!X1222)</f>
        <v>0.004491</v>
      </c>
      <c r="V596" s="531" t="n">
        <f aca="false">IF(ISNUMBER(N596),N596-$B$2,"")</f>
        <v>11</v>
      </c>
      <c r="W596" s="531" t="str">
        <f aca="false">IF(AND(ISNUMBER(N596),N596&gt;=$B$2,N596&lt;=$B$2+10),N596*100000+ROW(),"")</f>
        <v/>
      </c>
      <c r="X596" s="531"/>
      <c r="Y596" s="531"/>
      <c r="Z596" s="531"/>
      <c r="AA596" s="531"/>
      <c r="AB596" s="531"/>
      <c r="AC596" s="531"/>
      <c r="AD596" s="531"/>
      <c r="AE596" s="531"/>
      <c r="AF596" s="531"/>
      <c r="AG596" s="531"/>
      <c r="AH596" s="531"/>
      <c r="AI596" s="531"/>
      <c r="AJ596" s="531"/>
      <c r="AK596" s="531"/>
      <c r="AL596" s="531"/>
      <c r="AM596" s="531"/>
      <c r="AN596" s="531"/>
    </row>
    <row r="597" customFormat="false" ht="16.5" hidden="false" customHeight="true" outlineLevel="0" collapsed="false">
      <c r="A597" s="531"/>
      <c r="B597" s="531"/>
      <c r="C597" s="531"/>
      <c r="D597" s="531"/>
      <c r="E597" s="531"/>
      <c r="F597" s="531"/>
      <c r="G597" s="531"/>
      <c r="H597" s="531"/>
      <c r="I597" s="531"/>
      <c r="J597" s="531"/>
      <c r="K597" s="531"/>
      <c r="L597" s="531"/>
      <c r="M597" s="531"/>
      <c r="N597" s="547" t="n">
        <f aca="false">IF('(1)예금승인내역'!H1223="","",'(1)예금승인내역'!H1223)</f>
        <v>46202</v>
      </c>
      <c r="O597" s="547" t="n">
        <f aca="false">IF('(1)예금승인내역'!G1223="","",'(1)예금승인내역'!G1223)</f>
        <v>46171</v>
      </c>
      <c r="P597" s="531" t="str">
        <f aca="false">IF('(1)예금승인내역'!F1223="","",'(1)예금승인내역'!F1223)</f>
        <v>㈜ 광성</v>
      </c>
      <c r="Q597" s="531" t="str">
        <f aca="false">IF('(1)예금승인내역'!C1223="","",'(1)예금승인내역'!C1223)</f>
        <v>경산공단영업부</v>
      </c>
      <c r="R597" s="531" t="str">
        <f aca="false">IF('(1)예금승인내역'!K1223="","",'(1)예금승인내역'!K1223)</f>
        <v>MMDA</v>
      </c>
      <c r="S597" s="548" t="n">
        <f aca="false">IF('(1)예금승인내역'!L1223="","",'(1)예금승인내역'!L1223)</f>
        <v>2.55</v>
      </c>
      <c r="T597" s="549" t="n">
        <f aca="false">IF('(1)예금승인내역'!AG1223="","",'(1)예금승인내역'!AG1223)</f>
        <v>0.0315</v>
      </c>
      <c r="U597" s="549" t="n">
        <f aca="false">IF('(1)예금승인내역'!X1223="","",'(1)예금승인내역'!X1223)</f>
        <v>0.004091</v>
      </c>
      <c r="V597" s="531" t="n">
        <f aca="false">IF(ISNUMBER(N597),N597-$B$2,"")</f>
        <v>13</v>
      </c>
      <c r="W597" s="531" t="str">
        <f aca="false">IF(AND(ISNUMBER(N597),N597&gt;=$B$2,N597&lt;=$B$2+10),N597*100000+ROW(),"")</f>
        <v/>
      </c>
      <c r="X597" s="531"/>
      <c r="Y597" s="531"/>
      <c r="Z597" s="531"/>
      <c r="AA597" s="531"/>
      <c r="AB597" s="531"/>
      <c r="AC597" s="531"/>
      <c r="AD597" s="531"/>
      <c r="AE597" s="531"/>
      <c r="AF597" s="531"/>
      <c r="AG597" s="531"/>
      <c r="AH597" s="531"/>
      <c r="AI597" s="531"/>
      <c r="AJ597" s="531"/>
      <c r="AK597" s="531"/>
      <c r="AL597" s="531"/>
      <c r="AM597" s="531"/>
      <c r="AN597" s="531"/>
    </row>
    <row r="598" customFormat="false" ht="16.5" hidden="false" customHeight="true" outlineLevel="0" collapsed="false">
      <c r="A598" s="531"/>
      <c r="B598" s="531"/>
      <c r="C598" s="531"/>
      <c r="D598" s="531"/>
      <c r="E598" s="531"/>
      <c r="F598" s="531"/>
      <c r="G598" s="531"/>
      <c r="H598" s="531"/>
      <c r="I598" s="531"/>
      <c r="J598" s="531"/>
      <c r="K598" s="531"/>
      <c r="L598" s="531"/>
      <c r="M598" s="531"/>
      <c r="N598" s="547" t="n">
        <f aca="false">IF('(1)예금승인내역'!H1224="","",'(1)예금승인내역'!H1224)</f>
        <v>46202</v>
      </c>
      <c r="O598" s="547" t="n">
        <f aca="false">IF('(1)예금승인내역'!G1224="","",'(1)예금승인내역'!G1224)</f>
        <v>46171</v>
      </c>
      <c r="P598" s="531" t="str">
        <f aca="false">IF('(1)예금승인내역'!F1224="","",'(1)예금승인내역'!F1224)</f>
        <v>오스템임플란트㈜</v>
      </c>
      <c r="Q598" s="531" t="str">
        <f aca="false">IF('(1)예금승인내역'!C1224="","",'(1)예금승인내역'!C1224)</f>
        <v>성남금융센터</v>
      </c>
      <c r="R598" s="531" t="str">
        <f aca="false">IF('(1)예금승인내역'!K1224="","",'(1)예금승인내역'!K1224)</f>
        <v>MMDA</v>
      </c>
      <c r="S598" s="548" t="n">
        <f aca="false">IF('(1)예금승인내역'!L1224="","",'(1)예금승인내역'!L1224)</f>
        <v>3</v>
      </c>
      <c r="T598" s="549" t="n">
        <f aca="false">IF('(1)예금승인내역'!AG1224="","",'(1)예금승인내역'!AG1224)</f>
        <v>0.0325</v>
      </c>
      <c r="U598" s="549" t="n">
        <f aca="false">IF('(1)예금승인내역'!X1224="","",'(1)예금승인내역'!X1224)</f>
        <v>0.003091</v>
      </c>
      <c r="V598" s="531" t="n">
        <f aca="false">IF(ISNUMBER(N598),N598-$B$2,"")</f>
        <v>13</v>
      </c>
      <c r="W598" s="531" t="str">
        <f aca="false">IF(AND(ISNUMBER(N598),N598&gt;=$B$2,N598&lt;=$B$2+10),N598*100000+ROW(),"")</f>
        <v/>
      </c>
      <c r="X598" s="531"/>
      <c r="Y598" s="531"/>
      <c r="Z598" s="531"/>
      <c r="AA598" s="531"/>
      <c r="AB598" s="531"/>
      <c r="AC598" s="531"/>
      <c r="AD598" s="531"/>
      <c r="AE598" s="531"/>
      <c r="AF598" s="531"/>
      <c r="AG598" s="531"/>
      <c r="AH598" s="531"/>
      <c r="AI598" s="531"/>
      <c r="AJ598" s="531"/>
      <c r="AK598" s="531"/>
      <c r="AL598" s="531"/>
      <c r="AM598" s="531"/>
      <c r="AN598" s="531"/>
    </row>
    <row r="599" customFormat="false" ht="16.5" hidden="false" customHeight="true" outlineLevel="0" collapsed="false">
      <c r="A599" s="531"/>
      <c r="B599" s="531"/>
      <c r="C599" s="531"/>
      <c r="D599" s="531"/>
      <c r="E599" s="531"/>
      <c r="F599" s="531"/>
      <c r="G599" s="531"/>
      <c r="H599" s="531"/>
      <c r="I599" s="531"/>
      <c r="J599" s="531"/>
      <c r="K599" s="531"/>
      <c r="L599" s="531"/>
      <c r="M599" s="531"/>
      <c r="N599" s="547" t="n">
        <f aca="false">IF('(1)예금승인내역'!H1225="","",'(1)예금승인내역'!H1225)</f>
        <v>46204</v>
      </c>
      <c r="O599" s="547" t="n">
        <f aca="false">IF('(1)예금승인내역'!G1225="","",'(1)예금승인내역'!G1225)</f>
        <v>46174</v>
      </c>
      <c r="P599" s="531" t="str">
        <f aca="false">IF('(1)예금승인내역'!F1225="","",'(1)예금승인내역'!F1225)</f>
        <v>국제금속</v>
      </c>
      <c r="Q599" s="531" t="str">
        <f aca="false">IF('(1)예금승인내역'!C1225="","",'(1)예금승인내역'!C1225)</f>
        <v>영천영업부</v>
      </c>
      <c r="R599" s="531" t="str">
        <f aca="false">IF('(1)예금승인내역'!K1225="","",'(1)예금승인내역'!K1225)</f>
        <v>MMDA</v>
      </c>
      <c r="S599" s="548" t="n">
        <f aca="false">IF('(1)예금승인내역'!L1225="","",'(1)예금승인내역'!L1225)</f>
        <v>8.35</v>
      </c>
      <c r="T599" s="549" t="n">
        <f aca="false">IF('(1)예금승인내역'!AG1225="","",'(1)예금승인내역'!AG1225)</f>
        <v>0.032</v>
      </c>
      <c r="U599" s="549" t="n">
        <f aca="false">IF('(1)예금승인내역'!X1225="","",'(1)예금승인내역'!X1225)</f>
        <v>0.003568</v>
      </c>
      <c r="V599" s="531" t="n">
        <f aca="false">IF(ISNUMBER(N599),N599-$B$2,"")</f>
        <v>15</v>
      </c>
      <c r="W599" s="531" t="str">
        <f aca="false">IF(AND(ISNUMBER(N599),N599&gt;=$B$2,N599&lt;=$B$2+10),N599*100000+ROW(),"")</f>
        <v/>
      </c>
      <c r="X599" s="531"/>
      <c r="Y599" s="531"/>
      <c r="Z599" s="531"/>
      <c r="AA599" s="531"/>
      <c r="AB599" s="531"/>
      <c r="AC599" s="531"/>
      <c r="AD599" s="531"/>
      <c r="AE599" s="531"/>
      <c r="AF599" s="531"/>
      <c r="AG599" s="531"/>
      <c r="AH599" s="531"/>
      <c r="AI599" s="531"/>
      <c r="AJ599" s="531"/>
      <c r="AK599" s="531"/>
      <c r="AL599" s="531"/>
      <c r="AM599" s="531"/>
      <c r="AN599" s="531"/>
    </row>
    <row r="600" customFormat="false" ht="16.5" hidden="false" customHeight="true" outlineLevel="0" collapsed="false">
      <c r="A600" s="531"/>
      <c r="B600" s="531"/>
      <c r="C600" s="531"/>
      <c r="D600" s="531"/>
      <c r="E600" s="531"/>
      <c r="F600" s="531"/>
      <c r="G600" s="531"/>
      <c r="H600" s="531"/>
      <c r="I600" s="531"/>
      <c r="J600" s="531"/>
      <c r="K600" s="531"/>
      <c r="L600" s="531"/>
      <c r="M600" s="531"/>
      <c r="N600" s="547" t="n">
        <f aca="false">IF('(1)예금승인내역'!H1226="","",'(1)예금승인내역'!H1226)</f>
        <v>46204</v>
      </c>
      <c r="O600" s="547" t="n">
        <f aca="false">IF('(1)예금승인내역'!G1226="","",'(1)예금승인내역'!G1226)</f>
        <v>46174</v>
      </c>
      <c r="P600" s="531" t="str">
        <f aca="false">IF('(1)예금승인내역'!F1226="","",'(1)예금승인내역'!F1226)</f>
        <v>삼양연마공업</v>
      </c>
      <c r="Q600" s="531" t="str">
        <f aca="false">IF('(1)예금승인내역'!C1226="","",'(1)예금승인내역'!C1226)</f>
        <v>영천영업부</v>
      </c>
      <c r="R600" s="531" t="str">
        <f aca="false">IF('(1)예금승인내역'!K1226="","",'(1)예금승인내역'!K1226)</f>
        <v>MMDA</v>
      </c>
      <c r="S600" s="548" t="n">
        <f aca="false">IF('(1)예금승인내역'!L1226="","",'(1)예금승인내역'!L1226)</f>
        <v>3.78</v>
      </c>
      <c r="T600" s="549" t="n">
        <f aca="false">IF('(1)예금승인내역'!AG1226="","",'(1)예금승인내역'!AG1226)</f>
        <v>0.029</v>
      </c>
      <c r="U600" s="549" t="n">
        <f aca="false">IF('(1)예금승인내역'!X1226="","",'(1)예금승인내역'!X1226)</f>
        <v>0.006568</v>
      </c>
      <c r="V600" s="531" t="n">
        <f aca="false">IF(ISNUMBER(N600),N600-$B$2,"")</f>
        <v>15</v>
      </c>
      <c r="W600" s="531" t="str">
        <f aca="false">IF(AND(ISNUMBER(N600),N600&gt;=$B$2,N600&lt;=$B$2+10),N600*100000+ROW(),"")</f>
        <v/>
      </c>
      <c r="X600" s="531"/>
      <c r="Y600" s="531"/>
      <c r="Z600" s="531"/>
      <c r="AA600" s="531"/>
      <c r="AB600" s="531"/>
      <c r="AC600" s="531"/>
      <c r="AD600" s="531"/>
      <c r="AE600" s="531"/>
      <c r="AF600" s="531"/>
      <c r="AG600" s="531"/>
      <c r="AH600" s="531"/>
      <c r="AI600" s="531"/>
      <c r="AJ600" s="531"/>
      <c r="AK600" s="531"/>
      <c r="AL600" s="531"/>
      <c r="AM600" s="531"/>
      <c r="AN600" s="531"/>
    </row>
    <row r="601" customFormat="false" ht="16.5" hidden="false" customHeight="true" outlineLevel="0" collapsed="false">
      <c r="A601" s="531"/>
      <c r="B601" s="531"/>
      <c r="C601" s="531"/>
      <c r="D601" s="531"/>
      <c r="E601" s="531"/>
      <c r="F601" s="531"/>
      <c r="G601" s="531"/>
      <c r="H601" s="531"/>
      <c r="I601" s="531"/>
      <c r="J601" s="531"/>
      <c r="K601" s="531"/>
      <c r="L601" s="531"/>
      <c r="M601" s="531"/>
      <c r="N601" s="547" t="n">
        <f aca="false">IF('(1)예금승인내역'!H1227="","",'(1)예금승인내역'!H1227)</f>
        <v>46238</v>
      </c>
      <c r="O601" s="547" t="n">
        <f aca="false">IF('(1)예금승인내역'!G1227="","",'(1)예금승인내역'!G1227)</f>
        <v>46177</v>
      </c>
      <c r="P601" s="531" t="str">
        <f aca="false">IF('(1)예금승인내역'!F1227="","",'(1)예금승인내역'!F1227)</f>
        <v>디오㈜</v>
      </c>
      <c r="Q601" s="531" t="str">
        <f aca="false">IF('(1)예금승인내역'!C1227="","",'(1)예금승인내역'!C1227)</f>
        <v>화성금융센터</v>
      </c>
      <c r="R601" s="531" t="str">
        <f aca="false">IF('(1)예금승인내역'!K1227="","",'(1)예금승인내역'!K1227)</f>
        <v>정기예금</v>
      </c>
      <c r="S601" s="548" t="n">
        <f aca="false">IF('(1)예금승인내역'!L1227="","",'(1)예금승인내역'!L1227)</f>
        <v>2</v>
      </c>
      <c r="T601" s="549" t="n">
        <f aca="false">IF('(1)예금승인내역'!AG1227="","",'(1)예금승인내역'!AG1227)</f>
        <v>0.0345</v>
      </c>
      <c r="U601" s="549" t="n">
        <f aca="false">IF('(1)예금승인내역'!X1227="","",'(1)예금승인내역'!X1227)</f>
        <v>0.003061</v>
      </c>
      <c r="V601" s="531" t="n">
        <f aca="false">IF(ISNUMBER(N601),N601-$B$2,"")</f>
        <v>49</v>
      </c>
      <c r="W601" s="531" t="str">
        <f aca="false">IF(AND(ISNUMBER(N601),N601&gt;=$B$2,N601&lt;=$B$2+10),N601*100000+ROW(),"")</f>
        <v/>
      </c>
      <c r="X601" s="531"/>
      <c r="Y601" s="531"/>
      <c r="Z601" s="531"/>
      <c r="AA601" s="531"/>
      <c r="AB601" s="531"/>
      <c r="AC601" s="531"/>
      <c r="AD601" s="531"/>
      <c r="AE601" s="531"/>
      <c r="AF601" s="531"/>
      <c r="AG601" s="531"/>
      <c r="AH601" s="531"/>
      <c r="AI601" s="531"/>
      <c r="AJ601" s="531"/>
      <c r="AK601" s="531"/>
      <c r="AL601" s="531"/>
      <c r="AM601" s="531"/>
      <c r="AN601" s="531"/>
    </row>
    <row r="602" customFormat="false" ht="16.5" hidden="false" customHeight="true" outlineLevel="0" collapsed="false">
      <c r="A602" s="531"/>
      <c r="B602" s="531"/>
      <c r="C602" s="531"/>
      <c r="D602" s="531"/>
      <c r="E602" s="531"/>
      <c r="F602" s="531"/>
      <c r="G602" s="531"/>
      <c r="H602" s="531"/>
      <c r="I602" s="531"/>
      <c r="J602" s="531"/>
      <c r="K602" s="531"/>
      <c r="L602" s="531"/>
      <c r="M602" s="531"/>
      <c r="N602" s="547" t="n">
        <f aca="false">IF('(1)예금승인내역'!H1228="","",'(1)예금승인내역'!H1228)</f>
        <v>46211</v>
      </c>
      <c r="O602" s="547" t="n">
        <f aca="false">IF('(1)예금승인내역'!G1228="","",'(1)예금승인내역'!G1228)</f>
        <v>46181</v>
      </c>
      <c r="P602" s="531" t="str">
        <f aca="false">IF('(1)예금승인내역'!F1228="","",'(1)예금승인내역'!F1228)</f>
        <v>㈜지엠메탈</v>
      </c>
      <c r="Q602" s="531" t="str">
        <f aca="false">IF('(1)예금승인내역'!C1228="","",'(1)예금승인내역'!C1228)</f>
        <v>이현공단영업부</v>
      </c>
      <c r="R602" s="531" t="str">
        <f aca="false">IF('(1)예금승인내역'!K1228="","",'(1)예금승인내역'!K1228)</f>
        <v>MMDA</v>
      </c>
      <c r="S602" s="548" t="n">
        <f aca="false">IF('(1)예금승인내역'!L1228="","",'(1)예금승인내역'!L1228)</f>
        <v>1.37</v>
      </c>
      <c r="T602" s="549" t="n">
        <f aca="false">IF('(1)예금승인내역'!AG1228="","",'(1)예금승인내역'!AG1228)</f>
        <v>0.0315</v>
      </c>
      <c r="U602" s="549" t="n">
        <f aca="false">IF('(1)예금승인내역'!X1228="","",'(1)예금승인내역'!X1228)</f>
        <v>0.003997</v>
      </c>
      <c r="V602" s="531" t="n">
        <f aca="false">IF(ISNUMBER(N602),N602-$B$2,"")</f>
        <v>22</v>
      </c>
      <c r="W602" s="531" t="str">
        <f aca="false">IF(AND(ISNUMBER(N602),N602&gt;=$B$2,N602&lt;=$B$2+10),N602*100000+ROW(),"")</f>
        <v/>
      </c>
      <c r="X602" s="531"/>
      <c r="Y602" s="531"/>
      <c r="Z602" s="531"/>
      <c r="AA602" s="531"/>
      <c r="AB602" s="531"/>
      <c r="AC602" s="531"/>
      <c r="AD602" s="531"/>
      <c r="AE602" s="531"/>
      <c r="AF602" s="531"/>
      <c r="AG602" s="531"/>
      <c r="AH602" s="531"/>
      <c r="AI602" s="531"/>
      <c r="AJ602" s="531"/>
      <c r="AK602" s="531"/>
      <c r="AL602" s="531"/>
      <c r="AM602" s="531"/>
      <c r="AN602" s="531"/>
    </row>
    <row r="603" customFormat="false" ht="16.5" hidden="false" customHeight="true" outlineLevel="0" collapsed="false">
      <c r="A603" s="531"/>
      <c r="B603" s="531"/>
      <c r="C603" s="531"/>
      <c r="D603" s="531"/>
      <c r="E603" s="531"/>
      <c r="F603" s="531"/>
      <c r="G603" s="531"/>
      <c r="H603" s="531"/>
      <c r="I603" s="531"/>
      <c r="J603" s="531"/>
      <c r="K603" s="531"/>
      <c r="L603" s="531"/>
      <c r="M603" s="531"/>
      <c r="N603" s="547" t="n">
        <f aca="false">IF('(1)예금승인내역'!H1229="","",'(1)예금승인내역'!H1229)</f>
        <v>46211</v>
      </c>
      <c r="O603" s="547" t="n">
        <f aca="false">IF('(1)예금승인내역'!G1229="","",'(1)예금승인내역'!G1229)</f>
        <v>46181</v>
      </c>
      <c r="P603" s="531" t="str">
        <f aca="false">IF('(1)예금승인내역'!F1229="","",'(1)예금승인내역'!F1229)</f>
        <v>미래에셋컨설팅</v>
      </c>
      <c r="Q603" s="531" t="str">
        <f aca="false">IF('(1)예금승인내역'!C1229="","",'(1)예금승인내역'!C1229)</f>
        <v>서울영업부</v>
      </c>
      <c r="R603" s="531" t="str">
        <f aca="false">IF('(1)예금승인내역'!K1229="","",'(1)예금승인내역'!K1229)</f>
        <v>정기예금</v>
      </c>
      <c r="S603" s="548" t="n">
        <f aca="false">IF('(1)예금승인내역'!L1229="","",'(1)예금승인내역'!L1229)</f>
        <v>3</v>
      </c>
      <c r="T603" s="549" t="n">
        <f aca="false">IF('(1)예금승인내역'!AG1229="","",'(1)예금승인내역'!AG1229)</f>
        <v>0.0335</v>
      </c>
      <c r="U603" s="549" t="n">
        <f aca="false">IF('(1)예금승인내역'!X1229="","",'(1)예금승인내역'!X1229)</f>
        <v>0.003048</v>
      </c>
      <c r="V603" s="531" t="n">
        <f aca="false">IF(ISNUMBER(N603),N603-$B$2,"")</f>
        <v>22</v>
      </c>
      <c r="W603" s="531" t="str">
        <f aca="false">IF(AND(ISNUMBER(N603),N603&gt;=$B$2,N603&lt;=$B$2+10),N603*100000+ROW(),"")</f>
        <v/>
      </c>
      <c r="X603" s="531"/>
      <c r="Y603" s="531"/>
      <c r="Z603" s="531"/>
      <c r="AA603" s="531"/>
      <c r="AB603" s="531"/>
      <c r="AC603" s="531"/>
      <c r="AD603" s="531"/>
      <c r="AE603" s="531"/>
      <c r="AF603" s="531"/>
      <c r="AG603" s="531"/>
      <c r="AH603" s="531"/>
      <c r="AI603" s="531"/>
      <c r="AJ603" s="531"/>
      <c r="AK603" s="531"/>
      <c r="AL603" s="531"/>
      <c r="AM603" s="531"/>
      <c r="AN603" s="531"/>
    </row>
    <row r="604" customFormat="false" ht="16.5" hidden="false" customHeight="true" outlineLevel="0" collapsed="false">
      <c r="A604" s="531"/>
      <c r="B604" s="531"/>
      <c r="C604" s="531"/>
      <c r="D604" s="531"/>
      <c r="E604" s="531"/>
      <c r="F604" s="531"/>
      <c r="G604" s="531"/>
      <c r="H604" s="531"/>
      <c r="I604" s="531"/>
      <c r="J604" s="531"/>
      <c r="K604" s="531"/>
      <c r="L604" s="531"/>
      <c r="M604" s="531"/>
      <c r="N604" s="547" t="n">
        <f aca="false">IF('(1)예금승인내역'!H1230="","",'(1)예금승인내역'!H1230)</f>
        <v>46211</v>
      </c>
      <c r="O604" s="547" t="n">
        <f aca="false">IF('(1)예금승인내역'!G1230="","",'(1)예금승인내역'!G1230)</f>
        <v>46181</v>
      </c>
      <c r="P604" s="531" t="str">
        <f aca="false">IF('(1)예금승인내역'!F1230="","",'(1)예금승인내역'!F1230)</f>
        <v>㈜동화인더스트리</v>
      </c>
      <c r="Q604" s="531" t="str">
        <f aca="false">IF('(1)예금승인내역'!C1230="","",'(1)예금승인내역'!C1230)</f>
        <v>중동지점</v>
      </c>
      <c r="R604" s="531" t="str">
        <f aca="false">IF('(1)예금승인내역'!K1230="","",'(1)예금승인내역'!K1230)</f>
        <v>정기예금</v>
      </c>
      <c r="S604" s="548" t="n">
        <f aca="false">IF('(1)예금승인내역'!L1230="","",'(1)예금승인내역'!L1230)</f>
        <v>1</v>
      </c>
      <c r="T604" s="549" t="n">
        <f aca="false">IF('(1)예금승인내역'!AG1230="","",'(1)예금승인내역'!AG1230)</f>
        <v>0.0335</v>
      </c>
      <c r="U604" s="549" t="n">
        <f aca="false">IF('(1)예금승인내역'!X1230="","",'(1)예금승인내역'!X1230)</f>
        <v>0.003048</v>
      </c>
      <c r="V604" s="531" t="n">
        <f aca="false">IF(ISNUMBER(N604),N604-$B$2,"")</f>
        <v>22</v>
      </c>
      <c r="W604" s="531" t="str">
        <f aca="false">IF(AND(ISNUMBER(N604),N604&gt;=$B$2,N604&lt;=$B$2+10),N604*100000+ROW(),"")</f>
        <v/>
      </c>
      <c r="X604" s="531"/>
      <c r="Y604" s="531"/>
      <c r="Z604" s="531"/>
      <c r="AA604" s="531"/>
      <c r="AB604" s="531"/>
      <c r="AC604" s="531"/>
      <c r="AD604" s="531"/>
      <c r="AE604" s="531"/>
      <c r="AF604" s="531"/>
      <c r="AG604" s="531"/>
      <c r="AH604" s="531"/>
      <c r="AI604" s="531"/>
      <c r="AJ604" s="531"/>
      <c r="AK604" s="531"/>
      <c r="AL604" s="531"/>
      <c r="AM604" s="531"/>
      <c r="AN604" s="531"/>
    </row>
    <row r="605" customFormat="false" ht="16.5" hidden="false" customHeight="true" outlineLevel="0" collapsed="false">
      <c r="A605" s="531"/>
      <c r="B605" s="531"/>
      <c r="C605" s="531"/>
      <c r="D605" s="531"/>
      <c r="E605" s="531"/>
      <c r="F605" s="531"/>
      <c r="G605" s="531"/>
      <c r="H605" s="531"/>
      <c r="I605" s="531"/>
      <c r="J605" s="531"/>
      <c r="K605" s="531"/>
      <c r="L605" s="531"/>
      <c r="M605" s="531"/>
      <c r="N605" s="547" t="n">
        <f aca="false">IF('(1)예금승인내역'!H1231="","",'(1)예금승인내역'!H1231)</f>
        <v>46274</v>
      </c>
      <c r="O605" s="547" t="n">
        <f aca="false">IF('(1)예금승인내역'!G1231="","",'(1)예금승인내역'!G1231)</f>
        <v>46182</v>
      </c>
      <c r="P605" s="531" t="str">
        <f aca="false">IF('(1)예금승인내역'!F1231="","",'(1)예금승인내역'!F1231)</f>
        <v>에이치라인해운㈜ </v>
      </c>
      <c r="Q605" s="531" t="str">
        <f aca="false">IF('(1)예금승인내역'!C1231="","",'(1)예금승인내역'!C1231)</f>
        <v>강남영업부</v>
      </c>
      <c r="R605" s="531" t="str">
        <f aca="false">IF('(1)예금승인내역'!K1231="","",'(1)예금승인내역'!K1231)</f>
        <v>정기예금</v>
      </c>
      <c r="S605" s="548" t="n">
        <f aca="false">IF('(1)예금승인내역'!L1231="","",'(1)예금승인내역'!L1231)</f>
        <v>15</v>
      </c>
      <c r="T605" s="549" t="n">
        <f aca="false">IF('(1)예금승인내역'!AG1231="","",'(1)예금승인내역'!AG1231)</f>
        <v>0.035</v>
      </c>
      <c r="U605" s="549" t="n">
        <f aca="false">IF('(1)예금승인내역'!X1231="","",'(1)예금승인내역'!X1231)</f>
        <v>0.0034</v>
      </c>
      <c r="V605" s="531" t="n">
        <f aca="false">IF(ISNUMBER(N605),N605-$B$2,"")</f>
        <v>85</v>
      </c>
      <c r="W605" s="531" t="str">
        <f aca="false">IF(AND(ISNUMBER(N605),N605&gt;=$B$2,N605&lt;=$B$2+10),N605*100000+ROW(),"")</f>
        <v/>
      </c>
      <c r="X605" s="531"/>
      <c r="Y605" s="531"/>
      <c r="Z605" s="531"/>
      <c r="AA605" s="531"/>
      <c r="AB605" s="531"/>
      <c r="AC605" s="531"/>
      <c r="AD605" s="531"/>
      <c r="AE605" s="531"/>
      <c r="AF605" s="531"/>
      <c r="AG605" s="531"/>
      <c r="AH605" s="531"/>
      <c r="AI605" s="531"/>
      <c r="AJ605" s="531"/>
      <c r="AK605" s="531"/>
      <c r="AL605" s="531"/>
      <c r="AM605" s="531"/>
      <c r="AN605" s="531"/>
    </row>
    <row r="606" customFormat="false" ht="16.5" hidden="false" customHeight="true" outlineLevel="0" collapsed="false">
      <c r="A606" s="531"/>
      <c r="B606" s="531"/>
      <c r="C606" s="531"/>
      <c r="D606" s="531"/>
      <c r="E606" s="531"/>
      <c r="F606" s="531"/>
      <c r="G606" s="531"/>
      <c r="H606" s="531"/>
      <c r="I606" s="531"/>
      <c r="J606" s="531"/>
      <c r="K606" s="531"/>
      <c r="L606" s="531"/>
      <c r="M606" s="531"/>
      <c r="N606" s="547" t="n">
        <f aca="false">IF('(1)예금승인내역'!H1232="","",'(1)예금승인내역'!H1232)</f>
        <v>46218</v>
      </c>
      <c r="O606" s="547" t="n">
        <f aca="false">IF('(1)예금승인내역'!G1232="","",'(1)예금승인내역'!G1232)</f>
        <v>46188</v>
      </c>
      <c r="P606" s="531" t="str">
        <f aca="false">IF('(1)예금승인내역'!F1232="","",'(1)예금승인내역'!F1232)</f>
        <v>와이엠에스에이</v>
      </c>
      <c r="Q606" s="531" t="str">
        <f aca="false">IF('(1)예금승인내역'!C1232="","",'(1)예금승인내역'!C1232)</f>
        <v>본점영업부</v>
      </c>
      <c r="R606" s="531" t="str">
        <f aca="false">IF('(1)예금승인내역'!K1232="","",'(1)예금승인내역'!K1232)</f>
        <v>MMDA</v>
      </c>
      <c r="S606" s="548" t="n">
        <f aca="false">IF('(1)예금승인내역'!L1232="","",'(1)예금승인내역'!L1232)</f>
        <v>8.09</v>
      </c>
      <c r="T606" s="549" t="n">
        <f aca="false">IF('(1)예금승인내역'!AG1232="","",'(1)예금승인내역'!AG1232)</f>
        <v>0.032</v>
      </c>
      <c r="U606" s="549" t="n">
        <f aca="false">IF('(1)예금승인내역'!X1232="","",'(1)예금승인내역'!X1232)</f>
        <v>0.003609</v>
      </c>
      <c r="V606" s="531" t="n">
        <f aca="false">IF(ISNUMBER(N606),N606-$B$2,"")</f>
        <v>29</v>
      </c>
      <c r="W606" s="531" t="str">
        <f aca="false">IF(AND(ISNUMBER(N606),N606&gt;=$B$2,N606&lt;=$B$2+10),N606*100000+ROW(),"")</f>
        <v/>
      </c>
      <c r="X606" s="531"/>
      <c r="Y606" s="531"/>
      <c r="Z606" s="531"/>
      <c r="AA606" s="531"/>
      <c r="AB606" s="531"/>
      <c r="AC606" s="531"/>
      <c r="AD606" s="531"/>
      <c r="AE606" s="531"/>
      <c r="AF606" s="531"/>
      <c r="AG606" s="531"/>
      <c r="AH606" s="531"/>
      <c r="AI606" s="531"/>
      <c r="AJ606" s="531"/>
      <c r="AK606" s="531"/>
      <c r="AL606" s="531"/>
      <c r="AM606" s="531"/>
      <c r="AN606" s="531"/>
    </row>
    <row r="607" customFormat="false" ht="16.5" hidden="false" customHeight="true" outlineLevel="0" collapsed="false">
      <c r="A607" s="531"/>
      <c r="B607" s="531"/>
      <c r="C607" s="531"/>
      <c r="D607" s="531"/>
      <c r="E607" s="531"/>
      <c r="F607" s="531"/>
      <c r="G607" s="531"/>
      <c r="H607" s="531"/>
      <c r="I607" s="531"/>
      <c r="J607" s="531"/>
      <c r="K607" s="531"/>
      <c r="L607" s="531"/>
      <c r="M607" s="531"/>
      <c r="N607" s="547" t="n">
        <f aca="false">IF('(1)예금승인내역'!H1233="","",'(1)예금승인내역'!H1233)</f>
        <v>46218</v>
      </c>
      <c r="O607" s="547" t="n">
        <f aca="false">IF('(1)예금승인내역'!G1233="","",'(1)예금승인내역'!G1233)</f>
        <v>46188</v>
      </c>
      <c r="P607" s="531" t="str">
        <f aca="false">IF('(1)예금승인내역'!F1233="","",'(1)예금승인내역'!F1233)</f>
        <v>㈜현대그린푸드</v>
      </c>
      <c r="Q607" s="531" t="str">
        <f aca="false">IF('(1)예금승인내역'!C1233="","",'(1)예금승인내역'!C1233)</f>
        <v>성남영업부</v>
      </c>
      <c r="R607" s="531" t="str">
        <f aca="false">IF('(1)예금승인내역'!K1233="","",'(1)예금승인내역'!K1233)</f>
        <v>MMDA</v>
      </c>
      <c r="S607" s="548" t="n">
        <f aca="false">IF('(1)예금승인내역'!L1233="","",'(1)예금승인내역'!L1233)</f>
        <v>1.43</v>
      </c>
      <c r="T607" s="549" t="n">
        <f aca="false">IF('(1)예금승인내역'!AG1233="","",'(1)예금승인내역'!AG1233)</f>
        <v>0.032</v>
      </c>
      <c r="U607" s="549" t="n">
        <f aca="false">IF('(1)예금승인내역'!X1233="","",'(1)예금승인내역'!X1233)</f>
        <v>0.003609</v>
      </c>
      <c r="V607" s="531" t="n">
        <f aca="false">IF(ISNUMBER(N607),N607-$B$2,"")</f>
        <v>29</v>
      </c>
      <c r="W607" s="531" t="str">
        <f aca="false">IF(AND(ISNUMBER(N607),N607&gt;=$B$2,N607&lt;=$B$2+10),N607*100000+ROW(),"")</f>
        <v/>
      </c>
      <c r="X607" s="531"/>
      <c r="Y607" s="531"/>
      <c r="Z607" s="531"/>
      <c r="AA607" s="531"/>
      <c r="AB607" s="531"/>
      <c r="AC607" s="531"/>
      <c r="AD607" s="531"/>
      <c r="AE607" s="531"/>
      <c r="AF607" s="531"/>
      <c r="AG607" s="531"/>
      <c r="AH607" s="531"/>
      <c r="AI607" s="531"/>
      <c r="AJ607" s="531"/>
      <c r="AK607" s="531"/>
      <c r="AL607" s="531"/>
      <c r="AM607" s="531"/>
      <c r="AN607" s="531"/>
    </row>
    <row r="608" customFormat="false" ht="16.5" hidden="false" customHeight="true" outlineLevel="0" collapsed="false">
      <c r="A608" s="531"/>
      <c r="B608" s="531"/>
      <c r="C608" s="531"/>
      <c r="D608" s="531"/>
      <c r="E608" s="531"/>
      <c r="F608" s="531"/>
      <c r="G608" s="531"/>
      <c r="H608" s="531"/>
      <c r="I608" s="531"/>
      <c r="J608" s="531"/>
      <c r="K608" s="531"/>
      <c r="L608" s="531"/>
      <c r="M608" s="531"/>
      <c r="N608" s="547" t="n">
        <f aca="false">IF('(1)예금승인내역'!H1234="","",'(1)예금승인내역'!H1234)</f>
        <v>46218</v>
      </c>
      <c r="O608" s="547" t="n">
        <f aca="false">IF('(1)예금승인내역'!G1234="","",'(1)예금승인내역'!G1234)</f>
        <v>46188</v>
      </c>
      <c r="P608" s="531" t="str">
        <f aca="false">IF('(1)예금승인내역'!F1234="","",'(1)예금승인내역'!F1234)</f>
        <v>㈜지엠메탈</v>
      </c>
      <c r="Q608" s="531" t="str">
        <f aca="false">IF('(1)예금승인내역'!C1234="","",'(1)예금승인내역'!C1234)</f>
        <v>이현공단영업부</v>
      </c>
      <c r="R608" s="531" t="str">
        <f aca="false">IF('(1)예금승인내역'!K1234="","",'(1)예금승인내역'!K1234)</f>
        <v>MMDA</v>
      </c>
      <c r="S608" s="548" t="n">
        <f aca="false">IF('(1)예금승인내역'!L1234="","",'(1)예금승인내역'!L1234)</f>
        <v>19</v>
      </c>
      <c r="T608" s="549" t="n">
        <f aca="false">IF('(1)예금승인내역'!AG1234="","",'(1)예금승인내역'!AG1234)</f>
        <v>0.032</v>
      </c>
      <c r="U608" s="549" t="n">
        <f aca="false">IF('(1)예금승인내역'!X1234="","",'(1)예금승인내역'!X1234)</f>
        <v>0.003609</v>
      </c>
      <c r="V608" s="531" t="n">
        <f aca="false">IF(ISNUMBER(N608),N608-$B$2,"")</f>
        <v>29</v>
      </c>
      <c r="W608" s="531" t="str">
        <f aca="false">IF(AND(ISNUMBER(N608),N608&gt;=$B$2,N608&lt;=$B$2+10),N608*100000+ROW(),"")</f>
        <v/>
      </c>
      <c r="X608" s="531"/>
      <c r="Y608" s="531"/>
      <c r="Z608" s="531"/>
      <c r="AA608" s="531"/>
      <c r="AB608" s="531"/>
      <c r="AC608" s="531"/>
      <c r="AD608" s="531"/>
      <c r="AE608" s="531"/>
      <c r="AF608" s="531"/>
      <c r="AG608" s="531"/>
      <c r="AH608" s="531"/>
      <c r="AI608" s="531"/>
      <c r="AJ608" s="531"/>
      <c r="AK608" s="531"/>
      <c r="AL608" s="531"/>
      <c r="AM608" s="531"/>
      <c r="AN608" s="531"/>
    </row>
    <row r="609" customFormat="false" ht="16.5" hidden="false" customHeight="true" outlineLevel="0" collapsed="false">
      <c r="A609" s="531"/>
      <c r="B609" s="531"/>
      <c r="C609" s="531"/>
      <c r="D609" s="531"/>
      <c r="E609" s="531"/>
      <c r="F609" s="531"/>
      <c r="G609" s="531"/>
      <c r="H609" s="531"/>
      <c r="I609" s="531"/>
      <c r="J609" s="531"/>
      <c r="K609" s="531"/>
      <c r="L609" s="531"/>
      <c r="M609" s="531"/>
      <c r="N609" s="547" t="n">
        <f aca="false">IF('(1)예금승인내역'!H1235="","",'(1)예금승인내역'!H1235)</f>
        <v>46218</v>
      </c>
      <c r="O609" s="547" t="n">
        <f aca="false">IF('(1)예금승인내역'!G1235="","",'(1)예금승인내역'!G1235)</f>
        <v>46188</v>
      </c>
      <c r="P609" s="531" t="str">
        <f aca="false">IF('(1)예금승인내역'!F1235="","",'(1)예금승인내역'!F1235)</f>
        <v>한국비철㈜</v>
      </c>
      <c r="Q609" s="531" t="str">
        <f aca="false">IF('(1)예금승인내역'!C1235="","",'(1)예금승인내역'!C1235)</f>
        <v>달성공단영업부</v>
      </c>
      <c r="R609" s="531" t="str">
        <f aca="false">IF('(1)예금승인내역'!K1235="","",'(1)예금승인내역'!K1235)</f>
        <v>MMDA</v>
      </c>
      <c r="S609" s="548" t="n">
        <f aca="false">IF('(1)예금승인내역'!L1235="","",'(1)예금승인내역'!L1235)</f>
        <v>1.11</v>
      </c>
      <c r="T609" s="549" t="n">
        <f aca="false">IF('(1)예금승인내역'!AG1235="","",'(1)예금승인내역'!AG1235)</f>
        <v>0.03</v>
      </c>
      <c r="U609" s="549" t="n">
        <f aca="false">IF('(1)예금승인내역'!X1235="","",'(1)예금승인내역'!X1235)</f>
        <v>0.005609</v>
      </c>
      <c r="V609" s="531" t="n">
        <f aca="false">IF(ISNUMBER(N609),N609-$B$2,"")</f>
        <v>29</v>
      </c>
      <c r="W609" s="531" t="str">
        <f aca="false">IF(AND(ISNUMBER(N609),N609&gt;=$B$2,N609&lt;=$B$2+10),N609*100000+ROW(),"")</f>
        <v/>
      </c>
      <c r="X609" s="531"/>
      <c r="Y609" s="531"/>
      <c r="Z609" s="531"/>
      <c r="AA609" s="531"/>
      <c r="AB609" s="531"/>
      <c r="AC609" s="531"/>
      <c r="AD609" s="531"/>
      <c r="AE609" s="531"/>
      <c r="AF609" s="531"/>
      <c r="AG609" s="531"/>
      <c r="AH609" s="531"/>
      <c r="AI609" s="531"/>
      <c r="AJ609" s="531"/>
      <c r="AK609" s="531"/>
      <c r="AL609" s="531"/>
      <c r="AM609" s="531"/>
      <c r="AN609" s="531"/>
    </row>
    <row r="610" customFormat="false" ht="16.5" hidden="false" customHeight="true" outlineLevel="0" collapsed="false">
      <c r="A610" s="531"/>
      <c r="B610" s="531"/>
      <c r="C610" s="531"/>
      <c r="D610" s="531"/>
      <c r="E610" s="531"/>
      <c r="F610" s="531"/>
      <c r="G610" s="531"/>
      <c r="H610" s="531"/>
      <c r="I610" s="531"/>
      <c r="J610" s="531"/>
      <c r="K610" s="531"/>
      <c r="L610" s="531"/>
      <c r="M610" s="531"/>
      <c r="N610" s="531" t="str">
        <f aca="false">IF('(1)예금승인내역'!H1236="","",'(1)예금승인내역'!H1236)</f>
        <v/>
      </c>
      <c r="O610" s="531" t="str">
        <f aca="false">IF('(1)예금승인내역'!G1236="","",'(1)예금승인내역'!G1236)</f>
        <v/>
      </c>
      <c r="P610" s="531" t="str">
        <f aca="false">IF('(1)예금승인내역'!F1236="","",'(1)예금승인내역'!F1236)</f>
        <v/>
      </c>
      <c r="Q610" s="531" t="str">
        <f aca="false">IF('(1)예금승인내역'!C1236="","",'(1)예금승인내역'!C1236)</f>
        <v/>
      </c>
      <c r="R610" s="531" t="str">
        <f aca="false">IF('(1)예금승인내역'!K1236="","",'(1)예금승인내역'!K1236)</f>
        <v/>
      </c>
      <c r="S610" s="531" t="str">
        <f aca="false">IF('(1)예금승인내역'!L1236="","",'(1)예금승인내역'!L1236)</f>
        <v/>
      </c>
      <c r="T610" s="531" t="str">
        <f aca="false">IF('(1)예금승인내역'!AG1236="","",'(1)예금승인내역'!AG1236)</f>
        <v/>
      </c>
      <c r="U610" s="531" t="str">
        <f aca="false">IF('(1)예금승인내역'!X1236="","",'(1)예금승인내역'!X1236)</f>
        <v/>
      </c>
      <c r="V610" s="531" t="str">
        <f aca="false">IF(ISNUMBER(N610),N610-$B$2,"")</f>
        <v/>
      </c>
      <c r="W610" s="531" t="str">
        <f aca="false">IF(AND(ISNUMBER(N610),N610&gt;=$B$2,N610&lt;=$B$2+10),N610*100000+ROW(),"")</f>
        <v/>
      </c>
      <c r="X610" s="531"/>
      <c r="Y610" s="531"/>
      <c r="Z610" s="531"/>
      <c r="AA610" s="531"/>
      <c r="AB610" s="531"/>
      <c r="AC610" s="531"/>
      <c r="AD610" s="531"/>
      <c r="AE610" s="531"/>
      <c r="AF610" s="531"/>
      <c r="AG610" s="531"/>
      <c r="AH610" s="531"/>
      <c r="AI610" s="531"/>
      <c r="AJ610" s="531"/>
      <c r="AK610" s="531"/>
      <c r="AL610" s="531"/>
      <c r="AM610" s="531"/>
      <c r="AN610" s="531"/>
    </row>
    <row r="611" customFormat="false" ht="16.5" hidden="false" customHeight="true" outlineLevel="0" collapsed="false">
      <c r="A611" s="531"/>
      <c r="B611" s="531"/>
      <c r="C611" s="531"/>
      <c r="D611" s="531"/>
      <c r="E611" s="531"/>
      <c r="F611" s="531"/>
      <c r="G611" s="531"/>
      <c r="H611" s="531"/>
      <c r="I611" s="531"/>
      <c r="J611" s="531"/>
      <c r="K611" s="531"/>
      <c r="L611" s="531"/>
      <c r="M611" s="531"/>
      <c r="N611" s="531" t="str">
        <f aca="false">IF('(1)예금승인내역'!H1237="","",'(1)예금승인내역'!H1237)</f>
        <v/>
      </c>
      <c r="O611" s="531" t="str">
        <f aca="false">IF('(1)예금승인내역'!G1237="","",'(1)예금승인내역'!G1237)</f>
        <v/>
      </c>
      <c r="P611" s="531" t="str">
        <f aca="false">IF('(1)예금승인내역'!F1237="","",'(1)예금승인내역'!F1237)</f>
        <v/>
      </c>
      <c r="Q611" s="531" t="str">
        <f aca="false">IF('(1)예금승인내역'!C1237="","",'(1)예금승인내역'!C1237)</f>
        <v/>
      </c>
      <c r="R611" s="531" t="str">
        <f aca="false">IF('(1)예금승인내역'!K1237="","",'(1)예금승인내역'!K1237)</f>
        <v/>
      </c>
      <c r="S611" s="531" t="str">
        <f aca="false">IF('(1)예금승인내역'!L1237="","",'(1)예금승인내역'!L1237)</f>
        <v/>
      </c>
      <c r="T611" s="531" t="str">
        <f aca="false">IF('(1)예금승인내역'!AG1237="","",'(1)예금승인내역'!AG1237)</f>
        <v/>
      </c>
      <c r="U611" s="531" t="str">
        <f aca="false">IF('(1)예금승인내역'!X1237="","",'(1)예금승인내역'!X1237)</f>
        <v/>
      </c>
      <c r="V611" s="531" t="str">
        <f aca="false">IF(ISNUMBER(N611),N611-$B$2,"")</f>
        <v/>
      </c>
      <c r="W611" s="531" t="str">
        <f aca="false">IF(AND(ISNUMBER(N611),N611&gt;=$B$2,N611&lt;=$B$2+10),N611*100000+ROW(),"")</f>
        <v/>
      </c>
      <c r="X611" s="531"/>
      <c r="Y611" s="531"/>
      <c r="Z611" s="531"/>
      <c r="AA611" s="531"/>
      <c r="AB611" s="531"/>
      <c r="AC611" s="531"/>
      <c r="AD611" s="531"/>
      <c r="AE611" s="531"/>
      <c r="AF611" s="531"/>
      <c r="AG611" s="531"/>
      <c r="AH611" s="531"/>
      <c r="AI611" s="531"/>
      <c r="AJ611" s="531"/>
      <c r="AK611" s="531"/>
      <c r="AL611" s="531"/>
      <c r="AM611" s="531"/>
      <c r="AN611" s="531"/>
    </row>
    <row r="612" customFormat="false" ht="16.5" hidden="false" customHeight="true" outlineLevel="0" collapsed="false">
      <c r="A612" s="531"/>
      <c r="B612" s="531"/>
      <c r="C612" s="531"/>
      <c r="D612" s="531"/>
      <c r="E612" s="531"/>
      <c r="F612" s="531"/>
      <c r="G612" s="531"/>
      <c r="H612" s="531"/>
      <c r="I612" s="531"/>
      <c r="J612" s="531"/>
      <c r="K612" s="531"/>
      <c r="L612" s="531"/>
      <c r="M612" s="531"/>
      <c r="N612" s="531" t="str">
        <f aca="false">IF('(1)예금승인내역'!H1238="","",'(1)예금승인내역'!H1238)</f>
        <v/>
      </c>
      <c r="O612" s="531" t="str">
        <f aca="false">IF('(1)예금승인내역'!G1238="","",'(1)예금승인내역'!G1238)</f>
        <v/>
      </c>
      <c r="P612" s="531" t="str">
        <f aca="false">IF('(1)예금승인내역'!F1238="","",'(1)예금승인내역'!F1238)</f>
        <v/>
      </c>
      <c r="Q612" s="531" t="str">
        <f aca="false">IF('(1)예금승인내역'!C1238="","",'(1)예금승인내역'!C1238)</f>
        <v/>
      </c>
      <c r="R612" s="531" t="str">
        <f aca="false">IF('(1)예금승인내역'!K1238="","",'(1)예금승인내역'!K1238)</f>
        <v/>
      </c>
      <c r="S612" s="531" t="str">
        <f aca="false">IF('(1)예금승인내역'!L1238="","",'(1)예금승인내역'!L1238)</f>
        <v/>
      </c>
      <c r="T612" s="531" t="str">
        <f aca="false">IF('(1)예금승인내역'!AG1238="","",'(1)예금승인내역'!AG1238)</f>
        <v/>
      </c>
      <c r="U612" s="531" t="str">
        <f aca="false">IF('(1)예금승인내역'!X1238="","",'(1)예금승인내역'!X1238)</f>
        <v/>
      </c>
      <c r="V612" s="531" t="str">
        <f aca="false">IF(ISNUMBER(N612),N612-$B$2,"")</f>
        <v/>
      </c>
      <c r="W612" s="531" t="str">
        <f aca="false">IF(AND(ISNUMBER(N612),N612&gt;=$B$2,N612&lt;=$B$2+10),N612*100000+ROW(),"")</f>
        <v/>
      </c>
      <c r="X612" s="531"/>
      <c r="Y612" s="531"/>
      <c r="Z612" s="531"/>
      <c r="AA612" s="531"/>
      <c r="AB612" s="531"/>
      <c r="AC612" s="531"/>
      <c r="AD612" s="531"/>
      <c r="AE612" s="531"/>
      <c r="AF612" s="531"/>
      <c r="AG612" s="531"/>
      <c r="AH612" s="531"/>
      <c r="AI612" s="531"/>
      <c r="AJ612" s="531"/>
      <c r="AK612" s="531"/>
      <c r="AL612" s="531"/>
      <c r="AM612" s="531"/>
      <c r="AN612" s="531"/>
    </row>
    <row r="613" customFormat="false" ht="16.5" hidden="false" customHeight="true" outlineLevel="0" collapsed="false">
      <c r="A613" s="531"/>
      <c r="B613" s="531"/>
      <c r="C613" s="531"/>
      <c r="D613" s="531"/>
      <c r="E613" s="531"/>
      <c r="F613" s="531"/>
      <c r="G613" s="531"/>
      <c r="H613" s="531"/>
      <c r="I613" s="531"/>
      <c r="J613" s="531"/>
      <c r="K613" s="531"/>
      <c r="L613" s="531"/>
      <c r="M613" s="531"/>
      <c r="N613" s="531" t="str">
        <f aca="false">IF('(1)예금승인내역'!H1239="","",'(1)예금승인내역'!H1239)</f>
        <v/>
      </c>
      <c r="O613" s="531" t="str">
        <f aca="false">IF('(1)예금승인내역'!G1239="","",'(1)예금승인내역'!G1239)</f>
        <v/>
      </c>
      <c r="P613" s="531" t="str">
        <f aca="false">IF('(1)예금승인내역'!F1239="","",'(1)예금승인내역'!F1239)</f>
        <v/>
      </c>
      <c r="Q613" s="531" t="str">
        <f aca="false">IF('(1)예금승인내역'!C1239="","",'(1)예금승인내역'!C1239)</f>
        <v/>
      </c>
      <c r="R613" s="531" t="str">
        <f aca="false">IF('(1)예금승인내역'!K1239="","",'(1)예금승인내역'!K1239)</f>
        <v/>
      </c>
      <c r="S613" s="531" t="str">
        <f aca="false">IF('(1)예금승인내역'!L1239="","",'(1)예금승인내역'!L1239)</f>
        <v/>
      </c>
      <c r="T613" s="531" t="str">
        <f aca="false">IF('(1)예금승인내역'!AG1239="","",'(1)예금승인내역'!AG1239)</f>
        <v/>
      </c>
      <c r="U613" s="531" t="str">
        <f aca="false">IF('(1)예금승인내역'!X1239="","",'(1)예금승인내역'!X1239)</f>
        <v/>
      </c>
      <c r="V613" s="531" t="str">
        <f aca="false">IF(ISNUMBER(N613),N613-$B$2,"")</f>
        <v/>
      </c>
      <c r="W613" s="531" t="str">
        <f aca="false">IF(AND(ISNUMBER(N613),N613&gt;=$B$2,N613&lt;=$B$2+10),N613*100000+ROW(),"")</f>
        <v/>
      </c>
      <c r="X613" s="531"/>
      <c r="Y613" s="531"/>
      <c r="Z613" s="531"/>
      <c r="AA613" s="531"/>
      <c r="AB613" s="531"/>
      <c r="AC613" s="531"/>
      <c r="AD613" s="531"/>
      <c r="AE613" s="531"/>
      <c r="AF613" s="531"/>
      <c r="AG613" s="531"/>
      <c r="AH613" s="531"/>
      <c r="AI613" s="531"/>
      <c r="AJ613" s="531"/>
      <c r="AK613" s="531"/>
      <c r="AL613" s="531"/>
      <c r="AM613" s="531"/>
      <c r="AN613" s="531"/>
    </row>
    <row r="614" customFormat="false" ht="16.5" hidden="false" customHeight="true" outlineLevel="0" collapsed="false">
      <c r="A614" s="531"/>
      <c r="B614" s="531"/>
      <c r="C614" s="531"/>
      <c r="D614" s="531"/>
      <c r="E614" s="531"/>
      <c r="F614" s="531"/>
      <c r="G614" s="531"/>
      <c r="H614" s="531"/>
      <c r="I614" s="531"/>
      <c r="J614" s="531"/>
      <c r="K614" s="531"/>
      <c r="L614" s="531"/>
      <c r="M614" s="531"/>
      <c r="N614" s="531" t="str">
        <f aca="false">IF('(1)예금승인내역'!H1240="","",'(1)예금승인내역'!H1240)</f>
        <v/>
      </c>
      <c r="O614" s="531" t="str">
        <f aca="false">IF('(1)예금승인내역'!G1240="","",'(1)예금승인내역'!G1240)</f>
        <v/>
      </c>
      <c r="P614" s="531" t="str">
        <f aca="false">IF('(1)예금승인내역'!F1240="","",'(1)예금승인내역'!F1240)</f>
        <v/>
      </c>
      <c r="Q614" s="531" t="str">
        <f aca="false">IF('(1)예금승인내역'!C1240="","",'(1)예금승인내역'!C1240)</f>
        <v/>
      </c>
      <c r="R614" s="531" t="str">
        <f aca="false">IF('(1)예금승인내역'!K1240="","",'(1)예금승인내역'!K1240)</f>
        <v/>
      </c>
      <c r="S614" s="531" t="str">
        <f aca="false">IF('(1)예금승인내역'!L1240="","",'(1)예금승인내역'!L1240)</f>
        <v/>
      </c>
      <c r="T614" s="531" t="str">
        <f aca="false">IF('(1)예금승인내역'!AG1240="","",'(1)예금승인내역'!AG1240)</f>
        <v/>
      </c>
      <c r="U614" s="531" t="str">
        <f aca="false">IF('(1)예금승인내역'!X1240="","",'(1)예금승인내역'!X1240)</f>
        <v/>
      </c>
      <c r="V614" s="531" t="str">
        <f aca="false">IF(ISNUMBER(N614),N614-$B$2,"")</f>
        <v/>
      </c>
      <c r="W614" s="531" t="str">
        <f aca="false">IF(AND(ISNUMBER(N614),N614&gt;=$B$2,N614&lt;=$B$2+10),N614*100000+ROW(),"")</f>
        <v/>
      </c>
      <c r="X614" s="531"/>
      <c r="Y614" s="531"/>
      <c r="Z614" s="531"/>
      <c r="AA614" s="531"/>
      <c r="AB614" s="531"/>
      <c r="AC614" s="531"/>
      <c r="AD614" s="531"/>
      <c r="AE614" s="531"/>
      <c r="AF614" s="531"/>
      <c r="AG614" s="531"/>
      <c r="AH614" s="531"/>
      <c r="AI614" s="531"/>
      <c r="AJ614" s="531"/>
      <c r="AK614" s="531"/>
      <c r="AL614" s="531"/>
      <c r="AM614" s="531"/>
      <c r="AN614" s="531"/>
    </row>
    <row r="615" customFormat="false" ht="16.5" hidden="false" customHeight="true" outlineLevel="0" collapsed="false">
      <c r="A615" s="531"/>
      <c r="B615" s="531"/>
      <c r="C615" s="531"/>
      <c r="D615" s="531"/>
      <c r="E615" s="531"/>
      <c r="F615" s="531"/>
      <c r="G615" s="531"/>
      <c r="H615" s="531"/>
      <c r="I615" s="531"/>
      <c r="J615" s="531"/>
      <c r="K615" s="531"/>
      <c r="L615" s="531"/>
      <c r="M615" s="531"/>
      <c r="N615" s="531" t="str">
        <f aca="false">IF('(1)예금승인내역'!H1241="","",'(1)예금승인내역'!H1241)</f>
        <v/>
      </c>
      <c r="O615" s="531" t="str">
        <f aca="false">IF('(1)예금승인내역'!G1241="","",'(1)예금승인내역'!G1241)</f>
        <v/>
      </c>
      <c r="P615" s="531" t="str">
        <f aca="false">IF('(1)예금승인내역'!F1241="","",'(1)예금승인내역'!F1241)</f>
        <v/>
      </c>
      <c r="Q615" s="531" t="str">
        <f aca="false">IF('(1)예금승인내역'!C1241="","",'(1)예금승인내역'!C1241)</f>
        <v/>
      </c>
      <c r="R615" s="531" t="str">
        <f aca="false">IF('(1)예금승인내역'!K1241="","",'(1)예금승인내역'!K1241)</f>
        <v/>
      </c>
      <c r="S615" s="531" t="str">
        <f aca="false">IF('(1)예금승인내역'!L1241="","",'(1)예금승인내역'!L1241)</f>
        <v/>
      </c>
      <c r="T615" s="531" t="str">
        <f aca="false">IF('(1)예금승인내역'!AG1241="","",'(1)예금승인내역'!AG1241)</f>
        <v/>
      </c>
      <c r="U615" s="531" t="str">
        <f aca="false">IF('(1)예금승인내역'!X1241="","",'(1)예금승인내역'!X1241)</f>
        <v/>
      </c>
      <c r="V615" s="531" t="str">
        <f aca="false">IF(ISNUMBER(N615),N615-$B$2,"")</f>
        <v/>
      </c>
      <c r="W615" s="531" t="str">
        <f aca="false">IF(AND(ISNUMBER(N615),N615&gt;=$B$2,N615&lt;=$B$2+10),N615*100000+ROW(),"")</f>
        <v/>
      </c>
      <c r="X615" s="531"/>
      <c r="Y615" s="531"/>
      <c r="Z615" s="531"/>
      <c r="AA615" s="531"/>
      <c r="AB615" s="531"/>
      <c r="AC615" s="531"/>
      <c r="AD615" s="531"/>
      <c r="AE615" s="531"/>
      <c r="AF615" s="531"/>
      <c r="AG615" s="531"/>
      <c r="AH615" s="531"/>
      <c r="AI615" s="531"/>
      <c r="AJ615" s="531"/>
      <c r="AK615" s="531"/>
      <c r="AL615" s="531"/>
      <c r="AM615" s="531"/>
      <c r="AN615" s="531"/>
    </row>
    <row r="616" customFormat="false" ht="16.5" hidden="false" customHeight="true" outlineLevel="0" collapsed="false">
      <c r="A616" s="531"/>
      <c r="B616" s="531"/>
      <c r="C616" s="531"/>
      <c r="D616" s="531"/>
      <c r="E616" s="531"/>
      <c r="F616" s="531"/>
      <c r="G616" s="531"/>
      <c r="H616" s="531"/>
      <c r="I616" s="531"/>
      <c r="J616" s="531"/>
      <c r="K616" s="531"/>
      <c r="L616" s="531"/>
      <c r="M616" s="531"/>
      <c r="N616" s="531" t="str">
        <f aca="false">IF('(1)예금승인내역'!H1242="","",'(1)예금승인내역'!H1242)</f>
        <v/>
      </c>
      <c r="O616" s="531" t="str">
        <f aca="false">IF('(1)예금승인내역'!G1242="","",'(1)예금승인내역'!G1242)</f>
        <v/>
      </c>
      <c r="P616" s="531" t="str">
        <f aca="false">IF('(1)예금승인내역'!F1242="","",'(1)예금승인내역'!F1242)</f>
        <v/>
      </c>
      <c r="Q616" s="531" t="str">
        <f aca="false">IF('(1)예금승인내역'!C1242="","",'(1)예금승인내역'!C1242)</f>
        <v/>
      </c>
      <c r="R616" s="531" t="str">
        <f aca="false">IF('(1)예금승인내역'!K1242="","",'(1)예금승인내역'!K1242)</f>
        <v/>
      </c>
      <c r="S616" s="531" t="str">
        <f aca="false">IF('(1)예금승인내역'!L1242="","",'(1)예금승인내역'!L1242)</f>
        <v/>
      </c>
      <c r="T616" s="531" t="str">
        <f aca="false">IF('(1)예금승인내역'!AG1242="","",'(1)예금승인내역'!AG1242)</f>
        <v/>
      </c>
      <c r="U616" s="531" t="str">
        <f aca="false">IF('(1)예금승인내역'!X1242="","",'(1)예금승인내역'!X1242)</f>
        <v/>
      </c>
      <c r="V616" s="531" t="str">
        <f aca="false">IF(ISNUMBER(N616),N616-$B$2,"")</f>
        <v/>
      </c>
      <c r="W616" s="531" t="str">
        <f aca="false">IF(AND(ISNUMBER(N616),N616&gt;=$B$2,N616&lt;=$B$2+10),N616*100000+ROW(),"")</f>
        <v/>
      </c>
      <c r="X616" s="531"/>
      <c r="Y616" s="531"/>
      <c r="Z616" s="531"/>
      <c r="AA616" s="531"/>
      <c r="AB616" s="531"/>
      <c r="AC616" s="531"/>
      <c r="AD616" s="531"/>
      <c r="AE616" s="531"/>
      <c r="AF616" s="531"/>
      <c r="AG616" s="531"/>
      <c r="AH616" s="531"/>
      <c r="AI616" s="531"/>
      <c r="AJ616" s="531"/>
      <c r="AK616" s="531"/>
      <c r="AL616" s="531"/>
      <c r="AM616" s="531"/>
      <c r="AN616" s="531"/>
    </row>
    <row r="617" customFormat="false" ht="16.5" hidden="false" customHeight="true" outlineLevel="0" collapsed="false">
      <c r="A617" s="531"/>
      <c r="B617" s="531"/>
      <c r="C617" s="531"/>
      <c r="D617" s="531"/>
      <c r="E617" s="531"/>
      <c r="F617" s="531"/>
      <c r="G617" s="531"/>
      <c r="H617" s="531"/>
      <c r="I617" s="531"/>
      <c r="J617" s="531"/>
      <c r="K617" s="531"/>
      <c r="L617" s="531"/>
      <c r="M617" s="531"/>
      <c r="N617" s="531" t="str">
        <f aca="false">IF('(1)예금승인내역'!H1243="","",'(1)예금승인내역'!H1243)</f>
        <v/>
      </c>
      <c r="O617" s="531" t="str">
        <f aca="false">IF('(1)예금승인내역'!G1243="","",'(1)예금승인내역'!G1243)</f>
        <v/>
      </c>
      <c r="P617" s="531" t="str">
        <f aca="false">IF('(1)예금승인내역'!F1243="","",'(1)예금승인내역'!F1243)</f>
        <v/>
      </c>
      <c r="Q617" s="531" t="str">
        <f aca="false">IF('(1)예금승인내역'!C1243="","",'(1)예금승인내역'!C1243)</f>
        <v/>
      </c>
      <c r="R617" s="531" t="str">
        <f aca="false">IF('(1)예금승인내역'!K1243="","",'(1)예금승인내역'!K1243)</f>
        <v/>
      </c>
      <c r="S617" s="531" t="str">
        <f aca="false">IF('(1)예금승인내역'!L1243="","",'(1)예금승인내역'!L1243)</f>
        <v/>
      </c>
      <c r="T617" s="531" t="str">
        <f aca="false">IF('(1)예금승인내역'!AG1243="","",'(1)예금승인내역'!AG1243)</f>
        <v/>
      </c>
      <c r="U617" s="531" t="str">
        <f aca="false">IF('(1)예금승인내역'!X1243="","",'(1)예금승인내역'!X1243)</f>
        <v/>
      </c>
      <c r="V617" s="531" t="str">
        <f aca="false">IF(ISNUMBER(N617),N617-$B$2,"")</f>
        <v/>
      </c>
      <c r="W617" s="531" t="str">
        <f aca="false">IF(AND(ISNUMBER(N617),N617&gt;=$B$2,N617&lt;=$B$2+10),N617*100000+ROW(),"")</f>
        <v/>
      </c>
      <c r="X617" s="531"/>
      <c r="Y617" s="531"/>
      <c r="Z617" s="531"/>
      <c r="AA617" s="531"/>
      <c r="AB617" s="531"/>
      <c r="AC617" s="531"/>
      <c r="AD617" s="531"/>
      <c r="AE617" s="531"/>
      <c r="AF617" s="531"/>
      <c r="AG617" s="531"/>
      <c r="AH617" s="531"/>
      <c r="AI617" s="531"/>
      <c r="AJ617" s="531"/>
      <c r="AK617" s="531"/>
      <c r="AL617" s="531"/>
      <c r="AM617" s="531"/>
      <c r="AN617" s="531"/>
    </row>
    <row r="618" customFormat="false" ht="16.5" hidden="false" customHeight="true" outlineLevel="0" collapsed="false">
      <c r="A618" s="531"/>
      <c r="B618" s="531"/>
      <c r="C618" s="531"/>
      <c r="D618" s="531"/>
      <c r="E618" s="531"/>
      <c r="F618" s="531"/>
      <c r="G618" s="531"/>
      <c r="H618" s="531"/>
      <c r="I618" s="531"/>
      <c r="J618" s="531"/>
      <c r="K618" s="531"/>
      <c r="L618" s="531"/>
      <c r="M618" s="531"/>
      <c r="N618" s="531" t="str">
        <f aca="false">IF('(1)예금승인내역'!H1244="","",'(1)예금승인내역'!H1244)</f>
        <v/>
      </c>
      <c r="O618" s="531" t="str">
        <f aca="false">IF('(1)예금승인내역'!G1244="","",'(1)예금승인내역'!G1244)</f>
        <v/>
      </c>
      <c r="P618" s="531" t="str">
        <f aca="false">IF('(1)예금승인내역'!F1244="","",'(1)예금승인내역'!F1244)</f>
        <v/>
      </c>
      <c r="Q618" s="531" t="str">
        <f aca="false">IF('(1)예금승인내역'!C1244="","",'(1)예금승인내역'!C1244)</f>
        <v/>
      </c>
      <c r="R618" s="531" t="str">
        <f aca="false">IF('(1)예금승인내역'!K1244="","",'(1)예금승인내역'!K1244)</f>
        <v/>
      </c>
      <c r="S618" s="531" t="str">
        <f aca="false">IF('(1)예금승인내역'!L1244="","",'(1)예금승인내역'!L1244)</f>
        <v/>
      </c>
      <c r="T618" s="531" t="str">
        <f aca="false">IF('(1)예금승인내역'!AG1244="","",'(1)예금승인내역'!AG1244)</f>
        <v/>
      </c>
      <c r="U618" s="531" t="str">
        <f aca="false">IF('(1)예금승인내역'!X1244="","",'(1)예금승인내역'!X1244)</f>
        <v/>
      </c>
      <c r="V618" s="531" t="str">
        <f aca="false">IF(ISNUMBER(N618),N618-$B$2,"")</f>
        <v/>
      </c>
      <c r="W618" s="531" t="str">
        <f aca="false">IF(AND(ISNUMBER(N618),N618&gt;=$B$2,N618&lt;=$B$2+10),N618*100000+ROW(),"")</f>
        <v/>
      </c>
      <c r="X618" s="531"/>
      <c r="Y618" s="531"/>
      <c r="Z618" s="531"/>
      <c r="AA618" s="531"/>
      <c r="AB618" s="531"/>
      <c r="AC618" s="531"/>
      <c r="AD618" s="531"/>
      <c r="AE618" s="531"/>
      <c r="AF618" s="531"/>
      <c r="AG618" s="531"/>
      <c r="AH618" s="531"/>
      <c r="AI618" s="531"/>
      <c r="AJ618" s="531"/>
      <c r="AK618" s="531"/>
      <c r="AL618" s="531"/>
      <c r="AM618" s="531"/>
      <c r="AN618" s="531"/>
    </row>
    <row r="619" customFormat="false" ht="16.5" hidden="false" customHeight="true" outlineLevel="0" collapsed="false">
      <c r="A619" s="531"/>
      <c r="B619" s="531"/>
      <c r="C619" s="531"/>
      <c r="D619" s="531"/>
      <c r="E619" s="531"/>
      <c r="F619" s="531"/>
      <c r="G619" s="531"/>
      <c r="H619" s="531"/>
      <c r="I619" s="531"/>
      <c r="J619" s="531"/>
      <c r="K619" s="531"/>
      <c r="L619" s="531"/>
      <c r="M619" s="531"/>
      <c r="N619" s="531" t="str">
        <f aca="false">IF('(1)예금승인내역'!H1245="","",'(1)예금승인내역'!H1245)</f>
        <v/>
      </c>
      <c r="O619" s="531" t="str">
        <f aca="false">IF('(1)예금승인내역'!G1245="","",'(1)예금승인내역'!G1245)</f>
        <v/>
      </c>
      <c r="P619" s="531" t="str">
        <f aca="false">IF('(1)예금승인내역'!F1245="","",'(1)예금승인내역'!F1245)</f>
        <v/>
      </c>
      <c r="Q619" s="531" t="str">
        <f aca="false">IF('(1)예금승인내역'!C1245="","",'(1)예금승인내역'!C1245)</f>
        <v/>
      </c>
      <c r="R619" s="531" t="str">
        <f aca="false">IF('(1)예금승인내역'!K1245="","",'(1)예금승인내역'!K1245)</f>
        <v/>
      </c>
      <c r="S619" s="531" t="str">
        <f aca="false">IF('(1)예금승인내역'!L1245="","",'(1)예금승인내역'!L1245)</f>
        <v/>
      </c>
      <c r="T619" s="531" t="str">
        <f aca="false">IF('(1)예금승인내역'!AG1245="","",'(1)예금승인내역'!AG1245)</f>
        <v/>
      </c>
      <c r="U619" s="531" t="str">
        <f aca="false">IF('(1)예금승인내역'!X1245="","",'(1)예금승인내역'!X1245)</f>
        <v/>
      </c>
      <c r="V619" s="531" t="str">
        <f aca="false">IF(ISNUMBER(N619),N619-$B$2,"")</f>
        <v/>
      </c>
      <c r="W619" s="531" t="str">
        <f aca="false">IF(AND(ISNUMBER(N619),N619&gt;=$B$2,N619&lt;=$B$2+10),N619*100000+ROW(),"")</f>
        <v/>
      </c>
      <c r="X619" s="531"/>
      <c r="Y619" s="531"/>
      <c r="Z619" s="531"/>
      <c r="AA619" s="531"/>
      <c r="AB619" s="531"/>
      <c r="AC619" s="531"/>
      <c r="AD619" s="531"/>
      <c r="AE619" s="531"/>
      <c r="AF619" s="531"/>
      <c r="AG619" s="531"/>
      <c r="AH619" s="531"/>
      <c r="AI619" s="531"/>
      <c r="AJ619" s="531"/>
      <c r="AK619" s="531"/>
      <c r="AL619" s="531"/>
      <c r="AM619" s="531"/>
      <c r="AN619" s="531"/>
    </row>
    <row r="620" customFormat="false" ht="16.5" hidden="false" customHeight="true" outlineLevel="0" collapsed="false">
      <c r="A620" s="531"/>
      <c r="B620" s="531"/>
      <c r="C620" s="531"/>
      <c r="D620" s="531"/>
      <c r="E620" s="531"/>
      <c r="F620" s="531"/>
      <c r="G620" s="531"/>
      <c r="H620" s="531"/>
      <c r="I620" s="531"/>
      <c r="J620" s="531"/>
      <c r="K620" s="531"/>
      <c r="L620" s="531"/>
      <c r="M620" s="531"/>
      <c r="N620" s="531" t="str">
        <f aca="false">IF('(1)예금승인내역'!H1246="","",'(1)예금승인내역'!H1246)</f>
        <v/>
      </c>
      <c r="O620" s="531" t="str">
        <f aca="false">IF('(1)예금승인내역'!G1246="","",'(1)예금승인내역'!G1246)</f>
        <v/>
      </c>
      <c r="P620" s="531" t="str">
        <f aca="false">IF('(1)예금승인내역'!F1246="","",'(1)예금승인내역'!F1246)</f>
        <v/>
      </c>
      <c r="Q620" s="531" t="str">
        <f aca="false">IF('(1)예금승인내역'!C1246="","",'(1)예금승인내역'!C1246)</f>
        <v/>
      </c>
      <c r="R620" s="531" t="str">
        <f aca="false">IF('(1)예금승인내역'!K1246="","",'(1)예금승인내역'!K1246)</f>
        <v/>
      </c>
      <c r="S620" s="531" t="str">
        <f aca="false">IF('(1)예금승인내역'!L1246="","",'(1)예금승인내역'!L1246)</f>
        <v/>
      </c>
      <c r="T620" s="531" t="str">
        <f aca="false">IF('(1)예금승인내역'!AG1246="","",'(1)예금승인내역'!AG1246)</f>
        <v/>
      </c>
      <c r="U620" s="531" t="str">
        <f aca="false">IF('(1)예금승인내역'!X1246="","",'(1)예금승인내역'!X1246)</f>
        <v/>
      </c>
      <c r="V620" s="531" t="str">
        <f aca="false">IF(ISNUMBER(N620),N620-$B$2,"")</f>
        <v/>
      </c>
      <c r="W620" s="531" t="str">
        <f aca="false">IF(AND(ISNUMBER(N620),N620&gt;=$B$2,N620&lt;=$B$2+10),N620*100000+ROW(),"")</f>
        <v/>
      </c>
      <c r="X620" s="531"/>
      <c r="Y620" s="531"/>
      <c r="Z620" s="531"/>
      <c r="AA620" s="531"/>
      <c r="AB620" s="531"/>
      <c r="AC620" s="531"/>
      <c r="AD620" s="531"/>
      <c r="AE620" s="531"/>
      <c r="AF620" s="531"/>
      <c r="AG620" s="531"/>
      <c r="AH620" s="531"/>
      <c r="AI620" s="531"/>
      <c r="AJ620" s="531"/>
      <c r="AK620" s="531"/>
      <c r="AL620" s="531"/>
      <c r="AM620" s="531"/>
      <c r="AN620" s="531"/>
    </row>
    <row r="621" customFormat="false" ht="16.5" hidden="false" customHeight="true" outlineLevel="0" collapsed="false">
      <c r="A621" s="531"/>
      <c r="B621" s="531"/>
      <c r="C621" s="531"/>
      <c r="D621" s="531"/>
      <c r="E621" s="531"/>
      <c r="F621" s="531"/>
      <c r="G621" s="531"/>
      <c r="H621" s="531"/>
      <c r="I621" s="531"/>
      <c r="J621" s="531"/>
      <c r="K621" s="531"/>
      <c r="L621" s="531"/>
      <c r="M621" s="531"/>
      <c r="N621" s="531" t="str">
        <f aca="false">IF('(1)예금승인내역'!H1247="","",'(1)예금승인내역'!H1247)</f>
        <v/>
      </c>
      <c r="O621" s="531" t="str">
        <f aca="false">IF('(1)예금승인내역'!G1247="","",'(1)예금승인내역'!G1247)</f>
        <v/>
      </c>
      <c r="P621" s="531" t="str">
        <f aca="false">IF('(1)예금승인내역'!F1247="","",'(1)예금승인내역'!F1247)</f>
        <v/>
      </c>
      <c r="Q621" s="531" t="str">
        <f aca="false">IF('(1)예금승인내역'!C1247="","",'(1)예금승인내역'!C1247)</f>
        <v/>
      </c>
      <c r="R621" s="531" t="str">
        <f aca="false">IF('(1)예금승인내역'!K1247="","",'(1)예금승인내역'!K1247)</f>
        <v/>
      </c>
      <c r="S621" s="531" t="str">
        <f aca="false">IF('(1)예금승인내역'!L1247="","",'(1)예금승인내역'!L1247)</f>
        <v/>
      </c>
      <c r="T621" s="531" t="str">
        <f aca="false">IF('(1)예금승인내역'!AG1247="","",'(1)예금승인내역'!AG1247)</f>
        <v/>
      </c>
      <c r="U621" s="531" t="str">
        <f aca="false">IF('(1)예금승인내역'!X1247="","",'(1)예금승인내역'!X1247)</f>
        <v/>
      </c>
      <c r="V621" s="531" t="str">
        <f aca="false">IF(ISNUMBER(N621),N621-$B$2,"")</f>
        <v/>
      </c>
      <c r="W621" s="531" t="str">
        <f aca="false">IF(AND(ISNUMBER(N621),N621&gt;=$B$2,N621&lt;=$B$2+10),N621*100000+ROW(),"")</f>
        <v/>
      </c>
      <c r="X621" s="531"/>
      <c r="Y621" s="531"/>
      <c r="Z621" s="531"/>
      <c r="AA621" s="531"/>
      <c r="AB621" s="531"/>
      <c r="AC621" s="531"/>
      <c r="AD621" s="531"/>
      <c r="AE621" s="531"/>
      <c r="AF621" s="531"/>
      <c r="AG621" s="531"/>
      <c r="AH621" s="531"/>
      <c r="AI621" s="531"/>
      <c r="AJ621" s="531"/>
      <c r="AK621" s="531"/>
      <c r="AL621" s="531"/>
      <c r="AM621" s="531"/>
      <c r="AN621" s="531"/>
    </row>
    <row r="622" customFormat="false" ht="16.5" hidden="false" customHeight="true" outlineLevel="0" collapsed="false">
      <c r="A622" s="531"/>
      <c r="B622" s="531"/>
      <c r="C622" s="531"/>
      <c r="D622" s="531"/>
      <c r="E622" s="531"/>
      <c r="F622" s="531"/>
      <c r="G622" s="531"/>
      <c r="H622" s="531"/>
      <c r="I622" s="531"/>
      <c r="J622" s="531"/>
      <c r="K622" s="531"/>
      <c r="L622" s="531"/>
      <c r="M622" s="531"/>
      <c r="N622" s="531" t="str">
        <f aca="false">IF('(1)예금승인내역'!H1248="","",'(1)예금승인내역'!H1248)</f>
        <v/>
      </c>
      <c r="O622" s="531" t="str">
        <f aca="false">IF('(1)예금승인내역'!G1248="","",'(1)예금승인내역'!G1248)</f>
        <v/>
      </c>
      <c r="P622" s="531" t="str">
        <f aca="false">IF('(1)예금승인내역'!F1248="","",'(1)예금승인내역'!F1248)</f>
        <v/>
      </c>
      <c r="Q622" s="531" t="str">
        <f aca="false">IF('(1)예금승인내역'!C1248="","",'(1)예금승인내역'!C1248)</f>
        <v/>
      </c>
      <c r="R622" s="531" t="str">
        <f aca="false">IF('(1)예금승인내역'!K1248="","",'(1)예금승인내역'!K1248)</f>
        <v/>
      </c>
      <c r="S622" s="531" t="str">
        <f aca="false">IF('(1)예금승인내역'!L1248="","",'(1)예금승인내역'!L1248)</f>
        <v/>
      </c>
      <c r="T622" s="531" t="str">
        <f aca="false">IF('(1)예금승인내역'!AG1248="","",'(1)예금승인내역'!AG1248)</f>
        <v/>
      </c>
      <c r="U622" s="531" t="str">
        <f aca="false">IF('(1)예금승인내역'!X1248="","",'(1)예금승인내역'!X1248)</f>
        <v/>
      </c>
      <c r="V622" s="531" t="str">
        <f aca="false">IF(ISNUMBER(N622),N622-$B$2,"")</f>
        <v/>
      </c>
      <c r="W622" s="531" t="str">
        <f aca="false">IF(AND(ISNUMBER(N622),N622&gt;=$B$2,N622&lt;=$B$2+10),N622*100000+ROW(),"")</f>
        <v/>
      </c>
      <c r="X622" s="531"/>
      <c r="Y622" s="531"/>
      <c r="Z622" s="531"/>
      <c r="AA622" s="531"/>
      <c r="AB622" s="531"/>
      <c r="AC622" s="531"/>
      <c r="AD622" s="531"/>
      <c r="AE622" s="531"/>
      <c r="AF622" s="531"/>
      <c r="AG622" s="531"/>
      <c r="AH622" s="531"/>
      <c r="AI622" s="531"/>
      <c r="AJ622" s="531"/>
      <c r="AK622" s="531"/>
      <c r="AL622" s="531"/>
      <c r="AM622" s="531"/>
      <c r="AN622" s="531"/>
    </row>
    <row r="623" customFormat="false" ht="16.5" hidden="false" customHeight="true" outlineLevel="0" collapsed="false">
      <c r="A623" s="531"/>
      <c r="B623" s="531"/>
      <c r="C623" s="531"/>
      <c r="D623" s="531"/>
      <c r="E623" s="531"/>
      <c r="F623" s="531"/>
      <c r="G623" s="531"/>
      <c r="H623" s="531"/>
      <c r="I623" s="531"/>
      <c r="J623" s="531"/>
      <c r="K623" s="531"/>
      <c r="L623" s="531"/>
      <c r="M623" s="531"/>
      <c r="N623" s="531" t="str">
        <f aca="false">IF('(1)예금승인내역'!H1249="","",'(1)예금승인내역'!H1249)</f>
        <v/>
      </c>
      <c r="O623" s="531" t="str">
        <f aca="false">IF('(1)예금승인내역'!G1249="","",'(1)예금승인내역'!G1249)</f>
        <v/>
      </c>
      <c r="P623" s="531" t="str">
        <f aca="false">IF('(1)예금승인내역'!F1249="","",'(1)예금승인내역'!F1249)</f>
        <v/>
      </c>
      <c r="Q623" s="531" t="str">
        <f aca="false">IF('(1)예금승인내역'!C1249="","",'(1)예금승인내역'!C1249)</f>
        <v/>
      </c>
      <c r="R623" s="531" t="str">
        <f aca="false">IF('(1)예금승인내역'!K1249="","",'(1)예금승인내역'!K1249)</f>
        <v/>
      </c>
      <c r="S623" s="531" t="str">
        <f aca="false">IF('(1)예금승인내역'!L1249="","",'(1)예금승인내역'!L1249)</f>
        <v/>
      </c>
      <c r="T623" s="531" t="str">
        <f aca="false">IF('(1)예금승인내역'!AG1249="","",'(1)예금승인내역'!AG1249)</f>
        <v/>
      </c>
      <c r="U623" s="531" t="str">
        <f aca="false">IF('(1)예금승인내역'!X1249="","",'(1)예금승인내역'!X1249)</f>
        <v/>
      </c>
      <c r="V623" s="531" t="str">
        <f aca="false">IF(ISNUMBER(N623),N623-$B$2,"")</f>
        <v/>
      </c>
      <c r="W623" s="531" t="str">
        <f aca="false">IF(AND(ISNUMBER(N623),N623&gt;=$B$2,N623&lt;=$B$2+10),N623*100000+ROW(),"")</f>
        <v/>
      </c>
      <c r="X623" s="531"/>
      <c r="Y623" s="531"/>
      <c r="Z623" s="531"/>
      <c r="AA623" s="531"/>
      <c r="AB623" s="531"/>
      <c r="AC623" s="531"/>
      <c r="AD623" s="531"/>
      <c r="AE623" s="531"/>
      <c r="AF623" s="531"/>
      <c r="AG623" s="531"/>
      <c r="AH623" s="531"/>
      <c r="AI623" s="531"/>
      <c r="AJ623" s="531"/>
      <c r="AK623" s="531"/>
      <c r="AL623" s="531"/>
      <c r="AM623" s="531"/>
      <c r="AN623" s="531"/>
    </row>
    <row r="624" customFormat="false" ht="16.5" hidden="false" customHeight="true" outlineLevel="0" collapsed="false">
      <c r="A624" s="531"/>
      <c r="B624" s="531"/>
      <c r="C624" s="531"/>
      <c r="D624" s="531"/>
      <c r="E624" s="531"/>
      <c r="F624" s="531"/>
      <c r="G624" s="531"/>
      <c r="H624" s="531"/>
      <c r="I624" s="531"/>
      <c r="J624" s="531"/>
      <c r="K624" s="531"/>
      <c r="L624" s="531"/>
      <c r="M624" s="531"/>
      <c r="N624" s="531" t="str">
        <f aca="false">IF('(1)예금승인내역'!H1250="","",'(1)예금승인내역'!H1250)</f>
        <v/>
      </c>
      <c r="O624" s="531" t="str">
        <f aca="false">IF('(1)예금승인내역'!G1250="","",'(1)예금승인내역'!G1250)</f>
        <v/>
      </c>
      <c r="P624" s="531" t="str">
        <f aca="false">IF('(1)예금승인내역'!F1250="","",'(1)예금승인내역'!F1250)</f>
        <v/>
      </c>
      <c r="Q624" s="531" t="str">
        <f aca="false">IF('(1)예금승인내역'!C1250="","",'(1)예금승인내역'!C1250)</f>
        <v/>
      </c>
      <c r="R624" s="531" t="str">
        <f aca="false">IF('(1)예금승인내역'!K1250="","",'(1)예금승인내역'!K1250)</f>
        <v/>
      </c>
      <c r="S624" s="531" t="str">
        <f aca="false">IF('(1)예금승인내역'!L1250="","",'(1)예금승인내역'!L1250)</f>
        <v/>
      </c>
      <c r="T624" s="531" t="str">
        <f aca="false">IF('(1)예금승인내역'!AG1250="","",'(1)예금승인내역'!AG1250)</f>
        <v/>
      </c>
      <c r="U624" s="531" t="str">
        <f aca="false">IF('(1)예금승인내역'!X1250="","",'(1)예금승인내역'!X1250)</f>
        <v/>
      </c>
      <c r="V624" s="531" t="str">
        <f aca="false">IF(ISNUMBER(N624),N624-$B$2,"")</f>
        <v/>
      </c>
      <c r="W624" s="531" t="str">
        <f aca="false">IF(AND(ISNUMBER(N624),N624&gt;=$B$2,N624&lt;=$B$2+10),N624*100000+ROW(),"")</f>
        <v/>
      </c>
      <c r="X624" s="531"/>
      <c r="Y624" s="531"/>
      <c r="Z624" s="531"/>
      <c r="AA624" s="531"/>
      <c r="AB624" s="531"/>
      <c r="AC624" s="531"/>
      <c r="AD624" s="531"/>
      <c r="AE624" s="531"/>
      <c r="AF624" s="531"/>
      <c r="AG624" s="531"/>
      <c r="AH624" s="531"/>
      <c r="AI624" s="531"/>
      <c r="AJ624" s="531"/>
      <c r="AK624" s="531"/>
      <c r="AL624" s="531"/>
      <c r="AM624" s="531"/>
      <c r="AN624" s="531"/>
    </row>
    <row r="625" customFormat="false" ht="16.5" hidden="false" customHeight="true" outlineLevel="0" collapsed="false">
      <c r="A625" s="531"/>
      <c r="B625" s="531"/>
      <c r="C625" s="531"/>
      <c r="D625" s="531"/>
      <c r="E625" s="531"/>
      <c r="F625" s="531"/>
      <c r="G625" s="531"/>
      <c r="H625" s="531"/>
      <c r="I625" s="531"/>
      <c r="J625" s="531"/>
      <c r="K625" s="531"/>
      <c r="L625" s="531"/>
      <c r="M625" s="531"/>
      <c r="N625" s="531" t="str">
        <f aca="false">IF('(1)예금승인내역'!H1251="","",'(1)예금승인내역'!H1251)</f>
        <v/>
      </c>
      <c r="O625" s="531" t="str">
        <f aca="false">IF('(1)예금승인내역'!G1251="","",'(1)예금승인내역'!G1251)</f>
        <v/>
      </c>
      <c r="P625" s="531" t="str">
        <f aca="false">IF('(1)예금승인내역'!F1251="","",'(1)예금승인내역'!F1251)</f>
        <v/>
      </c>
      <c r="Q625" s="531" t="str">
        <f aca="false">IF('(1)예금승인내역'!C1251="","",'(1)예금승인내역'!C1251)</f>
        <v/>
      </c>
      <c r="R625" s="531" t="str">
        <f aca="false">IF('(1)예금승인내역'!K1251="","",'(1)예금승인내역'!K1251)</f>
        <v/>
      </c>
      <c r="S625" s="531" t="str">
        <f aca="false">IF('(1)예금승인내역'!L1251="","",'(1)예금승인내역'!L1251)</f>
        <v/>
      </c>
      <c r="T625" s="531" t="str">
        <f aca="false">IF('(1)예금승인내역'!AG1251="","",'(1)예금승인내역'!AG1251)</f>
        <v/>
      </c>
      <c r="U625" s="531" t="str">
        <f aca="false">IF('(1)예금승인내역'!X1251="","",'(1)예금승인내역'!X1251)</f>
        <v/>
      </c>
      <c r="V625" s="531" t="str">
        <f aca="false">IF(ISNUMBER(N625),N625-$B$2,"")</f>
        <v/>
      </c>
      <c r="W625" s="531" t="str">
        <f aca="false">IF(AND(ISNUMBER(N625),N625&gt;=$B$2,N625&lt;=$B$2+10),N625*100000+ROW(),"")</f>
        <v/>
      </c>
      <c r="X625" s="531"/>
      <c r="Y625" s="531"/>
      <c r="Z625" s="531"/>
      <c r="AA625" s="531"/>
      <c r="AB625" s="531"/>
      <c r="AC625" s="531"/>
      <c r="AD625" s="531"/>
      <c r="AE625" s="531"/>
      <c r="AF625" s="531"/>
      <c r="AG625" s="531"/>
      <c r="AH625" s="531"/>
      <c r="AI625" s="531"/>
      <c r="AJ625" s="531"/>
      <c r="AK625" s="531"/>
      <c r="AL625" s="531"/>
      <c r="AM625" s="531"/>
      <c r="AN625" s="531"/>
    </row>
    <row r="626" customFormat="false" ht="16.5" hidden="false" customHeight="true" outlineLevel="0" collapsed="false">
      <c r="A626" s="531"/>
      <c r="B626" s="531"/>
      <c r="C626" s="531"/>
      <c r="D626" s="531"/>
      <c r="E626" s="531"/>
      <c r="F626" s="531"/>
      <c r="G626" s="531"/>
      <c r="H626" s="531"/>
      <c r="I626" s="531"/>
      <c r="J626" s="531"/>
      <c r="K626" s="531"/>
      <c r="L626" s="531"/>
      <c r="M626" s="531"/>
      <c r="N626" s="531" t="str">
        <f aca="false">IF('(1)예금승인내역'!H1252="","",'(1)예금승인내역'!H1252)</f>
        <v/>
      </c>
      <c r="O626" s="531" t="str">
        <f aca="false">IF('(1)예금승인내역'!G1252="","",'(1)예금승인내역'!G1252)</f>
        <v/>
      </c>
      <c r="P626" s="531" t="str">
        <f aca="false">IF('(1)예금승인내역'!F1252="","",'(1)예금승인내역'!F1252)</f>
        <v/>
      </c>
      <c r="Q626" s="531" t="str">
        <f aca="false">IF('(1)예금승인내역'!C1252="","",'(1)예금승인내역'!C1252)</f>
        <v/>
      </c>
      <c r="R626" s="531" t="str">
        <f aca="false">IF('(1)예금승인내역'!K1252="","",'(1)예금승인내역'!K1252)</f>
        <v/>
      </c>
      <c r="S626" s="531" t="str">
        <f aca="false">IF('(1)예금승인내역'!L1252="","",'(1)예금승인내역'!L1252)</f>
        <v/>
      </c>
      <c r="T626" s="531" t="str">
        <f aca="false">IF('(1)예금승인내역'!AG1252="","",'(1)예금승인내역'!AG1252)</f>
        <v/>
      </c>
      <c r="U626" s="531" t="str">
        <f aca="false">IF('(1)예금승인내역'!X1252="","",'(1)예금승인내역'!X1252)</f>
        <v/>
      </c>
      <c r="V626" s="531" t="str">
        <f aca="false">IF(ISNUMBER(N626),N626-$B$2,"")</f>
        <v/>
      </c>
      <c r="W626" s="531" t="str">
        <f aca="false">IF(AND(ISNUMBER(N626),N626&gt;=$B$2,N626&lt;=$B$2+10),N626*100000+ROW(),"")</f>
        <v/>
      </c>
      <c r="X626" s="531"/>
      <c r="Y626" s="531"/>
      <c r="Z626" s="531"/>
      <c r="AA626" s="531"/>
      <c r="AB626" s="531"/>
      <c r="AC626" s="531"/>
      <c r="AD626" s="531"/>
      <c r="AE626" s="531"/>
      <c r="AF626" s="531"/>
      <c r="AG626" s="531"/>
      <c r="AH626" s="531"/>
      <c r="AI626" s="531"/>
      <c r="AJ626" s="531"/>
      <c r="AK626" s="531"/>
      <c r="AL626" s="531"/>
      <c r="AM626" s="531"/>
      <c r="AN626" s="531"/>
    </row>
    <row r="627" customFormat="false" ht="16.5" hidden="false" customHeight="true" outlineLevel="0" collapsed="false">
      <c r="A627" s="531"/>
      <c r="B627" s="531"/>
      <c r="C627" s="531"/>
      <c r="D627" s="531"/>
      <c r="E627" s="531"/>
      <c r="F627" s="531"/>
      <c r="G627" s="531"/>
      <c r="H627" s="531"/>
      <c r="I627" s="531"/>
      <c r="J627" s="531"/>
      <c r="K627" s="531"/>
      <c r="L627" s="531"/>
      <c r="M627" s="531"/>
      <c r="N627" s="531" t="str">
        <f aca="false">IF('(1)예금승인내역'!H1253="","",'(1)예금승인내역'!H1253)</f>
        <v/>
      </c>
      <c r="O627" s="531" t="str">
        <f aca="false">IF('(1)예금승인내역'!G1253="","",'(1)예금승인내역'!G1253)</f>
        <v/>
      </c>
      <c r="P627" s="531" t="str">
        <f aca="false">IF('(1)예금승인내역'!F1253="","",'(1)예금승인내역'!F1253)</f>
        <v/>
      </c>
      <c r="Q627" s="531" t="str">
        <f aca="false">IF('(1)예금승인내역'!C1253="","",'(1)예금승인내역'!C1253)</f>
        <v/>
      </c>
      <c r="R627" s="531" t="str">
        <f aca="false">IF('(1)예금승인내역'!K1253="","",'(1)예금승인내역'!K1253)</f>
        <v/>
      </c>
      <c r="S627" s="531" t="str">
        <f aca="false">IF('(1)예금승인내역'!L1253="","",'(1)예금승인내역'!L1253)</f>
        <v/>
      </c>
      <c r="T627" s="531" t="str">
        <f aca="false">IF('(1)예금승인내역'!AG1253="","",'(1)예금승인내역'!AG1253)</f>
        <v/>
      </c>
      <c r="U627" s="531" t="str">
        <f aca="false">IF('(1)예금승인내역'!X1253="","",'(1)예금승인내역'!X1253)</f>
        <v/>
      </c>
      <c r="V627" s="531" t="str">
        <f aca="false">IF(ISNUMBER(N627),N627-$B$2,"")</f>
        <v/>
      </c>
      <c r="W627" s="531" t="str">
        <f aca="false">IF(AND(ISNUMBER(N627),N627&gt;=$B$2,N627&lt;=$B$2+10),N627*100000+ROW(),"")</f>
        <v/>
      </c>
      <c r="X627" s="531"/>
      <c r="Y627" s="531"/>
      <c r="Z627" s="531"/>
      <c r="AA627" s="531"/>
      <c r="AB627" s="531"/>
      <c r="AC627" s="531"/>
      <c r="AD627" s="531"/>
      <c r="AE627" s="531"/>
      <c r="AF627" s="531"/>
      <c r="AG627" s="531"/>
      <c r="AH627" s="531"/>
      <c r="AI627" s="531"/>
      <c r="AJ627" s="531"/>
      <c r="AK627" s="531"/>
      <c r="AL627" s="531"/>
      <c r="AM627" s="531"/>
      <c r="AN627" s="531"/>
    </row>
    <row r="628" customFormat="false" ht="16.5" hidden="false" customHeight="true" outlineLevel="0" collapsed="false">
      <c r="A628" s="531"/>
      <c r="B628" s="531"/>
      <c r="C628" s="531"/>
      <c r="D628" s="531"/>
      <c r="E628" s="531"/>
      <c r="F628" s="531"/>
      <c r="G628" s="531"/>
      <c r="H628" s="531"/>
      <c r="I628" s="531"/>
      <c r="J628" s="531"/>
      <c r="K628" s="531"/>
      <c r="L628" s="531"/>
      <c r="M628" s="531"/>
      <c r="N628" s="531" t="str">
        <f aca="false">IF('(1)예금승인내역'!H1254="","",'(1)예금승인내역'!H1254)</f>
        <v/>
      </c>
      <c r="O628" s="531" t="str">
        <f aca="false">IF('(1)예금승인내역'!G1254="","",'(1)예금승인내역'!G1254)</f>
        <v/>
      </c>
      <c r="P628" s="531" t="str">
        <f aca="false">IF('(1)예금승인내역'!F1254="","",'(1)예금승인내역'!F1254)</f>
        <v/>
      </c>
      <c r="Q628" s="531" t="str">
        <f aca="false">IF('(1)예금승인내역'!C1254="","",'(1)예금승인내역'!C1254)</f>
        <v/>
      </c>
      <c r="R628" s="531" t="str">
        <f aca="false">IF('(1)예금승인내역'!K1254="","",'(1)예금승인내역'!K1254)</f>
        <v/>
      </c>
      <c r="S628" s="531" t="str">
        <f aca="false">IF('(1)예금승인내역'!L1254="","",'(1)예금승인내역'!L1254)</f>
        <v/>
      </c>
      <c r="T628" s="531" t="str">
        <f aca="false">IF('(1)예금승인내역'!AG1254="","",'(1)예금승인내역'!AG1254)</f>
        <v/>
      </c>
      <c r="U628" s="531" t="str">
        <f aca="false">IF('(1)예금승인내역'!X1254="","",'(1)예금승인내역'!X1254)</f>
        <v/>
      </c>
      <c r="V628" s="531" t="str">
        <f aca="false">IF(ISNUMBER(N628),N628-$B$2,"")</f>
        <v/>
      </c>
      <c r="W628" s="531" t="str">
        <f aca="false">IF(AND(ISNUMBER(N628),N628&gt;=$B$2,N628&lt;=$B$2+10),N628*100000+ROW(),"")</f>
        <v/>
      </c>
      <c r="X628" s="531"/>
      <c r="Y628" s="531"/>
      <c r="Z628" s="531"/>
      <c r="AA628" s="531"/>
      <c r="AB628" s="531"/>
      <c r="AC628" s="531"/>
      <c r="AD628" s="531"/>
      <c r="AE628" s="531"/>
      <c r="AF628" s="531"/>
      <c r="AG628" s="531"/>
      <c r="AH628" s="531"/>
      <c r="AI628" s="531"/>
      <c r="AJ628" s="531"/>
      <c r="AK628" s="531"/>
      <c r="AL628" s="531"/>
      <c r="AM628" s="531"/>
      <c r="AN628" s="531"/>
    </row>
    <row r="629" customFormat="false" ht="16.5" hidden="false" customHeight="true" outlineLevel="0" collapsed="false">
      <c r="A629" s="531"/>
      <c r="B629" s="531"/>
      <c r="C629" s="531"/>
      <c r="D629" s="531"/>
      <c r="E629" s="531"/>
      <c r="F629" s="531"/>
      <c r="G629" s="531"/>
      <c r="H629" s="531"/>
      <c r="I629" s="531"/>
      <c r="J629" s="531"/>
      <c r="K629" s="531"/>
      <c r="L629" s="531"/>
      <c r="M629" s="531"/>
      <c r="N629" s="531" t="str">
        <f aca="false">IF('(1)예금승인내역'!H1255="","",'(1)예금승인내역'!H1255)</f>
        <v/>
      </c>
      <c r="O629" s="531" t="str">
        <f aca="false">IF('(1)예금승인내역'!G1255="","",'(1)예금승인내역'!G1255)</f>
        <v/>
      </c>
      <c r="P629" s="531" t="str">
        <f aca="false">IF('(1)예금승인내역'!F1255="","",'(1)예금승인내역'!F1255)</f>
        <v/>
      </c>
      <c r="Q629" s="531" t="str">
        <f aca="false">IF('(1)예금승인내역'!C1255="","",'(1)예금승인내역'!C1255)</f>
        <v/>
      </c>
      <c r="R629" s="531" t="str">
        <f aca="false">IF('(1)예금승인내역'!K1255="","",'(1)예금승인내역'!K1255)</f>
        <v/>
      </c>
      <c r="S629" s="531" t="str">
        <f aca="false">IF('(1)예금승인내역'!L1255="","",'(1)예금승인내역'!L1255)</f>
        <v/>
      </c>
      <c r="T629" s="531" t="str">
        <f aca="false">IF('(1)예금승인내역'!AG1255="","",'(1)예금승인내역'!AG1255)</f>
        <v/>
      </c>
      <c r="U629" s="531" t="str">
        <f aca="false">IF('(1)예금승인내역'!X1255="","",'(1)예금승인내역'!X1255)</f>
        <v/>
      </c>
      <c r="V629" s="531" t="str">
        <f aca="false">IF(ISNUMBER(N629),N629-$B$2,"")</f>
        <v/>
      </c>
      <c r="W629" s="531" t="str">
        <f aca="false">IF(AND(ISNUMBER(N629),N629&gt;=$B$2,N629&lt;=$B$2+10),N629*100000+ROW(),"")</f>
        <v/>
      </c>
      <c r="X629" s="531"/>
      <c r="Y629" s="531"/>
      <c r="Z629" s="531"/>
      <c r="AA629" s="531"/>
      <c r="AB629" s="531"/>
      <c r="AC629" s="531"/>
      <c r="AD629" s="531"/>
      <c r="AE629" s="531"/>
      <c r="AF629" s="531"/>
      <c r="AG629" s="531"/>
      <c r="AH629" s="531"/>
      <c r="AI629" s="531"/>
      <c r="AJ629" s="531"/>
      <c r="AK629" s="531"/>
      <c r="AL629" s="531"/>
      <c r="AM629" s="531"/>
      <c r="AN629" s="531"/>
    </row>
    <row r="630" customFormat="false" ht="16.5" hidden="false" customHeight="true" outlineLevel="0" collapsed="false">
      <c r="A630" s="531"/>
      <c r="B630" s="531"/>
      <c r="C630" s="531"/>
      <c r="D630" s="531"/>
      <c r="E630" s="531"/>
      <c r="F630" s="531"/>
      <c r="G630" s="531"/>
      <c r="H630" s="531"/>
      <c r="I630" s="531"/>
      <c r="J630" s="531"/>
      <c r="K630" s="531"/>
      <c r="L630" s="531"/>
      <c r="M630" s="531"/>
      <c r="N630" s="531" t="str">
        <f aca="false">IF('(1)예금승인내역'!H1256="","",'(1)예금승인내역'!H1256)</f>
        <v/>
      </c>
      <c r="O630" s="531" t="str">
        <f aca="false">IF('(1)예금승인내역'!G1256="","",'(1)예금승인내역'!G1256)</f>
        <v/>
      </c>
      <c r="P630" s="531" t="str">
        <f aca="false">IF('(1)예금승인내역'!F1256="","",'(1)예금승인내역'!F1256)</f>
        <v/>
      </c>
      <c r="Q630" s="531" t="str">
        <f aca="false">IF('(1)예금승인내역'!C1256="","",'(1)예금승인내역'!C1256)</f>
        <v/>
      </c>
      <c r="R630" s="531" t="str">
        <f aca="false">IF('(1)예금승인내역'!K1256="","",'(1)예금승인내역'!K1256)</f>
        <v/>
      </c>
      <c r="S630" s="531" t="str">
        <f aca="false">IF('(1)예금승인내역'!L1256="","",'(1)예금승인내역'!L1256)</f>
        <v/>
      </c>
      <c r="T630" s="531" t="str">
        <f aca="false">IF('(1)예금승인내역'!AG1256="","",'(1)예금승인내역'!AG1256)</f>
        <v/>
      </c>
      <c r="U630" s="531" t="str">
        <f aca="false">IF('(1)예금승인내역'!X1256="","",'(1)예금승인내역'!X1256)</f>
        <v/>
      </c>
      <c r="V630" s="531" t="str">
        <f aca="false">IF(ISNUMBER(N630),N630-$B$2,"")</f>
        <v/>
      </c>
      <c r="W630" s="531" t="str">
        <f aca="false">IF(AND(ISNUMBER(N630),N630&gt;=$B$2,N630&lt;=$B$2+10),N630*100000+ROW(),"")</f>
        <v/>
      </c>
      <c r="X630" s="531"/>
      <c r="Y630" s="531"/>
      <c r="Z630" s="531"/>
      <c r="AA630" s="531"/>
      <c r="AB630" s="531"/>
      <c r="AC630" s="531"/>
      <c r="AD630" s="531"/>
      <c r="AE630" s="531"/>
      <c r="AF630" s="531"/>
      <c r="AG630" s="531"/>
      <c r="AH630" s="531"/>
      <c r="AI630" s="531"/>
      <c r="AJ630" s="531"/>
      <c r="AK630" s="531"/>
      <c r="AL630" s="531"/>
      <c r="AM630" s="531"/>
      <c r="AN630" s="531"/>
    </row>
    <row r="631" customFormat="false" ht="16.5" hidden="false" customHeight="true" outlineLevel="0" collapsed="false">
      <c r="A631" s="531"/>
      <c r="B631" s="531"/>
      <c r="C631" s="531"/>
      <c r="D631" s="531"/>
      <c r="E631" s="531"/>
      <c r="F631" s="531"/>
      <c r="G631" s="531"/>
      <c r="H631" s="531"/>
      <c r="I631" s="531"/>
      <c r="J631" s="531"/>
      <c r="K631" s="531"/>
      <c r="L631" s="531"/>
      <c r="M631" s="531"/>
      <c r="N631" s="531" t="str">
        <f aca="false">IF('(1)예금승인내역'!H1257="","",'(1)예금승인내역'!H1257)</f>
        <v/>
      </c>
      <c r="O631" s="531" t="str">
        <f aca="false">IF('(1)예금승인내역'!G1257="","",'(1)예금승인내역'!G1257)</f>
        <v/>
      </c>
      <c r="P631" s="531" t="str">
        <f aca="false">IF('(1)예금승인내역'!F1257="","",'(1)예금승인내역'!F1257)</f>
        <v/>
      </c>
      <c r="Q631" s="531" t="str">
        <f aca="false">IF('(1)예금승인내역'!C1257="","",'(1)예금승인내역'!C1257)</f>
        <v/>
      </c>
      <c r="R631" s="531" t="str">
        <f aca="false">IF('(1)예금승인내역'!K1257="","",'(1)예금승인내역'!K1257)</f>
        <v/>
      </c>
      <c r="S631" s="531" t="str">
        <f aca="false">IF('(1)예금승인내역'!L1257="","",'(1)예금승인내역'!L1257)</f>
        <v/>
      </c>
      <c r="T631" s="531" t="str">
        <f aca="false">IF('(1)예금승인내역'!AG1257="","",'(1)예금승인내역'!AG1257)</f>
        <v/>
      </c>
      <c r="U631" s="531" t="str">
        <f aca="false">IF('(1)예금승인내역'!X1257="","",'(1)예금승인내역'!X1257)</f>
        <v/>
      </c>
      <c r="V631" s="531" t="str">
        <f aca="false">IF(ISNUMBER(N631),N631-$B$2,"")</f>
        <v/>
      </c>
      <c r="W631" s="531" t="str">
        <f aca="false">IF(AND(ISNUMBER(N631),N631&gt;=$B$2,N631&lt;=$B$2+10),N631*100000+ROW(),"")</f>
        <v/>
      </c>
      <c r="X631" s="531"/>
      <c r="Y631" s="531"/>
      <c r="Z631" s="531"/>
      <c r="AA631" s="531"/>
      <c r="AB631" s="531"/>
      <c r="AC631" s="531"/>
      <c r="AD631" s="531"/>
      <c r="AE631" s="531"/>
      <c r="AF631" s="531"/>
      <c r="AG631" s="531"/>
      <c r="AH631" s="531"/>
      <c r="AI631" s="531"/>
      <c r="AJ631" s="531"/>
      <c r="AK631" s="531"/>
      <c r="AL631" s="531"/>
      <c r="AM631" s="531"/>
      <c r="AN631" s="531"/>
    </row>
    <row r="632" customFormat="false" ht="16.5" hidden="false" customHeight="true" outlineLevel="0" collapsed="false">
      <c r="A632" s="531"/>
      <c r="B632" s="531"/>
      <c r="C632" s="531"/>
      <c r="D632" s="531"/>
      <c r="E632" s="531"/>
      <c r="F632" s="531"/>
      <c r="G632" s="531"/>
      <c r="H632" s="531"/>
      <c r="I632" s="531"/>
      <c r="J632" s="531"/>
      <c r="K632" s="531"/>
      <c r="L632" s="531"/>
      <c r="M632" s="531"/>
      <c r="N632" s="531" t="str">
        <f aca="false">IF('(1)예금승인내역'!H1258="","",'(1)예금승인내역'!H1258)</f>
        <v/>
      </c>
      <c r="O632" s="531" t="str">
        <f aca="false">IF('(1)예금승인내역'!G1258="","",'(1)예금승인내역'!G1258)</f>
        <v/>
      </c>
      <c r="P632" s="531" t="str">
        <f aca="false">IF('(1)예금승인내역'!F1258="","",'(1)예금승인내역'!F1258)</f>
        <v/>
      </c>
      <c r="Q632" s="531" t="str">
        <f aca="false">IF('(1)예금승인내역'!C1258="","",'(1)예금승인내역'!C1258)</f>
        <v/>
      </c>
      <c r="R632" s="531" t="str">
        <f aca="false">IF('(1)예금승인내역'!K1258="","",'(1)예금승인내역'!K1258)</f>
        <v/>
      </c>
      <c r="S632" s="531" t="str">
        <f aca="false">IF('(1)예금승인내역'!L1258="","",'(1)예금승인내역'!L1258)</f>
        <v/>
      </c>
      <c r="T632" s="531" t="str">
        <f aca="false">IF('(1)예금승인내역'!AG1258="","",'(1)예금승인내역'!AG1258)</f>
        <v/>
      </c>
      <c r="U632" s="531" t="str">
        <f aca="false">IF('(1)예금승인내역'!X1258="","",'(1)예금승인내역'!X1258)</f>
        <v/>
      </c>
      <c r="V632" s="531" t="str">
        <f aca="false">IF(ISNUMBER(N632),N632-$B$2,"")</f>
        <v/>
      </c>
      <c r="W632" s="531" t="str">
        <f aca="false">IF(AND(ISNUMBER(N632),N632&gt;=$B$2,N632&lt;=$B$2+10),N632*100000+ROW(),"")</f>
        <v/>
      </c>
      <c r="X632" s="531"/>
      <c r="Y632" s="531"/>
      <c r="Z632" s="531"/>
      <c r="AA632" s="531"/>
      <c r="AB632" s="531"/>
      <c r="AC632" s="531"/>
      <c r="AD632" s="531"/>
      <c r="AE632" s="531"/>
      <c r="AF632" s="531"/>
      <c r="AG632" s="531"/>
      <c r="AH632" s="531"/>
      <c r="AI632" s="531"/>
      <c r="AJ632" s="531"/>
      <c r="AK632" s="531"/>
      <c r="AL632" s="531"/>
      <c r="AM632" s="531"/>
      <c r="AN632" s="531"/>
    </row>
    <row r="633" customFormat="false" ht="16.5" hidden="false" customHeight="true" outlineLevel="0" collapsed="false">
      <c r="A633" s="531"/>
      <c r="B633" s="531"/>
      <c r="C633" s="531"/>
      <c r="D633" s="531"/>
      <c r="E633" s="531"/>
      <c r="F633" s="531"/>
      <c r="G633" s="531"/>
      <c r="H633" s="531"/>
      <c r="I633" s="531"/>
      <c r="J633" s="531"/>
      <c r="K633" s="531"/>
      <c r="L633" s="531"/>
      <c r="M633" s="531"/>
      <c r="N633" s="531" t="str">
        <f aca="false">IF('(1)예금승인내역'!H1259="","",'(1)예금승인내역'!H1259)</f>
        <v/>
      </c>
      <c r="O633" s="531" t="str">
        <f aca="false">IF('(1)예금승인내역'!G1259="","",'(1)예금승인내역'!G1259)</f>
        <v/>
      </c>
      <c r="P633" s="531" t="str">
        <f aca="false">IF('(1)예금승인내역'!F1259="","",'(1)예금승인내역'!F1259)</f>
        <v/>
      </c>
      <c r="Q633" s="531" t="str">
        <f aca="false">IF('(1)예금승인내역'!C1259="","",'(1)예금승인내역'!C1259)</f>
        <v/>
      </c>
      <c r="R633" s="531" t="str">
        <f aca="false">IF('(1)예금승인내역'!K1259="","",'(1)예금승인내역'!K1259)</f>
        <v/>
      </c>
      <c r="S633" s="531" t="str">
        <f aca="false">IF('(1)예금승인내역'!L1259="","",'(1)예금승인내역'!L1259)</f>
        <v/>
      </c>
      <c r="T633" s="531" t="str">
        <f aca="false">IF('(1)예금승인내역'!AG1259="","",'(1)예금승인내역'!AG1259)</f>
        <v/>
      </c>
      <c r="U633" s="531" t="str">
        <f aca="false">IF('(1)예금승인내역'!X1259="","",'(1)예금승인내역'!X1259)</f>
        <v/>
      </c>
      <c r="V633" s="531" t="str">
        <f aca="false">IF(ISNUMBER(N633),N633-$B$2,"")</f>
        <v/>
      </c>
      <c r="W633" s="531" t="str">
        <f aca="false">IF(AND(ISNUMBER(N633),N633&gt;=$B$2,N633&lt;=$B$2+10),N633*100000+ROW(),"")</f>
        <v/>
      </c>
      <c r="X633" s="531"/>
      <c r="Y633" s="531"/>
      <c r="Z633" s="531"/>
      <c r="AA633" s="531"/>
      <c r="AB633" s="531"/>
      <c r="AC633" s="531"/>
      <c r="AD633" s="531"/>
      <c r="AE633" s="531"/>
      <c r="AF633" s="531"/>
      <c r="AG633" s="531"/>
      <c r="AH633" s="531"/>
      <c r="AI633" s="531"/>
      <c r="AJ633" s="531"/>
      <c r="AK633" s="531"/>
      <c r="AL633" s="531"/>
      <c r="AM633" s="531"/>
      <c r="AN633" s="531"/>
    </row>
    <row r="634" customFormat="false" ht="16.5" hidden="false" customHeight="true" outlineLevel="0" collapsed="false">
      <c r="A634" s="531"/>
      <c r="B634" s="531"/>
      <c r="C634" s="531"/>
      <c r="D634" s="531"/>
      <c r="E634" s="531"/>
      <c r="F634" s="531"/>
      <c r="G634" s="531"/>
      <c r="H634" s="531"/>
      <c r="I634" s="531"/>
      <c r="J634" s="531"/>
      <c r="K634" s="531"/>
      <c r="L634" s="531"/>
      <c r="M634" s="531"/>
      <c r="N634" s="531" t="str">
        <f aca="false">IF('(1)예금승인내역'!H1260="","",'(1)예금승인내역'!H1260)</f>
        <v/>
      </c>
      <c r="O634" s="531" t="str">
        <f aca="false">IF('(1)예금승인내역'!G1260="","",'(1)예금승인내역'!G1260)</f>
        <v/>
      </c>
      <c r="P634" s="531" t="str">
        <f aca="false">IF('(1)예금승인내역'!F1260="","",'(1)예금승인내역'!F1260)</f>
        <v/>
      </c>
      <c r="Q634" s="531" t="str">
        <f aca="false">IF('(1)예금승인내역'!C1260="","",'(1)예금승인내역'!C1260)</f>
        <v/>
      </c>
      <c r="R634" s="531" t="str">
        <f aca="false">IF('(1)예금승인내역'!K1260="","",'(1)예금승인내역'!K1260)</f>
        <v/>
      </c>
      <c r="S634" s="531" t="str">
        <f aca="false">IF('(1)예금승인내역'!L1260="","",'(1)예금승인내역'!L1260)</f>
        <v/>
      </c>
      <c r="T634" s="531" t="str">
        <f aca="false">IF('(1)예금승인내역'!AG1260="","",'(1)예금승인내역'!AG1260)</f>
        <v/>
      </c>
      <c r="U634" s="531" t="str">
        <f aca="false">IF('(1)예금승인내역'!X1260="","",'(1)예금승인내역'!X1260)</f>
        <v/>
      </c>
      <c r="V634" s="531" t="str">
        <f aca="false">IF(ISNUMBER(N634),N634-$B$2,"")</f>
        <v/>
      </c>
      <c r="W634" s="531" t="str">
        <f aca="false">IF(AND(ISNUMBER(N634),N634&gt;=$B$2,N634&lt;=$B$2+10),N634*100000+ROW(),"")</f>
        <v/>
      </c>
      <c r="X634" s="531"/>
      <c r="Y634" s="531"/>
      <c r="Z634" s="531"/>
      <c r="AA634" s="531"/>
      <c r="AB634" s="531"/>
      <c r="AC634" s="531"/>
      <c r="AD634" s="531"/>
      <c r="AE634" s="531"/>
      <c r="AF634" s="531"/>
      <c r="AG634" s="531"/>
      <c r="AH634" s="531"/>
      <c r="AI634" s="531"/>
      <c r="AJ634" s="531"/>
      <c r="AK634" s="531"/>
      <c r="AL634" s="531"/>
      <c r="AM634" s="531"/>
      <c r="AN634" s="531"/>
    </row>
    <row r="635" customFormat="false" ht="16.5" hidden="false" customHeight="true" outlineLevel="0" collapsed="false">
      <c r="A635" s="531"/>
      <c r="B635" s="531"/>
      <c r="C635" s="531"/>
      <c r="D635" s="531"/>
      <c r="E635" s="531"/>
      <c r="F635" s="531"/>
      <c r="G635" s="531"/>
      <c r="H635" s="531"/>
      <c r="I635" s="531"/>
      <c r="J635" s="531"/>
      <c r="K635" s="531"/>
      <c r="L635" s="531"/>
      <c r="M635" s="531"/>
      <c r="N635" s="531" t="str">
        <f aca="false">IF('(1)예금승인내역'!H1261="","",'(1)예금승인내역'!H1261)</f>
        <v/>
      </c>
      <c r="O635" s="531" t="str">
        <f aca="false">IF('(1)예금승인내역'!G1261="","",'(1)예금승인내역'!G1261)</f>
        <v/>
      </c>
      <c r="P635" s="531" t="str">
        <f aca="false">IF('(1)예금승인내역'!F1261="","",'(1)예금승인내역'!F1261)</f>
        <v/>
      </c>
      <c r="Q635" s="531" t="str">
        <f aca="false">IF('(1)예금승인내역'!C1261="","",'(1)예금승인내역'!C1261)</f>
        <v/>
      </c>
      <c r="R635" s="531" t="str">
        <f aca="false">IF('(1)예금승인내역'!K1261="","",'(1)예금승인내역'!K1261)</f>
        <v/>
      </c>
      <c r="S635" s="531" t="str">
        <f aca="false">IF('(1)예금승인내역'!L1261="","",'(1)예금승인내역'!L1261)</f>
        <v/>
      </c>
      <c r="T635" s="531" t="str">
        <f aca="false">IF('(1)예금승인내역'!AG1261="","",'(1)예금승인내역'!AG1261)</f>
        <v/>
      </c>
      <c r="U635" s="531" t="str">
        <f aca="false">IF('(1)예금승인내역'!X1261="","",'(1)예금승인내역'!X1261)</f>
        <v/>
      </c>
      <c r="V635" s="531" t="str">
        <f aca="false">IF(ISNUMBER(N635),N635-$B$2,"")</f>
        <v/>
      </c>
      <c r="W635" s="531" t="str">
        <f aca="false">IF(AND(ISNUMBER(N635),N635&gt;=$B$2,N635&lt;=$B$2+10),N635*100000+ROW(),"")</f>
        <v/>
      </c>
      <c r="X635" s="531"/>
      <c r="Y635" s="531"/>
      <c r="Z635" s="531"/>
      <c r="AA635" s="531"/>
      <c r="AB635" s="531"/>
      <c r="AC635" s="531"/>
      <c r="AD635" s="531"/>
      <c r="AE635" s="531"/>
      <c r="AF635" s="531"/>
      <c r="AG635" s="531"/>
      <c r="AH635" s="531"/>
      <c r="AI635" s="531"/>
      <c r="AJ635" s="531"/>
      <c r="AK635" s="531"/>
      <c r="AL635" s="531"/>
      <c r="AM635" s="531"/>
      <c r="AN635" s="531"/>
    </row>
    <row r="636" customFormat="false" ht="16.5" hidden="false" customHeight="true" outlineLevel="0" collapsed="false">
      <c r="A636" s="531"/>
      <c r="B636" s="531"/>
      <c r="C636" s="531"/>
      <c r="D636" s="531"/>
      <c r="E636" s="531"/>
      <c r="F636" s="531"/>
      <c r="G636" s="531"/>
      <c r="H636" s="531"/>
      <c r="I636" s="531"/>
      <c r="J636" s="531"/>
      <c r="K636" s="531"/>
      <c r="L636" s="531"/>
      <c r="M636" s="531"/>
      <c r="N636" s="531" t="str">
        <f aca="false">IF('(1)예금승인내역'!H1262="","",'(1)예금승인내역'!H1262)</f>
        <v/>
      </c>
      <c r="O636" s="531" t="str">
        <f aca="false">IF('(1)예금승인내역'!G1262="","",'(1)예금승인내역'!G1262)</f>
        <v/>
      </c>
      <c r="P636" s="531" t="str">
        <f aca="false">IF('(1)예금승인내역'!F1262="","",'(1)예금승인내역'!F1262)</f>
        <v/>
      </c>
      <c r="Q636" s="531" t="str">
        <f aca="false">IF('(1)예금승인내역'!C1262="","",'(1)예금승인내역'!C1262)</f>
        <v/>
      </c>
      <c r="R636" s="531" t="str">
        <f aca="false">IF('(1)예금승인내역'!K1262="","",'(1)예금승인내역'!K1262)</f>
        <v/>
      </c>
      <c r="S636" s="531" t="str">
        <f aca="false">IF('(1)예금승인내역'!L1262="","",'(1)예금승인내역'!L1262)</f>
        <v/>
      </c>
      <c r="T636" s="531" t="str">
        <f aca="false">IF('(1)예금승인내역'!AG1262="","",'(1)예금승인내역'!AG1262)</f>
        <v/>
      </c>
      <c r="U636" s="531" t="str">
        <f aca="false">IF('(1)예금승인내역'!X1262="","",'(1)예금승인내역'!X1262)</f>
        <v/>
      </c>
      <c r="V636" s="531" t="str">
        <f aca="false">IF(ISNUMBER(N636),N636-$B$2,"")</f>
        <v/>
      </c>
      <c r="W636" s="531" t="str">
        <f aca="false">IF(AND(ISNUMBER(N636),N636&gt;=$B$2,N636&lt;=$B$2+10),N636*100000+ROW(),"")</f>
        <v/>
      </c>
      <c r="X636" s="531"/>
      <c r="Y636" s="531"/>
      <c r="Z636" s="531"/>
      <c r="AA636" s="531"/>
      <c r="AB636" s="531"/>
      <c r="AC636" s="531"/>
      <c r="AD636" s="531"/>
      <c r="AE636" s="531"/>
      <c r="AF636" s="531"/>
      <c r="AG636" s="531"/>
      <c r="AH636" s="531"/>
      <c r="AI636" s="531"/>
      <c r="AJ636" s="531"/>
      <c r="AK636" s="531"/>
      <c r="AL636" s="531"/>
      <c r="AM636" s="531"/>
      <c r="AN636" s="531"/>
    </row>
    <row r="637" customFormat="false" ht="16.5" hidden="false" customHeight="true" outlineLevel="0" collapsed="false">
      <c r="A637" s="531"/>
      <c r="B637" s="531"/>
      <c r="C637" s="531"/>
      <c r="D637" s="531"/>
      <c r="E637" s="531"/>
      <c r="F637" s="531"/>
      <c r="G637" s="531"/>
      <c r="H637" s="531"/>
      <c r="I637" s="531"/>
      <c r="J637" s="531"/>
      <c r="K637" s="531"/>
      <c r="L637" s="531"/>
      <c r="M637" s="531"/>
      <c r="N637" s="531" t="str">
        <f aca="false">IF('(1)예금승인내역'!H1263="","",'(1)예금승인내역'!H1263)</f>
        <v/>
      </c>
      <c r="O637" s="531" t="str">
        <f aca="false">IF('(1)예금승인내역'!G1263="","",'(1)예금승인내역'!G1263)</f>
        <v/>
      </c>
      <c r="P637" s="531" t="str">
        <f aca="false">IF('(1)예금승인내역'!F1263="","",'(1)예금승인내역'!F1263)</f>
        <v/>
      </c>
      <c r="Q637" s="531" t="str">
        <f aca="false">IF('(1)예금승인내역'!C1263="","",'(1)예금승인내역'!C1263)</f>
        <v/>
      </c>
      <c r="R637" s="531" t="str">
        <f aca="false">IF('(1)예금승인내역'!K1263="","",'(1)예금승인내역'!K1263)</f>
        <v/>
      </c>
      <c r="S637" s="531" t="str">
        <f aca="false">IF('(1)예금승인내역'!L1263="","",'(1)예금승인내역'!L1263)</f>
        <v/>
      </c>
      <c r="T637" s="531" t="str">
        <f aca="false">IF('(1)예금승인내역'!AG1263="","",'(1)예금승인내역'!AG1263)</f>
        <v/>
      </c>
      <c r="U637" s="531" t="str">
        <f aca="false">IF('(1)예금승인내역'!X1263="","",'(1)예금승인내역'!X1263)</f>
        <v/>
      </c>
      <c r="V637" s="531" t="str">
        <f aca="false">IF(ISNUMBER(N637),N637-$B$2,"")</f>
        <v/>
      </c>
      <c r="W637" s="531" t="str">
        <f aca="false">IF(AND(ISNUMBER(N637),N637&gt;=$B$2,N637&lt;=$B$2+10),N637*100000+ROW(),"")</f>
        <v/>
      </c>
      <c r="X637" s="531"/>
      <c r="Y637" s="531"/>
      <c r="Z637" s="531"/>
      <c r="AA637" s="531"/>
      <c r="AB637" s="531"/>
      <c r="AC637" s="531"/>
      <c r="AD637" s="531"/>
      <c r="AE637" s="531"/>
      <c r="AF637" s="531"/>
      <c r="AG637" s="531"/>
      <c r="AH637" s="531"/>
      <c r="AI637" s="531"/>
      <c r="AJ637" s="531"/>
      <c r="AK637" s="531"/>
      <c r="AL637" s="531"/>
      <c r="AM637" s="531"/>
      <c r="AN637" s="531"/>
    </row>
    <row r="638" customFormat="false" ht="16.5" hidden="false" customHeight="true" outlineLevel="0" collapsed="false">
      <c r="A638" s="531"/>
      <c r="B638" s="531"/>
      <c r="C638" s="531"/>
      <c r="D638" s="531"/>
      <c r="E638" s="531"/>
      <c r="F638" s="531"/>
      <c r="G638" s="531"/>
      <c r="H638" s="531"/>
      <c r="I638" s="531"/>
      <c r="J638" s="531"/>
      <c r="K638" s="531"/>
      <c r="L638" s="531"/>
      <c r="M638" s="531"/>
      <c r="N638" s="531" t="str">
        <f aca="false">IF('(1)예금승인내역'!H1264="","",'(1)예금승인내역'!H1264)</f>
        <v/>
      </c>
      <c r="O638" s="531" t="str">
        <f aca="false">IF('(1)예금승인내역'!G1264="","",'(1)예금승인내역'!G1264)</f>
        <v/>
      </c>
      <c r="P638" s="531" t="str">
        <f aca="false">IF('(1)예금승인내역'!F1264="","",'(1)예금승인내역'!F1264)</f>
        <v/>
      </c>
      <c r="Q638" s="531" t="str">
        <f aca="false">IF('(1)예금승인내역'!C1264="","",'(1)예금승인내역'!C1264)</f>
        <v/>
      </c>
      <c r="R638" s="531" t="str">
        <f aca="false">IF('(1)예금승인내역'!K1264="","",'(1)예금승인내역'!K1264)</f>
        <v/>
      </c>
      <c r="S638" s="531" t="str">
        <f aca="false">IF('(1)예금승인내역'!L1264="","",'(1)예금승인내역'!L1264)</f>
        <v/>
      </c>
      <c r="T638" s="531" t="str">
        <f aca="false">IF('(1)예금승인내역'!AG1264="","",'(1)예금승인내역'!AG1264)</f>
        <v/>
      </c>
      <c r="U638" s="531" t="str">
        <f aca="false">IF('(1)예금승인내역'!X1264="","",'(1)예금승인내역'!X1264)</f>
        <v/>
      </c>
      <c r="V638" s="531" t="str">
        <f aca="false">IF(ISNUMBER(N638),N638-$B$2,"")</f>
        <v/>
      </c>
      <c r="W638" s="531" t="str">
        <f aca="false">IF(AND(ISNUMBER(N638),N638&gt;=$B$2,N638&lt;=$B$2+10),N638*100000+ROW(),"")</f>
        <v/>
      </c>
      <c r="X638" s="531"/>
      <c r="Y638" s="531"/>
      <c r="Z638" s="531"/>
      <c r="AA638" s="531"/>
      <c r="AB638" s="531"/>
      <c r="AC638" s="531"/>
      <c r="AD638" s="531"/>
      <c r="AE638" s="531"/>
      <c r="AF638" s="531"/>
      <c r="AG638" s="531"/>
      <c r="AH638" s="531"/>
      <c r="AI638" s="531"/>
      <c r="AJ638" s="531"/>
      <c r="AK638" s="531"/>
      <c r="AL638" s="531"/>
      <c r="AM638" s="531"/>
      <c r="AN638" s="531"/>
    </row>
    <row r="639" customFormat="false" ht="16.5" hidden="false" customHeight="true" outlineLevel="0" collapsed="false">
      <c r="A639" s="531"/>
      <c r="B639" s="531"/>
      <c r="C639" s="531"/>
      <c r="D639" s="531"/>
      <c r="E639" s="531"/>
      <c r="F639" s="531"/>
      <c r="G639" s="531"/>
      <c r="H639" s="531"/>
      <c r="I639" s="531"/>
      <c r="J639" s="531"/>
      <c r="K639" s="531"/>
      <c r="L639" s="531"/>
      <c r="M639" s="531"/>
      <c r="N639" s="531" t="str">
        <f aca="false">IF('(1)예금승인내역'!H1265="","",'(1)예금승인내역'!H1265)</f>
        <v/>
      </c>
      <c r="O639" s="531" t="str">
        <f aca="false">IF('(1)예금승인내역'!G1265="","",'(1)예금승인내역'!G1265)</f>
        <v/>
      </c>
      <c r="P639" s="531" t="str">
        <f aca="false">IF('(1)예금승인내역'!F1265="","",'(1)예금승인내역'!F1265)</f>
        <v/>
      </c>
      <c r="Q639" s="531" t="str">
        <f aca="false">IF('(1)예금승인내역'!C1265="","",'(1)예금승인내역'!C1265)</f>
        <v/>
      </c>
      <c r="R639" s="531" t="str">
        <f aca="false">IF('(1)예금승인내역'!K1265="","",'(1)예금승인내역'!K1265)</f>
        <v/>
      </c>
      <c r="S639" s="531" t="str">
        <f aca="false">IF('(1)예금승인내역'!L1265="","",'(1)예금승인내역'!L1265)</f>
        <v/>
      </c>
      <c r="T639" s="531" t="str">
        <f aca="false">IF('(1)예금승인내역'!AG1265="","",'(1)예금승인내역'!AG1265)</f>
        <v/>
      </c>
      <c r="U639" s="531" t="str">
        <f aca="false">IF('(1)예금승인내역'!X1265="","",'(1)예금승인내역'!X1265)</f>
        <v/>
      </c>
      <c r="V639" s="531" t="str">
        <f aca="false">IF(ISNUMBER(N639),N639-$B$2,"")</f>
        <v/>
      </c>
      <c r="W639" s="531" t="str">
        <f aca="false">IF(AND(ISNUMBER(N639),N639&gt;=$B$2,N639&lt;=$B$2+10),N639*100000+ROW(),"")</f>
        <v/>
      </c>
      <c r="X639" s="531"/>
      <c r="Y639" s="531"/>
      <c r="Z639" s="531"/>
      <c r="AA639" s="531"/>
      <c r="AB639" s="531"/>
      <c r="AC639" s="531"/>
      <c r="AD639" s="531"/>
      <c r="AE639" s="531"/>
      <c r="AF639" s="531"/>
      <c r="AG639" s="531"/>
      <c r="AH639" s="531"/>
      <c r="AI639" s="531"/>
      <c r="AJ639" s="531"/>
      <c r="AK639" s="531"/>
      <c r="AL639" s="531"/>
      <c r="AM639" s="531"/>
      <c r="AN639" s="531"/>
    </row>
    <row r="640" customFormat="false" ht="16.5" hidden="false" customHeight="true" outlineLevel="0" collapsed="false">
      <c r="A640" s="531"/>
      <c r="B640" s="531"/>
      <c r="C640" s="531"/>
      <c r="D640" s="531"/>
      <c r="E640" s="531"/>
      <c r="F640" s="531"/>
      <c r="G640" s="531"/>
      <c r="H640" s="531"/>
      <c r="I640" s="531"/>
      <c r="J640" s="531"/>
      <c r="K640" s="531"/>
      <c r="L640" s="531"/>
      <c r="M640" s="531"/>
      <c r="N640" s="531" t="str">
        <f aca="false">IF('(1)예금승인내역'!H1266="","",'(1)예금승인내역'!H1266)</f>
        <v/>
      </c>
      <c r="O640" s="531" t="str">
        <f aca="false">IF('(1)예금승인내역'!G1266="","",'(1)예금승인내역'!G1266)</f>
        <v/>
      </c>
      <c r="P640" s="531" t="str">
        <f aca="false">IF('(1)예금승인내역'!F1266="","",'(1)예금승인내역'!F1266)</f>
        <v/>
      </c>
      <c r="Q640" s="531" t="str">
        <f aca="false">IF('(1)예금승인내역'!C1266="","",'(1)예금승인내역'!C1266)</f>
        <v/>
      </c>
      <c r="R640" s="531" t="str">
        <f aca="false">IF('(1)예금승인내역'!K1266="","",'(1)예금승인내역'!K1266)</f>
        <v/>
      </c>
      <c r="S640" s="531" t="str">
        <f aca="false">IF('(1)예금승인내역'!L1266="","",'(1)예금승인내역'!L1266)</f>
        <v/>
      </c>
      <c r="T640" s="531" t="str">
        <f aca="false">IF('(1)예금승인내역'!AG1266="","",'(1)예금승인내역'!AG1266)</f>
        <v/>
      </c>
      <c r="U640" s="531" t="str">
        <f aca="false">IF('(1)예금승인내역'!X1266="","",'(1)예금승인내역'!X1266)</f>
        <v/>
      </c>
      <c r="V640" s="531" t="str">
        <f aca="false">IF(ISNUMBER(N640),N640-$B$2,"")</f>
        <v/>
      </c>
      <c r="W640" s="531" t="str">
        <f aca="false">IF(AND(ISNUMBER(N640),N640&gt;=$B$2,N640&lt;=$B$2+10),N640*100000+ROW(),"")</f>
        <v/>
      </c>
      <c r="X640" s="531"/>
      <c r="Y640" s="531"/>
      <c r="Z640" s="531"/>
      <c r="AA640" s="531"/>
      <c r="AB640" s="531"/>
      <c r="AC640" s="531"/>
      <c r="AD640" s="531"/>
      <c r="AE640" s="531"/>
      <c r="AF640" s="531"/>
      <c r="AG640" s="531"/>
      <c r="AH640" s="531"/>
      <c r="AI640" s="531"/>
      <c r="AJ640" s="531"/>
      <c r="AK640" s="531"/>
      <c r="AL640" s="531"/>
      <c r="AM640" s="531"/>
      <c r="AN640" s="531"/>
    </row>
    <row r="641" customFormat="false" ht="16.5" hidden="false" customHeight="true" outlineLevel="0" collapsed="false">
      <c r="A641" s="531"/>
      <c r="B641" s="531"/>
      <c r="C641" s="531"/>
      <c r="D641" s="531"/>
      <c r="E641" s="531"/>
      <c r="F641" s="531"/>
      <c r="G641" s="531"/>
      <c r="H641" s="531"/>
      <c r="I641" s="531"/>
      <c r="J641" s="531"/>
      <c r="K641" s="531"/>
      <c r="L641" s="531"/>
      <c r="M641" s="531"/>
      <c r="N641" s="531" t="str">
        <f aca="false">IF('(1)예금승인내역'!H1267="","",'(1)예금승인내역'!H1267)</f>
        <v/>
      </c>
      <c r="O641" s="531" t="str">
        <f aca="false">IF('(1)예금승인내역'!G1267="","",'(1)예금승인내역'!G1267)</f>
        <v/>
      </c>
      <c r="P641" s="531" t="str">
        <f aca="false">IF('(1)예금승인내역'!F1267="","",'(1)예금승인내역'!F1267)</f>
        <v/>
      </c>
      <c r="Q641" s="531" t="str">
        <f aca="false">IF('(1)예금승인내역'!C1267="","",'(1)예금승인내역'!C1267)</f>
        <v/>
      </c>
      <c r="R641" s="531" t="str">
        <f aca="false">IF('(1)예금승인내역'!K1267="","",'(1)예금승인내역'!K1267)</f>
        <v/>
      </c>
      <c r="S641" s="531" t="str">
        <f aca="false">IF('(1)예금승인내역'!L1267="","",'(1)예금승인내역'!L1267)</f>
        <v/>
      </c>
      <c r="T641" s="531" t="str">
        <f aca="false">IF('(1)예금승인내역'!AG1267="","",'(1)예금승인내역'!AG1267)</f>
        <v/>
      </c>
      <c r="U641" s="531" t="str">
        <f aca="false">IF('(1)예금승인내역'!X1267="","",'(1)예금승인내역'!X1267)</f>
        <v/>
      </c>
      <c r="V641" s="531" t="str">
        <f aca="false">IF(ISNUMBER(N641),N641-$B$2,"")</f>
        <v/>
      </c>
      <c r="W641" s="531" t="str">
        <f aca="false">IF(AND(ISNUMBER(N641),N641&gt;=$B$2,N641&lt;=$B$2+10),N641*100000+ROW(),"")</f>
        <v/>
      </c>
      <c r="X641" s="531"/>
      <c r="Y641" s="531"/>
      <c r="Z641" s="531"/>
      <c r="AA641" s="531"/>
      <c r="AB641" s="531"/>
      <c r="AC641" s="531"/>
      <c r="AD641" s="531"/>
      <c r="AE641" s="531"/>
      <c r="AF641" s="531"/>
      <c r="AG641" s="531"/>
      <c r="AH641" s="531"/>
      <c r="AI641" s="531"/>
      <c r="AJ641" s="531"/>
      <c r="AK641" s="531"/>
      <c r="AL641" s="531"/>
      <c r="AM641" s="531"/>
      <c r="AN641" s="531"/>
    </row>
    <row r="642" customFormat="false" ht="16.5" hidden="false" customHeight="true" outlineLevel="0" collapsed="false">
      <c r="A642" s="531"/>
      <c r="B642" s="531"/>
      <c r="C642" s="531"/>
      <c r="D642" s="531"/>
      <c r="E642" s="531"/>
      <c r="F642" s="531"/>
      <c r="G642" s="531"/>
      <c r="H642" s="531"/>
      <c r="I642" s="531"/>
      <c r="J642" s="531"/>
      <c r="K642" s="531"/>
      <c r="L642" s="531"/>
      <c r="M642" s="531"/>
      <c r="N642" s="531" t="str">
        <f aca="false">IF('(1)예금승인내역'!H1268="","",'(1)예금승인내역'!H1268)</f>
        <v/>
      </c>
      <c r="O642" s="531" t="str">
        <f aca="false">IF('(1)예금승인내역'!G1268="","",'(1)예금승인내역'!G1268)</f>
        <v/>
      </c>
      <c r="P642" s="531" t="str">
        <f aca="false">IF('(1)예금승인내역'!F1268="","",'(1)예금승인내역'!F1268)</f>
        <v/>
      </c>
      <c r="Q642" s="531" t="str">
        <f aca="false">IF('(1)예금승인내역'!C1268="","",'(1)예금승인내역'!C1268)</f>
        <v/>
      </c>
      <c r="R642" s="531" t="str">
        <f aca="false">IF('(1)예금승인내역'!K1268="","",'(1)예금승인내역'!K1268)</f>
        <v/>
      </c>
      <c r="S642" s="531" t="str">
        <f aca="false">IF('(1)예금승인내역'!L1268="","",'(1)예금승인내역'!L1268)</f>
        <v/>
      </c>
      <c r="T642" s="531" t="str">
        <f aca="false">IF('(1)예금승인내역'!AG1268="","",'(1)예금승인내역'!AG1268)</f>
        <v/>
      </c>
      <c r="U642" s="531" t="str">
        <f aca="false">IF('(1)예금승인내역'!X1268="","",'(1)예금승인내역'!X1268)</f>
        <v/>
      </c>
      <c r="V642" s="531" t="str">
        <f aca="false">IF(ISNUMBER(N642),N642-$B$2,"")</f>
        <v/>
      </c>
      <c r="W642" s="531" t="str">
        <f aca="false">IF(AND(ISNUMBER(N642),N642&gt;=$B$2,N642&lt;=$B$2+10),N642*100000+ROW(),"")</f>
        <v/>
      </c>
      <c r="X642" s="531"/>
      <c r="Y642" s="531"/>
      <c r="Z642" s="531"/>
      <c r="AA642" s="531"/>
      <c r="AB642" s="531"/>
      <c r="AC642" s="531"/>
      <c r="AD642" s="531"/>
      <c r="AE642" s="531"/>
      <c r="AF642" s="531"/>
      <c r="AG642" s="531"/>
      <c r="AH642" s="531"/>
      <c r="AI642" s="531"/>
      <c r="AJ642" s="531"/>
      <c r="AK642" s="531"/>
      <c r="AL642" s="531"/>
      <c r="AM642" s="531"/>
      <c r="AN642" s="531"/>
    </row>
    <row r="643" customFormat="false" ht="16.5" hidden="false" customHeight="true" outlineLevel="0" collapsed="false">
      <c r="A643" s="531"/>
      <c r="B643" s="531"/>
      <c r="C643" s="531"/>
      <c r="D643" s="531"/>
      <c r="E643" s="531"/>
      <c r="F643" s="531"/>
      <c r="G643" s="531"/>
      <c r="H643" s="531"/>
      <c r="I643" s="531"/>
      <c r="J643" s="531"/>
      <c r="K643" s="531"/>
      <c r="L643" s="531"/>
      <c r="M643" s="531"/>
      <c r="N643" s="531" t="str">
        <f aca="false">IF('(1)예금승인내역'!H1269="","",'(1)예금승인내역'!H1269)</f>
        <v/>
      </c>
      <c r="O643" s="531" t="str">
        <f aca="false">IF('(1)예금승인내역'!G1269="","",'(1)예금승인내역'!G1269)</f>
        <v/>
      </c>
      <c r="P643" s="531" t="str">
        <f aca="false">IF('(1)예금승인내역'!F1269="","",'(1)예금승인내역'!F1269)</f>
        <v/>
      </c>
      <c r="Q643" s="531" t="str">
        <f aca="false">IF('(1)예금승인내역'!C1269="","",'(1)예금승인내역'!C1269)</f>
        <v/>
      </c>
      <c r="R643" s="531" t="str">
        <f aca="false">IF('(1)예금승인내역'!K1269="","",'(1)예금승인내역'!K1269)</f>
        <v/>
      </c>
      <c r="S643" s="531" t="str">
        <f aca="false">IF('(1)예금승인내역'!L1269="","",'(1)예금승인내역'!L1269)</f>
        <v/>
      </c>
      <c r="T643" s="531" t="str">
        <f aca="false">IF('(1)예금승인내역'!AG1269="","",'(1)예금승인내역'!AG1269)</f>
        <v/>
      </c>
      <c r="U643" s="531" t="str">
        <f aca="false">IF('(1)예금승인내역'!X1269="","",'(1)예금승인내역'!X1269)</f>
        <v/>
      </c>
      <c r="V643" s="531" t="str">
        <f aca="false">IF(ISNUMBER(N643),N643-$B$2,"")</f>
        <v/>
      </c>
      <c r="W643" s="531" t="str">
        <f aca="false">IF(AND(ISNUMBER(N643),N643&gt;=$B$2,N643&lt;=$B$2+10),N643*100000+ROW(),"")</f>
        <v/>
      </c>
      <c r="X643" s="531"/>
      <c r="Y643" s="531"/>
      <c r="Z643" s="531"/>
      <c r="AA643" s="531"/>
      <c r="AB643" s="531"/>
      <c r="AC643" s="531"/>
      <c r="AD643" s="531"/>
      <c r="AE643" s="531"/>
      <c r="AF643" s="531"/>
      <c r="AG643" s="531"/>
      <c r="AH643" s="531"/>
      <c r="AI643" s="531"/>
      <c r="AJ643" s="531"/>
      <c r="AK643" s="531"/>
      <c r="AL643" s="531"/>
      <c r="AM643" s="531"/>
      <c r="AN643" s="531"/>
    </row>
    <row r="644" customFormat="false" ht="16.5" hidden="false" customHeight="true" outlineLevel="0" collapsed="false">
      <c r="A644" s="531"/>
      <c r="B644" s="531"/>
      <c r="C644" s="531"/>
      <c r="D644" s="531"/>
      <c r="E644" s="531"/>
      <c r="F644" s="531"/>
      <c r="G644" s="531"/>
      <c r="H644" s="531"/>
      <c r="I644" s="531"/>
      <c r="J644" s="531"/>
      <c r="K644" s="531"/>
      <c r="L644" s="531"/>
      <c r="M644" s="531"/>
      <c r="N644" s="531" t="str">
        <f aca="false">IF('(1)예금승인내역'!H1270="","",'(1)예금승인내역'!H1270)</f>
        <v/>
      </c>
      <c r="O644" s="531" t="str">
        <f aca="false">IF('(1)예금승인내역'!G1270="","",'(1)예금승인내역'!G1270)</f>
        <v/>
      </c>
      <c r="P644" s="531" t="str">
        <f aca="false">IF('(1)예금승인내역'!F1270="","",'(1)예금승인내역'!F1270)</f>
        <v/>
      </c>
      <c r="Q644" s="531" t="str">
        <f aca="false">IF('(1)예금승인내역'!C1270="","",'(1)예금승인내역'!C1270)</f>
        <v/>
      </c>
      <c r="R644" s="531" t="str">
        <f aca="false">IF('(1)예금승인내역'!K1270="","",'(1)예금승인내역'!K1270)</f>
        <v/>
      </c>
      <c r="S644" s="531" t="str">
        <f aca="false">IF('(1)예금승인내역'!L1270="","",'(1)예금승인내역'!L1270)</f>
        <v/>
      </c>
      <c r="T644" s="531" t="str">
        <f aca="false">IF('(1)예금승인내역'!AG1270="","",'(1)예금승인내역'!AG1270)</f>
        <v/>
      </c>
      <c r="U644" s="531" t="str">
        <f aca="false">IF('(1)예금승인내역'!X1270="","",'(1)예금승인내역'!X1270)</f>
        <v/>
      </c>
      <c r="V644" s="531" t="str">
        <f aca="false">IF(ISNUMBER(N644),N644-$B$2,"")</f>
        <v/>
      </c>
      <c r="W644" s="531" t="str">
        <f aca="false">IF(AND(ISNUMBER(N644),N644&gt;=$B$2,N644&lt;=$B$2+10),N644*100000+ROW(),"")</f>
        <v/>
      </c>
      <c r="X644" s="531"/>
      <c r="Y644" s="531"/>
      <c r="Z644" s="531"/>
      <c r="AA644" s="531"/>
      <c r="AB644" s="531"/>
      <c r="AC644" s="531"/>
      <c r="AD644" s="531"/>
      <c r="AE644" s="531"/>
      <c r="AF644" s="531"/>
      <c r="AG644" s="531"/>
      <c r="AH644" s="531"/>
      <c r="AI644" s="531"/>
      <c r="AJ644" s="531"/>
      <c r="AK644" s="531"/>
      <c r="AL644" s="531"/>
      <c r="AM644" s="531"/>
      <c r="AN644" s="531"/>
    </row>
    <row r="645" customFormat="false" ht="16.5" hidden="false" customHeight="true" outlineLevel="0" collapsed="false">
      <c r="A645" s="531"/>
      <c r="B645" s="531"/>
      <c r="C645" s="531"/>
      <c r="D645" s="531"/>
      <c r="E645" s="531"/>
      <c r="F645" s="531"/>
      <c r="G645" s="531"/>
      <c r="H645" s="531"/>
      <c r="I645" s="531"/>
      <c r="J645" s="531"/>
      <c r="K645" s="531"/>
      <c r="L645" s="531"/>
      <c r="M645" s="531"/>
      <c r="N645" s="531" t="str">
        <f aca="false">IF('(1)예금승인내역'!H1271="","",'(1)예금승인내역'!H1271)</f>
        <v/>
      </c>
      <c r="O645" s="531" t="str">
        <f aca="false">IF('(1)예금승인내역'!G1271="","",'(1)예금승인내역'!G1271)</f>
        <v/>
      </c>
      <c r="P645" s="531" t="str">
        <f aca="false">IF('(1)예금승인내역'!F1271="","",'(1)예금승인내역'!F1271)</f>
        <v/>
      </c>
      <c r="Q645" s="531" t="str">
        <f aca="false">IF('(1)예금승인내역'!C1271="","",'(1)예금승인내역'!C1271)</f>
        <v/>
      </c>
      <c r="R645" s="531" t="str">
        <f aca="false">IF('(1)예금승인내역'!K1271="","",'(1)예금승인내역'!K1271)</f>
        <v/>
      </c>
      <c r="S645" s="531" t="str">
        <f aca="false">IF('(1)예금승인내역'!L1271="","",'(1)예금승인내역'!L1271)</f>
        <v/>
      </c>
      <c r="T645" s="531" t="str">
        <f aca="false">IF('(1)예금승인내역'!AG1271="","",'(1)예금승인내역'!AG1271)</f>
        <v/>
      </c>
      <c r="U645" s="531" t="str">
        <f aca="false">IF('(1)예금승인내역'!X1271="","",'(1)예금승인내역'!X1271)</f>
        <v/>
      </c>
      <c r="V645" s="531" t="str">
        <f aca="false">IF(ISNUMBER(N645),N645-$B$2,"")</f>
        <v/>
      </c>
      <c r="W645" s="531" t="str">
        <f aca="false">IF(AND(ISNUMBER(N645),N645&gt;=$B$2,N645&lt;=$B$2+10),N645*100000+ROW(),"")</f>
        <v/>
      </c>
      <c r="X645" s="531"/>
      <c r="Y645" s="531"/>
      <c r="Z645" s="531"/>
      <c r="AA645" s="531"/>
      <c r="AB645" s="531"/>
      <c r="AC645" s="531"/>
      <c r="AD645" s="531"/>
      <c r="AE645" s="531"/>
      <c r="AF645" s="531"/>
      <c r="AG645" s="531"/>
      <c r="AH645" s="531"/>
      <c r="AI645" s="531"/>
      <c r="AJ645" s="531"/>
      <c r="AK645" s="531"/>
      <c r="AL645" s="531"/>
      <c r="AM645" s="531"/>
      <c r="AN645" s="531"/>
    </row>
    <row r="646" customFormat="false" ht="16.5" hidden="false" customHeight="true" outlineLevel="0" collapsed="false">
      <c r="A646" s="531"/>
      <c r="B646" s="531"/>
      <c r="C646" s="531"/>
      <c r="D646" s="531"/>
      <c r="E646" s="531"/>
      <c r="F646" s="531"/>
      <c r="G646" s="531"/>
      <c r="H646" s="531"/>
      <c r="I646" s="531"/>
      <c r="J646" s="531"/>
      <c r="K646" s="531"/>
      <c r="L646" s="531"/>
      <c r="M646" s="531"/>
      <c r="N646" s="531" t="str">
        <f aca="false">IF('(1)예금승인내역'!H1272="","",'(1)예금승인내역'!H1272)</f>
        <v/>
      </c>
      <c r="O646" s="531" t="str">
        <f aca="false">IF('(1)예금승인내역'!G1272="","",'(1)예금승인내역'!G1272)</f>
        <v/>
      </c>
      <c r="P646" s="531" t="str">
        <f aca="false">IF('(1)예금승인내역'!F1272="","",'(1)예금승인내역'!F1272)</f>
        <v/>
      </c>
      <c r="Q646" s="531" t="str">
        <f aca="false">IF('(1)예금승인내역'!C1272="","",'(1)예금승인내역'!C1272)</f>
        <v/>
      </c>
      <c r="R646" s="531" t="str">
        <f aca="false">IF('(1)예금승인내역'!K1272="","",'(1)예금승인내역'!K1272)</f>
        <v/>
      </c>
      <c r="S646" s="531" t="str">
        <f aca="false">IF('(1)예금승인내역'!L1272="","",'(1)예금승인내역'!L1272)</f>
        <v/>
      </c>
      <c r="T646" s="531" t="str">
        <f aca="false">IF('(1)예금승인내역'!AG1272="","",'(1)예금승인내역'!AG1272)</f>
        <v/>
      </c>
      <c r="U646" s="531" t="str">
        <f aca="false">IF('(1)예금승인내역'!X1272="","",'(1)예금승인내역'!X1272)</f>
        <v/>
      </c>
      <c r="V646" s="531" t="str">
        <f aca="false">IF(ISNUMBER(N646),N646-$B$2,"")</f>
        <v/>
      </c>
      <c r="W646" s="531" t="str">
        <f aca="false">IF(AND(ISNUMBER(N646),N646&gt;=$B$2,N646&lt;=$B$2+10),N646*100000+ROW(),"")</f>
        <v/>
      </c>
      <c r="X646" s="531"/>
      <c r="Y646" s="531"/>
      <c r="Z646" s="531"/>
      <c r="AA646" s="531"/>
      <c r="AB646" s="531"/>
      <c r="AC646" s="531"/>
      <c r="AD646" s="531"/>
      <c r="AE646" s="531"/>
      <c r="AF646" s="531"/>
      <c r="AG646" s="531"/>
      <c r="AH646" s="531"/>
      <c r="AI646" s="531"/>
      <c r="AJ646" s="531"/>
      <c r="AK646" s="531"/>
      <c r="AL646" s="531"/>
      <c r="AM646" s="531"/>
      <c r="AN646" s="531"/>
    </row>
    <row r="647" customFormat="false" ht="16.5" hidden="false" customHeight="true" outlineLevel="0" collapsed="false">
      <c r="A647" s="531"/>
      <c r="B647" s="531"/>
      <c r="C647" s="531"/>
      <c r="D647" s="531"/>
      <c r="E647" s="531"/>
      <c r="F647" s="531"/>
      <c r="G647" s="531"/>
      <c r="H647" s="531"/>
      <c r="I647" s="531"/>
      <c r="J647" s="531"/>
      <c r="K647" s="531"/>
      <c r="L647" s="531"/>
      <c r="M647" s="531"/>
      <c r="N647" s="531" t="str">
        <f aca="false">IF('(1)예금승인내역'!H1273="","",'(1)예금승인내역'!H1273)</f>
        <v/>
      </c>
      <c r="O647" s="531" t="str">
        <f aca="false">IF('(1)예금승인내역'!G1273="","",'(1)예금승인내역'!G1273)</f>
        <v/>
      </c>
      <c r="P647" s="531" t="str">
        <f aca="false">IF('(1)예금승인내역'!F1273="","",'(1)예금승인내역'!F1273)</f>
        <v/>
      </c>
      <c r="Q647" s="531" t="str">
        <f aca="false">IF('(1)예금승인내역'!C1273="","",'(1)예금승인내역'!C1273)</f>
        <v/>
      </c>
      <c r="R647" s="531" t="str">
        <f aca="false">IF('(1)예금승인내역'!K1273="","",'(1)예금승인내역'!K1273)</f>
        <v/>
      </c>
      <c r="S647" s="531" t="str">
        <f aca="false">IF('(1)예금승인내역'!L1273="","",'(1)예금승인내역'!L1273)</f>
        <v/>
      </c>
      <c r="T647" s="531" t="str">
        <f aca="false">IF('(1)예금승인내역'!AG1273="","",'(1)예금승인내역'!AG1273)</f>
        <v/>
      </c>
      <c r="U647" s="531" t="str">
        <f aca="false">IF('(1)예금승인내역'!X1273="","",'(1)예금승인내역'!X1273)</f>
        <v/>
      </c>
      <c r="V647" s="531" t="str">
        <f aca="false">IF(ISNUMBER(N647),N647-$B$2,"")</f>
        <v/>
      </c>
      <c r="W647" s="531" t="str">
        <f aca="false">IF(AND(ISNUMBER(N647),N647&gt;=$B$2,N647&lt;=$B$2+10),N647*100000+ROW(),"")</f>
        <v/>
      </c>
      <c r="X647" s="531"/>
      <c r="Y647" s="531"/>
      <c r="Z647" s="531"/>
      <c r="AA647" s="531"/>
      <c r="AB647" s="531"/>
      <c r="AC647" s="531"/>
      <c r="AD647" s="531"/>
      <c r="AE647" s="531"/>
      <c r="AF647" s="531"/>
      <c r="AG647" s="531"/>
      <c r="AH647" s="531"/>
      <c r="AI647" s="531"/>
      <c r="AJ647" s="531"/>
      <c r="AK647" s="531"/>
      <c r="AL647" s="531"/>
      <c r="AM647" s="531"/>
      <c r="AN647" s="531"/>
    </row>
    <row r="648" customFormat="false" ht="16.5" hidden="false" customHeight="true" outlineLevel="0" collapsed="false">
      <c r="A648" s="531"/>
      <c r="B648" s="531"/>
      <c r="C648" s="531"/>
      <c r="D648" s="531"/>
      <c r="E648" s="531"/>
      <c r="F648" s="531"/>
      <c r="G648" s="531"/>
      <c r="H648" s="531"/>
      <c r="I648" s="531"/>
      <c r="J648" s="531"/>
      <c r="K648" s="531"/>
      <c r="L648" s="531"/>
      <c r="M648" s="531"/>
      <c r="N648" s="531" t="str">
        <f aca="false">IF('(1)예금승인내역'!H1274="","",'(1)예금승인내역'!H1274)</f>
        <v/>
      </c>
      <c r="O648" s="531" t="str">
        <f aca="false">IF('(1)예금승인내역'!G1274="","",'(1)예금승인내역'!G1274)</f>
        <v/>
      </c>
      <c r="P648" s="531" t="str">
        <f aca="false">IF('(1)예금승인내역'!F1274="","",'(1)예금승인내역'!F1274)</f>
        <v/>
      </c>
      <c r="Q648" s="531" t="str">
        <f aca="false">IF('(1)예금승인내역'!C1274="","",'(1)예금승인내역'!C1274)</f>
        <v/>
      </c>
      <c r="R648" s="531" t="str">
        <f aca="false">IF('(1)예금승인내역'!K1274="","",'(1)예금승인내역'!K1274)</f>
        <v/>
      </c>
      <c r="S648" s="531" t="str">
        <f aca="false">IF('(1)예금승인내역'!L1274="","",'(1)예금승인내역'!L1274)</f>
        <v/>
      </c>
      <c r="T648" s="531" t="str">
        <f aca="false">IF('(1)예금승인내역'!AG1274="","",'(1)예금승인내역'!AG1274)</f>
        <v/>
      </c>
      <c r="U648" s="531" t="str">
        <f aca="false">IF('(1)예금승인내역'!X1274="","",'(1)예금승인내역'!X1274)</f>
        <v/>
      </c>
      <c r="V648" s="531" t="str">
        <f aca="false">IF(ISNUMBER(N648),N648-$B$2,"")</f>
        <v/>
      </c>
      <c r="W648" s="531" t="str">
        <f aca="false">IF(AND(ISNUMBER(N648),N648&gt;=$B$2,N648&lt;=$B$2+10),N648*100000+ROW(),"")</f>
        <v/>
      </c>
      <c r="X648" s="531"/>
      <c r="Y648" s="531"/>
      <c r="Z648" s="531"/>
      <c r="AA648" s="531"/>
      <c r="AB648" s="531"/>
      <c r="AC648" s="531"/>
      <c r="AD648" s="531"/>
      <c r="AE648" s="531"/>
      <c r="AF648" s="531"/>
      <c r="AG648" s="531"/>
      <c r="AH648" s="531"/>
      <c r="AI648" s="531"/>
      <c r="AJ648" s="531"/>
      <c r="AK648" s="531"/>
      <c r="AL648" s="531"/>
      <c r="AM648" s="531"/>
      <c r="AN648" s="531"/>
    </row>
    <row r="649" customFormat="false" ht="16.5" hidden="false" customHeight="true" outlineLevel="0" collapsed="false">
      <c r="A649" s="531"/>
      <c r="B649" s="531"/>
      <c r="C649" s="531"/>
      <c r="D649" s="531"/>
      <c r="E649" s="531"/>
      <c r="F649" s="531"/>
      <c r="G649" s="531"/>
      <c r="H649" s="531"/>
      <c r="I649" s="531"/>
      <c r="J649" s="531"/>
      <c r="K649" s="531"/>
      <c r="L649" s="531"/>
      <c r="M649" s="531"/>
      <c r="N649" s="531" t="str">
        <f aca="false">IF('(1)예금승인내역'!H1275="","",'(1)예금승인내역'!H1275)</f>
        <v/>
      </c>
      <c r="O649" s="531" t="str">
        <f aca="false">IF('(1)예금승인내역'!G1275="","",'(1)예금승인내역'!G1275)</f>
        <v/>
      </c>
      <c r="P649" s="531" t="str">
        <f aca="false">IF('(1)예금승인내역'!F1275="","",'(1)예금승인내역'!F1275)</f>
        <v/>
      </c>
      <c r="Q649" s="531" t="str">
        <f aca="false">IF('(1)예금승인내역'!C1275="","",'(1)예금승인내역'!C1275)</f>
        <v/>
      </c>
      <c r="R649" s="531" t="str">
        <f aca="false">IF('(1)예금승인내역'!K1275="","",'(1)예금승인내역'!K1275)</f>
        <v/>
      </c>
      <c r="S649" s="531" t="str">
        <f aca="false">IF('(1)예금승인내역'!L1275="","",'(1)예금승인내역'!L1275)</f>
        <v/>
      </c>
      <c r="T649" s="531" t="str">
        <f aca="false">IF('(1)예금승인내역'!AG1275="","",'(1)예금승인내역'!AG1275)</f>
        <v/>
      </c>
      <c r="U649" s="531" t="str">
        <f aca="false">IF('(1)예금승인내역'!X1275="","",'(1)예금승인내역'!X1275)</f>
        <v/>
      </c>
      <c r="V649" s="531" t="str">
        <f aca="false">IF(ISNUMBER(N649),N649-$B$2,"")</f>
        <v/>
      </c>
      <c r="W649" s="531" t="str">
        <f aca="false">IF(AND(ISNUMBER(N649),N649&gt;=$B$2,N649&lt;=$B$2+10),N649*100000+ROW(),"")</f>
        <v/>
      </c>
      <c r="X649" s="531"/>
      <c r="Y649" s="531"/>
      <c r="Z649" s="531"/>
      <c r="AA649" s="531"/>
      <c r="AB649" s="531"/>
      <c r="AC649" s="531"/>
      <c r="AD649" s="531"/>
      <c r="AE649" s="531"/>
      <c r="AF649" s="531"/>
      <c r="AG649" s="531"/>
      <c r="AH649" s="531"/>
      <c r="AI649" s="531"/>
      <c r="AJ649" s="531"/>
      <c r="AK649" s="531"/>
      <c r="AL649" s="531"/>
      <c r="AM649" s="531"/>
      <c r="AN649" s="531"/>
    </row>
    <row r="650" customFormat="false" ht="16.5" hidden="false" customHeight="true" outlineLevel="0" collapsed="false">
      <c r="A650" s="531"/>
      <c r="B650" s="531"/>
      <c r="C650" s="531"/>
      <c r="D650" s="531"/>
      <c r="E650" s="531"/>
      <c r="F650" s="531"/>
      <c r="G650" s="531"/>
      <c r="H650" s="531"/>
      <c r="I650" s="531"/>
      <c r="J650" s="531"/>
      <c r="K650" s="531"/>
      <c r="L650" s="531"/>
      <c r="M650" s="531"/>
      <c r="N650" s="531" t="str">
        <f aca="false">IF('(1)예금승인내역'!H1276="","",'(1)예금승인내역'!H1276)</f>
        <v/>
      </c>
      <c r="O650" s="531" t="str">
        <f aca="false">IF('(1)예금승인내역'!G1276="","",'(1)예금승인내역'!G1276)</f>
        <v/>
      </c>
      <c r="P650" s="531" t="str">
        <f aca="false">IF('(1)예금승인내역'!F1276="","",'(1)예금승인내역'!F1276)</f>
        <v/>
      </c>
      <c r="Q650" s="531" t="str">
        <f aca="false">IF('(1)예금승인내역'!C1276="","",'(1)예금승인내역'!C1276)</f>
        <v/>
      </c>
      <c r="R650" s="531" t="str">
        <f aca="false">IF('(1)예금승인내역'!K1276="","",'(1)예금승인내역'!K1276)</f>
        <v/>
      </c>
      <c r="S650" s="531" t="str">
        <f aca="false">IF('(1)예금승인내역'!L1276="","",'(1)예금승인내역'!L1276)</f>
        <v/>
      </c>
      <c r="T650" s="531" t="str">
        <f aca="false">IF('(1)예금승인내역'!AG1276="","",'(1)예금승인내역'!AG1276)</f>
        <v/>
      </c>
      <c r="U650" s="531" t="str">
        <f aca="false">IF('(1)예금승인내역'!X1276="","",'(1)예금승인내역'!X1276)</f>
        <v/>
      </c>
      <c r="V650" s="531" t="str">
        <f aca="false">IF(ISNUMBER(N650),N650-$B$2,"")</f>
        <v/>
      </c>
      <c r="W650" s="531" t="str">
        <f aca="false">IF(AND(ISNUMBER(N650),N650&gt;=$B$2,N650&lt;=$B$2+10),N650*100000+ROW(),"")</f>
        <v/>
      </c>
      <c r="X650" s="531"/>
      <c r="Y650" s="531"/>
      <c r="Z650" s="531"/>
      <c r="AA650" s="531"/>
      <c r="AB650" s="531"/>
      <c r="AC650" s="531"/>
      <c r="AD650" s="531"/>
      <c r="AE650" s="531"/>
      <c r="AF650" s="531"/>
      <c r="AG650" s="531"/>
      <c r="AH650" s="531"/>
      <c r="AI650" s="531"/>
      <c r="AJ650" s="531"/>
      <c r="AK650" s="531"/>
      <c r="AL650" s="531"/>
      <c r="AM650" s="531"/>
      <c r="AN650" s="531"/>
    </row>
    <row r="651" customFormat="false" ht="16.5" hidden="false" customHeight="true" outlineLevel="0" collapsed="false">
      <c r="A651" s="531"/>
      <c r="B651" s="531"/>
      <c r="C651" s="531"/>
      <c r="D651" s="531"/>
      <c r="E651" s="531"/>
      <c r="F651" s="531"/>
      <c r="G651" s="531"/>
      <c r="H651" s="531"/>
      <c r="I651" s="531"/>
      <c r="J651" s="531"/>
      <c r="K651" s="531"/>
      <c r="L651" s="531"/>
      <c r="M651" s="531"/>
      <c r="N651" s="531" t="str">
        <f aca="false">IF('(1)예금승인내역'!H1277="","",'(1)예금승인내역'!H1277)</f>
        <v/>
      </c>
      <c r="O651" s="531" t="str">
        <f aca="false">IF('(1)예금승인내역'!G1277="","",'(1)예금승인내역'!G1277)</f>
        <v/>
      </c>
      <c r="P651" s="531" t="str">
        <f aca="false">IF('(1)예금승인내역'!F1277="","",'(1)예금승인내역'!F1277)</f>
        <v/>
      </c>
      <c r="Q651" s="531" t="str">
        <f aca="false">IF('(1)예금승인내역'!C1277="","",'(1)예금승인내역'!C1277)</f>
        <v/>
      </c>
      <c r="R651" s="531" t="str">
        <f aca="false">IF('(1)예금승인내역'!K1277="","",'(1)예금승인내역'!K1277)</f>
        <v/>
      </c>
      <c r="S651" s="531" t="str">
        <f aca="false">IF('(1)예금승인내역'!L1277="","",'(1)예금승인내역'!L1277)</f>
        <v/>
      </c>
      <c r="T651" s="531" t="str">
        <f aca="false">IF('(1)예금승인내역'!AG1277="","",'(1)예금승인내역'!AG1277)</f>
        <v/>
      </c>
      <c r="U651" s="531" t="str">
        <f aca="false">IF('(1)예금승인내역'!X1277="","",'(1)예금승인내역'!X1277)</f>
        <v/>
      </c>
      <c r="V651" s="531" t="str">
        <f aca="false">IF(ISNUMBER(N651),N651-$B$2,"")</f>
        <v/>
      </c>
      <c r="W651" s="531" t="str">
        <f aca="false">IF(AND(ISNUMBER(N651),N651&gt;=$B$2,N651&lt;=$B$2+10),N651*100000+ROW(),"")</f>
        <v/>
      </c>
      <c r="X651" s="531"/>
      <c r="Y651" s="531"/>
      <c r="Z651" s="531"/>
      <c r="AA651" s="531"/>
      <c r="AB651" s="531"/>
      <c r="AC651" s="531"/>
      <c r="AD651" s="531"/>
      <c r="AE651" s="531"/>
      <c r="AF651" s="531"/>
      <c r="AG651" s="531"/>
      <c r="AH651" s="531"/>
      <c r="AI651" s="531"/>
      <c r="AJ651" s="531"/>
      <c r="AK651" s="531"/>
      <c r="AL651" s="531"/>
      <c r="AM651" s="531"/>
      <c r="AN651" s="531"/>
    </row>
    <row r="652" customFormat="false" ht="16.5" hidden="false" customHeight="true" outlineLevel="0" collapsed="false">
      <c r="A652" s="531"/>
      <c r="B652" s="531"/>
      <c r="C652" s="531"/>
      <c r="D652" s="531"/>
      <c r="E652" s="531"/>
      <c r="F652" s="531"/>
      <c r="G652" s="531"/>
      <c r="H652" s="531"/>
      <c r="I652" s="531"/>
      <c r="J652" s="531"/>
      <c r="K652" s="531"/>
      <c r="L652" s="531"/>
      <c r="M652" s="531"/>
      <c r="N652" s="531" t="str">
        <f aca="false">IF('(1)예금승인내역'!H1278="","",'(1)예금승인내역'!H1278)</f>
        <v/>
      </c>
      <c r="O652" s="531" t="str">
        <f aca="false">IF('(1)예금승인내역'!G1278="","",'(1)예금승인내역'!G1278)</f>
        <v/>
      </c>
      <c r="P652" s="531" t="str">
        <f aca="false">IF('(1)예금승인내역'!F1278="","",'(1)예금승인내역'!F1278)</f>
        <v/>
      </c>
      <c r="Q652" s="531" t="str">
        <f aca="false">IF('(1)예금승인내역'!C1278="","",'(1)예금승인내역'!C1278)</f>
        <v/>
      </c>
      <c r="R652" s="531" t="str">
        <f aca="false">IF('(1)예금승인내역'!K1278="","",'(1)예금승인내역'!K1278)</f>
        <v/>
      </c>
      <c r="S652" s="531" t="str">
        <f aca="false">IF('(1)예금승인내역'!L1278="","",'(1)예금승인내역'!L1278)</f>
        <v/>
      </c>
      <c r="T652" s="531" t="str">
        <f aca="false">IF('(1)예금승인내역'!AG1278="","",'(1)예금승인내역'!AG1278)</f>
        <v/>
      </c>
      <c r="U652" s="531" t="str">
        <f aca="false">IF('(1)예금승인내역'!X1278="","",'(1)예금승인내역'!X1278)</f>
        <v/>
      </c>
      <c r="V652" s="531" t="str">
        <f aca="false">IF(ISNUMBER(N652),N652-$B$2,"")</f>
        <v/>
      </c>
      <c r="W652" s="531" t="str">
        <f aca="false">IF(AND(ISNUMBER(N652),N652&gt;=$B$2,N652&lt;=$B$2+10),N652*100000+ROW(),"")</f>
        <v/>
      </c>
      <c r="X652" s="531"/>
      <c r="Y652" s="531"/>
      <c r="Z652" s="531"/>
      <c r="AA652" s="531"/>
      <c r="AB652" s="531"/>
      <c r="AC652" s="531"/>
      <c r="AD652" s="531"/>
      <c r="AE652" s="531"/>
      <c r="AF652" s="531"/>
      <c r="AG652" s="531"/>
      <c r="AH652" s="531"/>
      <c r="AI652" s="531"/>
      <c r="AJ652" s="531"/>
      <c r="AK652" s="531"/>
      <c r="AL652" s="531"/>
      <c r="AM652" s="531"/>
      <c r="AN652" s="531"/>
    </row>
    <row r="653" customFormat="false" ht="16.5" hidden="false" customHeight="true" outlineLevel="0" collapsed="false">
      <c r="A653" s="531"/>
      <c r="B653" s="531"/>
      <c r="C653" s="531"/>
      <c r="D653" s="531"/>
      <c r="E653" s="531"/>
      <c r="F653" s="531"/>
      <c r="G653" s="531"/>
      <c r="H653" s="531"/>
      <c r="I653" s="531"/>
      <c r="J653" s="531"/>
      <c r="K653" s="531"/>
      <c r="L653" s="531"/>
      <c r="M653" s="531"/>
      <c r="N653" s="531" t="str">
        <f aca="false">IF('(1)예금승인내역'!H1279="","",'(1)예금승인내역'!H1279)</f>
        <v/>
      </c>
      <c r="O653" s="531" t="str">
        <f aca="false">IF('(1)예금승인내역'!G1279="","",'(1)예금승인내역'!G1279)</f>
        <v/>
      </c>
      <c r="P653" s="531" t="str">
        <f aca="false">IF('(1)예금승인내역'!F1279="","",'(1)예금승인내역'!F1279)</f>
        <v/>
      </c>
      <c r="Q653" s="531" t="str">
        <f aca="false">IF('(1)예금승인내역'!C1279="","",'(1)예금승인내역'!C1279)</f>
        <v/>
      </c>
      <c r="R653" s="531" t="str">
        <f aca="false">IF('(1)예금승인내역'!K1279="","",'(1)예금승인내역'!K1279)</f>
        <v/>
      </c>
      <c r="S653" s="531" t="str">
        <f aca="false">IF('(1)예금승인내역'!L1279="","",'(1)예금승인내역'!L1279)</f>
        <v/>
      </c>
      <c r="T653" s="531" t="str">
        <f aca="false">IF('(1)예금승인내역'!AG1279="","",'(1)예금승인내역'!AG1279)</f>
        <v/>
      </c>
      <c r="U653" s="531" t="str">
        <f aca="false">IF('(1)예금승인내역'!X1279="","",'(1)예금승인내역'!X1279)</f>
        <v/>
      </c>
      <c r="V653" s="531" t="str">
        <f aca="false">IF(ISNUMBER(N653),N653-$B$2,"")</f>
        <v/>
      </c>
      <c r="W653" s="531" t="str">
        <f aca="false">IF(AND(ISNUMBER(N653),N653&gt;=$B$2,N653&lt;=$B$2+10),N653*100000+ROW(),"")</f>
        <v/>
      </c>
      <c r="X653" s="531"/>
      <c r="Y653" s="531"/>
      <c r="Z653" s="531"/>
      <c r="AA653" s="531"/>
      <c r="AB653" s="531"/>
      <c r="AC653" s="531"/>
      <c r="AD653" s="531"/>
      <c r="AE653" s="531"/>
      <c r="AF653" s="531"/>
      <c r="AG653" s="531"/>
      <c r="AH653" s="531"/>
      <c r="AI653" s="531"/>
      <c r="AJ653" s="531"/>
      <c r="AK653" s="531"/>
      <c r="AL653" s="531"/>
      <c r="AM653" s="531"/>
      <c r="AN653" s="531"/>
    </row>
    <row r="654" customFormat="false" ht="16.5" hidden="false" customHeight="true" outlineLevel="0" collapsed="false">
      <c r="A654" s="531"/>
      <c r="B654" s="531"/>
      <c r="C654" s="531"/>
      <c r="D654" s="531"/>
      <c r="E654" s="531"/>
      <c r="F654" s="531"/>
      <c r="G654" s="531"/>
      <c r="H654" s="531"/>
      <c r="I654" s="531"/>
      <c r="J654" s="531"/>
      <c r="K654" s="531"/>
      <c r="L654" s="531"/>
      <c r="M654" s="531"/>
      <c r="N654" s="531" t="str">
        <f aca="false">IF('(1)예금승인내역'!H1280="","",'(1)예금승인내역'!H1280)</f>
        <v/>
      </c>
      <c r="O654" s="531" t="str">
        <f aca="false">IF('(1)예금승인내역'!G1280="","",'(1)예금승인내역'!G1280)</f>
        <v/>
      </c>
      <c r="P654" s="531" t="str">
        <f aca="false">IF('(1)예금승인내역'!F1280="","",'(1)예금승인내역'!F1280)</f>
        <v/>
      </c>
      <c r="Q654" s="531" t="str">
        <f aca="false">IF('(1)예금승인내역'!C1280="","",'(1)예금승인내역'!C1280)</f>
        <v/>
      </c>
      <c r="R654" s="531" t="str">
        <f aca="false">IF('(1)예금승인내역'!K1280="","",'(1)예금승인내역'!K1280)</f>
        <v/>
      </c>
      <c r="S654" s="531" t="str">
        <f aca="false">IF('(1)예금승인내역'!L1280="","",'(1)예금승인내역'!L1280)</f>
        <v/>
      </c>
      <c r="T654" s="531" t="str">
        <f aca="false">IF('(1)예금승인내역'!AG1280="","",'(1)예금승인내역'!AG1280)</f>
        <v/>
      </c>
      <c r="U654" s="531" t="str">
        <f aca="false">IF('(1)예금승인내역'!X1280="","",'(1)예금승인내역'!X1280)</f>
        <v/>
      </c>
      <c r="V654" s="531" t="str">
        <f aca="false">IF(ISNUMBER(N654),N654-$B$2,"")</f>
        <v/>
      </c>
      <c r="W654" s="531" t="str">
        <f aca="false">IF(AND(ISNUMBER(N654),N654&gt;=$B$2,N654&lt;=$B$2+10),N654*100000+ROW(),"")</f>
        <v/>
      </c>
      <c r="X654" s="531"/>
      <c r="Y654" s="531"/>
      <c r="Z654" s="531"/>
      <c r="AA654" s="531"/>
      <c r="AB654" s="531"/>
      <c r="AC654" s="531"/>
      <c r="AD654" s="531"/>
      <c r="AE654" s="531"/>
      <c r="AF654" s="531"/>
      <c r="AG654" s="531"/>
      <c r="AH654" s="531"/>
      <c r="AI654" s="531"/>
      <c r="AJ654" s="531"/>
      <c r="AK654" s="531"/>
      <c r="AL654" s="531"/>
      <c r="AM654" s="531"/>
      <c r="AN654" s="531"/>
    </row>
    <row r="655" customFormat="false" ht="16.5" hidden="false" customHeight="true" outlineLevel="0" collapsed="false">
      <c r="A655" s="531"/>
      <c r="B655" s="531"/>
      <c r="C655" s="531"/>
      <c r="D655" s="531"/>
      <c r="E655" s="531"/>
      <c r="F655" s="531"/>
      <c r="G655" s="531"/>
      <c r="H655" s="531"/>
      <c r="I655" s="531"/>
      <c r="J655" s="531"/>
      <c r="K655" s="531"/>
      <c r="L655" s="531"/>
      <c r="M655" s="531"/>
      <c r="N655" s="531" t="str">
        <f aca="false">IF('(1)예금승인내역'!H1281="","",'(1)예금승인내역'!H1281)</f>
        <v/>
      </c>
      <c r="O655" s="531" t="str">
        <f aca="false">IF('(1)예금승인내역'!G1281="","",'(1)예금승인내역'!G1281)</f>
        <v/>
      </c>
      <c r="P655" s="531" t="str">
        <f aca="false">IF('(1)예금승인내역'!F1281="","",'(1)예금승인내역'!F1281)</f>
        <v/>
      </c>
      <c r="Q655" s="531" t="str">
        <f aca="false">IF('(1)예금승인내역'!C1281="","",'(1)예금승인내역'!C1281)</f>
        <v/>
      </c>
      <c r="R655" s="531" t="str">
        <f aca="false">IF('(1)예금승인내역'!K1281="","",'(1)예금승인내역'!K1281)</f>
        <v/>
      </c>
      <c r="S655" s="531" t="str">
        <f aca="false">IF('(1)예금승인내역'!L1281="","",'(1)예금승인내역'!L1281)</f>
        <v/>
      </c>
      <c r="T655" s="531" t="str">
        <f aca="false">IF('(1)예금승인내역'!AG1281="","",'(1)예금승인내역'!AG1281)</f>
        <v/>
      </c>
      <c r="U655" s="531" t="str">
        <f aca="false">IF('(1)예금승인내역'!X1281="","",'(1)예금승인내역'!X1281)</f>
        <v/>
      </c>
      <c r="V655" s="531" t="str">
        <f aca="false">IF(ISNUMBER(N655),N655-$B$2,"")</f>
        <v/>
      </c>
      <c r="W655" s="531" t="str">
        <f aca="false">IF(AND(ISNUMBER(N655),N655&gt;=$B$2,N655&lt;=$B$2+10),N655*100000+ROW(),"")</f>
        <v/>
      </c>
      <c r="X655" s="531"/>
      <c r="Y655" s="531"/>
      <c r="Z655" s="531"/>
      <c r="AA655" s="531"/>
      <c r="AB655" s="531"/>
      <c r="AC655" s="531"/>
      <c r="AD655" s="531"/>
      <c r="AE655" s="531"/>
      <c r="AF655" s="531"/>
      <c r="AG655" s="531"/>
      <c r="AH655" s="531"/>
      <c r="AI655" s="531"/>
      <c r="AJ655" s="531"/>
      <c r="AK655" s="531"/>
      <c r="AL655" s="531"/>
      <c r="AM655" s="531"/>
      <c r="AN655" s="531"/>
    </row>
    <row r="656" customFormat="false" ht="16.5" hidden="false" customHeight="true" outlineLevel="0" collapsed="false">
      <c r="A656" s="531"/>
      <c r="B656" s="531"/>
      <c r="C656" s="531"/>
      <c r="D656" s="531"/>
      <c r="E656" s="531"/>
      <c r="F656" s="531"/>
      <c r="G656" s="531"/>
      <c r="H656" s="531"/>
      <c r="I656" s="531"/>
      <c r="J656" s="531"/>
      <c r="K656" s="531"/>
      <c r="L656" s="531"/>
      <c r="M656" s="531"/>
      <c r="N656" s="531" t="str">
        <f aca="false">IF('(1)예금승인내역'!H1282="","",'(1)예금승인내역'!H1282)</f>
        <v/>
      </c>
      <c r="O656" s="531" t="str">
        <f aca="false">IF('(1)예금승인내역'!G1282="","",'(1)예금승인내역'!G1282)</f>
        <v/>
      </c>
      <c r="P656" s="531" t="str">
        <f aca="false">IF('(1)예금승인내역'!F1282="","",'(1)예금승인내역'!F1282)</f>
        <v/>
      </c>
      <c r="Q656" s="531" t="str">
        <f aca="false">IF('(1)예금승인내역'!C1282="","",'(1)예금승인내역'!C1282)</f>
        <v/>
      </c>
      <c r="R656" s="531" t="str">
        <f aca="false">IF('(1)예금승인내역'!K1282="","",'(1)예금승인내역'!K1282)</f>
        <v/>
      </c>
      <c r="S656" s="531" t="str">
        <f aca="false">IF('(1)예금승인내역'!L1282="","",'(1)예금승인내역'!L1282)</f>
        <v/>
      </c>
      <c r="T656" s="531" t="str">
        <f aca="false">IF('(1)예금승인내역'!AG1282="","",'(1)예금승인내역'!AG1282)</f>
        <v/>
      </c>
      <c r="U656" s="531" t="str">
        <f aca="false">IF('(1)예금승인내역'!X1282="","",'(1)예금승인내역'!X1282)</f>
        <v/>
      </c>
      <c r="V656" s="531" t="str">
        <f aca="false">IF(ISNUMBER(N656),N656-$B$2,"")</f>
        <v/>
      </c>
      <c r="W656" s="531" t="str">
        <f aca="false">IF(AND(ISNUMBER(N656),N656&gt;=$B$2,N656&lt;=$B$2+10),N656*100000+ROW(),"")</f>
        <v/>
      </c>
      <c r="X656" s="531"/>
      <c r="Y656" s="531"/>
      <c r="Z656" s="531"/>
      <c r="AA656" s="531"/>
      <c r="AB656" s="531"/>
      <c r="AC656" s="531"/>
      <c r="AD656" s="531"/>
      <c r="AE656" s="531"/>
      <c r="AF656" s="531"/>
      <c r="AG656" s="531"/>
      <c r="AH656" s="531"/>
      <c r="AI656" s="531"/>
      <c r="AJ656" s="531"/>
      <c r="AK656" s="531"/>
      <c r="AL656" s="531"/>
      <c r="AM656" s="531"/>
      <c r="AN656" s="531"/>
    </row>
    <row r="657" customFormat="false" ht="16.5" hidden="false" customHeight="true" outlineLevel="0" collapsed="false">
      <c r="A657" s="531"/>
      <c r="B657" s="531"/>
      <c r="C657" s="531"/>
      <c r="D657" s="531"/>
      <c r="E657" s="531"/>
      <c r="F657" s="531"/>
      <c r="G657" s="531"/>
      <c r="H657" s="531"/>
      <c r="I657" s="531"/>
      <c r="J657" s="531"/>
      <c r="K657" s="531"/>
      <c r="L657" s="531"/>
      <c r="M657" s="531"/>
      <c r="N657" s="531" t="str">
        <f aca="false">IF('(1)예금승인내역'!H1283="","",'(1)예금승인내역'!H1283)</f>
        <v/>
      </c>
      <c r="O657" s="531" t="str">
        <f aca="false">IF('(1)예금승인내역'!G1283="","",'(1)예금승인내역'!G1283)</f>
        <v/>
      </c>
      <c r="P657" s="531" t="str">
        <f aca="false">IF('(1)예금승인내역'!F1283="","",'(1)예금승인내역'!F1283)</f>
        <v/>
      </c>
      <c r="Q657" s="531" t="str">
        <f aca="false">IF('(1)예금승인내역'!C1283="","",'(1)예금승인내역'!C1283)</f>
        <v/>
      </c>
      <c r="R657" s="531" t="str">
        <f aca="false">IF('(1)예금승인내역'!K1283="","",'(1)예금승인내역'!K1283)</f>
        <v/>
      </c>
      <c r="S657" s="531" t="str">
        <f aca="false">IF('(1)예금승인내역'!L1283="","",'(1)예금승인내역'!L1283)</f>
        <v/>
      </c>
      <c r="T657" s="531" t="str">
        <f aca="false">IF('(1)예금승인내역'!AG1283="","",'(1)예금승인내역'!AG1283)</f>
        <v/>
      </c>
      <c r="U657" s="531" t="str">
        <f aca="false">IF('(1)예금승인내역'!X1283="","",'(1)예금승인내역'!X1283)</f>
        <v/>
      </c>
      <c r="V657" s="531" t="str">
        <f aca="false">IF(ISNUMBER(N657),N657-$B$2,"")</f>
        <v/>
      </c>
      <c r="W657" s="531" t="str">
        <f aca="false">IF(AND(ISNUMBER(N657),N657&gt;=$B$2,N657&lt;=$B$2+10),N657*100000+ROW(),"")</f>
        <v/>
      </c>
      <c r="X657" s="531"/>
      <c r="Y657" s="531"/>
      <c r="Z657" s="531"/>
      <c r="AA657" s="531"/>
      <c r="AB657" s="531"/>
      <c r="AC657" s="531"/>
      <c r="AD657" s="531"/>
      <c r="AE657" s="531"/>
      <c r="AF657" s="531"/>
      <c r="AG657" s="531"/>
      <c r="AH657" s="531"/>
      <c r="AI657" s="531"/>
      <c r="AJ657" s="531"/>
      <c r="AK657" s="531"/>
      <c r="AL657" s="531"/>
      <c r="AM657" s="531"/>
      <c r="AN657" s="531"/>
    </row>
    <row r="658" customFormat="false" ht="16.5" hidden="false" customHeight="true" outlineLevel="0" collapsed="false">
      <c r="A658" s="531"/>
      <c r="B658" s="531"/>
      <c r="C658" s="531"/>
      <c r="D658" s="531"/>
      <c r="E658" s="531"/>
      <c r="F658" s="531"/>
      <c r="G658" s="531"/>
      <c r="H658" s="531"/>
      <c r="I658" s="531"/>
      <c r="J658" s="531"/>
      <c r="K658" s="531"/>
      <c r="L658" s="531"/>
      <c r="M658" s="531"/>
      <c r="N658" s="531" t="str">
        <f aca="false">IF('(1)예금승인내역'!H1284="","",'(1)예금승인내역'!H1284)</f>
        <v/>
      </c>
      <c r="O658" s="531" t="str">
        <f aca="false">IF('(1)예금승인내역'!G1284="","",'(1)예금승인내역'!G1284)</f>
        <v/>
      </c>
      <c r="P658" s="531" t="str">
        <f aca="false">IF('(1)예금승인내역'!F1284="","",'(1)예금승인내역'!F1284)</f>
        <v/>
      </c>
      <c r="Q658" s="531" t="str">
        <f aca="false">IF('(1)예금승인내역'!C1284="","",'(1)예금승인내역'!C1284)</f>
        <v/>
      </c>
      <c r="R658" s="531" t="str">
        <f aca="false">IF('(1)예금승인내역'!K1284="","",'(1)예금승인내역'!K1284)</f>
        <v/>
      </c>
      <c r="S658" s="531" t="str">
        <f aca="false">IF('(1)예금승인내역'!L1284="","",'(1)예금승인내역'!L1284)</f>
        <v/>
      </c>
      <c r="T658" s="531" t="str">
        <f aca="false">IF('(1)예금승인내역'!AG1284="","",'(1)예금승인내역'!AG1284)</f>
        <v/>
      </c>
      <c r="U658" s="531" t="str">
        <f aca="false">IF('(1)예금승인내역'!X1284="","",'(1)예금승인내역'!X1284)</f>
        <v/>
      </c>
      <c r="V658" s="531" t="str">
        <f aca="false">IF(ISNUMBER(N658),N658-$B$2,"")</f>
        <v/>
      </c>
      <c r="W658" s="531" t="str">
        <f aca="false">IF(AND(ISNUMBER(N658),N658&gt;=$B$2,N658&lt;=$B$2+10),N658*100000+ROW(),"")</f>
        <v/>
      </c>
      <c r="X658" s="531"/>
      <c r="Y658" s="531"/>
      <c r="Z658" s="531"/>
      <c r="AA658" s="531"/>
      <c r="AB658" s="531"/>
      <c r="AC658" s="531"/>
      <c r="AD658" s="531"/>
      <c r="AE658" s="531"/>
      <c r="AF658" s="531"/>
      <c r="AG658" s="531"/>
      <c r="AH658" s="531"/>
      <c r="AI658" s="531"/>
      <c r="AJ658" s="531"/>
      <c r="AK658" s="531"/>
      <c r="AL658" s="531"/>
      <c r="AM658" s="531"/>
      <c r="AN658" s="531"/>
    </row>
    <row r="659" customFormat="false" ht="16.5" hidden="false" customHeight="true" outlineLevel="0" collapsed="false">
      <c r="A659" s="531"/>
      <c r="B659" s="531"/>
      <c r="C659" s="531"/>
      <c r="D659" s="531"/>
      <c r="E659" s="531"/>
      <c r="F659" s="531"/>
      <c r="G659" s="531"/>
      <c r="H659" s="531"/>
      <c r="I659" s="531"/>
      <c r="J659" s="531"/>
      <c r="K659" s="531"/>
      <c r="L659" s="531"/>
      <c r="M659" s="531"/>
      <c r="N659" s="531" t="str">
        <f aca="false">IF('(1)예금승인내역'!H1285="","",'(1)예금승인내역'!H1285)</f>
        <v/>
      </c>
      <c r="O659" s="531" t="str">
        <f aca="false">IF('(1)예금승인내역'!G1285="","",'(1)예금승인내역'!G1285)</f>
        <v/>
      </c>
      <c r="P659" s="531" t="str">
        <f aca="false">IF('(1)예금승인내역'!F1285="","",'(1)예금승인내역'!F1285)</f>
        <v/>
      </c>
      <c r="Q659" s="531" t="str">
        <f aca="false">IF('(1)예금승인내역'!C1285="","",'(1)예금승인내역'!C1285)</f>
        <v/>
      </c>
      <c r="R659" s="531" t="str">
        <f aca="false">IF('(1)예금승인내역'!K1285="","",'(1)예금승인내역'!K1285)</f>
        <v/>
      </c>
      <c r="S659" s="531" t="str">
        <f aca="false">IF('(1)예금승인내역'!L1285="","",'(1)예금승인내역'!L1285)</f>
        <v/>
      </c>
      <c r="T659" s="531" t="str">
        <f aca="false">IF('(1)예금승인내역'!AG1285="","",'(1)예금승인내역'!AG1285)</f>
        <v/>
      </c>
      <c r="U659" s="531" t="str">
        <f aca="false">IF('(1)예금승인내역'!X1285="","",'(1)예금승인내역'!X1285)</f>
        <v/>
      </c>
      <c r="V659" s="531" t="str">
        <f aca="false">IF(ISNUMBER(N659),N659-$B$2,"")</f>
        <v/>
      </c>
      <c r="W659" s="531" t="str">
        <f aca="false">IF(AND(ISNUMBER(N659),N659&gt;=$B$2,N659&lt;=$B$2+10),N659*100000+ROW(),"")</f>
        <v/>
      </c>
      <c r="X659" s="531"/>
      <c r="Y659" s="531"/>
      <c r="Z659" s="531"/>
      <c r="AA659" s="531"/>
      <c r="AB659" s="531"/>
      <c r="AC659" s="531"/>
      <c r="AD659" s="531"/>
      <c r="AE659" s="531"/>
      <c r="AF659" s="531"/>
      <c r="AG659" s="531"/>
      <c r="AH659" s="531"/>
      <c r="AI659" s="531"/>
      <c r="AJ659" s="531"/>
      <c r="AK659" s="531"/>
      <c r="AL659" s="531"/>
      <c r="AM659" s="531"/>
      <c r="AN659" s="531"/>
    </row>
    <row r="660" customFormat="false" ht="16.5" hidden="false" customHeight="true" outlineLevel="0" collapsed="false">
      <c r="A660" s="531"/>
      <c r="B660" s="531"/>
      <c r="C660" s="531"/>
      <c r="D660" s="531"/>
      <c r="E660" s="531"/>
      <c r="F660" s="531"/>
      <c r="G660" s="531"/>
      <c r="H660" s="531"/>
      <c r="I660" s="531"/>
      <c r="J660" s="531"/>
      <c r="K660" s="531"/>
      <c r="L660" s="531"/>
      <c r="M660" s="531"/>
      <c r="N660" s="531" t="str">
        <f aca="false">IF('(1)예금승인내역'!H1286="","",'(1)예금승인내역'!H1286)</f>
        <v/>
      </c>
      <c r="O660" s="531" t="str">
        <f aca="false">IF('(1)예금승인내역'!G1286="","",'(1)예금승인내역'!G1286)</f>
        <v/>
      </c>
      <c r="P660" s="531" t="str">
        <f aca="false">IF('(1)예금승인내역'!F1286="","",'(1)예금승인내역'!F1286)</f>
        <v/>
      </c>
      <c r="Q660" s="531" t="str">
        <f aca="false">IF('(1)예금승인내역'!C1286="","",'(1)예금승인내역'!C1286)</f>
        <v/>
      </c>
      <c r="R660" s="531" t="str">
        <f aca="false">IF('(1)예금승인내역'!K1286="","",'(1)예금승인내역'!K1286)</f>
        <v/>
      </c>
      <c r="S660" s="531" t="str">
        <f aca="false">IF('(1)예금승인내역'!L1286="","",'(1)예금승인내역'!L1286)</f>
        <v/>
      </c>
      <c r="T660" s="531" t="str">
        <f aca="false">IF('(1)예금승인내역'!AG1286="","",'(1)예금승인내역'!AG1286)</f>
        <v/>
      </c>
      <c r="U660" s="531" t="str">
        <f aca="false">IF('(1)예금승인내역'!X1286="","",'(1)예금승인내역'!X1286)</f>
        <v/>
      </c>
      <c r="V660" s="531" t="str">
        <f aca="false">IF(ISNUMBER(N660),N660-$B$2,"")</f>
        <v/>
      </c>
      <c r="W660" s="531" t="str">
        <f aca="false">IF(AND(ISNUMBER(N660),N660&gt;=$B$2,N660&lt;=$B$2+10),N660*100000+ROW(),"")</f>
        <v/>
      </c>
      <c r="X660" s="531"/>
      <c r="Y660" s="531"/>
      <c r="Z660" s="531"/>
      <c r="AA660" s="531"/>
      <c r="AB660" s="531"/>
      <c r="AC660" s="531"/>
      <c r="AD660" s="531"/>
      <c r="AE660" s="531"/>
      <c r="AF660" s="531"/>
      <c r="AG660" s="531"/>
      <c r="AH660" s="531"/>
      <c r="AI660" s="531"/>
      <c r="AJ660" s="531"/>
      <c r="AK660" s="531"/>
      <c r="AL660" s="531"/>
      <c r="AM660" s="531"/>
      <c r="AN660" s="531"/>
    </row>
    <row r="661" customFormat="false" ht="16.5" hidden="false" customHeight="true" outlineLevel="0" collapsed="false">
      <c r="A661" s="531"/>
      <c r="B661" s="531"/>
      <c r="C661" s="531"/>
      <c r="D661" s="531"/>
      <c r="E661" s="531"/>
      <c r="F661" s="531"/>
      <c r="G661" s="531"/>
      <c r="H661" s="531"/>
      <c r="I661" s="531"/>
      <c r="J661" s="531"/>
      <c r="K661" s="531"/>
      <c r="L661" s="531"/>
      <c r="M661" s="531"/>
      <c r="N661" s="531" t="str">
        <f aca="false">IF('(1)예금승인내역'!H1287="","",'(1)예금승인내역'!H1287)</f>
        <v/>
      </c>
      <c r="O661" s="531" t="str">
        <f aca="false">IF('(1)예금승인내역'!G1287="","",'(1)예금승인내역'!G1287)</f>
        <v/>
      </c>
      <c r="P661" s="531" t="str">
        <f aca="false">IF('(1)예금승인내역'!F1287="","",'(1)예금승인내역'!F1287)</f>
        <v/>
      </c>
      <c r="Q661" s="531" t="str">
        <f aca="false">IF('(1)예금승인내역'!C1287="","",'(1)예금승인내역'!C1287)</f>
        <v/>
      </c>
      <c r="R661" s="531" t="str">
        <f aca="false">IF('(1)예금승인내역'!K1287="","",'(1)예금승인내역'!K1287)</f>
        <v/>
      </c>
      <c r="S661" s="531" t="str">
        <f aca="false">IF('(1)예금승인내역'!L1287="","",'(1)예금승인내역'!L1287)</f>
        <v/>
      </c>
      <c r="T661" s="531" t="str">
        <f aca="false">IF('(1)예금승인내역'!AG1287="","",'(1)예금승인내역'!AG1287)</f>
        <v/>
      </c>
      <c r="U661" s="531" t="str">
        <f aca="false">IF('(1)예금승인내역'!X1287="","",'(1)예금승인내역'!X1287)</f>
        <v/>
      </c>
      <c r="V661" s="531" t="str">
        <f aca="false">IF(ISNUMBER(N661),N661-$B$2,"")</f>
        <v/>
      </c>
      <c r="W661" s="531" t="str">
        <f aca="false">IF(AND(ISNUMBER(N661),N661&gt;=$B$2,N661&lt;=$B$2+10),N661*100000+ROW(),"")</f>
        <v/>
      </c>
      <c r="X661" s="531"/>
      <c r="Y661" s="531"/>
      <c r="Z661" s="531"/>
      <c r="AA661" s="531"/>
      <c r="AB661" s="531"/>
      <c r="AC661" s="531"/>
      <c r="AD661" s="531"/>
      <c r="AE661" s="531"/>
      <c r="AF661" s="531"/>
      <c r="AG661" s="531"/>
      <c r="AH661" s="531"/>
      <c r="AI661" s="531"/>
      <c r="AJ661" s="531"/>
      <c r="AK661" s="531"/>
      <c r="AL661" s="531"/>
      <c r="AM661" s="531"/>
      <c r="AN661" s="531"/>
    </row>
    <row r="662" customFormat="false" ht="16.5" hidden="false" customHeight="true" outlineLevel="0" collapsed="false">
      <c r="A662" s="531"/>
      <c r="B662" s="531"/>
      <c r="C662" s="531"/>
      <c r="D662" s="531"/>
      <c r="E662" s="531"/>
      <c r="F662" s="531"/>
      <c r="G662" s="531"/>
      <c r="H662" s="531"/>
      <c r="I662" s="531"/>
      <c r="J662" s="531"/>
      <c r="K662" s="531"/>
      <c r="L662" s="531"/>
      <c r="M662" s="531"/>
      <c r="N662" s="531" t="str">
        <f aca="false">IF('(1)예금승인내역'!H1288="","",'(1)예금승인내역'!H1288)</f>
        <v/>
      </c>
      <c r="O662" s="531" t="str">
        <f aca="false">IF('(1)예금승인내역'!G1288="","",'(1)예금승인내역'!G1288)</f>
        <v/>
      </c>
      <c r="P662" s="531" t="str">
        <f aca="false">IF('(1)예금승인내역'!F1288="","",'(1)예금승인내역'!F1288)</f>
        <v/>
      </c>
      <c r="Q662" s="531" t="str">
        <f aca="false">IF('(1)예금승인내역'!C1288="","",'(1)예금승인내역'!C1288)</f>
        <v/>
      </c>
      <c r="R662" s="531" t="str">
        <f aca="false">IF('(1)예금승인내역'!K1288="","",'(1)예금승인내역'!K1288)</f>
        <v/>
      </c>
      <c r="S662" s="531" t="str">
        <f aca="false">IF('(1)예금승인내역'!L1288="","",'(1)예금승인내역'!L1288)</f>
        <v/>
      </c>
      <c r="T662" s="531" t="str">
        <f aca="false">IF('(1)예금승인내역'!AG1288="","",'(1)예금승인내역'!AG1288)</f>
        <v/>
      </c>
      <c r="U662" s="531" t="str">
        <f aca="false">IF('(1)예금승인내역'!X1288="","",'(1)예금승인내역'!X1288)</f>
        <v/>
      </c>
      <c r="V662" s="531" t="str">
        <f aca="false">IF(ISNUMBER(N662),N662-$B$2,"")</f>
        <v/>
      </c>
      <c r="W662" s="531" t="str">
        <f aca="false">IF(AND(ISNUMBER(N662),N662&gt;=$B$2,N662&lt;=$B$2+10),N662*100000+ROW(),"")</f>
        <v/>
      </c>
      <c r="X662" s="531"/>
      <c r="Y662" s="531"/>
      <c r="Z662" s="531"/>
      <c r="AA662" s="531"/>
      <c r="AB662" s="531"/>
      <c r="AC662" s="531"/>
      <c r="AD662" s="531"/>
      <c r="AE662" s="531"/>
      <c r="AF662" s="531"/>
      <c r="AG662" s="531"/>
      <c r="AH662" s="531"/>
      <c r="AI662" s="531"/>
      <c r="AJ662" s="531"/>
      <c r="AK662" s="531"/>
      <c r="AL662" s="531"/>
      <c r="AM662" s="531"/>
      <c r="AN662" s="531"/>
    </row>
    <row r="663" customFormat="false" ht="16.5" hidden="false" customHeight="true" outlineLevel="0" collapsed="false">
      <c r="A663" s="531"/>
      <c r="B663" s="531"/>
      <c r="C663" s="531"/>
      <c r="D663" s="531"/>
      <c r="E663" s="531"/>
      <c r="F663" s="531"/>
      <c r="G663" s="531"/>
      <c r="H663" s="531"/>
      <c r="I663" s="531"/>
      <c r="J663" s="531"/>
      <c r="K663" s="531"/>
      <c r="L663" s="531"/>
      <c r="M663" s="531"/>
      <c r="N663" s="531" t="str">
        <f aca="false">IF('(1)예금승인내역'!H1289="","",'(1)예금승인내역'!H1289)</f>
        <v/>
      </c>
      <c r="O663" s="531" t="str">
        <f aca="false">IF('(1)예금승인내역'!G1289="","",'(1)예금승인내역'!G1289)</f>
        <v/>
      </c>
      <c r="P663" s="531" t="str">
        <f aca="false">IF('(1)예금승인내역'!F1289="","",'(1)예금승인내역'!F1289)</f>
        <v/>
      </c>
      <c r="Q663" s="531" t="str">
        <f aca="false">IF('(1)예금승인내역'!C1289="","",'(1)예금승인내역'!C1289)</f>
        <v/>
      </c>
      <c r="R663" s="531" t="str">
        <f aca="false">IF('(1)예금승인내역'!K1289="","",'(1)예금승인내역'!K1289)</f>
        <v/>
      </c>
      <c r="S663" s="531" t="str">
        <f aca="false">IF('(1)예금승인내역'!L1289="","",'(1)예금승인내역'!L1289)</f>
        <v/>
      </c>
      <c r="T663" s="531" t="str">
        <f aca="false">IF('(1)예금승인내역'!AG1289="","",'(1)예금승인내역'!AG1289)</f>
        <v/>
      </c>
      <c r="U663" s="531" t="str">
        <f aca="false">IF('(1)예금승인내역'!X1289="","",'(1)예금승인내역'!X1289)</f>
        <v/>
      </c>
      <c r="V663" s="531" t="str">
        <f aca="false">IF(ISNUMBER(N663),N663-$B$2,"")</f>
        <v/>
      </c>
      <c r="W663" s="531" t="str">
        <f aca="false">IF(AND(ISNUMBER(N663),N663&gt;=$B$2,N663&lt;=$B$2+10),N663*100000+ROW(),"")</f>
        <v/>
      </c>
      <c r="X663" s="531"/>
      <c r="Y663" s="531"/>
      <c r="Z663" s="531"/>
      <c r="AA663" s="531"/>
      <c r="AB663" s="531"/>
      <c r="AC663" s="531"/>
      <c r="AD663" s="531"/>
      <c r="AE663" s="531"/>
      <c r="AF663" s="531"/>
      <c r="AG663" s="531"/>
      <c r="AH663" s="531"/>
      <c r="AI663" s="531"/>
      <c r="AJ663" s="531"/>
      <c r="AK663" s="531"/>
      <c r="AL663" s="531"/>
      <c r="AM663" s="531"/>
      <c r="AN663" s="531"/>
    </row>
    <row r="664" customFormat="false" ht="16.5" hidden="false" customHeight="true" outlineLevel="0" collapsed="false">
      <c r="A664" s="531"/>
      <c r="B664" s="531"/>
      <c r="C664" s="531"/>
      <c r="D664" s="531"/>
      <c r="E664" s="531"/>
      <c r="F664" s="531"/>
      <c r="G664" s="531"/>
      <c r="H664" s="531"/>
      <c r="I664" s="531"/>
      <c r="J664" s="531"/>
      <c r="K664" s="531"/>
      <c r="L664" s="531"/>
      <c r="M664" s="531"/>
      <c r="N664" s="531" t="str">
        <f aca="false">IF('(1)예금승인내역'!H1290="","",'(1)예금승인내역'!H1290)</f>
        <v/>
      </c>
      <c r="O664" s="531" t="str">
        <f aca="false">IF('(1)예금승인내역'!G1290="","",'(1)예금승인내역'!G1290)</f>
        <v/>
      </c>
      <c r="P664" s="531" t="str">
        <f aca="false">IF('(1)예금승인내역'!F1290="","",'(1)예금승인내역'!F1290)</f>
        <v/>
      </c>
      <c r="Q664" s="531" t="str">
        <f aca="false">IF('(1)예금승인내역'!C1290="","",'(1)예금승인내역'!C1290)</f>
        <v/>
      </c>
      <c r="R664" s="531" t="str">
        <f aca="false">IF('(1)예금승인내역'!K1290="","",'(1)예금승인내역'!K1290)</f>
        <v/>
      </c>
      <c r="S664" s="531" t="str">
        <f aca="false">IF('(1)예금승인내역'!L1290="","",'(1)예금승인내역'!L1290)</f>
        <v/>
      </c>
      <c r="T664" s="531" t="str">
        <f aca="false">IF('(1)예금승인내역'!AG1290="","",'(1)예금승인내역'!AG1290)</f>
        <v/>
      </c>
      <c r="U664" s="531" t="str">
        <f aca="false">IF('(1)예금승인내역'!X1290="","",'(1)예금승인내역'!X1290)</f>
        <v/>
      </c>
      <c r="V664" s="531" t="str">
        <f aca="false">IF(ISNUMBER(N664),N664-$B$2,"")</f>
        <v/>
      </c>
      <c r="W664" s="531" t="str">
        <f aca="false">IF(AND(ISNUMBER(N664),N664&gt;=$B$2,N664&lt;=$B$2+10),N664*100000+ROW(),"")</f>
        <v/>
      </c>
      <c r="X664" s="531"/>
      <c r="Y664" s="531"/>
      <c r="Z664" s="531"/>
      <c r="AA664" s="531"/>
      <c r="AB664" s="531"/>
      <c r="AC664" s="531"/>
      <c r="AD664" s="531"/>
      <c r="AE664" s="531"/>
      <c r="AF664" s="531"/>
      <c r="AG664" s="531"/>
      <c r="AH664" s="531"/>
      <c r="AI664" s="531"/>
      <c r="AJ664" s="531"/>
      <c r="AK664" s="531"/>
      <c r="AL664" s="531"/>
      <c r="AM664" s="531"/>
      <c r="AN664" s="531"/>
    </row>
    <row r="665" customFormat="false" ht="16.5" hidden="false" customHeight="true" outlineLevel="0" collapsed="false">
      <c r="A665" s="531"/>
      <c r="B665" s="531"/>
      <c r="C665" s="531"/>
      <c r="D665" s="531"/>
      <c r="E665" s="531"/>
      <c r="F665" s="531"/>
      <c r="G665" s="531"/>
      <c r="H665" s="531"/>
      <c r="I665" s="531"/>
      <c r="J665" s="531"/>
      <c r="K665" s="531"/>
      <c r="L665" s="531"/>
      <c r="M665" s="531"/>
      <c r="N665" s="531" t="str">
        <f aca="false">IF('(1)예금승인내역'!H1291="","",'(1)예금승인내역'!H1291)</f>
        <v/>
      </c>
      <c r="O665" s="531" t="str">
        <f aca="false">IF('(1)예금승인내역'!G1291="","",'(1)예금승인내역'!G1291)</f>
        <v/>
      </c>
      <c r="P665" s="531" t="str">
        <f aca="false">IF('(1)예금승인내역'!F1291="","",'(1)예금승인내역'!F1291)</f>
        <v/>
      </c>
      <c r="Q665" s="531" t="str">
        <f aca="false">IF('(1)예금승인내역'!C1291="","",'(1)예금승인내역'!C1291)</f>
        <v/>
      </c>
      <c r="R665" s="531" t="str">
        <f aca="false">IF('(1)예금승인내역'!K1291="","",'(1)예금승인내역'!K1291)</f>
        <v/>
      </c>
      <c r="S665" s="531" t="str">
        <f aca="false">IF('(1)예금승인내역'!L1291="","",'(1)예금승인내역'!L1291)</f>
        <v/>
      </c>
      <c r="T665" s="531" t="str">
        <f aca="false">IF('(1)예금승인내역'!AG1291="","",'(1)예금승인내역'!AG1291)</f>
        <v/>
      </c>
      <c r="U665" s="531" t="str">
        <f aca="false">IF('(1)예금승인내역'!X1291="","",'(1)예금승인내역'!X1291)</f>
        <v/>
      </c>
      <c r="V665" s="531" t="str">
        <f aca="false">IF(ISNUMBER(N665),N665-$B$2,"")</f>
        <v/>
      </c>
      <c r="W665" s="531" t="str">
        <f aca="false">IF(AND(ISNUMBER(N665),N665&gt;=$B$2,N665&lt;=$B$2+10),N665*100000+ROW(),"")</f>
        <v/>
      </c>
      <c r="X665" s="531"/>
      <c r="Y665" s="531"/>
      <c r="Z665" s="531"/>
      <c r="AA665" s="531"/>
      <c r="AB665" s="531"/>
      <c r="AC665" s="531"/>
      <c r="AD665" s="531"/>
      <c r="AE665" s="531"/>
      <c r="AF665" s="531"/>
      <c r="AG665" s="531"/>
      <c r="AH665" s="531"/>
      <c r="AI665" s="531"/>
      <c r="AJ665" s="531"/>
      <c r="AK665" s="531"/>
      <c r="AL665" s="531"/>
      <c r="AM665" s="531"/>
      <c r="AN665" s="531"/>
    </row>
    <row r="666" customFormat="false" ht="16.5" hidden="false" customHeight="true" outlineLevel="0" collapsed="false">
      <c r="A666" s="531"/>
      <c r="B666" s="531"/>
      <c r="C666" s="531"/>
      <c r="D666" s="531"/>
      <c r="E666" s="531"/>
      <c r="F666" s="531"/>
      <c r="G666" s="531"/>
      <c r="H666" s="531"/>
      <c r="I666" s="531"/>
      <c r="J666" s="531"/>
      <c r="K666" s="531"/>
      <c r="L666" s="531"/>
      <c r="M666" s="531"/>
      <c r="N666" s="531" t="str">
        <f aca="false">IF('(1)예금승인내역'!H1292="","",'(1)예금승인내역'!H1292)</f>
        <v/>
      </c>
      <c r="O666" s="531" t="str">
        <f aca="false">IF('(1)예금승인내역'!G1292="","",'(1)예금승인내역'!G1292)</f>
        <v/>
      </c>
      <c r="P666" s="531" t="str">
        <f aca="false">IF('(1)예금승인내역'!F1292="","",'(1)예금승인내역'!F1292)</f>
        <v/>
      </c>
      <c r="Q666" s="531" t="str">
        <f aca="false">IF('(1)예금승인내역'!C1292="","",'(1)예금승인내역'!C1292)</f>
        <v/>
      </c>
      <c r="R666" s="531" t="str">
        <f aca="false">IF('(1)예금승인내역'!K1292="","",'(1)예금승인내역'!K1292)</f>
        <v/>
      </c>
      <c r="S666" s="531" t="str">
        <f aca="false">IF('(1)예금승인내역'!L1292="","",'(1)예금승인내역'!L1292)</f>
        <v/>
      </c>
      <c r="T666" s="531" t="str">
        <f aca="false">IF('(1)예금승인내역'!AG1292="","",'(1)예금승인내역'!AG1292)</f>
        <v/>
      </c>
      <c r="U666" s="531" t="str">
        <f aca="false">IF('(1)예금승인내역'!X1292="","",'(1)예금승인내역'!X1292)</f>
        <v/>
      </c>
      <c r="V666" s="531" t="str">
        <f aca="false">IF(ISNUMBER(N666),N666-$B$2,"")</f>
        <v/>
      </c>
      <c r="W666" s="531" t="str">
        <f aca="false">IF(AND(ISNUMBER(N666),N666&gt;=$B$2,N666&lt;=$B$2+10),N666*100000+ROW(),"")</f>
        <v/>
      </c>
      <c r="X666" s="531"/>
      <c r="Y666" s="531"/>
      <c r="Z666" s="531"/>
      <c r="AA666" s="531"/>
      <c r="AB666" s="531"/>
      <c r="AC666" s="531"/>
      <c r="AD666" s="531"/>
      <c r="AE666" s="531"/>
      <c r="AF666" s="531"/>
      <c r="AG666" s="531"/>
      <c r="AH666" s="531"/>
      <c r="AI666" s="531"/>
      <c r="AJ666" s="531"/>
      <c r="AK666" s="531"/>
      <c r="AL666" s="531"/>
      <c r="AM666" s="531"/>
      <c r="AN666" s="531"/>
    </row>
    <row r="667" customFormat="false" ht="16.5" hidden="false" customHeight="true" outlineLevel="0" collapsed="false">
      <c r="A667" s="531"/>
      <c r="B667" s="531"/>
      <c r="C667" s="531"/>
      <c r="D667" s="531"/>
      <c r="E667" s="531"/>
      <c r="F667" s="531"/>
      <c r="G667" s="531"/>
      <c r="H667" s="531"/>
      <c r="I667" s="531"/>
      <c r="J667" s="531"/>
      <c r="K667" s="531"/>
      <c r="L667" s="531"/>
      <c r="M667" s="531"/>
      <c r="N667" s="531" t="str">
        <f aca="false">IF('(1)예금승인내역'!H1293="","",'(1)예금승인내역'!H1293)</f>
        <v/>
      </c>
      <c r="O667" s="531" t="str">
        <f aca="false">IF('(1)예금승인내역'!G1293="","",'(1)예금승인내역'!G1293)</f>
        <v/>
      </c>
      <c r="P667" s="531" t="str">
        <f aca="false">IF('(1)예금승인내역'!F1293="","",'(1)예금승인내역'!F1293)</f>
        <v/>
      </c>
      <c r="Q667" s="531" t="str">
        <f aca="false">IF('(1)예금승인내역'!C1293="","",'(1)예금승인내역'!C1293)</f>
        <v/>
      </c>
      <c r="R667" s="531" t="str">
        <f aca="false">IF('(1)예금승인내역'!K1293="","",'(1)예금승인내역'!K1293)</f>
        <v/>
      </c>
      <c r="S667" s="531" t="str">
        <f aca="false">IF('(1)예금승인내역'!L1293="","",'(1)예금승인내역'!L1293)</f>
        <v/>
      </c>
      <c r="T667" s="531" t="str">
        <f aca="false">IF('(1)예금승인내역'!AG1293="","",'(1)예금승인내역'!AG1293)</f>
        <v/>
      </c>
      <c r="U667" s="531" t="str">
        <f aca="false">IF('(1)예금승인내역'!X1293="","",'(1)예금승인내역'!X1293)</f>
        <v/>
      </c>
      <c r="V667" s="531" t="str">
        <f aca="false">IF(ISNUMBER(N667),N667-$B$2,"")</f>
        <v/>
      </c>
      <c r="W667" s="531" t="str">
        <f aca="false">IF(AND(ISNUMBER(N667),N667&gt;=$B$2,N667&lt;=$B$2+10),N667*100000+ROW(),"")</f>
        <v/>
      </c>
      <c r="X667" s="531"/>
      <c r="Y667" s="531"/>
      <c r="Z667" s="531"/>
      <c r="AA667" s="531"/>
      <c r="AB667" s="531"/>
      <c r="AC667" s="531"/>
      <c r="AD667" s="531"/>
      <c r="AE667" s="531"/>
      <c r="AF667" s="531"/>
      <c r="AG667" s="531"/>
      <c r="AH667" s="531"/>
      <c r="AI667" s="531"/>
      <c r="AJ667" s="531"/>
      <c r="AK667" s="531"/>
      <c r="AL667" s="531"/>
      <c r="AM667" s="531"/>
      <c r="AN667" s="531"/>
    </row>
    <row r="668" customFormat="false" ht="16.5" hidden="false" customHeight="true" outlineLevel="0" collapsed="false">
      <c r="A668" s="531"/>
      <c r="B668" s="531"/>
      <c r="C668" s="531"/>
      <c r="D668" s="531"/>
      <c r="E668" s="531"/>
      <c r="F668" s="531"/>
      <c r="G668" s="531"/>
      <c r="H668" s="531"/>
      <c r="I668" s="531"/>
      <c r="J668" s="531"/>
      <c r="K668" s="531"/>
      <c r="L668" s="531"/>
      <c r="M668" s="531"/>
      <c r="N668" s="531" t="str">
        <f aca="false">IF('(1)예금승인내역'!H1294="","",'(1)예금승인내역'!H1294)</f>
        <v/>
      </c>
      <c r="O668" s="531" t="str">
        <f aca="false">IF('(1)예금승인내역'!G1294="","",'(1)예금승인내역'!G1294)</f>
        <v/>
      </c>
      <c r="P668" s="531" t="str">
        <f aca="false">IF('(1)예금승인내역'!F1294="","",'(1)예금승인내역'!F1294)</f>
        <v/>
      </c>
      <c r="Q668" s="531" t="str">
        <f aca="false">IF('(1)예금승인내역'!C1294="","",'(1)예금승인내역'!C1294)</f>
        <v/>
      </c>
      <c r="R668" s="531" t="str">
        <f aca="false">IF('(1)예금승인내역'!K1294="","",'(1)예금승인내역'!K1294)</f>
        <v/>
      </c>
      <c r="S668" s="531" t="str">
        <f aca="false">IF('(1)예금승인내역'!L1294="","",'(1)예금승인내역'!L1294)</f>
        <v/>
      </c>
      <c r="T668" s="531" t="str">
        <f aca="false">IF('(1)예금승인내역'!AG1294="","",'(1)예금승인내역'!AG1294)</f>
        <v/>
      </c>
      <c r="U668" s="531" t="str">
        <f aca="false">IF('(1)예금승인내역'!X1294="","",'(1)예금승인내역'!X1294)</f>
        <v/>
      </c>
      <c r="V668" s="531" t="str">
        <f aca="false">IF(ISNUMBER(N668),N668-$B$2,"")</f>
        <v/>
      </c>
      <c r="W668" s="531" t="str">
        <f aca="false">IF(AND(ISNUMBER(N668),N668&gt;=$B$2,N668&lt;=$B$2+10),N668*100000+ROW(),"")</f>
        <v/>
      </c>
      <c r="X668" s="531"/>
      <c r="Y668" s="531"/>
      <c r="Z668" s="531"/>
      <c r="AA668" s="531"/>
      <c r="AB668" s="531"/>
      <c r="AC668" s="531"/>
      <c r="AD668" s="531"/>
      <c r="AE668" s="531"/>
      <c r="AF668" s="531"/>
      <c r="AG668" s="531"/>
      <c r="AH668" s="531"/>
      <c r="AI668" s="531"/>
      <c r="AJ668" s="531"/>
      <c r="AK668" s="531"/>
      <c r="AL668" s="531"/>
      <c r="AM668" s="531"/>
      <c r="AN668" s="531"/>
    </row>
    <row r="669" customFormat="false" ht="16.5" hidden="false" customHeight="true" outlineLevel="0" collapsed="false">
      <c r="A669" s="531"/>
      <c r="B669" s="531"/>
      <c r="C669" s="531"/>
      <c r="D669" s="531"/>
      <c r="E669" s="531"/>
      <c r="F669" s="531"/>
      <c r="G669" s="531"/>
      <c r="H669" s="531"/>
      <c r="I669" s="531"/>
      <c r="J669" s="531"/>
      <c r="K669" s="531"/>
      <c r="L669" s="531"/>
      <c r="M669" s="531"/>
      <c r="N669" s="531" t="str">
        <f aca="false">IF('(1)예금승인내역'!H1295="","",'(1)예금승인내역'!H1295)</f>
        <v/>
      </c>
      <c r="O669" s="531" t="str">
        <f aca="false">IF('(1)예금승인내역'!G1295="","",'(1)예금승인내역'!G1295)</f>
        <v/>
      </c>
      <c r="P669" s="531" t="str">
        <f aca="false">IF('(1)예금승인내역'!F1295="","",'(1)예금승인내역'!F1295)</f>
        <v/>
      </c>
      <c r="Q669" s="531" t="str">
        <f aca="false">IF('(1)예금승인내역'!C1295="","",'(1)예금승인내역'!C1295)</f>
        <v/>
      </c>
      <c r="R669" s="531" t="str">
        <f aca="false">IF('(1)예금승인내역'!K1295="","",'(1)예금승인내역'!K1295)</f>
        <v/>
      </c>
      <c r="S669" s="531" t="str">
        <f aca="false">IF('(1)예금승인내역'!L1295="","",'(1)예금승인내역'!L1295)</f>
        <v/>
      </c>
      <c r="T669" s="531" t="str">
        <f aca="false">IF('(1)예금승인내역'!AG1295="","",'(1)예금승인내역'!AG1295)</f>
        <v/>
      </c>
      <c r="U669" s="531" t="str">
        <f aca="false">IF('(1)예금승인내역'!X1295="","",'(1)예금승인내역'!X1295)</f>
        <v/>
      </c>
      <c r="V669" s="531" t="str">
        <f aca="false">IF(ISNUMBER(N669),N669-$B$2,"")</f>
        <v/>
      </c>
      <c r="W669" s="531" t="str">
        <f aca="false">IF(AND(ISNUMBER(N669),N669&gt;=$B$2,N669&lt;=$B$2+10),N669*100000+ROW(),"")</f>
        <v/>
      </c>
      <c r="X669" s="531"/>
      <c r="Y669" s="531"/>
      <c r="Z669" s="531"/>
      <c r="AA669" s="531"/>
      <c r="AB669" s="531"/>
      <c r="AC669" s="531"/>
      <c r="AD669" s="531"/>
      <c r="AE669" s="531"/>
      <c r="AF669" s="531"/>
      <c r="AG669" s="531"/>
      <c r="AH669" s="531"/>
      <c r="AI669" s="531"/>
      <c r="AJ669" s="531"/>
      <c r="AK669" s="531"/>
      <c r="AL669" s="531"/>
      <c r="AM669" s="531"/>
      <c r="AN669" s="531"/>
    </row>
    <row r="670" customFormat="false" ht="16.5" hidden="false" customHeight="true" outlineLevel="0" collapsed="false">
      <c r="A670" s="531"/>
      <c r="B670" s="531"/>
      <c r="C670" s="531"/>
      <c r="D670" s="531"/>
      <c r="E670" s="531"/>
      <c r="F670" s="531"/>
      <c r="G670" s="531"/>
      <c r="H670" s="531"/>
      <c r="I670" s="531"/>
      <c r="J670" s="531"/>
      <c r="K670" s="531"/>
      <c r="L670" s="531"/>
      <c r="M670" s="531"/>
      <c r="N670" s="531" t="str">
        <f aca="false">IF('(1)예금승인내역'!H1296="","",'(1)예금승인내역'!H1296)</f>
        <v/>
      </c>
      <c r="O670" s="531" t="str">
        <f aca="false">IF('(1)예금승인내역'!G1296="","",'(1)예금승인내역'!G1296)</f>
        <v/>
      </c>
      <c r="P670" s="531" t="str">
        <f aca="false">IF('(1)예금승인내역'!F1296="","",'(1)예금승인내역'!F1296)</f>
        <v/>
      </c>
      <c r="Q670" s="531" t="str">
        <f aca="false">IF('(1)예금승인내역'!C1296="","",'(1)예금승인내역'!C1296)</f>
        <v/>
      </c>
      <c r="R670" s="531" t="str">
        <f aca="false">IF('(1)예금승인내역'!K1296="","",'(1)예금승인내역'!K1296)</f>
        <v/>
      </c>
      <c r="S670" s="531" t="str">
        <f aca="false">IF('(1)예금승인내역'!L1296="","",'(1)예금승인내역'!L1296)</f>
        <v/>
      </c>
      <c r="T670" s="531" t="str">
        <f aca="false">IF('(1)예금승인내역'!AG1296="","",'(1)예금승인내역'!AG1296)</f>
        <v/>
      </c>
      <c r="U670" s="531" t="str">
        <f aca="false">IF('(1)예금승인내역'!X1296="","",'(1)예금승인내역'!X1296)</f>
        <v/>
      </c>
      <c r="V670" s="531" t="str">
        <f aca="false">IF(ISNUMBER(N670),N670-$B$2,"")</f>
        <v/>
      </c>
      <c r="W670" s="531" t="str">
        <f aca="false">IF(AND(ISNUMBER(N670),N670&gt;=$B$2,N670&lt;=$B$2+10),N670*100000+ROW(),"")</f>
        <v/>
      </c>
      <c r="X670" s="531"/>
      <c r="Y670" s="531"/>
      <c r="Z670" s="531"/>
      <c r="AA670" s="531"/>
      <c r="AB670" s="531"/>
      <c r="AC670" s="531"/>
      <c r="AD670" s="531"/>
      <c r="AE670" s="531"/>
      <c r="AF670" s="531"/>
      <c r="AG670" s="531"/>
      <c r="AH670" s="531"/>
      <c r="AI670" s="531"/>
      <c r="AJ670" s="531"/>
      <c r="AK670" s="531"/>
      <c r="AL670" s="531"/>
      <c r="AM670" s="531"/>
      <c r="AN670" s="531"/>
    </row>
    <row r="671" customFormat="false" ht="16.5" hidden="false" customHeight="true" outlineLevel="0" collapsed="false">
      <c r="A671" s="531"/>
      <c r="B671" s="531"/>
      <c r="C671" s="531"/>
      <c r="D671" s="531"/>
      <c r="E671" s="531"/>
      <c r="F671" s="531"/>
      <c r="G671" s="531"/>
      <c r="H671" s="531"/>
      <c r="I671" s="531"/>
      <c r="J671" s="531"/>
      <c r="K671" s="531"/>
      <c r="L671" s="531"/>
      <c r="M671" s="531"/>
      <c r="N671" s="531" t="str">
        <f aca="false">IF('(1)예금승인내역'!H1297="","",'(1)예금승인내역'!H1297)</f>
        <v/>
      </c>
      <c r="O671" s="531" t="str">
        <f aca="false">IF('(1)예금승인내역'!G1297="","",'(1)예금승인내역'!G1297)</f>
        <v/>
      </c>
      <c r="P671" s="531" t="str">
        <f aca="false">IF('(1)예금승인내역'!F1297="","",'(1)예금승인내역'!F1297)</f>
        <v/>
      </c>
      <c r="Q671" s="531" t="str">
        <f aca="false">IF('(1)예금승인내역'!C1297="","",'(1)예금승인내역'!C1297)</f>
        <v/>
      </c>
      <c r="R671" s="531" t="str">
        <f aca="false">IF('(1)예금승인내역'!K1297="","",'(1)예금승인내역'!K1297)</f>
        <v/>
      </c>
      <c r="S671" s="531" t="str">
        <f aca="false">IF('(1)예금승인내역'!L1297="","",'(1)예금승인내역'!L1297)</f>
        <v/>
      </c>
      <c r="T671" s="531" t="str">
        <f aca="false">IF('(1)예금승인내역'!AG1297="","",'(1)예금승인내역'!AG1297)</f>
        <v/>
      </c>
      <c r="U671" s="531" t="str">
        <f aca="false">IF('(1)예금승인내역'!X1297="","",'(1)예금승인내역'!X1297)</f>
        <v/>
      </c>
      <c r="V671" s="531" t="str">
        <f aca="false">IF(ISNUMBER(N671),N671-$B$2,"")</f>
        <v/>
      </c>
      <c r="W671" s="531" t="str">
        <f aca="false">IF(AND(ISNUMBER(N671),N671&gt;=$B$2,N671&lt;=$B$2+10),N671*100000+ROW(),"")</f>
        <v/>
      </c>
      <c r="X671" s="531"/>
      <c r="Y671" s="531"/>
      <c r="Z671" s="531"/>
      <c r="AA671" s="531"/>
      <c r="AB671" s="531"/>
      <c r="AC671" s="531"/>
      <c r="AD671" s="531"/>
      <c r="AE671" s="531"/>
      <c r="AF671" s="531"/>
      <c r="AG671" s="531"/>
      <c r="AH671" s="531"/>
      <c r="AI671" s="531"/>
      <c r="AJ671" s="531"/>
      <c r="AK671" s="531"/>
      <c r="AL671" s="531"/>
      <c r="AM671" s="531"/>
      <c r="AN671" s="531"/>
    </row>
    <row r="672" customFormat="false" ht="16.5" hidden="false" customHeight="true" outlineLevel="0" collapsed="false">
      <c r="A672" s="531"/>
      <c r="B672" s="531"/>
      <c r="C672" s="531"/>
      <c r="D672" s="531"/>
      <c r="E672" s="531"/>
      <c r="F672" s="531"/>
      <c r="G672" s="531"/>
      <c r="H672" s="531"/>
      <c r="I672" s="531"/>
      <c r="J672" s="531"/>
      <c r="K672" s="531"/>
      <c r="L672" s="531"/>
      <c r="M672" s="531"/>
      <c r="N672" s="531" t="str">
        <f aca="false">IF('(1)예금승인내역'!H1298="","",'(1)예금승인내역'!H1298)</f>
        <v/>
      </c>
      <c r="O672" s="531" t="str">
        <f aca="false">IF('(1)예금승인내역'!G1298="","",'(1)예금승인내역'!G1298)</f>
        <v/>
      </c>
      <c r="P672" s="531" t="str">
        <f aca="false">IF('(1)예금승인내역'!F1298="","",'(1)예금승인내역'!F1298)</f>
        <v/>
      </c>
      <c r="Q672" s="531" t="str">
        <f aca="false">IF('(1)예금승인내역'!C1298="","",'(1)예금승인내역'!C1298)</f>
        <v/>
      </c>
      <c r="R672" s="531" t="str">
        <f aca="false">IF('(1)예금승인내역'!K1298="","",'(1)예금승인내역'!K1298)</f>
        <v/>
      </c>
      <c r="S672" s="531" t="str">
        <f aca="false">IF('(1)예금승인내역'!L1298="","",'(1)예금승인내역'!L1298)</f>
        <v/>
      </c>
      <c r="T672" s="531" t="str">
        <f aca="false">IF('(1)예금승인내역'!AG1298="","",'(1)예금승인내역'!AG1298)</f>
        <v/>
      </c>
      <c r="U672" s="531" t="str">
        <f aca="false">IF('(1)예금승인내역'!X1298="","",'(1)예금승인내역'!X1298)</f>
        <v/>
      </c>
      <c r="V672" s="531" t="str">
        <f aca="false">IF(ISNUMBER(N672),N672-$B$2,"")</f>
        <v/>
      </c>
      <c r="W672" s="531" t="str">
        <f aca="false">IF(AND(ISNUMBER(N672),N672&gt;=$B$2,N672&lt;=$B$2+10),N672*100000+ROW(),"")</f>
        <v/>
      </c>
      <c r="X672" s="531"/>
      <c r="Y672" s="531"/>
      <c r="Z672" s="531"/>
      <c r="AA672" s="531"/>
      <c r="AB672" s="531"/>
      <c r="AC672" s="531"/>
      <c r="AD672" s="531"/>
      <c r="AE672" s="531"/>
      <c r="AF672" s="531"/>
      <c r="AG672" s="531"/>
      <c r="AH672" s="531"/>
      <c r="AI672" s="531"/>
      <c r="AJ672" s="531"/>
      <c r="AK672" s="531"/>
      <c r="AL672" s="531"/>
      <c r="AM672" s="531"/>
      <c r="AN672" s="531"/>
    </row>
    <row r="673" customFormat="false" ht="16.5" hidden="false" customHeight="true" outlineLevel="0" collapsed="false">
      <c r="A673" s="531"/>
      <c r="B673" s="531"/>
      <c r="C673" s="531"/>
      <c r="D673" s="531"/>
      <c r="E673" s="531"/>
      <c r="F673" s="531"/>
      <c r="G673" s="531"/>
      <c r="H673" s="531"/>
      <c r="I673" s="531"/>
      <c r="J673" s="531"/>
      <c r="K673" s="531"/>
      <c r="L673" s="531"/>
      <c r="M673" s="531"/>
      <c r="N673" s="531" t="str">
        <f aca="false">IF('(1)예금승인내역'!H1299="","",'(1)예금승인내역'!H1299)</f>
        <v/>
      </c>
      <c r="O673" s="531" t="str">
        <f aca="false">IF('(1)예금승인내역'!G1299="","",'(1)예금승인내역'!G1299)</f>
        <v/>
      </c>
      <c r="P673" s="531" t="str">
        <f aca="false">IF('(1)예금승인내역'!F1299="","",'(1)예금승인내역'!F1299)</f>
        <v/>
      </c>
      <c r="Q673" s="531" t="str">
        <f aca="false">IF('(1)예금승인내역'!C1299="","",'(1)예금승인내역'!C1299)</f>
        <v/>
      </c>
      <c r="R673" s="531" t="str">
        <f aca="false">IF('(1)예금승인내역'!K1299="","",'(1)예금승인내역'!K1299)</f>
        <v/>
      </c>
      <c r="S673" s="531" t="str">
        <f aca="false">IF('(1)예금승인내역'!L1299="","",'(1)예금승인내역'!L1299)</f>
        <v/>
      </c>
      <c r="T673" s="531" t="str">
        <f aca="false">IF('(1)예금승인내역'!AG1299="","",'(1)예금승인내역'!AG1299)</f>
        <v/>
      </c>
      <c r="U673" s="531" t="str">
        <f aca="false">IF('(1)예금승인내역'!X1299="","",'(1)예금승인내역'!X1299)</f>
        <v/>
      </c>
      <c r="V673" s="531" t="str">
        <f aca="false">IF(ISNUMBER(N673),N673-$B$2,"")</f>
        <v/>
      </c>
      <c r="W673" s="531" t="str">
        <f aca="false">IF(AND(ISNUMBER(N673),N673&gt;=$B$2,N673&lt;=$B$2+10),N673*100000+ROW(),"")</f>
        <v/>
      </c>
      <c r="X673" s="531"/>
      <c r="Y673" s="531"/>
      <c r="Z673" s="531"/>
      <c r="AA673" s="531"/>
      <c r="AB673" s="531"/>
      <c r="AC673" s="531"/>
      <c r="AD673" s="531"/>
      <c r="AE673" s="531"/>
      <c r="AF673" s="531"/>
      <c r="AG673" s="531"/>
      <c r="AH673" s="531"/>
      <c r="AI673" s="531"/>
      <c r="AJ673" s="531"/>
      <c r="AK673" s="531"/>
      <c r="AL673" s="531"/>
      <c r="AM673" s="531"/>
      <c r="AN673" s="531"/>
    </row>
    <row r="674" customFormat="false" ht="16.5" hidden="false" customHeight="true" outlineLevel="0" collapsed="false">
      <c r="A674" s="531"/>
      <c r="B674" s="531"/>
      <c r="C674" s="531"/>
      <c r="D674" s="531"/>
      <c r="E674" s="531"/>
      <c r="F674" s="531"/>
      <c r="G674" s="531"/>
      <c r="H674" s="531"/>
      <c r="I674" s="531"/>
      <c r="J674" s="531"/>
      <c r="K674" s="531"/>
      <c r="L674" s="531"/>
      <c r="M674" s="531"/>
      <c r="N674" s="531" t="str">
        <f aca="false">IF('(1)예금승인내역'!H1300="","",'(1)예금승인내역'!H1300)</f>
        <v/>
      </c>
      <c r="O674" s="531" t="str">
        <f aca="false">IF('(1)예금승인내역'!G1300="","",'(1)예금승인내역'!G1300)</f>
        <v/>
      </c>
      <c r="P674" s="531" t="str">
        <f aca="false">IF('(1)예금승인내역'!F1300="","",'(1)예금승인내역'!F1300)</f>
        <v/>
      </c>
      <c r="Q674" s="531" t="str">
        <f aca="false">IF('(1)예금승인내역'!C1300="","",'(1)예금승인내역'!C1300)</f>
        <v/>
      </c>
      <c r="R674" s="531" t="str">
        <f aca="false">IF('(1)예금승인내역'!K1300="","",'(1)예금승인내역'!K1300)</f>
        <v/>
      </c>
      <c r="S674" s="531" t="str">
        <f aca="false">IF('(1)예금승인내역'!L1300="","",'(1)예금승인내역'!L1300)</f>
        <v/>
      </c>
      <c r="T674" s="531" t="str">
        <f aca="false">IF('(1)예금승인내역'!AG1300="","",'(1)예금승인내역'!AG1300)</f>
        <v/>
      </c>
      <c r="U674" s="531" t="str">
        <f aca="false">IF('(1)예금승인내역'!X1300="","",'(1)예금승인내역'!X1300)</f>
        <v/>
      </c>
      <c r="V674" s="531" t="str">
        <f aca="false">IF(ISNUMBER(N674),N674-$B$2,"")</f>
        <v/>
      </c>
      <c r="W674" s="531" t="str">
        <f aca="false">IF(AND(ISNUMBER(N674),N674&gt;=$B$2,N674&lt;=$B$2+10),N674*100000+ROW(),"")</f>
        <v/>
      </c>
      <c r="X674" s="531"/>
      <c r="Y674" s="531"/>
      <c r="Z674" s="531"/>
      <c r="AA674" s="531"/>
      <c r="AB674" s="531"/>
      <c r="AC674" s="531"/>
      <c r="AD674" s="531"/>
      <c r="AE674" s="531"/>
      <c r="AF674" s="531"/>
      <c r="AG674" s="531"/>
      <c r="AH674" s="531"/>
      <c r="AI674" s="531"/>
      <c r="AJ674" s="531"/>
      <c r="AK674" s="531"/>
      <c r="AL674" s="531"/>
      <c r="AM674" s="531"/>
      <c r="AN674" s="531"/>
    </row>
    <row r="675" customFormat="false" ht="16.5" hidden="false" customHeight="true" outlineLevel="0" collapsed="false">
      <c r="A675" s="531"/>
      <c r="B675" s="531"/>
      <c r="C675" s="531"/>
      <c r="D675" s="531"/>
      <c r="E675" s="531"/>
      <c r="F675" s="531"/>
      <c r="G675" s="531"/>
      <c r="H675" s="531"/>
      <c r="I675" s="531"/>
      <c r="J675" s="531"/>
      <c r="K675" s="531"/>
      <c r="L675" s="531"/>
      <c r="M675" s="531"/>
      <c r="N675" s="531" t="str">
        <f aca="false">IF('(1)예금승인내역'!H1301="","",'(1)예금승인내역'!H1301)</f>
        <v/>
      </c>
      <c r="O675" s="531" t="str">
        <f aca="false">IF('(1)예금승인내역'!G1301="","",'(1)예금승인내역'!G1301)</f>
        <v/>
      </c>
      <c r="P675" s="531" t="str">
        <f aca="false">IF('(1)예금승인내역'!F1301="","",'(1)예금승인내역'!F1301)</f>
        <v/>
      </c>
      <c r="Q675" s="531" t="str">
        <f aca="false">IF('(1)예금승인내역'!C1301="","",'(1)예금승인내역'!C1301)</f>
        <v/>
      </c>
      <c r="R675" s="531" t="str">
        <f aca="false">IF('(1)예금승인내역'!K1301="","",'(1)예금승인내역'!K1301)</f>
        <v/>
      </c>
      <c r="S675" s="531" t="str">
        <f aca="false">IF('(1)예금승인내역'!L1301="","",'(1)예금승인내역'!L1301)</f>
        <v/>
      </c>
      <c r="T675" s="531" t="str">
        <f aca="false">IF('(1)예금승인내역'!AG1301="","",'(1)예금승인내역'!AG1301)</f>
        <v/>
      </c>
      <c r="U675" s="531" t="str">
        <f aca="false">IF('(1)예금승인내역'!X1301="","",'(1)예금승인내역'!X1301)</f>
        <v/>
      </c>
      <c r="V675" s="531" t="str">
        <f aca="false">IF(ISNUMBER(N675),N675-$B$2,"")</f>
        <v/>
      </c>
      <c r="W675" s="531" t="str">
        <f aca="false">IF(AND(ISNUMBER(N675),N675&gt;=$B$2,N675&lt;=$B$2+10),N675*100000+ROW(),"")</f>
        <v/>
      </c>
      <c r="X675" s="531"/>
      <c r="Y675" s="531"/>
      <c r="Z675" s="531"/>
      <c r="AA675" s="531"/>
      <c r="AB675" s="531"/>
      <c r="AC675" s="531"/>
      <c r="AD675" s="531"/>
      <c r="AE675" s="531"/>
      <c r="AF675" s="531"/>
      <c r="AG675" s="531"/>
      <c r="AH675" s="531"/>
      <c r="AI675" s="531"/>
      <c r="AJ675" s="531"/>
      <c r="AK675" s="531"/>
      <c r="AL675" s="531"/>
      <c r="AM675" s="531"/>
      <c r="AN675" s="531"/>
    </row>
    <row r="676" customFormat="false" ht="16.5" hidden="false" customHeight="true" outlineLevel="0" collapsed="false">
      <c r="A676" s="531"/>
      <c r="B676" s="531"/>
      <c r="C676" s="531"/>
      <c r="D676" s="531"/>
      <c r="E676" s="531"/>
      <c r="F676" s="531"/>
      <c r="G676" s="531"/>
      <c r="H676" s="531"/>
      <c r="I676" s="531"/>
      <c r="J676" s="531"/>
      <c r="K676" s="531"/>
      <c r="L676" s="531"/>
      <c r="M676" s="531"/>
      <c r="N676" s="531" t="str">
        <f aca="false">IF('(1)예금승인내역'!H1302="","",'(1)예금승인내역'!H1302)</f>
        <v/>
      </c>
      <c r="O676" s="531" t="str">
        <f aca="false">IF('(1)예금승인내역'!G1302="","",'(1)예금승인내역'!G1302)</f>
        <v/>
      </c>
      <c r="P676" s="531" t="str">
        <f aca="false">IF('(1)예금승인내역'!F1302="","",'(1)예금승인내역'!F1302)</f>
        <v/>
      </c>
      <c r="Q676" s="531" t="str">
        <f aca="false">IF('(1)예금승인내역'!C1302="","",'(1)예금승인내역'!C1302)</f>
        <v/>
      </c>
      <c r="R676" s="531" t="str">
        <f aca="false">IF('(1)예금승인내역'!K1302="","",'(1)예금승인내역'!K1302)</f>
        <v/>
      </c>
      <c r="S676" s="531" t="str">
        <f aca="false">IF('(1)예금승인내역'!L1302="","",'(1)예금승인내역'!L1302)</f>
        <v/>
      </c>
      <c r="T676" s="531" t="str">
        <f aca="false">IF('(1)예금승인내역'!AG1302="","",'(1)예금승인내역'!AG1302)</f>
        <v/>
      </c>
      <c r="U676" s="531" t="str">
        <f aca="false">IF('(1)예금승인내역'!X1302="","",'(1)예금승인내역'!X1302)</f>
        <v/>
      </c>
      <c r="V676" s="531" t="str">
        <f aca="false">IF(ISNUMBER(N676),N676-$B$2,"")</f>
        <v/>
      </c>
      <c r="W676" s="531" t="str">
        <f aca="false">IF(AND(ISNUMBER(N676),N676&gt;=$B$2,N676&lt;=$B$2+10),N676*100000+ROW(),"")</f>
        <v/>
      </c>
      <c r="X676" s="531"/>
      <c r="Y676" s="531"/>
      <c r="Z676" s="531"/>
      <c r="AA676" s="531"/>
      <c r="AB676" s="531"/>
      <c r="AC676" s="531"/>
      <c r="AD676" s="531"/>
      <c r="AE676" s="531"/>
      <c r="AF676" s="531"/>
      <c r="AG676" s="531"/>
      <c r="AH676" s="531"/>
      <c r="AI676" s="531"/>
      <c r="AJ676" s="531"/>
      <c r="AK676" s="531"/>
      <c r="AL676" s="531"/>
      <c r="AM676" s="531"/>
      <c r="AN676" s="531"/>
    </row>
    <row r="677" customFormat="false" ht="16.5" hidden="false" customHeight="true" outlineLevel="0" collapsed="false">
      <c r="A677" s="531"/>
      <c r="B677" s="531"/>
      <c r="C677" s="531"/>
      <c r="D677" s="531"/>
      <c r="E677" s="531"/>
      <c r="F677" s="531"/>
      <c r="G677" s="531"/>
      <c r="H677" s="531"/>
      <c r="I677" s="531"/>
      <c r="J677" s="531"/>
      <c r="K677" s="531"/>
      <c r="L677" s="531"/>
      <c r="M677" s="531"/>
      <c r="N677" s="531" t="str">
        <f aca="false">IF('(1)예금승인내역'!H1303="","",'(1)예금승인내역'!H1303)</f>
        <v/>
      </c>
      <c r="O677" s="531" t="str">
        <f aca="false">IF('(1)예금승인내역'!G1303="","",'(1)예금승인내역'!G1303)</f>
        <v/>
      </c>
      <c r="P677" s="531" t="str">
        <f aca="false">IF('(1)예금승인내역'!F1303="","",'(1)예금승인내역'!F1303)</f>
        <v/>
      </c>
      <c r="Q677" s="531" t="str">
        <f aca="false">IF('(1)예금승인내역'!C1303="","",'(1)예금승인내역'!C1303)</f>
        <v/>
      </c>
      <c r="R677" s="531" t="str">
        <f aca="false">IF('(1)예금승인내역'!K1303="","",'(1)예금승인내역'!K1303)</f>
        <v/>
      </c>
      <c r="S677" s="531" t="str">
        <f aca="false">IF('(1)예금승인내역'!L1303="","",'(1)예금승인내역'!L1303)</f>
        <v/>
      </c>
      <c r="T677" s="531" t="str">
        <f aca="false">IF('(1)예금승인내역'!AG1303="","",'(1)예금승인내역'!AG1303)</f>
        <v/>
      </c>
      <c r="U677" s="531" t="str">
        <f aca="false">IF('(1)예금승인내역'!X1303="","",'(1)예금승인내역'!X1303)</f>
        <v/>
      </c>
      <c r="V677" s="531" t="str">
        <f aca="false">IF(ISNUMBER(N677),N677-$B$2,"")</f>
        <v/>
      </c>
      <c r="W677" s="531" t="str">
        <f aca="false">IF(AND(ISNUMBER(N677),N677&gt;=$B$2,N677&lt;=$B$2+10),N677*100000+ROW(),"")</f>
        <v/>
      </c>
      <c r="X677" s="531"/>
      <c r="Y677" s="531"/>
      <c r="Z677" s="531"/>
      <c r="AA677" s="531"/>
      <c r="AB677" s="531"/>
      <c r="AC677" s="531"/>
      <c r="AD677" s="531"/>
      <c r="AE677" s="531"/>
      <c r="AF677" s="531"/>
      <c r="AG677" s="531"/>
      <c r="AH677" s="531"/>
      <c r="AI677" s="531"/>
      <c r="AJ677" s="531"/>
      <c r="AK677" s="531"/>
      <c r="AL677" s="531"/>
      <c r="AM677" s="531"/>
      <c r="AN677" s="531"/>
    </row>
    <row r="678" customFormat="false" ht="16.5" hidden="false" customHeight="true" outlineLevel="0" collapsed="false">
      <c r="A678" s="531"/>
      <c r="B678" s="531"/>
      <c r="C678" s="531"/>
      <c r="D678" s="531"/>
      <c r="E678" s="531"/>
      <c r="F678" s="531"/>
      <c r="G678" s="531"/>
      <c r="H678" s="531"/>
      <c r="I678" s="531"/>
      <c r="J678" s="531"/>
      <c r="K678" s="531"/>
      <c r="L678" s="531"/>
      <c r="M678" s="531"/>
      <c r="N678" s="531" t="str">
        <f aca="false">IF('(1)예금승인내역'!H1304="","",'(1)예금승인내역'!H1304)</f>
        <v/>
      </c>
      <c r="O678" s="531" t="str">
        <f aca="false">IF('(1)예금승인내역'!G1304="","",'(1)예금승인내역'!G1304)</f>
        <v/>
      </c>
      <c r="P678" s="531" t="str">
        <f aca="false">IF('(1)예금승인내역'!F1304="","",'(1)예금승인내역'!F1304)</f>
        <v/>
      </c>
      <c r="Q678" s="531" t="str">
        <f aca="false">IF('(1)예금승인내역'!C1304="","",'(1)예금승인내역'!C1304)</f>
        <v/>
      </c>
      <c r="R678" s="531" t="str">
        <f aca="false">IF('(1)예금승인내역'!K1304="","",'(1)예금승인내역'!K1304)</f>
        <v/>
      </c>
      <c r="S678" s="531" t="str">
        <f aca="false">IF('(1)예금승인내역'!L1304="","",'(1)예금승인내역'!L1304)</f>
        <v/>
      </c>
      <c r="T678" s="531" t="str">
        <f aca="false">IF('(1)예금승인내역'!AG1304="","",'(1)예금승인내역'!AG1304)</f>
        <v/>
      </c>
      <c r="U678" s="531" t="str">
        <f aca="false">IF('(1)예금승인내역'!X1304="","",'(1)예금승인내역'!X1304)</f>
        <v/>
      </c>
      <c r="V678" s="531" t="str">
        <f aca="false">IF(ISNUMBER(N678),N678-$B$2,"")</f>
        <v/>
      </c>
      <c r="W678" s="531" t="str">
        <f aca="false">IF(AND(ISNUMBER(N678),N678&gt;=$B$2,N678&lt;=$B$2+10),N678*100000+ROW(),"")</f>
        <v/>
      </c>
      <c r="X678" s="531"/>
      <c r="Y678" s="531"/>
      <c r="Z678" s="531"/>
      <c r="AA678" s="531"/>
      <c r="AB678" s="531"/>
      <c r="AC678" s="531"/>
      <c r="AD678" s="531"/>
      <c r="AE678" s="531"/>
      <c r="AF678" s="531"/>
      <c r="AG678" s="531"/>
      <c r="AH678" s="531"/>
      <c r="AI678" s="531"/>
      <c r="AJ678" s="531"/>
      <c r="AK678" s="531"/>
      <c r="AL678" s="531"/>
      <c r="AM678" s="531"/>
      <c r="AN678" s="531"/>
    </row>
    <row r="679" customFormat="false" ht="16.5" hidden="false" customHeight="true" outlineLevel="0" collapsed="false">
      <c r="A679" s="531"/>
      <c r="B679" s="531"/>
      <c r="C679" s="531"/>
      <c r="D679" s="531"/>
      <c r="E679" s="531"/>
      <c r="F679" s="531"/>
      <c r="G679" s="531"/>
      <c r="H679" s="531"/>
      <c r="I679" s="531"/>
      <c r="J679" s="531"/>
      <c r="K679" s="531"/>
      <c r="L679" s="531"/>
      <c r="M679" s="531"/>
      <c r="N679" s="531" t="str">
        <f aca="false">IF('(1)예금승인내역'!H1305="","",'(1)예금승인내역'!H1305)</f>
        <v/>
      </c>
      <c r="O679" s="531" t="str">
        <f aca="false">IF('(1)예금승인내역'!G1305="","",'(1)예금승인내역'!G1305)</f>
        <v/>
      </c>
      <c r="P679" s="531" t="str">
        <f aca="false">IF('(1)예금승인내역'!F1305="","",'(1)예금승인내역'!F1305)</f>
        <v/>
      </c>
      <c r="Q679" s="531" t="str">
        <f aca="false">IF('(1)예금승인내역'!C1305="","",'(1)예금승인내역'!C1305)</f>
        <v/>
      </c>
      <c r="R679" s="531" t="str">
        <f aca="false">IF('(1)예금승인내역'!K1305="","",'(1)예금승인내역'!K1305)</f>
        <v/>
      </c>
      <c r="S679" s="531" t="str">
        <f aca="false">IF('(1)예금승인내역'!L1305="","",'(1)예금승인내역'!L1305)</f>
        <v/>
      </c>
      <c r="T679" s="531" t="str">
        <f aca="false">IF('(1)예금승인내역'!AG1305="","",'(1)예금승인내역'!AG1305)</f>
        <v/>
      </c>
      <c r="U679" s="531" t="str">
        <f aca="false">IF('(1)예금승인내역'!X1305="","",'(1)예금승인내역'!X1305)</f>
        <v/>
      </c>
      <c r="V679" s="531" t="str">
        <f aca="false">IF(ISNUMBER(N679),N679-$B$2,"")</f>
        <v/>
      </c>
      <c r="W679" s="531" t="str">
        <f aca="false">IF(AND(ISNUMBER(N679),N679&gt;=$B$2,N679&lt;=$B$2+10),N679*100000+ROW(),"")</f>
        <v/>
      </c>
      <c r="X679" s="531"/>
      <c r="Y679" s="531"/>
      <c r="Z679" s="531"/>
      <c r="AA679" s="531"/>
      <c r="AB679" s="531"/>
      <c r="AC679" s="531"/>
      <c r="AD679" s="531"/>
      <c r="AE679" s="531"/>
      <c r="AF679" s="531"/>
      <c r="AG679" s="531"/>
      <c r="AH679" s="531"/>
      <c r="AI679" s="531"/>
      <c r="AJ679" s="531"/>
      <c r="AK679" s="531"/>
      <c r="AL679" s="531"/>
      <c r="AM679" s="531"/>
      <c r="AN679" s="531"/>
    </row>
    <row r="680" customFormat="false" ht="16.5" hidden="false" customHeight="true" outlineLevel="0" collapsed="false">
      <c r="A680" s="531"/>
      <c r="B680" s="531"/>
      <c r="C680" s="531"/>
      <c r="D680" s="531"/>
      <c r="E680" s="531"/>
      <c r="F680" s="531"/>
      <c r="G680" s="531"/>
      <c r="H680" s="531"/>
      <c r="I680" s="531"/>
      <c r="J680" s="531"/>
      <c r="K680" s="531"/>
      <c r="L680" s="531"/>
      <c r="M680" s="531"/>
      <c r="N680" s="531" t="str">
        <f aca="false">IF('(1)예금승인내역'!H1306="","",'(1)예금승인내역'!H1306)</f>
        <v/>
      </c>
      <c r="O680" s="531" t="str">
        <f aca="false">IF('(1)예금승인내역'!G1306="","",'(1)예금승인내역'!G1306)</f>
        <v/>
      </c>
      <c r="P680" s="531" t="str">
        <f aca="false">IF('(1)예금승인내역'!F1306="","",'(1)예금승인내역'!F1306)</f>
        <v/>
      </c>
      <c r="Q680" s="531" t="str">
        <f aca="false">IF('(1)예금승인내역'!C1306="","",'(1)예금승인내역'!C1306)</f>
        <v/>
      </c>
      <c r="R680" s="531" t="str">
        <f aca="false">IF('(1)예금승인내역'!K1306="","",'(1)예금승인내역'!K1306)</f>
        <v/>
      </c>
      <c r="S680" s="531" t="str">
        <f aca="false">IF('(1)예금승인내역'!L1306="","",'(1)예금승인내역'!L1306)</f>
        <v/>
      </c>
      <c r="T680" s="531" t="str">
        <f aca="false">IF('(1)예금승인내역'!AG1306="","",'(1)예금승인내역'!AG1306)</f>
        <v/>
      </c>
      <c r="U680" s="531" t="str">
        <f aca="false">IF('(1)예금승인내역'!X1306="","",'(1)예금승인내역'!X1306)</f>
        <v/>
      </c>
      <c r="V680" s="531" t="str">
        <f aca="false">IF(ISNUMBER(N680),N680-$B$2,"")</f>
        <v/>
      </c>
      <c r="W680" s="531" t="str">
        <f aca="false">IF(AND(ISNUMBER(N680),N680&gt;=$B$2,N680&lt;=$B$2+10),N680*100000+ROW(),"")</f>
        <v/>
      </c>
      <c r="X680" s="531"/>
      <c r="Y680" s="531"/>
      <c r="Z680" s="531"/>
      <c r="AA680" s="531"/>
      <c r="AB680" s="531"/>
      <c r="AC680" s="531"/>
      <c r="AD680" s="531"/>
      <c r="AE680" s="531"/>
      <c r="AF680" s="531"/>
      <c r="AG680" s="531"/>
      <c r="AH680" s="531"/>
      <c r="AI680" s="531"/>
      <c r="AJ680" s="531"/>
      <c r="AK680" s="531"/>
      <c r="AL680" s="531"/>
      <c r="AM680" s="531"/>
      <c r="AN680" s="531"/>
    </row>
    <row r="681" customFormat="false" ht="16.5" hidden="false" customHeight="true" outlineLevel="0" collapsed="false">
      <c r="A681" s="531"/>
      <c r="B681" s="531"/>
      <c r="C681" s="531"/>
      <c r="D681" s="531"/>
      <c r="E681" s="531"/>
      <c r="F681" s="531"/>
      <c r="G681" s="531"/>
      <c r="H681" s="531"/>
      <c r="I681" s="531"/>
      <c r="J681" s="531"/>
      <c r="K681" s="531"/>
      <c r="L681" s="531"/>
      <c r="M681" s="531"/>
      <c r="N681" s="531" t="str">
        <f aca="false">IF('(1)예금승인내역'!H1307="","",'(1)예금승인내역'!H1307)</f>
        <v/>
      </c>
      <c r="O681" s="531" t="str">
        <f aca="false">IF('(1)예금승인내역'!G1307="","",'(1)예금승인내역'!G1307)</f>
        <v/>
      </c>
      <c r="P681" s="531" t="str">
        <f aca="false">IF('(1)예금승인내역'!F1307="","",'(1)예금승인내역'!F1307)</f>
        <v/>
      </c>
      <c r="Q681" s="531" t="str">
        <f aca="false">IF('(1)예금승인내역'!C1307="","",'(1)예금승인내역'!C1307)</f>
        <v/>
      </c>
      <c r="R681" s="531" t="str">
        <f aca="false">IF('(1)예금승인내역'!K1307="","",'(1)예금승인내역'!K1307)</f>
        <v/>
      </c>
      <c r="S681" s="531" t="str">
        <f aca="false">IF('(1)예금승인내역'!L1307="","",'(1)예금승인내역'!L1307)</f>
        <v/>
      </c>
      <c r="T681" s="531" t="str">
        <f aca="false">IF('(1)예금승인내역'!AG1307="","",'(1)예금승인내역'!AG1307)</f>
        <v/>
      </c>
      <c r="U681" s="531" t="str">
        <f aca="false">IF('(1)예금승인내역'!X1307="","",'(1)예금승인내역'!X1307)</f>
        <v/>
      </c>
      <c r="V681" s="531" t="str">
        <f aca="false">IF(ISNUMBER(N681),N681-$B$2,"")</f>
        <v/>
      </c>
      <c r="W681" s="531" t="str">
        <f aca="false">IF(AND(ISNUMBER(N681),N681&gt;=$B$2,N681&lt;=$B$2+10),N681*100000+ROW(),"")</f>
        <v/>
      </c>
      <c r="X681" s="531"/>
      <c r="Y681" s="531"/>
      <c r="Z681" s="531"/>
      <c r="AA681" s="531"/>
      <c r="AB681" s="531"/>
      <c r="AC681" s="531"/>
      <c r="AD681" s="531"/>
      <c r="AE681" s="531"/>
      <c r="AF681" s="531"/>
      <c r="AG681" s="531"/>
      <c r="AH681" s="531"/>
      <c r="AI681" s="531"/>
      <c r="AJ681" s="531"/>
      <c r="AK681" s="531"/>
      <c r="AL681" s="531"/>
      <c r="AM681" s="531"/>
      <c r="AN681" s="531"/>
    </row>
    <row r="682" customFormat="false" ht="16.5" hidden="false" customHeight="true" outlineLevel="0" collapsed="false">
      <c r="A682" s="531"/>
      <c r="B682" s="531"/>
      <c r="C682" s="531"/>
      <c r="D682" s="531"/>
      <c r="E682" s="531"/>
      <c r="F682" s="531"/>
      <c r="G682" s="531"/>
      <c r="H682" s="531"/>
      <c r="I682" s="531"/>
      <c r="J682" s="531"/>
      <c r="K682" s="531"/>
      <c r="L682" s="531"/>
      <c r="M682" s="531"/>
      <c r="N682" s="531" t="str">
        <f aca="false">IF('(1)예금승인내역'!H1308="","",'(1)예금승인내역'!H1308)</f>
        <v/>
      </c>
      <c r="O682" s="531" t="str">
        <f aca="false">IF('(1)예금승인내역'!G1308="","",'(1)예금승인내역'!G1308)</f>
        <v/>
      </c>
      <c r="P682" s="531" t="str">
        <f aca="false">IF('(1)예금승인내역'!F1308="","",'(1)예금승인내역'!F1308)</f>
        <v/>
      </c>
      <c r="Q682" s="531" t="str">
        <f aca="false">IF('(1)예금승인내역'!C1308="","",'(1)예금승인내역'!C1308)</f>
        <v/>
      </c>
      <c r="R682" s="531" t="str">
        <f aca="false">IF('(1)예금승인내역'!K1308="","",'(1)예금승인내역'!K1308)</f>
        <v/>
      </c>
      <c r="S682" s="531" t="str">
        <f aca="false">IF('(1)예금승인내역'!L1308="","",'(1)예금승인내역'!L1308)</f>
        <v/>
      </c>
      <c r="T682" s="531" t="str">
        <f aca="false">IF('(1)예금승인내역'!AG1308="","",'(1)예금승인내역'!AG1308)</f>
        <v/>
      </c>
      <c r="U682" s="531" t="str">
        <f aca="false">IF('(1)예금승인내역'!X1308="","",'(1)예금승인내역'!X1308)</f>
        <v/>
      </c>
      <c r="V682" s="531" t="str">
        <f aca="false">IF(ISNUMBER(N682),N682-$B$2,"")</f>
        <v/>
      </c>
      <c r="W682" s="531" t="str">
        <f aca="false">IF(AND(ISNUMBER(N682),N682&gt;=$B$2,N682&lt;=$B$2+10),N682*100000+ROW(),"")</f>
        <v/>
      </c>
      <c r="X682" s="531"/>
      <c r="Y682" s="531"/>
      <c r="Z682" s="531"/>
      <c r="AA682" s="531"/>
      <c r="AB682" s="531"/>
      <c r="AC682" s="531"/>
      <c r="AD682" s="531"/>
      <c r="AE682" s="531"/>
      <c r="AF682" s="531"/>
      <c r="AG682" s="531"/>
      <c r="AH682" s="531"/>
      <c r="AI682" s="531"/>
      <c r="AJ682" s="531"/>
      <c r="AK682" s="531"/>
      <c r="AL682" s="531"/>
      <c r="AM682" s="531"/>
      <c r="AN682" s="531"/>
    </row>
    <row r="683" customFormat="false" ht="16.5" hidden="false" customHeight="true" outlineLevel="0" collapsed="false">
      <c r="A683" s="531"/>
      <c r="B683" s="531"/>
      <c r="C683" s="531"/>
      <c r="D683" s="531"/>
      <c r="E683" s="531"/>
      <c r="F683" s="531"/>
      <c r="G683" s="531"/>
      <c r="H683" s="531"/>
      <c r="I683" s="531"/>
      <c r="J683" s="531"/>
      <c r="K683" s="531"/>
      <c r="L683" s="531"/>
      <c r="M683" s="531"/>
      <c r="N683" s="531" t="str">
        <f aca="false">IF('(1)예금승인내역'!H1309="","",'(1)예금승인내역'!H1309)</f>
        <v/>
      </c>
      <c r="O683" s="531" t="str">
        <f aca="false">IF('(1)예금승인내역'!G1309="","",'(1)예금승인내역'!G1309)</f>
        <v/>
      </c>
      <c r="P683" s="531" t="str">
        <f aca="false">IF('(1)예금승인내역'!F1309="","",'(1)예금승인내역'!F1309)</f>
        <v/>
      </c>
      <c r="Q683" s="531" t="str">
        <f aca="false">IF('(1)예금승인내역'!C1309="","",'(1)예금승인내역'!C1309)</f>
        <v/>
      </c>
      <c r="R683" s="531" t="str">
        <f aca="false">IF('(1)예금승인내역'!K1309="","",'(1)예금승인내역'!K1309)</f>
        <v/>
      </c>
      <c r="S683" s="531" t="str">
        <f aca="false">IF('(1)예금승인내역'!L1309="","",'(1)예금승인내역'!L1309)</f>
        <v/>
      </c>
      <c r="T683" s="531" t="str">
        <f aca="false">IF('(1)예금승인내역'!AG1309="","",'(1)예금승인내역'!AG1309)</f>
        <v/>
      </c>
      <c r="U683" s="531" t="str">
        <f aca="false">IF('(1)예금승인내역'!X1309="","",'(1)예금승인내역'!X1309)</f>
        <v/>
      </c>
      <c r="V683" s="531" t="str">
        <f aca="false">IF(ISNUMBER(N683),N683-$B$2,"")</f>
        <v/>
      </c>
      <c r="W683" s="531" t="str">
        <f aca="false">IF(AND(ISNUMBER(N683),N683&gt;=$B$2,N683&lt;=$B$2+10),N683*100000+ROW(),"")</f>
        <v/>
      </c>
      <c r="X683" s="531"/>
      <c r="Y683" s="531"/>
      <c r="Z683" s="531"/>
      <c r="AA683" s="531"/>
      <c r="AB683" s="531"/>
      <c r="AC683" s="531"/>
      <c r="AD683" s="531"/>
      <c r="AE683" s="531"/>
      <c r="AF683" s="531"/>
      <c r="AG683" s="531"/>
      <c r="AH683" s="531"/>
      <c r="AI683" s="531"/>
      <c r="AJ683" s="531"/>
      <c r="AK683" s="531"/>
      <c r="AL683" s="531"/>
      <c r="AM683" s="531"/>
      <c r="AN683" s="531"/>
    </row>
    <row r="684" customFormat="false" ht="16.5" hidden="false" customHeight="true" outlineLevel="0" collapsed="false">
      <c r="A684" s="531"/>
      <c r="B684" s="531"/>
      <c r="C684" s="531"/>
      <c r="D684" s="531"/>
      <c r="E684" s="531"/>
      <c r="F684" s="531"/>
      <c r="G684" s="531"/>
      <c r="H684" s="531"/>
      <c r="I684" s="531"/>
      <c r="J684" s="531"/>
      <c r="K684" s="531"/>
      <c r="L684" s="531"/>
      <c r="M684" s="531"/>
      <c r="N684" s="531" t="str">
        <f aca="false">IF('(1)예금승인내역'!H1310="","",'(1)예금승인내역'!H1310)</f>
        <v/>
      </c>
      <c r="O684" s="531" t="str">
        <f aca="false">IF('(1)예금승인내역'!G1310="","",'(1)예금승인내역'!G1310)</f>
        <v/>
      </c>
      <c r="P684" s="531" t="str">
        <f aca="false">IF('(1)예금승인내역'!F1310="","",'(1)예금승인내역'!F1310)</f>
        <v/>
      </c>
      <c r="Q684" s="531" t="str">
        <f aca="false">IF('(1)예금승인내역'!C1310="","",'(1)예금승인내역'!C1310)</f>
        <v/>
      </c>
      <c r="R684" s="531" t="str">
        <f aca="false">IF('(1)예금승인내역'!K1310="","",'(1)예금승인내역'!K1310)</f>
        <v/>
      </c>
      <c r="S684" s="531" t="str">
        <f aca="false">IF('(1)예금승인내역'!L1310="","",'(1)예금승인내역'!L1310)</f>
        <v/>
      </c>
      <c r="T684" s="531" t="str">
        <f aca="false">IF('(1)예금승인내역'!AG1310="","",'(1)예금승인내역'!AG1310)</f>
        <v/>
      </c>
      <c r="U684" s="531" t="str">
        <f aca="false">IF('(1)예금승인내역'!X1310="","",'(1)예금승인내역'!X1310)</f>
        <v/>
      </c>
      <c r="V684" s="531" t="str">
        <f aca="false">IF(ISNUMBER(N684),N684-$B$2,"")</f>
        <v/>
      </c>
      <c r="W684" s="531" t="str">
        <f aca="false">IF(AND(ISNUMBER(N684),N684&gt;=$B$2,N684&lt;=$B$2+10),N684*100000+ROW(),"")</f>
        <v/>
      </c>
      <c r="X684" s="531"/>
      <c r="Y684" s="531"/>
      <c r="Z684" s="531"/>
      <c r="AA684" s="531"/>
      <c r="AB684" s="531"/>
      <c r="AC684" s="531"/>
      <c r="AD684" s="531"/>
      <c r="AE684" s="531"/>
      <c r="AF684" s="531"/>
      <c r="AG684" s="531"/>
      <c r="AH684" s="531"/>
      <c r="AI684" s="531"/>
      <c r="AJ684" s="531"/>
      <c r="AK684" s="531"/>
      <c r="AL684" s="531"/>
      <c r="AM684" s="531"/>
      <c r="AN684" s="531"/>
    </row>
    <row r="685" customFormat="false" ht="16.5" hidden="false" customHeight="true" outlineLevel="0" collapsed="false">
      <c r="A685" s="531"/>
      <c r="B685" s="531"/>
      <c r="C685" s="531"/>
      <c r="D685" s="531"/>
      <c r="E685" s="531"/>
      <c r="F685" s="531"/>
      <c r="G685" s="531"/>
      <c r="H685" s="531"/>
      <c r="I685" s="531"/>
      <c r="J685" s="531"/>
      <c r="K685" s="531"/>
      <c r="L685" s="531"/>
      <c r="M685" s="531"/>
      <c r="N685" s="531" t="str">
        <f aca="false">IF('(1)예금승인내역'!H1311="","",'(1)예금승인내역'!H1311)</f>
        <v/>
      </c>
      <c r="O685" s="531" t="str">
        <f aca="false">IF('(1)예금승인내역'!G1311="","",'(1)예금승인내역'!G1311)</f>
        <v/>
      </c>
      <c r="P685" s="531" t="str">
        <f aca="false">IF('(1)예금승인내역'!F1311="","",'(1)예금승인내역'!F1311)</f>
        <v/>
      </c>
      <c r="Q685" s="531" t="str">
        <f aca="false">IF('(1)예금승인내역'!C1311="","",'(1)예금승인내역'!C1311)</f>
        <v/>
      </c>
      <c r="R685" s="531" t="str">
        <f aca="false">IF('(1)예금승인내역'!K1311="","",'(1)예금승인내역'!K1311)</f>
        <v/>
      </c>
      <c r="S685" s="531" t="str">
        <f aca="false">IF('(1)예금승인내역'!L1311="","",'(1)예금승인내역'!L1311)</f>
        <v/>
      </c>
      <c r="T685" s="531" t="str">
        <f aca="false">IF('(1)예금승인내역'!AG1311="","",'(1)예금승인내역'!AG1311)</f>
        <v/>
      </c>
      <c r="U685" s="531" t="str">
        <f aca="false">IF('(1)예금승인내역'!X1311="","",'(1)예금승인내역'!X1311)</f>
        <v/>
      </c>
      <c r="V685" s="531" t="str">
        <f aca="false">IF(ISNUMBER(N685),N685-$B$2,"")</f>
        <v/>
      </c>
      <c r="W685" s="531" t="str">
        <f aca="false">IF(AND(ISNUMBER(N685),N685&gt;=$B$2,N685&lt;=$B$2+10),N685*100000+ROW(),"")</f>
        <v/>
      </c>
      <c r="X685" s="531"/>
      <c r="Y685" s="531"/>
      <c r="Z685" s="531"/>
      <c r="AA685" s="531"/>
      <c r="AB685" s="531"/>
      <c r="AC685" s="531"/>
      <c r="AD685" s="531"/>
      <c r="AE685" s="531"/>
      <c r="AF685" s="531"/>
      <c r="AG685" s="531"/>
      <c r="AH685" s="531"/>
      <c r="AI685" s="531"/>
      <c r="AJ685" s="531"/>
      <c r="AK685" s="531"/>
      <c r="AL685" s="531"/>
      <c r="AM685" s="531"/>
      <c r="AN685" s="531"/>
    </row>
    <row r="686" customFormat="false" ht="16.5" hidden="false" customHeight="true" outlineLevel="0" collapsed="false">
      <c r="A686" s="531"/>
      <c r="B686" s="531"/>
      <c r="C686" s="531"/>
      <c r="D686" s="531"/>
      <c r="E686" s="531"/>
      <c r="F686" s="531"/>
      <c r="G686" s="531"/>
      <c r="H686" s="531"/>
      <c r="I686" s="531"/>
      <c r="J686" s="531"/>
      <c r="K686" s="531"/>
      <c r="L686" s="531"/>
      <c r="M686" s="531"/>
      <c r="N686" s="531" t="str">
        <f aca="false">IF('(1)예금승인내역'!H1312="","",'(1)예금승인내역'!H1312)</f>
        <v/>
      </c>
      <c r="O686" s="531" t="str">
        <f aca="false">IF('(1)예금승인내역'!G1312="","",'(1)예금승인내역'!G1312)</f>
        <v/>
      </c>
      <c r="P686" s="531" t="str">
        <f aca="false">IF('(1)예금승인내역'!F1312="","",'(1)예금승인내역'!F1312)</f>
        <v/>
      </c>
      <c r="Q686" s="531" t="str">
        <f aca="false">IF('(1)예금승인내역'!C1312="","",'(1)예금승인내역'!C1312)</f>
        <v/>
      </c>
      <c r="R686" s="531" t="str">
        <f aca="false">IF('(1)예금승인내역'!K1312="","",'(1)예금승인내역'!K1312)</f>
        <v/>
      </c>
      <c r="S686" s="531" t="str">
        <f aca="false">IF('(1)예금승인내역'!L1312="","",'(1)예금승인내역'!L1312)</f>
        <v/>
      </c>
      <c r="T686" s="531" t="str">
        <f aca="false">IF('(1)예금승인내역'!AG1312="","",'(1)예금승인내역'!AG1312)</f>
        <v/>
      </c>
      <c r="U686" s="531" t="str">
        <f aca="false">IF('(1)예금승인내역'!X1312="","",'(1)예금승인내역'!X1312)</f>
        <v/>
      </c>
      <c r="V686" s="531" t="str">
        <f aca="false">IF(ISNUMBER(N686),N686-$B$2,"")</f>
        <v/>
      </c>
      <c r="W686" s="531" t="str">
        <f aca="false">IF(AND(ISNUMBER(N686),N686&gt;=$B$2,N686&lt;=$B$2+10),N686*100000+ROW(),"")</f>
        <v/>
      </c>
      <c r="X686" s="531"/>
      <c r="Y686" s="531"/>
      <c r="Z686" s="531"/>
      <c r="AA686" s="531"/>
      <c r="AB686" s="531"/>
      <c r="AC686" s="531"/>
      <c r="AD686" s="531"/>
      <c r="AE686" s="531"/>
      <c r="AF686" s="531"/>
      <c r="AG686" s="531"/>
      <c r="AH686" s="531"/>
      <c r="AI686" s="531"/>
      <c r="AJ686" s="531"/>
      <c r="AK686" s="531"/>
      <c r="AL686" s="531"/>
      <c r="AM686" s="531"/>
      <c r="AN686" s="531"/>
    </row>
    <row r="687" customFormat="false" ht="16.5" hidden="false" customHeight="true" outlineLevel="0" collapsed="false">
      <c r="A687" s="531"/>
      <c r="B687" s="531"/>
      <c r="C687" s="531"/>
      <c r="D687" s="531"/>
      <c r="E687" s="531"/>
      <c r="F687" s="531"/>
      <c r="G687" s="531"/>
      <c r="H687" s="531"/>
      <c r="I687" s="531"/>
      <c r="J687" s="531"/>
      <c r="K687" s="531"/>
      <c r="L687" s="531"/>
      <c r="M687" s="531"/>
      <c r="N687" s="531" t="str">
        <f aca="false">IF('(1)예금승인내역'!H1313="","",'(1)예금승인내역'!H1313)</f>
        <v/>
      </c>
      <c r="O687" s="531" t="str">
        <f aca="false">IF('(1)예금승인내역'!G1313="","",'(1)예금승인내역'!G1313)</f>
        <v/>
      </c>
      <c r="P687" s="531" t="str">
        <f aca="false">IF('(1)예금승인내역'!F1313="","",'(1)예금승인내역'!F1313)</f>
        <v/>
      </c>
      <c r="Q687" s="531" t="str">
        <f aca="false">IF('(1)예금승인내역'!C1313="","",'(1)예금승인내역'!C1313)</f>
        <v/>
      </c>
      <c r="R687" s="531" t="str">
        <f aca="false">IF('(1)예금승인내역'!K1313="","",'(1)예금승인내역'!K1313)</f>
        <v/>
      </c>
      <c r="S687" s="531" t="str">
        <f aca="false">IF('(1)예금승인내역'!L1313="","",'(1)예금승인내역'!L1313)</f>
        <v/>
      </c>
      <c r="T687" s="531" t="str">
        <f aca="false">IF('(1)예금승인내역'!AG1313="","",'(1)예금승인내역'!AG1313)</f>
        <v/>
      </c>
      <c r="U687" s="531" t="str">
        <f aca="false">IF('(1)예금승인내역'!X1313="","",'(1)예금승인내역'!X1313)</f>
        <v/>
      </c>
      <c r="V687" s="531" t="str">
        <f aca="false">IF(ISNUMBER(N687),N687-$B$2,"")</f>
        <v/>
      </c>
      <c r="W687" s="531" t="str">
        <f aca="false">IF(AND(ISNUMBER(N687),N687&gt;=$B$2,N687&lt;=$B$2+10),N687*100000+ROW(),"")</f>
        <v/>
      </c>
      <c r="X687" s="531"/>
      <c r="Y687" s="531"/>
      <c r="Z687" s="531"/>
      <c r="AA687" s="531"/>
      <c r="AB687" s="531"/>
      <c r="AC687" s="531"/>
      <c r="AD687" s="531"/>
      <c r="AE687" s="531"/>
      <c r="AF687" s="531"/>
      <c r="AG687" s="531"/>
      <c r="AH687" s="531"/>
      <c r="AI687" s="531"/>
      <c r="AJ687" s="531"/>
      <c r="AK687" s="531"/>
      <c r="AL687" s="531"/>
      <c r="AM687" s="531"/>
      <c r="AN687" s="531"/>
    </row>
    <row r="688" customFormat="false" ht="16.5" hidden="false" customHeight="true" outlineLevel="0" collapsed="false">
      <c r="A688" s="531"/>
      <c r="B688" s="531"/>
      <c r="C688" s="531"/>
      <c r="D688" s="531"/>
      <c r="E688" s="531"/>
      <c r="F688" s="531"/>
      <c r="G688" s="531"/>
      <c r="H688" s="531"/>
      <c r="I688" s="531"/>
      <c r="J688" s="531"/>
      <c r="K688" s="531"/>
      <c r="L688" s="531"/>
      <c r="M688" s="531"/>
      <c r="N688" s="531" t="str">
        <f aca="false">IF('(1)예금승인내역'!H1314="","",'(1)예금승인내역'!H1314)</f>
        <v/>
      </c>
      <c r="O688" s="531" t="str">
        <f aca="false">IF('(1)예금승인내역'!G1314="","",'(1)예금승인내역'!G1314)</f>
        <v/>
      </c>
      <c r="P688" s="531" t="str">
        <f aca="false">IF('(1)예금승인내역'!F1314="","",'(1)예금승인내역'!F1314)</f>
        <v/>
      </c>
      <c r="Q688" s="531" t="str">
        <f aca="false">IF('(1)예금승인내역'!C1314="","",'(1)예금승인내역'!C1314)</f>
        <v/>
      </c>
      <c r="R688" s="531" t="str">
        <f aca="false">IF('(1)예금승인내역'!K1314="","",'(1)예금승인내역'!K1314)</f>
        <v/>
      </c>
      <c r="S688" s="531" t="str">
        <f aca="false">IF('(1)예금승인내역'!L1314="","",'(1)예금승인내역'!L1314)</f>
        <v/>
      </c>
      <c r="T688" s="531" t="str">
        <f aca="false">IF('(1)예금승인내역'!AG1314="","",'(1)예금승인내역'!AG1314)</f>
        <v/>
      </c>
      <c r="U688" s="531" t="str">
        <f aca="false">IF('(1)예금승인내역'!X1314="","",'(1)예금승인내역'!X1314)</f>
        <v/>
      </c>
      <c r="V688" s="531" t="str">
        <f aca="false">IF(ISNUMBER(N688),N688-$B$2,"")</f>
        <v/>
      </c>
      <c r="W688" s="531" t="str">
        <f aca="false">IF(AND(ISNUMBER(N688),N688&gt;=$B$2,N688&lt;=$B$2+10),N688*100000+ROW(),"")</f>
        <v/>
      </c>
      <c r="X688" s="531"/>
      <c r="Y688" s="531"/>
      <c r="Z688" s="531"/>
      <c r="AA688" s="531"/>
      <c r="AB688" s="531"/>
      <c r="AC688" s="531"/>
      <c r="AD688" s="531"/>
      <c r="AE688" s="531"/>
      <c r="AF688" s="531"/>
      <c r="AG688" s="531"/>
      <c r="AH688" s="531"/>
      <c r="AI688" s="531"/>
      <c r="AJ688" s="531"/>
      <c r="AK688" s="531"/>
      <c r="AL688" s="531"/>
      <c r="AM688" s="531"/>
      <c r="AN688" s="531"/>
    </row>
    <row r="689" customFormat="false" ht="16.5" hidden="false" customHeight="true" outlineLevel="0" collapsed="false">
      <c r="A689" s="531"/>
      <c r="B689" s="531"/>
      <c r="C689" s="531"/>
      <c r="D689" s="531"/>
      <c r="E689" s="531"/>
      <c r="F689" s="531"/>
      <c r="G689" s="531"/>
      <c r="H689" s="531"/>
      <c r="I689" s="531"/>
      <c r="J689" s="531"/>
      <c r="K689" s="531"/>
      <c r="L689" s="531"/>
      <c r="M689" s="531"/>
      <c r="N689" s="531" t="str">
        <f aca="false">IF('(1)예금승인내역'!H1315="","",'(1)예금승인내역'!H1315)</f>
        <v/>
      </c>
      <c r="O689" s="531" t="str">
        <f aca="false">IF('(1)예금승인내역'!G1315="","",'(1)예금승인내역'!G1315)</f>
        <v/>
      </c>
      <c r="P689" s="531" t="str">
        <f aca="false">IF('(1)예금승인내역'!F1315="","",'(1)예금승인내역'!F1315)</f>
        <v/>
      </c>
      <c r="Q689" s="531" t="str">
        <f aca="false">IF('(1)예금승인내역'!C1315="","",'(1)예금승인내역'!C1315)</f>
        <v/>
      </c>
      <c r="R689" s="531" t="str">
        <f aca="false">IF('(1)예금승인내역'!K1315="","",'(1)예금승인내역'!K1315)</f>
        <v/>
      </c>
      <c r="S689" s="531" t="str">
        <f aca="false">IF('(1)예금승인내역'!L1315="","",'(1)예금승인내역'!L1315)</f>
        <v/>
      </c>
      <c r="T689" s="531" t="str">
        <f aca="false">IF('(1)예금승인내역'!AG1315="","",'(1)예금승인내역'!AG1315)</f>
        <v/>
      </c>
      <c r="U689" s="531" t="str">
        <f aca="false">IF('(1)예금승인내역'!X1315="","",'(1)예금승인내역'!X1315)</f>
        <v/>
      </c>
      <c r="V689" s="531" t="str">
        <f aca="false">IF(ISNUMBER(N689),N689-$B$2,"")</f>
        <v/>
      </c>
      <c r="W689" s="531" t="str">
        <f aca="false">IF(AND(ISNUMBER(N689),N689&gt;=$B$2,N689&lt;=$B$2+10),N689*100000+ROW(),"")</f>
        <v/>
      </c>
      <c r="X689" s="531"/>
      <c r="Y689" s="531"/>
      <c r="Z689" s="531"/>
      <c r="AA689" s="531"/>
      <c r="AB689" s="531"/>
      <c r="AC689" s="531"/>
      <c r="AD689" s="531"/>
      <c r="AE689" s="531"/>
      <c r="AF689" s="531"/>
      <c r="AG689" s="531"/>
      <c r="AH689" s="531"/>
      <c r="AI689" s="531"/>
      <c r="AJ689" s="531"/>
      <c r="AK689" s="531"/>
      <c r="AL689" s="531"/>
      <c r="AM689" s="531"/>
      <c r="AN689" s="531"/>
    </row>
    <row r="690" customFormat="false" ht="16.5" hidden="false" customHeight="true" outlineLevel="0" collapsed="false">
      <c r="A690" s="531"/>
      <c r="B690" s="531"/>
      <c r="C690" s="531"/>
      <c r="D690" s="531"/>
      <c r="E690" s="531"/>
      <c r="F690" s="531"/>
      <c r="G690" s="531"/>
      <c r="H690" s="531"/>
      <c r="I690" s="531"/>
      <c r="J690" s="531"/>
      <c r="K690" s="531"/>
      <c r="L690" s="531"/>
      <c r="M690" s="531"/>
      <c r="N690" s="531" t="str">
        <f aca="false">IF('(1)예금승인내역'!H1316="","",'(1)예금승인내역'!H1316)</f>
        <v/>
      </c>
      <c r="O690" s="531" t="str">
        <f aca="false">IF('(1)예금승인내역'!G1316="","",'(1)예금승인내역'!G1316)</f>
        <v/>
      </c>
      <c r="P690" s="531" t="str">
        <f aca="false">IF('(1)예금승인내역'!F1316="","",'(1)예금승인내역'!F1316)</f>
        <v/>
      </c>
      <c r="Q690" s="531" t="str">
        <f aca="false">IF('(1)예금승인내역'!C1316="","",'(1)예금승인내역'!C1316)</f>
        <v/>
      </c>
      <c r="R690" s="531" t="str">
        <f aca="false">IF('(1)예금승인내역'!K1316="","",'(1)예금승인내역'!K1316)</f>
        <v/>
      </c>
      <c r="S690" s="531" t="str">
        <f aca="false">IF('(1)예금승인내역'!L1316="","",'(1)예금승인내역'!L1316)</f>
        <v/>
      </c>
      <c r="T690" s="531" t="str">
        <f aca="false">IF('(1)예금승인내역'!AG1316="","",'(1)예금승인내역'!AG1316)</f>
        <v/>
      </c>
      <c r="U690" s="531" t="str">
        <f aca="false">IF('(1)예금승인내역'!X1316="","",'(1)예금승인내역'!X1316)</f>
        <v/>
      </c>
      <c r="V690" s="531" t="str">
        <f aca="false">IF(ISNUMBER(N690),N690-$B$2,"")</f>
        <v/>
      </c>
      <c r="W690" s="531" t="str">
        <f aca="false">IF(AND(ISNUMBER(N690),N690&gt;=$B$2,N690&lt;=$B$2+10),N690*100000+ROW(),"")</f>
        <v/>
      </c>
      <c r="X690" s="531"/>
      <c r="Y690" s="531"/>
      <c r="Z690" s="531"/>
      <c r="AA690" s="531"/>
      <c r="AB690" s="531"/>
      <c r="AC690" s="531"/>
      <c r="AD690" s="531"/>
      <c r="AE690" s="531"/>
      <c r="AF690" s="531"/>
      <c r="AG690" s="531"/>
      <c r="AH690" s="531"/>
      <c r="AI690" s="531"/>
      <c r="AJ690" s="531"/>
      <c r="AK690" s="531"/>
      <c r="AL690" s="531"/>
      <c r="AM690" s="531"/>
      <c r="AN690" s="531"/>
    </row>
    <row r="691" customFormat="false" ht="16.5" hidden="false" customHeight="true" outlineLevel="0" collapsed="false">
      <c r="A691" s="531"/>
      <c r="B691" s="531"/>
      <c r="C691" s="531"/>
      <c r="D691" s="531"/>
      <c r="E691" s="531"/>
      <c r="F691" s="531"/>
      <c r="G691" s="531"/>
      <c r="H691" s="531"/>
      <c r="I691" s="531"/>
      <c r="J691" s="531"/>
      <c r="K691" s="531"/>
      <c r="L691" s="531"/>
      <c r="M691" s="531"/>
      <c r="N691" s="531" t="str">
        <f aca="false">IF('(1)예금승인내역'!H1317="","",'(1)예금승인내역'!H1317)</f>
        <v/>
      </c>
      <c r="O691" s="531" t="str">
        <f aca="false">IF('(1)예금승인내역'!G1317="","",'(1)예금승인내역'!G1317)</f>
        <v/>
      </c>
      <c r="P691" s="531" t="str">
        <f aca="false">IF('(1)예금승인내역'!F1317="","",'(1)예금승인내역'!F1317)</f>
        <v/>
      </c>
      <c r="Q691" s="531" t="str">
        <f aca="false">IF('(1)예금승인내역'!C1317="","",'(1)예금승인내역'!C1317)</f>
        <v/>
      </c>
      <c r="R691" s="531" t="str">
        <f aca="false">IF('(1)예금승인내역'!K1317="","",'(1)예금승인내역'!K1317)</f>
        <v/>
      </c>
      <c r="S691" s="531" t="str">
        <f aca="false">IF('(1)예금승인내역'!L1317="","",'(1)예금승인내역'!L1317)</f>
        <v/>
      </c>
      <c r="T691" s="531" t="str">
        <f aca="false">IF('(1)예금승인내역'!AG1317="","",'(1)예금승인내역'!AG1317)</f>
        <v/>
      </c>
      <c r="U691" s="531" t="str">
        <f aca="false">IF('(1)예금승인내역'!X1317="","",'(1)예금승인내역'!X1317)</f>
        <v/>
      </c>
      <c r="V691" s="531" t="str">
        <f aca="false">IF(ISNUMBER(N691),N691-$B$2,"")</f>
        <v/>
      </c>
      <c r="W691" s="531" t="str">
        <f aca="false">IF(AND(ISNUMBER(N691),N691&gt;=$B$2,N691&lt;=$B$2+10),N691*100000+ROW(),"")</f>
        <v/>
      </c>
      <c r="X691" s="531"/>
      <c r="Y691" s="531"/>
      <c r="Z691" s="531"/>
      <c r="AA691" s="531"/>
      <c r="AB691" s="531"/>
      <c r="AC691" s="531"/>
      <c r="AD691" s="531"/>
      <c r="AE691" s="531"/>
      <c r="AF691" s="531"/>
      <c r="AG691" s="531"/>
      <c r="AH691" s="531"/>
      <c r="AI691" s="531"/>
      <c r="AJ691" s="531"/>
      <c r="AK691" s="531"/>
      <c r="AL691" s="531"/>
      <c r="AM691" s="531"/>
      <c r="AN691" s="531"/>
    </row>
    <row r="692" customFormat="false" ht="16.5" hidden="false" customHeight="true" outlineLevel="0" collapsed="false">
      <c r="A692" s="531"/>
      <c r="B692" s="531"/>
      <c r="C692" s="531"/>
      <c r="D692" s="531"/>
      <c r="E692" s="531"/>
      <c r="F692" s="531"/>
      <c r="G692" s="531"/>
      <c r="H692" s="531"/>
      <c r="I692" s="531"/>
      <c r="J692" s="531"/>
      <c r="K692" s="531"/>
      <c r="L692" s="531"/>
      <c r="M692" s="531"/>
      <c r="N692" s="531" t="str">
        <f aca="false">IF('(1)예금승인내역'!H1318="","",'(1)예금승인내역'!H1318)</f>
        <v/>
      </c>
      <c r="O692" s="531" t="str">
        <f aca="false">IF('(1)예금승인내역'!G1318="","",'(1)예금승인내역'!G1318)</f>
        <v/>
      </c>
      <c r="P692" s="531" t="str">
        <f aca="false">IF('(1)예금승인내역'!F1318="","",'(1)예금승인내역'!F1318)</f>
        <v/>
      </c>
      <c r="Q692" s="531" t="str">
        <f aca="false">IF('(1)예금승인내역'!C1318="","",'(1)예금승인내역'!C1318)</f>
        <v/>
      </c>
      <c r="R692" s="531" t="str">
        <f aca="false">IF('(1)예금승인내역'!K1318="","",'(1)예금승인내역'!K1318)</f>
        <v/>
      </c>
      <c r="S692" s="531" t="str">
        <f aca="false">IF('(1)예금승인내역'!L1318="","",'(1)예금승인내역'!L1318)</f>
        <v/>
      </c>
      <c r="T692" s="531" t="str">
        <f aca="false">IF('(1)예금승인내역'!AG1318="","",'(1)예금승인내역'!AG1318)</f>
        <v/>
      </c>
      <c r="U692" s="531" t="str">
        <f aca="false">IF('(1)예금승인내역'!X1318="","",'(1)예금승인내역'!X1318)</f>
        <v/>
      </c>
      <c r="V692" s="531" t="str">
        <f aca="false">IF(ISNUMBER(N692),N692-$B$2,"")</f>
        <v/>
      </c>
      <c r="W692" s="531" t="str">
        <f aca="false">IF(AND(ISNUMBER(N692),N692&gt;=$B$2,N692&lt;=$B$2+10),N692*100000+ROW(),"")</f>
        <v/>
      </c>
      <c r="X692" s="531"/>
      <c r="Y692" s="531"/>
      <c r="Z692" s="531"/>
      <c r="AA692" s="531"/>
      <c r="AB692" s="531"/>
      <c r="AC692" s="531"/>
      <c r="AD692" s="531"/>
      <c r="AE692" s="531"/>
      <c r="AF692" s="531"/>
      <c r="AG692" s="531"/>
      <c r="AH692" s="531"/>
      <c r="AI692" s="531"/>
      <c r="AJ692" s="531"/>
      <c r="AK692" s="531"/>
      <c r="AL692" s="531"/>
      <c r="AM692" s="531"/>
      <c r="AN692" s="531"/>
    </row>
    <row r="693" customFormat="false" ht="16.5" hidden="false" customHeight="true" outlineLevel="0" collapsed="false">
      <c r="A693" s="531"/>
      <c r="B693" s="531"/>
      <c r="C693" s="531"/>
      <c r="D693" s="531"/>
      <c r="E693" s="531"/>
      <c r="F693" s="531"/>
      <c r="G693" s="531"/>
      <c r="H693" s="531"/>
      <c r="I693" s="531"/>
      <c r="J693" s="531"/>
      <c r="K693" s="531"/>
      <c r="L693" s="531"/>
      <c r="M693" s="531"/>
      <c r="N693" s="531" t="str">
        <f aca="false">IF('(1)예금승인내역'!H1319="","",'(1)예금승인내역'!H1319)</f>
        <v/>
      </c>
      <c r="O693" s="531" t="str">
        <f aca="false">IF('(1)예금승인내역'!G1319="","",'(1)예금승인내역'!G1319)</f>
        <v/>
      </c>
      <c r="P693" s="531" t="str">
        <f aca="false">IF('(1)예금승인내역'!F1319="","",'(1)예금승인내역'!F1319)</f>
        <v/>
      </c>
      <c r="Q693" s="531" t="str">
        <f aca="false">IF('(1)예금승인내역'!C1319="","",'(1)예금승인내역'!C1319)</f>
        <v/>
      </c>
      <c r="R693" s="531" t="str">
        <f aca="false">IF('(1)예금승인내역'!K1319="","",'(1)예금승인내역'!K1319)</f>
        <v/>
      </c>
      <c r="S693" s="531" t="str">
        <f aca="false">IF('(1)예금승인내역'!L1319="","",'(1)예금승인내역'!L1319)</f>
        <v/>
      </c>
      <c r="T693" s="531" t="str">
        <f aca="false">IF('(1)예금승인내역'!AG1319="","",'(1)예금승인내역'!AG1319)</f>
        <v/>
      </c>
      <c r="U693" s="531" t="str">
        <f aca="false">IF('(1)예금승인내역'!X1319="","",'(1)예금승인내역'!X1319)</f>
        <v/>
      </c>
      <c r="V693" s="531" t="str">
        <f aca="false">IF(ISNUMBER(N693),N693-$B$2,"")</f>
        <v/>
      </c>
      <c r="W693" s="531" t="str">
        <f aca="false">IF(AND(ISNUMBER(N693),N693&gt;=$B$2,N693&lt;=$B$2+10),N693*100000+ROW(),"")</f>
        <v/>
      </c>
      <c r="X693" s="531"/>
      <c r="Y693" s="531"/>
      <c r="Z693" s="531"/>
      <c r="AA693" s="531"/>
      <c r="AB693" s="531"/>
      <c r="AC693" s="531"/>
      <c r="AD693" s="531"/>
      <c r="AE693" s="531"/>
      <c r="AF693" s="531"/>
      <c r="AG693" s="531"/>
      <c r="AH693" s="531"/>
      <c r="AI693" s="531"/>
      <c r="AJ693" s="531"/>
      <c r="AK693" s="531"/>
      <c r="AL693" s="531"/>
      <c r="AM693" s="531"/>
      <c r="AN693" s="531"/>
    </row>
    <row r="694" customFormat="false" ht="16.5" hidden="false" customHeight="true" outlineLevel="0" collapsed="false">
      <c r="A694" s="531"/>
      <c r="B694" s="531"/>
      <c r="C694" s="531"/>
      <c r="D694" s="531"/>
      <c r="E694" s="531"/>
      <c r="F694" s="531"/>
      <c r="G694" s="531"/>
      <c r="H694" s="531"/>
      <c r="I694" s="531"/>
      <c r="J694" s="531"/>
      <c r="K694" s="531"/>
      <c r="L694" s="531"/>
      <c r="M694" s="531"/>
      <c r="N694" s="531" t="str">
        <f aca="false">IF('(1)예금승인내역'!H1320="","",'(1)예금승인내역'!H1320)</f>
        <v/>
      </c>
      <c r="O694" s="531" t="str">
        <f aca="false">IF('(1)예금승인내역'!G1320="","",'(1)예금승인내역'!G1320)</f>
        <v/>
      </c>
      <c r="P694" s="531" t="str">
        <f aca="false">IF('(1)예금승인내역'!F1320="","",'(1)예금승인내역'!F1320)</f>
        <v/>
      </c>
      <c r="Q694" s="531" t="str">
        <f aca="false">IF('(1)예금승인내역'!C1320="","",'(1)예금승인내역'!C1320)</f>
        <v/>
      </c>
      <c r="R694" s="531" t="str">
        <f aca="false">IF('(1)예금승인내역'!K1320="","",'(1)예금승인내역'!K1320)</f>
        <v/>
      </c>
      <c r="S694" s="531" t="str">
        <f aca="false">IF('(1)예금승인내역'!L1320="","",'(1)예금승인내역'!L1320)</f>
        <v/>
      </c>
      <c r="T694" s="531" t="str">
        <f aca="false">IF('(1)예금승인내역'!AG1320="","",'(1)예금승인내역'!AG1320)</f>
        <v/>
      </c>
      <c r="U694" s="531" t="str">
        <f aca="false">IF('(1)예금승인내역'!X1320="","",'(1)예금승인내역'!X1320)</f>
        <v/>
      </c>
      <c r="V694" s="531" t="str">
        <f aca="false">IF(ISNUMBER(N694),N694-$B$2,"")</f>
        <v/>
      </c>
      <c r="W694" s="531" t="str">
        <f aca="false">IF(AND(ISNUMBER(N694),N694&gt;=$B$2,N694&lt;=$B$2+10),N694*100000+ROW(),"")</f>
        <v/>
      </c>
      <c r="X694" s="531"/>
      <c r="Y694" s="531"/>
      <c r="Z694" s="531"/>
      <c r="AA694" s="531"/>
      <c r="AB694" s="531"/>
      <c r="AC694" s="531"/>
      <c r="AD694" s="531"/>
      <c r="AE694" s="531"/>
      <c r="AF694" s="531"/>
      <c r="AG694" s="531"/>
      <c r="AH694" s="531"/>
      <c r="AI694" s="531"/>
      <c r="AJ694" s="531"/>
      <c r="AK694" s="531"/>
      <c r="AL694" s="531"/>
      <c r="AM694" s="531"/>
      <c r="AN694" s="531"/>
    </row>
    <row r="695" customFormat="false" ht="16.5" hidden="false" customHeight="true" outlineLevel="0" collapsed="false">
      <c r="A695" s="531"/>
      <c r="B695" s="531"/>
      <c r="C695" s="531"/>
      <c r="D695" s="531"/>
      <c r="E695" s="531"/>
      <c r="F695" s="531"/>
      <c r="G695" s="531"/>
      <c r="H695" s="531"/>
      <c r="I695" s="531"/>
      <c r="J695" s="531"/>
      <c r="K695" s="531"/>
      <c r="L695" s="531"/>
      <c r="M695" s="531"/>
      <c r="N695" s="531" t="str">
        <f aca="false">IF('(1)예금승인내역'!H1321="","",'(1)예금승인내역'!H1321)</f>
        <v/>
      </c>
      <c r="O695" s="531" t="str">
        <f aca="false">IF('(1)예금승인내역'!G1321="","",'(1)예금승인내역'!G1321)</f>
        <v/>
      </c>
      <c r="P695" s="531" t="str">
        <f aca="false">IF('(1)예금승인내역'!F1321="","",'(1)예금승인내역'!F1321)</f>
        <v/>
      </c>
      <c r="Q695" s="531" t="str">
        <f aca="false">IF('(1)예금승인내역'!C1321="","",'(1)예금승인내역'!C1321)</f>
        <v/>
      </c>
      <c r="R695" s="531" t="str">
        <f aca="false">IF('(1)예금승인내역'!K1321="","",'(1)예금승인내역'!K1321)</f>
        <v/>
      </c>
      <c r="S695" s="531" t="str">
        <f aca="false">IF('(1)예금승인내역'!L1321="","",'(1)예금승인내역'!L1321)</f>
        <v/>
      </c>
      <c r="T695" s="531" t="str">
        <f aca="false">IF('(1)예금승인내역'!AG1321="","",'(1)예금승인내역'!AG1321)</f>
        <v/>
      </c>
      <c r="U695" s="531" t="str">
        <f aca="false">IF('(1)예금승인내역'!X1321="","",'(1)예금승인내역'!X1321)</f>
        <v/>
      </c>
      <c r="V695" s="531" t="str">
        <f aca="false">IF(ISNUMBER(N695),N695-$B$2,"")</f>
        <v/>
      </c>
      <c r="W695" s="531" t="str">
        <f aca="false">IF(AND(ISNUMBER(N695),N695&gt;=$B$2,N695&lt;=$B$2+10),N695*100000+ROW(),"")</f>
        <v/>
      </c>
      <c r="X695" s="531"/>
      <c r="Y695" s="531"/>
      <c r="Z695" s="531"/>
      <c r="AA695" s="531"/>
      <c r="AB695" s="531"/>
      <c r="AC695" s="531"/>
      <c r="AD695" s="531"/>
      <c r="AE695" s="531"/>
      <c r="AF695" s="531"/>
      <c r="AG695" s="531"/>
      <c r="AH695" s="531"/>
      <c r="AI695" s="531"/>
      <c r="AJ695" s="531"/>
      <c r="AK695" s="531"/>
      <c r="AL695" s="531"/>
      <c r="AM695" s="531"/>
      <c r="AN695" s="531"/>
    </row>
    <row r="696" customFormat="false" ht="16.5" hidden="false" customHeight="true" outlineLevel="0" collapsed="false">
      <c r="A696" s="531"/>
      <c r="B696" s="531"/>
      <c r="C696" s="531"/>
      <c r="D696" s="531"/>
      <c r="E696" s="531"/>
      <c r="F696" s="531"/>
      <c r="G696" s="531"/>
      <c r="H696" s="531"/>
      <c r="I696" s="531"/>
      <c r="J696" s="531"/>
      <c r="K696" s="531"/>
      <c r="L696" s="531"/>
      <c r="M696" s="531"/>
      <c r="N696" s="531" t="str">
        <f aca="false">IF('(1)예금승인내역'!H1322="","",'(1)예금승인내역'!H1322)</f>
        <v/>
      </c>
      <c r="O696" s="531" t="str">
        <f aca="false">IF('(1)예금승인내역'!G1322="","",'(1)예금승인내역'!G1322)</f>
        <v/>
      </c>
      <c r="P696" s="531" t="str">
        <f aca="false">IF('(1)예금승인내역'!F1322="","",'(1)예금승인내역'!F1322)</f>
        <v/>
      </c>
      <c r="Q696" s="531" t="str">
        <f aca="false">IF('(1)예금승인내역'!C1322="","",'(1)예금승인내역'!C1322)</f>
        <v/>
      </c>
      <c r="R696" s="531" t="str">
        <f aca="false">IF('(1)예금승인내역'!K1322="","",'(1)예금승인내역'!K1322)</f>
        <v/>
      </c>
      <c r="S696" s="531" t="str">
        <f aca="false">IF('(1)예금승인내역'!L1322="","",'(1)예금승인내역'!L1322)</f>
        <v/>
      </c>
      <c r="T696" s="531" t="str">
        <f aca="false">IF('(1)예금승인내역'!AG1322="","",'(1)예금승인내역'!AG1322)</f>
        <v/>
      </c>
      <c r="U696" s="531" t="str">
        <f aca="false">IF('(1)예금승인내역'!X1322="","",'(1)예금승인내역'!X1322)</f>
        <v/>
      </c>
      <c r="V696" s="531" t="str">
        <f aca="false">IF(ISNUMBER(N696),N696-$B$2,"")</f>
        <v/>
      </c>
      <c r="W696" s="531" t="str">
        <f aca="false">IF(AND(ISNUMBER(N696),N696&gt;=$B$2,N696&lt;=$B$2+10),N696*100000+ROW(),"")</f>
        <v/>
      </c>
      <c r="X696" s="531"/>
      <c r="Y696" s="531"/>
      <c r="Z696" s="531"/>
      <c r="AA696" s="531"/>
      <c r="AB696" s="531"/>
      <c r="AC696" s="531"/>
      <c r="AD696" s="531"/>
      <c r="AE696" s="531"/>
      <c r="AF696" s="531"/>
      <c r="AG696" s="531"/>
      <c r="AH696" s="531"/>
      <c r="AI696" s="531"/>
      <c r="AJ696" s="531"/>
      <c r="AK696" s="531"/>
      <c r="AL696" s="531"/>
      <c r="AM696" s="531"/>
      <c r="AN696" s="531"/>
    </row>
    <row r="697" customFormat="false" ht="16.5" hidden="false" customHeight="true" outlineLevel="0" collapsed="false">
      <c r="A697" s="531"/>
      <c r="B697" s="531"/>
      <c r="C697" s="531"/>
      <c r="D697" s="531"/>
      <c r="E697" s="531"/>
      <c r="F697" s="531"/>
      <c r="G697" s="531"/>
      <c r="H697" s="531"/>
      <c r="I697" s="531"/>
      <c r="J697" s="531"/>
      <c r="K697" s="531"/>
      <c r="L697" s="531"/>
      <c r="M697" s="531"/>
      <c r="N697" s="531" t="str">
        <f aca="false">IF('(1)예금승인내역'!H1323="","",'(1)예금승인내역'!H1323)</f>
        <v/>
      </c>
      <c r="O697" s="531" t="str">
        <f aca="false">IF('(1)예금승인내역'!G1323="","",'(1)예금승인내역'!G1323)</f>
        <v/>
      </c>
      <c r="P697" s="531" t="str">
        <f aca="false">IF('(1)예금승인내역'!F1323="","",'(1)예금승인내역'!F1323)</f>
        <v/>
      </c>
      <c r="Q697" s="531" t="str">
        <f aca="false">IF('(1)예금승인내역'!C1323="","",'(1)예금승인내역'!C1323)</f>
        <v/>
      </c>
      <c r="R697" s="531" t="str">
        <f aca="false">IF('(1)예금승인내역'!K1323="","",'(1)예금승인내역'!K1323)</f>
        <v/>
      </c>
      <c r="S697" s="531" t="str">
        <f aca="false">IF('(1)예금승인내역'!L1323="","",'(1)예금승인내역'!L1323)</f>
        <v/>
      </c>
      <c r="T697" s="531" t="str">
        <f aca="false">IF('(1)예금승인내역'!AG1323="","",'(1)예금승인내역'!AG1323)</f>
        <v/>
      </c>
      <c r="U697" s="531" t="str">
        <f aca="false">IF('(1)예금승인내역'!X1323="","",'(1)예금승인내역'!X1323)</f>
        <v/>
      </c>
      <c r="V697" s="531" t="str">
        <f aca="false">IF(ISNUMBER(N697),N697-$B$2,"")</f>
        <v/>
      </c>
      <c r="W697" s="531" t="str">
        <f aca="false">IF(AND(ISNUMBER(N697),N697&gt;=$B$2,N697&lt;=$B$2+10),N697*100000+ROW(),"")</f>
        <v/>
      </c>
      <c r="X697" s="531"/>
      <c r="Y697" s="531"/>
      <c r="Z697" s="531"/>
      <c r="AA697" s="531"/>
      <c r="AB697" s="531"/>
      <c r="AC697" s="531"/>
      <c r="AD697" s="531"/>
      <c r="AE697" s="531"/>
      <c r="AF697" s="531"/>
      <c r="AG697" s="531"/>
      <c r="AH697" s="531"/>
      <c r="AI697" s="531"/>
      <c r="AJ697" s="531"/>
      <c r="AK697" s="531"/>
      <c r="AL697" s="531"/>
      <c r="AM697" s="531"/>
      <c r="AN697" s="531"/>
    </row>
    <row r="698" customFormat="false" ht="16.5" hidden="false" customHeight="true" outlineLevel="0" collapsed="false">
      <c r="A698" s="531"/>
      <c r="B698" s="531"/>
      <c r="C698" s="531"/>
      <c r="D698" s="531"/>
      <c r="E698" s="531"/>
      <c r="F698" s="531"/>
      <c r="G698" s="531"/>
      <c r="H698" s="531"/>
      <c r="I698" s="531"/>
      <c r="J698" s="531"/>
      <c r="K698" s="531"/>
      <c r="L698" s="531"/>
      <c r="M698" s="531"/>
      <c r="N698" s="531" t="str">
        <f aca="false">IF('(1)예금승인내역'!H1324="","",'(1)예금승인내역'!H1324)</f>
        <v/>
      </c>
      <c r="O698" s="531" t="str">
        <f aca="false">IF('(1)예금승인내역'!G1324="","",'(1)예금승인내역'!G1324)</f>
        <v/>
      </c>
      <c r="P698" s="531" t="str">
        <f aca="false">IF('(1)예금승인내역'!F1324="","",'(1)예금승인내역'!F1324)</f>
        <v/>
      </c>
      <c r="Q698" s="531" t="str">
        <f aca="false">IF('(1)예금승인내역'!C1324="","",'(1)예금승인내역'!C1324)</f>
        <v/>
      </c>
      <c r="R698" s="531" t="str">
        <f aca="false">IF('(1)예금승인내역'!K1324="","",'(1)예금승인내역'!K1324)</f>
        <v/>
      </c>
      <c r="S698" s="531" t="str">
        <f aca="false">IF('(1)예금승인내역'!L1324="","",'(1)예금승인내역'!L1324)</f>
        <v/>
      </c>
      <c r="T698" s="531" t="str">
        <f aca="false">IF('(1)예금승인내역'!AG1324="","",'(1)예금승인내역'!AG1324)</f>
        <v/>
      </c>
      <c r="U698" s="531" t="str">
        <f aca="false">IF('(1)예금승인내역'!X1324="","",'(1)예금승인내역'!X1324)</f>
        <v/>
      </c>
      <c r="V698" s="531" t="str">
        <f aca="false">IF(ISNUMBER(N698),N698-$B$2,"")</f>
        <v/>
      </c>
      <c r="W698" s="531" t="str">
        <f aca="false">IF(AND(ISNUMBER(N698),N698&gt;=$B$2,N698&lt;=$B$2+10),N698*100000+ROW(),"")</f>
        <v/>
      </c>
      <c r="X698" s="531"/>
      <c r="Y698" s="531"/>
      <c r="Z698" s="531"/>
      <c r="AA698" s="531"/>
      <c r="AB698" s="531"/>
      <c r="AC698" s="531"/>
      <c r="AD698" s="531"/>
      <c r="AE698" s="531"/>
      <c r="AF698" s="531"/>
      <c r="AG698" s="531"/>
      <c r="AH698" s="531"/>
      <c r="AI698" s="531"/>
      <c r="AJ698" s="531"/>
      <c r="AK698" s="531"/>
      <c r="AL698" s="531"/>
      <c r="AM698" s="531"/>
      <c r="AN698" s="531"/>
    </row>
    <row r="699" customFormat="false" ht="16.5" hidden="false" customHeight="true" outlineLevel="0" collapsed="false">
      <c r="A699" s="531"/>
      <c r="B699" s="531"/>
      <c r="C699" s="531"/>
      <c r="D699" s="531"/>
      <c r="E699" s="531"/>
      <c r="F699" s="531"/>
      <c r="G699" s="531"/>
      <c r="H699" s="531"/>
      <c r="I699" s="531"/>
      <c r="J699" s="531"/>
      <c r="K699" s="531"/>
      <c r="L699" s="531"/>
      <c r="M699" s="531"/>
      <c r="N699" s="531" t="str">
        <f aca="false">IF('(1)예금승인내역'!H1325="","",'(1)예금승인내역'!H1325)</f>
        <v/>
      </c>
      <c r="O699" s="531" t="str">
        <f aca="false">IF('(1)예금승인내역'!G1325="","",'(1)예금승인내역'!G1325)</f>
        <v/>
      </c>
      <c r="P699" s="531" t="str">
        <f aca="false">IF('(1)예금승인내역'!F1325="","",'(1)예금승인내역'!F1325)</f>
        <v/>
      </c>
      <c r="Q699" s="531" t="str">
        <f aca="false">IF('(1)예금승인내역'!C1325="","",'(1)예금승인내역'!C1325)</f>
        <v/>
      </c>
      <c r="R699" s="531" t="str">
        <f aca="false">IF('(1)예금승인내역'!K1325="","",'(1)예금승인내역'!K1325)</f>
        <v/>
      </c>
      <c r="S699" s="531" t="str">
        <f aca="false">IF('(1)예금승인내역'!L1325="","",'(1)예금승인내역'!L1325)</f>
        <v/>
      </c>
      <c r="T699" s="531" t="str">
        <f aca="false">IF('(1)예금승인내역'!AG1325="","",'(1)예금승인내역'!AG1325)</f>
        <v/>
      </c>
      <c r="U699" s="531" t="str">
        <f aca="false">IF('(1)예금승인내역'!X1325="","",'(1)예금승인내역'!X1325)</f>
        <v/>
      </c>
      <c r="V699" s="531" t="str">
        <f aca="false">IF(ISNUMBER(N699),N699-$B$2,"")</f>
        <v/>
      </c>
      <c r="W699" s="531" t="str">
        <f aca="false">IF(AND(ISNUMBER(N699),N699&gt;=$B$2,N699&lt;=$B$2+10),N699*100000+ROW(),"")</f>
        <v/>
      </c>
      <c r="X699" s="531"/>
      <c r="Y699" s="531"/>
      <c r="Z699" s="531"/>
      <c r="AA699" s="531"/>
      <c r="AB699" s="531"/>
      <c r="AC699" s="531"/>
      <c r="AD699" s="531"/>
      <c r="AE699" s="531"/>
      <c r="AF699" s="531"/>
      <c r="AG699" s="531"/>
      <c r="AH699" s="531"/>
      <c r="AI699" s="531"/>
      <c r="AJ699" s="531"/>
      <c r="AK699" s="531"/>
      <c r="AL699" s="531"/>
      <c r="AM699" s="531"/>
      <c r="AN699" s="531"/>
    </row>
    <row r="700" customFormat="false" ht="16.5" hidden="false" customHeight="true" outlineLevel="0" collapsed="false">
      <c r="A700" s="531"/>
      <c r="B700" s="531"/>
      <c r="C700" s="531"/>
      <c r="D700" s="531"/>
      <c r="E700" s="531"/>
      <c r="F700" s="531"/>
      <c r="G700" s="531"/>
      <c r="H700" s="531"/>
      <c r="I700" s="531"/>
      <c r="J700" s="531"/>
      <c r="K700" s="531"/>
      <c r="L700" s="531"/>
      <c r="M700" s="531"/>
      <c r="N700" s="531" t="str">
        <f aca="false">IF('(1)예금승인내역'!H1326="","",'(1)예금승인내역'!H1326)</f>
        <v/>
      </c>
      <c r="O700" s="531" t="str">
        <f aca="false">IF('(1)예금승인내역'!G1326="","",'(1)예금승인내역'!G1326)</f>
        <v/>
      </c>
      <c r="P700" s="531" t="str">
        <f aca="false">IF('(1)예금승인내역'!F1326="","",'(1)예금승인내역'!F1326)</f>
        <v/>
      </c>
      <c r="Q700" s="531" t="str">
        <f aca="false">IF('(1)예금승인내역'!C1326="","",'(1)예금승인내역'!C1326)</f>
        <v/>
      </c>
      <c r="R700" s="531" t="str">
        <f aca="false">IF('(1)예금승인내역'!K1326="","",'(1)예금승인내역'!K1326)</f>
        <v/>
      </c>
      <c r="S700" s="531" t="str">
        <f aca="false">IF('(1)예금승인내역'!L1326="","",'(1)예금승인내역'!L1326)</f>
        <v/>
      </c>
      <c r="T700" s="531" t="str">
        <f aca="false">IF('(1)예금승인내역'!AG1326="","",'(1)예금승인내역'!AG1326)</f>
        <v/>
      </c>
      <c r="U700" s="531" t="str">
        <f aca="false">IF('(1)예금승인내역'!X1326="","",'(1)예금승인내역'!X1326)</f>
        <v/>
      </c>
      <c r="V700" s="531" t="str">
        <f aca="false">IF(ISNUMBER(N700),N700-$B$2,"")</f>
        <v/>
      </c>
      <c r="W700" s="531" t="str">
        <f aca="false">IF(AND(ISNUMBER(N700),N700&gt;=$B$2,N700&lt;=$B$2+10),N700*100000+ROW(),"")</f>
        <v/>
      </c>
      <c r="X700" s="531"/>
      <c r="Y700" s="531"/>
      <c r="Z700" s="531"/>
      <c r="AA700" s="531"/>
      <c r="AB700" s="531"/>
      <c r="AC700" s="531"/>
      <c r="AD700" s="531"/>
      <c r="AE700" s="531"/>
      <c r="AF700" s="531"/>
      <c r="AG700" s="531"/>
      <c r="AH700" s="531"/>
      <c r="AI700" s="531"/>
      <c r="AJ700" s="531"/>
      <c r="AK700" s="531"/>
      <c r="AL700" s="531"/>
      <c r="AM700" s="531"/>
      <c r="AN700" s="531"/>
    </row>
    <row r="701" customFormat="false" ht="16.5" hidden="false" customHeight="true" outlineLevel="0" collapsed="false">
      <c r="A701" s="531"/>
      <c r="B701" s="531"/>
      <c r="C701" s="531"/>
      <c r="D701" s="531"/>
      <c r="E701" s="531"/>
      <c r="F701" s="531"/>
      <c r="G701" s="531"/>
      <c r="H701" s="531"/>
      <c r="I701" s="531"/>
      <c r="J701" s="531"/>
      <c r="K701" s="531"/>
      <c r="L701" s="531"/>
      <c r="M701" s="531"/>
      <c r="N701" s="531" t="str">
        <f aca="false">IF('(1)예금승인내역'!H1327="","",'(1)예금승인내역'!H1327)</f>
        <v/>
      </c>
      <c r="O701" s="531" t="str">
        <f aca="false">IF('(1)예금승인내역'!G1327="","",'(1)예금승인내역'!G1327)</f>
        <v/>
      </c>
      <c r="P701" s="531" t="str">
        <f aca="false">IF('(1)예금승인내역'!F1327="","",'(1)예금승인내역'!F1327)</f>
        <v/>
      </c>
      <c r="Q701" s="531" t="str">
        <f aca="false">IF('(1)예금승인내역'!C1327="","",'(1)예금승인내역'!C1327)</f>
        <v/>
      </c>
      <c r="R701" s="531" t="str">
        <f aca="false">IF('(1)예금승인내역'!K1327="","",'(1)예금승인내역'!K1327)</f>
        <v/>
      </c>
      <c r="S701" s="531" t="str">
        <f aca="false">IF('(1)예금승인내역'!L1327="","",'(1)예금승인내역'!L1327)</f>
        <v/>
      </c>
      <c r="T701" s="531" t="str">
        <f aca="false">IF('(1)예금승인내역'!AG1327="","",'(1)예금승인내역'!AG1327)</f>
        <v/>
      </c>
      <c r="U701" s="531" t="str">
        <f aca="false">IF('(1)예금승인내역'!X1327="","",'(1)예금승인내역'!X1327)</f>
        <v/>
      </c>
      <c r="V701" s="531" t="str">
        <f aca="false">IF(ISNUMBER(N701),N701-$B$2,"")</f>
        <v/>
      </c>
      <c r="W701" s="531" t="str">
        <f aca="false">IF(AND(ISNUMBER(N701),N701&gt;=$B$2,N701&lt;=$B$2+10),N701*100000+ROW(),"")</f>
        <v/>
      </c>
      <c r="X701" s="531"/>
      <c r="Y701" s="531"/>
      <c r="Z701" s="531"/>
      <c r="AA701" s="531"/>
      <c r="AB701" s="531"/>
      <c r="AC701" s="531"/>
      <c r="AD701" s="531"/>
      <c r="AE701" s="531"/>
      <c r="AF701" s="531"/>
      <c r="AG701" s="531"/>
      <c r="AH701" s="531"/>
      <c r="AI701" s="531"/>
      <c r="AJ701" s="531"/>
      <c r="AK701" s="531"/>
      <c r="AL701" s="531"/>
      <c r="AM701" s="531"/>
      <c r="AN701" s="531"/>
    </row>
    <row r="702" customFormat="false" ht="16.5" hidden="false" customHeight="true" outlineLevel="0" collapsed="false">
      <c r="A702" s="531"/>
      <c r="B702" s="531"/>
      <c r="C702" s="531"/>
      <c r="D702" s="531"/>
      <c r="E702" s="531"/>
      <c r="F702" s="531"/>
      <c r="G702" s="531"/>
      <c r="H702" s="531"/>
      <c r="I702" s="531"/>
      <c r="J702" s="531"/>
      <c r="K702" s="531"/>
      <c r="L702" s="531"/>
      <c r="M702" s="531"/>
      <c r="N702" s="531" t="str">
        <f aca="false">IF('(1)예금승인내역'!H1328="","",'(1)예금승인내역'!H1328)</f>
        <v/>
      </c>
      <c r="O702" s="531" t="str">
        <f aca="false">IF('(1)예금승인내역'!G1328="","",'(1)예금승인내역'!G1328)</f>
        <v/>
      </c>
      <c r="P702" s="531" t="str">
        <f aca="false">IF('(1)예금승인내역'!F1328="","",'(1)예금승인내역'!F1328)</f>
        <v/>
      </c>
      <c r="Q702" s="531" t="str">
        <f aca="false">IF('(1)예금승인내역'!C1328="","",'(1)예금승인내역'!C1328)</f>
        <v/>
      </c>
      <c r="R702" s="531" t="str">
        <f aca="false">IF('(1)예금승인내역'!K1328="","",'(1)예금승인내역'!K1328)</f>
        <v/>
      </c>
      <c r="S702" s="531" t="str">
        <f aca="false">IF('(1)예금승인내역'!L1328="","",'(1)예금승인내역'!L1328)</f>
        <v/>
      </c>
      <c r="T702" s="531" t="str">
        <f aca="false">IF('(1)예금승인내역'!AG1328="","",'(1)예금승인내역'!AG1328)</f>
        <v/>
      </c>
      <c r="U702" s="531" t="str">
        <f aca="false">IF('(1)예금승인내역'!X1328="","",'(1)예금승인내역'!X1328)</f>
        <v/>
      </c>
      <c r="V702" s="531" t="str">
        <f aca="false">IF(ISNUMBER(N702),N702-$B$2,"")</f>
        <v/>
      </c>
      <c r="W702" s="531" t="str">
        <f aca="false">IF(AND(ISNUMBER(N702),N702&gt;=$B$2,N702&lt;=$B$2+10),N702*100000+ROW(),"")</f>
        <v/>
      </c>
      <c r="X702" s="531"/>
      <c r="Y702" s="531"/>
      <c r="Z702" s="531"/>
      <c r="AA702" s="531"/>
      <c r="AB702" s="531"/>
      <c r="AC702" s="531"/>
      <c r="AD702" s="531"/>
      <c r="AE702" s="531"/>
      <c r="AF702" s="531"/>
      <c r="AG702" s="531"/>
      <c r="AH702" s="531"/>
      <c r="AI702" s="531"/>
      <c r="AJ702" s="531"/>
      <c r="AK702" s="531"/>
      <c r="AL702" s="531"/>
      <c r="AM702" s="531"/>
      <c r="AN702" s="531"/>
    </row>
    <row r="703" customFormat="false" ht="16.5" hidden="false" customHeight="true" outlineLevel="0" collapsed="false">
      <c r="A703" s="531"/>
      <c r="B703" s="531"/>
      <c r="C703" s="531"/>
      <c r="D703" s="531"/>
      <c r="E703" s="531"/>
      <c r="F703" s="531"/>
      <c r="G703" s="531"/>
      <c r="H703" s="531"/>
      <c r="I703" s="531"/>
      <c r="J703" s="531"/>
      <c r="K703" s="531"/>
      <c r="L703" s="531"/>
      <c r="M703" s="531"/>
      <c r="N703" s="531" t="str">
        <f aca="false">IF('(1)예금승인내역'!H1329="","",'(1)예금승인내역'!H1329)</f>
        <v/>
      </c>
      <c r="O703" s="531" t="str">
        <f aca="false">IF('(1)예금승인내역'!G1329="","",'(1)예금승인내역'!G1329)</f>
        <v/>
      </c>
      <c r="P703" s="531" t="str">
        <f aca="false">IF('(1)예금승인내역'!F1329="","",'(1)예금승인내역'!F1329)</f>
        <v/>
      </c>
      <c r="Q703" s="531" t="str">
        <f aca="false">IF('(1)예금승인내역'!C1329="","",'(1)예금승인내역'!C1329)</f>
        <v/>
      </c>
      <c r="R703" s="531" t="str">
        <f aca="false">IF('(1)예금승인내역'!K1329="","",'(1)예금승인내역'!K1329)</f>
        <v/>
      </c>
      <c r="S703" s="531" t="str">
        <f aca="false">IF('(1)예금승인내역'!L1329="","",'(1)예금승인내역'!L1329)</f>
        <v/>
      </c>
      <c r="T703" s="531" t="str">
        <f aca="false">IF('(1)예금승인내역'!AG1329="","",'(1)예금승인내역'!AG1329)</f>
        <v/>
      </c>
      <c r="U703" s="531" t="str">
        <f aca="false">IF('(1)예금승인내역'!X1329="","",'(1)예금승인내역'!X1329)</f>
        <v/>
      </c>
      <c r="V703" s="531" t="str">
        <f aca="false">IF(ISNUMBER(N703),N703-$B$2,"")</f>
        <v/>
      </c>
      <c r="W703" s="531" t="str">
        <f aca="false">IF(AND(ISNUMBER(N703),N703&gt;=$B$2,N703&lt;=$B$2+10),N703*100000+ROW(),"")</f>
        <v/>
      </c>
      <c r="X703" s="531"/>
      <c r="Y703" s="531"/>
      <c r="Z703" s="531"/>
      <c r="AA703" s="531"/>
      <c r="AB703" s="531"/>
      <c r="AC703" s="531"/>
      <c r="AD703" s="531"/>
      <c r="AE703" s="531"/>
      <c r="AF703" s="531"/>
      <c r="AG703" s="531"/>
      <c r="AH703" s="531"/>
      <c r="AI703" s="531"/>
      <c r="AJ703" s="531"/>
      <c r="AK703" s="531"/>
      <c r="AL703" s="531"/>
      <c r="AM703" s="531"/>
      <c r="AN703" s="531"/>
    </row>
    <row r="704" customFormat="false" ht="16.5" hidden="false" customHeight="true" outlineLevel="0" collapsed="false">
      <c r="A704" s="531"/>
      <c r="B704" s="531"/>
      <c r="C704" s="531"/>
      <c r="D704" s="531"/>
      <c r="E704" s="531"/>
      <c r="F704" s="531"/>
      <c r="G704" s="531"/>
      <c r="H704" s="531"/>
      <c r="I704" s="531"/>
      <c r="J704" s="531"/>
      <c r="K704" s="531"/>
      <c r="L704" s="531"/>
      <c r="M704" s="531"/>
      <c r="N704" s="531" t="str">
        <f aca="false">IF('(1)예금승인내역'!H1330="","",'(1)예금승인내역'!H1330)</f>
        <v/>
      </c>
      <c r="O704" s="531" t="str">
        <f aca="false">IF('(1)예금승인내역'!G1330="","",'(1)예금승인내역'!G1330)</f>
        <v/>
      </c>
      <c r="P704" s="531" t="str">
        <f aca="false">IF('(1)예금승인내역'!F1330="","",'(1)예금승인내역'!F1330)</f>
        <v/>
      </c>
      <c r="Q704" s="531" t="str">
        <f aca="false">IF('(1)예금승인내역'!C1330="","",'(1)예금승인내역'!C1330)</f>
        <v/>
      </c>
      <c r="R704" s="531" t="str">
        <f aca="false">IF('(1)예금승인내역'!K1330="","",'(1)예금승인내역'!K1330)</f>
        <v/>
      </c>
      <c r="S704" s="531" t="str">
        <f aca="false">IF('(1)예금승인내역'!L1330="","",'(1)예금승인내역'!L1330)</f>
        <v/>
      </c>
      <c r="T704" s="531" t="str">
        <f aca="false">IF('(1)예금승인내역'!AG1330="","",'(1)예금승인내역'!AG1330)</f>
        <v/>
      </c>
      <c r="U704" s="531" t="str">
        <f aca="false">IF('(1)예금승인내역'!X1330="","",'(1)예금승인내역'!X1330)</f>
        <v/>
      </c>
      <c r="V704" s="531" t="str">
        <f aca="false">IF(ISNUMBER(N704),N704-$B$2,"")</f>
        <v/>
      </c>
      <c r="W704" s="531" t="str">
        <f aca="false">IF(AND(ISNUMBER(N704),N704&gt;=$B$2,N704&lt;=$B$2+10),N704*100000+ROW(),"")</f>
        <v/>
      </c>
      <c r="X704" s="531"/>
      <c r="Y704" s="531"/>
      <c r="Z704" s="531"/>
      <c r="AA704" s="531"/>
      <c r="AB704" s="531"/>
      <c r="AC704" s="531"/>
      <c r="AD704" s="531"/>
      <c r="AE704" s="531"/>
      <c r="AF704" s="531"/>
      <c r="AG704" s="531"/>
      <c r="AH704" s="531"/>
      <c r="AI704" s="531"/>
      <c r="AJ704" s="531"/>
      <c r="AK704" s="531"/>
      <c r="AL704" s="531"/>
      <c r="AM704" s="531"/>
      <c r="AN704" s="531"/>
    </row>
    <row r="705" customFormat="false" ht="16.5" hidden="false" customHeight="true" outlineLevel="0" collapsed="false">
      <c r="A705" s="531"/>
      <c r="B705" s="531"/>
      <c r="C705" s="531"/>
      <c r="D705" s="531"/>
      <c r="E705" s="531"/>
      <c r="F705" s="531"/>
      <c r="G705" s="531"/>
      <c r="H705" s="531"/>
      <c r="I705" s="531"/>
      <c r="J705" s="531"/>
      <c r="K705" s="531"/>
      <c r="L705" s="531"/>
      <c r="M705" s="531"/>
      <c r="N705" s="531" t="str">
        <f aca="false">IF('(1)예금승인내역'!H1331="","",'(1)예금승인내역'!H1331)</f>
        <v/>
      </c>
      <c r="O705" s="531" t="str">
        <f aca="false">IF('(1)예금승인내역'!G1331="","",'(1)예금승인내역'!G1331)</f>
        <v/>
      </c>
      <c r="P705" s="531" t="str">
        <f aca="false">IF('(1)예금승인내역'!F1331="","",'(1)예금승인내역'!F1331)</f>
        <v/>
      </c>
      <c r="Q705" s="531" t="str">
        <f aca="false">IF('(1)예금승인내역'!C1331="","",'(1)예금승인내역'!C1331)</f>
        <v/>
      </c>
      <c r="R705" s="531" t="str">
        <f aca="false">IF('(1)예금승인내역'!K1331="","",'(1)예금승인내역'!K1331)</f>
        <v/>
      </c>
      <c r="S705" s="531" t="str">
        <f aca="false">IF('(1)예금승인내역'!L1331="","",'(1)예금승인내역'!L1331)</f>
        <v/>
      </c>
      <c r="T705" s="531" t="str">
        <f aca="false">IF('(1)예금승인내역'!AG1331="","",'(1)예금승인내역'!AG1331)</f>
        <v/>
      </c>
      <c r="U705" s="531" t="str">
        <f aca="false">IF('(1)예금승인내역'!X1331="","",'(1)예금승인내역'!X1331)</f>
        <v/>
      </c>
      <c r="V705" s="531" t="str">
        <f aca="false">IF(ISNUMBER(N705),N705-$B$2,"")</f>
        <v/>
      </c>
      <c r="W705" s="531" t="str">
        <f aca="false">IF(AND(ISNUMBER(N705),N705&gt;=$B$2,N705&lt;=$B$2+10),N705*100000+ROW(),"")</f>
        <v/>
      </c>
      <c r="X705" s="531"/>
      <c r="Y705" s="531"/>
      <c r="Z705" s="531"/>
      <c r="AA705" s="531"/>
      <c r="AB705" s="531"/>
      <c r="AC705" s="531"/>
      <c r="AD705" s="531"/>
      <c r="AE705" s="531"/>
      <c r="AF705" s="531"/>
      <c r="AG705" s="531"/>
      <c r="AH705" s="531"/>
      <c r="AI705" s="531"/>
      <c r="AJ705" s="531"/>
      <c r="AK705" s="531"/>
      <c r="AL705" s="531"/>
      <c r="AM705" s="531"/>
      <c r="AN705" s="531"/>
    </row>
    <row r="706" customFormat="false" ht="16.5" hidden="false" customHeight="true" outlineLevel="0" collapsed="false">
      <c r="A706" s="531"/>
      <c r="B706" s="531"/>
      <c r="C706" s="531"/>
      <c r="D706" s="531"/>
      <c r="E706" s="531"/>
      <c r="F706" s="531"/>
      <c r="G706" s="531"/>
      <c r="H706" s="531"/>
      <c r="I706" s="531"/>
      <c r="J706" s="531"/>
      <c r="K706" s="531"/>
      <c r="L706" s="531"/>
      <c r="M706" s="531"/>
      <c r="N706" s="531" t="str">
        <f aca="false">IF('(1)예금승인내역'!H1332="","",'(1)예금승인내역'!H1332)</f>
        <v/>
      </c>
      <c r="O706" s="531" t="str">
        <f aca="false">IF('(1)예금승인내역'!G1332="","",'(1)예금승인내역'!G1332)</f>
        <v/>
      </c>
      <c r="P706" s="531" t="str">
        <f aca="false">IF('(1)예금승인내역'!F1332="","",'(1)예금승인내역'!F1332)</f>
        <v/>
      </c>
      <c r="Q706" s="531" t="str">
        <f aca="false">IF('(1)예금승인내역'!C1332="","",'(1)예금승인내역'!C1332)</f>
        <v/>
      </c>
      <c r="R706" s="531" t="str">
        <f aca="false">IF('(1)예금승인내역'!K1332="","",'(1)예금승인내역'!K1332)</f>
        <v/>
      </c>
      <c r="S706" s="531" t="str">
        <f aca="false">IF('(1)예금승인내역'!L1332="","",'(1)예금승인내역'!L1332)</f>
        <v/>
      </c>
      <c r="T706" s="531" t="str">
        <f aca="false">IF('(1)예금승인내역'!AG1332="","",'(1)예금승인내역'!AG1332)</f>
        <v/>
      </c>
      <c r="U706" s="531" t="str">
        <f aca="false">IF('(1)예금승인내역'!X1332="","",'(1)예금승인내역'!X1332)</f>
        <v/>
      </c>
      <c r="V706" s="531" t="str">
        <f aca="false">IF(ISNUMBER(N706),N706-$B$2,"")</f>
        <v/>
      </c>
      <c r="W706" s="531" t="str">
        <f aca="false">IF(AND(ISNUMBER(N706),N706&gt;=$B$2,N706&lt;=$B$2+10),N706*100000+ROW(),"")</f>
        <v/>
      </c>
      <c r="X706" s="531"/>
      <c r="Y706" s="531"/>
      <c r="Z706" s="531"/>
      <c r="AA706" s="531"/>
      <c r="AB706" s="531"/>
      <c r="AC706" s="531"/>
      <c r="AD706" s="531"/>
      <c r="AE706" s="531"/>
      <c r="AF706" s="531"/>
      <c r="AG706" s="531"/>
      <c r="AH706" s="531"/>
      <c r="AI706" s="531"/>
      <c r="AJ706" s="531"/>
      <c r="AK706" s="531"/>
      <c r="AL706" s="531"/>
      <c r="AM706" s="531"/>
      <c r="AN706" s="531"/>
    </row>
    <row r="707" customFormat="false" ht="16.5" hidden="false" customHeight="true" outlineLevel="0" collapsed="false">
      <c r="A707" s="531"/>
      <c r="B707" s="531"/>
      <c r="C707" s="531"/>
      <c r="D707" s="531"/>
      <c r="E707" s="531"/>
      <c r="F707" s="531"/>
      <c r="G707" s="531"/>
      <c r="H707" s="531"/>
      <c r="I707" s="531"/>
      <c r="J707" s="531"/>
      <c r="K707" s="531"/>
      <c r="L707" s="531"/>
      <c r="M707" s="531"/>
      <c r="N707" s="531" t="str">
        <f aca="false">IF('(1)예금승인내역'!H1333="","",'(1)예금승인내역'!H1333)</f>
        <v/>
      </c>
      <c r="O707" s="531" t="str">
        <f aca="false">IF('(1)예금승인내역'!G1333="","",'(1)예금승인내역'!G1333)</f>
        <v/>
      </c>
      <c r="P707" s="531" t="str">
        <f aca="false">IF('(1)예금승인내역'!F1333="","",'(1)예금승인내역'!F1333)</f>
        <v/>
      </c>
      <c r="Q707" s="531" t="str">
        <f aca="false">IF('(1)예금승인내역'!C1333="","",'(1)예금승인내역'!C1333)</f>
        <v/>
      </c>
      <c r="R707" s="531" t="str">
        <f aca="false">IF('(1)예금승인내역'!K1333="","",'(1)예금승인내역'!K1333)</f>
        <v/>
      </c>
      <c r="S707" s="531" t="str">
        <f aca="false">IF('(1)예금승인내역'!L1333="","",'(1)예금승인내역'!L1333)</f>
        <v/>
      </c>
      <c r="T707" s="531" t="str">
        <f aca="false">IF('(1)예금승인내역'!AG1333="","",'(1)예금승인내역'!AG1333)</f>
        <v/>
      </c>
      <c r="U707" s="531" t="str">
        <f aca="false">IF('(1)예금승인내역'!X1333="","",'(1)예금승인내역'!X1333)</f>
        <v/>
      </c>
      <c r="V707" s="531" t="str">
        <f aca="false">IF(ISNUMBER(N707),N707-$B$2,"")</f>
        <v/>
      </c>
      <c r="W707" s="531" t="str">
        <f aca="false">IF(AND(ISNUMBER(N707),N707&gt;=$B$2,N707&lt;=$B$2+10),N707*100000+ROW(),"")</f>
        <v/>
      </c>
      <c r="X707" s="531"/>
      <c r="Y707" s="531"/>
      <c r="Z707" s="531"/>
      <c r="AA707" s="531"/>
      <c r="AB707" s="531"/>
      <c r="AC707" s="531"/>
      <c r="AD707" s="531"/>
      <c r="AE707" s="531"/>
      <c r="AF707" s="531"/>
      <c r="AG707" s="531"/>
      <c r="AH707" s="531"/>
      <c r="AI707" s="531"/>
      <c r="AJ707" s="531"/>
      <c r="AK707" s="531"/>
      <c r="AL707" s="531"/>
      <c r="AM707" s="531"/>
      <c r="AN707" s="531"/>
    </row>
    <row r="708" customFormat="false" ht="16.5" hidden="false" customHeight="true" outlineLevel="0" collapsed="false">
      <c r="A708" s="531"/>
      <c r="B708" s="531"/>
      <c r="C708" s="531"/>
      <c r="D708" s="531"/>
      <c r="E708" s="531"/>
      <c r="F708" s="531"/>
      <c r="G708" s="531"/>
      <c r="H708" s="531"/>
      <c r="I708" s="531"/>
      <c r="J708" s="531"/>
      <c r="K708" s="531"/>
      <c r="L708" s="531"/>
      <c r="M708" s="531"/>
      <c r="N708" s="531" t="str">
        <f aca="false">IF('(1)예금승인내역'!H1334="","",'(1)예금승인내역'!H1334)</f>
        <v/>
      </c>
      <c r="O708" s="531" t="str">
        <f aca="false">IF('(1)예금승인내역'!G1334="","",'(1)예금승인내역'!G1334)</f>
        <v/>
      </c>
      <c r="P708" s="531" t="str">
        <f aca="false">IF('(1)예금승인내역'!F1334="","",'(1)예금승인내역'!F1334)</f>
        <v/>
      </c>
      <c r="Q708" s="531" t="str">
        <f aca="false">IF('(1)예금승인내역'!C1334="","",'(1)예금승인내역'!C1334)</f>
        <v/>
      </c>
      <c r="R708" s="531" t="str">
        <f aca="false">IF('(1)예금승인내역'!K1334="","",'(1)예금승인내역'!K1334)</f>
        <v/>
      </c>
      <c r="S708" s="531" t="str">
        <f aca="false">IF('(1)예금승인내역'!L1334="","",'(1)예금승인내역'!L1334)</f>
        <v/>
      </c>
      <c r="T708" s="531" t="str">
        <f aca="false">IF('(1)예금승인내역'!AG1334="","",'(1)예금승인내역'!AG1334)</f>
        <v/>
      </c>
      <c r="U708" s="531" t="str">
        <f aca="false">IF('(1)예금승인내역'!X1334="","",'(1)예금승인내역'!X1334)</f>
        <v/>
      </c>
      <c r="V708" s="531" t="str">
        <f aca="false">IF(ISNUMBER(N708),N708-$B$2,"")</f>
        <v/>
      </c>
      <c r="W708" s="531" t="str">
        <f aca="false">IF(AND(ISNUMBER(N708),N708&gt;=$B$2,N708&lt;=$B$2+10),N708*100000+ROW(),"")</f>
        <v/>
      </c>
      <c r="X708" s="531"/>
      <c r="Y708" s="531"/>
      <c r="Z708" s="531"/>
      <c r="AA708" s="531"/>
      <c r="AB708" s="531"/>
      <c r="AC708" s="531"/>
      <c r="AD708" s="531"/>
      <c r="AE708" s="531"/>
      <c r="AF708" s="531"/>
      <c r="AG708" s="531"/>
      <c r="AH708" s="531"/>
      <c r="AI708" s="531"/>
      <c r="AJ708" s="531"/>
      <c r="AK708" s="531"/>
      <c r="AL708" s="531"/>
      <c r="AM708" s="531"/>
      <c r="AN708" s="531"/>
    </row>
    <row r="709" customFormat="false" ht="16.5" hidden="false" customHeight="true" outlineLevel="0" collapsed="false">
      <c r="A709" s="531"/>
      <c r="B709" s="531"/>
      <c r="C709" s="531"/>
      <c r="D709" s="531"/>
      <c r="E709" s="531"/>
      <c r="F709" s="531"/>
      <c r="G709" s="531"/>
      <c r="H709" s="531"/>
      <c r="I709" s="531"/>
      <c r="J709" s="531"/>
      <c r="K709" s="531"/>
      <c r="L709" s="531"/>
      <c r="M709" s="531"/>
      <c r="N709" s="531" t="str">
        <f aca="false">IF('(1)예금승인내역'!H1335="","",'(1)예금승인내역'!H1335)</f>
        <v/>
      </c>
      <c r="O709" s="531" t="str">
        <f aca="false">IF('(1)예금승인내역'!G1335="","",'(1)예금승인내역'!G1335)</f>
        <v/>
      </c>
      <c r="P709" s="531" t="str">
        <f aca="false">IF('(1)예금승인내역'!F1335="","",'(1)예금승인내역'!F1335)</f>
        <v/>
      </c>
      <c r="Q709" s="531" t="str">
        <f aca="false">IF('(1)예금승인내역'!C1335="","",'(1)예금승인내역'!C1335)</f>
        <v/>
      </c>
      <c r="R709" s="531" t="str">
        <f aca="false">IF('(1)예금승인내역'!K1335="","",'(1)예금승인내역'!K1335)</f>
        <v/>
      </c>
      <c r="S709" s="531" t="str">
        <f aca="false">IF('(1)예금승인내역'!L1335="","",'(1)예금승인내역'!L1335)</f>
        <v/>
      </c>
      <c r="T709" s="531" t="str">
        <f aca="false">IF('(1)예금승인내역'!AG1335="","",'(1)예금승인내역'!AG1335)</f>
        <v/>
      </c>
      <c r="U709" s="531" t="str">
        <f aca="false">IF('(1)예금승인내역'!X1335="","",'(1)예금승인내역'!X1335)</f>
        <v/>
      </c>
      <c r="V709" s="531" t="str">
        <f aca="false">IF(ISNUMBER(N709),N709-$B$2,"")</f>
        <v/>
      </c>
      <c r="W709" s="531" t="str">
        <f aca="false">IF(AND(ISNUMBER(N709),N709&gt;=$B$2,N709&lt;=$B$2+10),N709*100000+ROW(),"")</f>
        <v/>
      </c>
      <c r="X709" s="531"/>
      <c r="Y709" s="531"/>
      <c r="Z709" s="531"/>
      <c r="AA709" s="531"/>
      <c r="AB709" s="531"/>
      <c r="AC709" s="531"/>
      <c r="AD709" s="531"/>
      <c r="AE709" s="531"/>
      <c r="AF709" s="531"/>
      <c r="AG709" s="531"/>
      <c r="AH709" s="531"/>
      <c r="AI709" s="531"/>
      <c r="AJ709" s="531"/>
      <c r="AK709" s="531"/>
      <c r="AL709" s="531"/>
      <c r="AM709" s="531"/>
      <c r="AN709" s="531"/>
    </row>
    <row r="710" customFormat="false" ht="16.5" hidden="false" customHeight="true" outlineLevel="0" collapsed="false">
      <c r="A710" s="531"/>
      <c r="B710" s="531"/>
      <c r="C710" s="531"/>
      <c r="D710" s="531"/>
      <c r="E710" s="531"/>
      <c r="F710" s="531"/>
      <c r="G710" s="531"/>
      <c r="H710" s="531"/>
      <c r="I710" s="531"/>
      <c r="J710" s="531"/>
      <c r="K710" s="531"/>
      <c r="L710" s="531"/>
      <c r="M710" s="531"/>
      <c r="N710" s="531" t="str">
        <f aca="false">IF('(1)예금승인내역'!H1336="","",'(1)예금승인내역'!H1336)</f>
        <v/>
      </c>
      <c r="O710" s="531" t="str">
        <f aca="false">IF('(1)예금승인내역'!G1336="","",'(1)예금승인내역'!G1336)</f>
        <v/>
      </c>
      <c r="P710" s="531" t="str">
        <f aca="false">IF('(1)예금승인내역'!F1336="","",'(1)예금승인내역'!F1336)</f>
        <v/>
      </c>
      <c r="Q710" s="531" t="str">
        <f aca="false">IF('(1)예금승인내역'!C1336="","",'(1)예금승인내역'!C1336)</f>
        <v/>
      </c>
      <c r="R710" s="531" t="str">
        <f aca="false">IF('(1)예금승인내역'!K1336="","",'(1)예금승인내역'!K1336)</f>
        <v/>
      </c>
      <c r="S710" s="531" t="str">
        <f aca="false">IF('(1)예금승인내역'!L1336="","",'(1)예금승인내역'!L1336)</f>
        <v/>
      </c>
      <c r="T710" s="531" t="str">
        <f aca="false">IF('(1)예금승인내역'!AG1336="","",'(1)예금승인내역'!AG1336)</f>
        <v/>
      </c>
      <c r="U710" s="531" t="str">
        <f aca="false">IF('(1)예금승인내역'!X1336="","",'(1)예금승인내역'!X1336)</f>
        <v/>
      </c>
      <c r="V710" s="531" t="str">
        <f aca="false">IF(ISNUMBER(N710),N710-$B$2,"")</f>
        <v/>
      </c>
      <c r="W710" s="531" t="str">
        <f aca="false">IF(AND(ISNUMBER(N710),N710&gt;=$B$2,N710&lt;=$B$2+10),N710*100000+ROW(),"")</f>
        <v/>
      </c>
      <c r="X710" s="531"/>
      <c r="Y710" s="531"/>
      <c r="Z710" s="531"/>
      <c r="AA710" s="531"/>
      <c r="AB710" s="531"/>
      <c r="AC710" s="531"/>
      <c r="AD710" s="531"/>
      <c r="AE710" s="531"/>
      <c r="AF710" s="531"/>
      <c r="AG710" s="531"/>
      <c r="AH710" s="531"/>
      <c r="AI710" s="531"/>
      <c r="AJ710" s="531"/>
      <c r="AK710" s="531"/>
      <c r="AL710" s="531"/>
      <c r="AM710" s="531"/>
      <c r="AN710" s="531"/>
    </row>
    <row r="711" customFormat="false" ht="16.5" hidden="false" customHeight="true" outlineLevel="0" collapsed="false">
      <c r="A711" s="531"/>
      <c r="B711" s="531"/>
      <c r="C711" s="531"/>
      <c r="D711" s="531"/>
      <c r="E711" s="531"/>
      <c r="F711" s="531"/>
      <c r="G711" s="531"/>
      <c r="H711" s="531"/>
      <c r="I711" s="531"/>
      <c r="J711" s="531"/>
      <c r="K711" s="531"/>
      <c r="L711" s="531"/>
      <c r="M711" s="531"/>
      <c r="N711" s="531" t="str">
        <f aca="false">IF('(1)예금승인내역'!H1337="","",'(1)예금승인내역'!H1337)</f>
        <v/>
      </c>
      <c r="O711" s="531" t="str">
        <f aca="false">IF('(1)예금승인내역'!G1337="","",'(1)예금승인내역'!G1337)</f>
        <v/>
      </c>
      <c r="P711" s="531" t="str">
        <f aca="false">IF('(1)예금승인내역'!F1337="","",'(1)예금승인내역'!F1337)</f>
        <v/>
      </c>
      <c r="Q711" s="531" t="str">
        <f aca="false">IF('(1)예금승인내역'!C1337="","",'(1)예금승인내역'!C1337)</f>
        <v/>
      </c>
      <c r="R711" s="531" t="str">
        <f aca="false">IF('(1)예금승인내역'!K1337="","",'(1)예금승인내역'!K1337)</f>
        <v/>
      </c>
      <c r="S711" s="531" t="str">
        <f aca="false">IF('(1)예금승인내역'!L1337="","",'(1)예금승인내역'!L1337)</f>
        <v/>
      </c>
      <c r="T711" s="531" t="str">
        <f aca="false">IF('(1)예금승인내역'!AG1337="","",'(1)예금승인내역'!AG1337)</f>
        <v/>
      </c>
      <c r="U711" s="531" t="str">
        <f aca="false">IF('(1)예금승인내역'!X1337="","",'(1)예금승인내역'!X1337)</f>
        <v/>
      </c>
      <c r="V711" s="531" t="str">
        <f aca="false">IF(ISNUMBER(N711),N711-$B$2,"")</f>
        <v/>
      </c>
      <c r="W711" s="531" t="str">
        <f aca="false">IF(AND(ISNUMBER(N711),N711&gt;=$B$2,N711&lt;=$B$2+10),N711*100000+ROW(),"")</f>
        <v/>
      </c>
      <c r="X711" s="531"/>
      <c r="Y711" s="531"/>
      <c r="Z711" s="531"/>
      <c r="AA711" s="531"/>
      <c r="AB711" s="531"/>
      <c r="AC711" s="531"/>
      <c r="AD711" s="531"/>
      <c r="AE711" s="531"/>
      <c r="AF711" s="531"/>
      <c r="AG711" s="531"/>
      <c r="AH711" s="531"/>
      <c r="AI711" s="531"/>
      <c r="AJ711" s="531"/>
      <c r="AK711" s="531"/>
      <c r="AL711" s="531"/>
      <c r="AM711" s="531"/>
      <c r="AN711" s="531"/>
    </row>
    <row r="712" customFormat="false" ht="16.5" hidden="false" customHeight="true" outlineLevel="0" collapsed="false">
      <c r="A712" s="531"/>
      <c r="B712" s="531"/>
      <c r="C712" s="531"/>
      <c r="D712" s="531"/>
      <c r="E712" s="531"/>
      <c r="F712" s="531"/>
      <c r="G712" s="531"/>
      <c r="H712" s="531"/>
      <c r="I712" s="531"/>
      <c r="J712" s="531"/>
      <c r="K712" s="531"/>
      <c r="L712" s="531"/>
      <c r="M712" s="531"/>
      <c r="N712" s="531" t="str">
        <f aca="false">IF('(1)예금승인내역'!H1338="","",'(1)예금승인내역'!H1338)</f>
        <v/>
      </c>
      <c r="O712" s="531" t="str">
        <f aca="false">IF('(1)예금승인내역'!G1338="","",'(1)예금승인내역'!G1338)</f>
        <v/>
      </c>
      <c r="P712" s="531" t="str">
        <f aca="false">IF('(1)예금승인내역'!F1338="","",'(1)예금승인내역'!F1338)</f>
        <v/>
      </c>
      <c r="Q712" s="531" t="str">
        <f aca="false">IF('(1)예금승인내역'!C1338="","",'(1)예금승인내역'!C1338)</f>
        <v/>
      </c>
      <c r="R712" s="531" t="str">
        <f aca="false">IF('(1)예금승인내역'!K1338="","",'(1)예금승인내역'!K1338)</f>
        <v/>
      </c>
      <c r="S712" s="531" t="str">
        <f aca="false">IF('(1)예금승인내역'!L1338="","",'(1)예금승인내역'!L1338)</f>
        <v/>
      </c>
      <c r="T712" s="531" t="str">
        <f aca="false">IF('(1)예금승인내역'!AG1338="","",'(1)예금승인내역'!AG1338)</f>
        <v/>
      </c>
      <c r="U712" s="531" t="str">
        <f aca="false">IF('(1)예금승인내역'!X1338="","",'(1)예금승인내역'!X1338)</f>
        <v/>
      </c>
      <c r="V712" s="531" t="str">
        <f aca="false">IF(ISNUMBER(N712),N712-$B$2,"")</f>
        <v/>
      </c>
      <c r="W712" s="531" t="str">
        <f aca="false">IF(AND(ISNUMBER(N712),N712&gt;=$B$2,N712&lt;=$B$2+10),N712*100000+ROW(),"")</f>
        <v/>
      </c>
      <c r="X712" s="531"/>
      <c r="Y712" s="531"/>
      <c r="Z712" s="531"/>
      <c r="AA712" s="531"/>
      <c r="AB712" s="531"/>
      <c r="AC712" s="531"/>
      <c r="AD712" s="531"/>
      <c r="AE712" s="531"/>
      <c r="AF712" s="531"/>
      <c r="AG712" s="531"/>
      <c r="AH712" s="531"/>
      <c r="AI712" s="531"/>
      <c r="AJ712" s="531"/>
      <c r="AK712" s="531"/>
      <c r="AL712" s="531"/>
      <c r="AM712" s="531"/>
      <c r="AN712" s="531"/>
    </row>
    <row r="713" customFormat="false" ht="16.5" hidden="false" customHeight="true" outlineLevel="0" collapsed="false">
      <c r="A713" s="531"/>
      <c r="B713" s="531"/>
      <c r="C713" s="531"/>
      <c r="D713" s="531"/>
      <c r="E713" s="531"/>
      <c r="F713" s="531"/>
      <c r="G713" s="531"/>
      <c r="H713" s="531"/>
      <c r="I713" s="531"/>
      <c r="J713" s="531"/>
      <c r="K713" s="531"/>
      <c r="L713" s="531"/>
      <c r="M713" s="531"/>
      <c r="N713" s="531" t="str">
        <f aca="false">IF('(1)예금승인내역'!H1339="","",'(1)예금승인내역'!H1339)</f>
        <v/>
      </c>
      <c r="O713" s="531" t="str">
        <f aca="false">IF('(1)예금승인내역'!G1339="","",'(1)예금승인내역'!G1339)</f>
        <v/>
      </c>
      <c r="P713" s="531" t="str">
        <f aca="false">IF('(1)예금승인내역'!F1339="","",'(1)예금승인내역'!F1339)</f>
        <v/>
      </c>
      <c r="Q713" s="531" t="str">
        <f aca="false">IF('(1)예금승인내역'!C1339="","",'(1)예금승인내역'!C1339)</f>
        <v/>
      </c>
      <c r="R713" s="531" t="str">
        <f aca="false">IF('(1)예금승인내역'!K1339="","",'(1)예금승인내역'!K1339)</f>
        <v/>
      </c>
      <c r="S713" s="531" t="str">
        <f aca="false">IF('(1)예금승인내역'!L1339="","",'(1)예금승인내역'!L1339)</f>
        <v/>
      </c>
      <c r="T713" s="531" t="str">
        <f aca="false">IF('(1)예금승인내역'!AG1339="","",'(1)예금승인내역'!AG1339)</f>
        <v/>
      </c>
      <c r="U713" s="531" t="str">
        <f aca="false">IF('(1)예금승인내역'!X1339="","",'(1)예금승인내역'!X1339)</f>
        <v/>
      </c>
      <c r="V713" s="531" t="str">
        <f aca="false">IF(ISNUMBER(N713),N713-$B$2,"")</f>
        <v/>
      </c>
      <c r="W713" s="531" t="str">
        <f aca="false">IF(AND(ISNUMBER(N713),N713&gt;=$B$2,N713&lt;=$B$2+10),N713*100000+ROW(),"")</f>
        <v/>
      </c>
      <c r="X713" s="531"/>
      <c r="Y713" s="531"/>
      <c r="Z713" s="531"/>
      <c r="AA713" s="531"/>
      <c r="AB713" s="531"/>
      <c r="AC713" s="531"/>
      <c r="AD713" s="531"/>
      <c r="AE713" s="531"/>
      <c r="AF713" s="531"/>
      <c r="AG713" s="531"/>
      <c r="AH713" s="531"/>
      <c r="AI713" s="531"/>
      <c r="AJ713" s="531"/>
      <c r="AK713" s="531"/>
      <c r="AL713" s="531"/>
      <c r="AM713" s="531"/>
      <c r="AN713" s="531"/>
    </row>
    <row r="714" customFormat="false" ht="16.5" hidden="false" customHeight="true" outlineLevel="0" collapsed="false">
      <c r="A714" s="531"/>
      <c r="B714" s="531"/>
      <c r="C714" s="531"/>
      <c r="D714" s="531"/>
      <c r="E714" s="531"/>
      <c r="F714" s="531"/>
      <c r="G714" s="531"/>
      <c r="H714" s="531"/>
      <c r="I714" s="531"/>
      <c r="J714" s="531"/>
      <c r="K714" s="531"/>
      <c r="L714" s="531"/>
      <c r="M714" s="531"/>
      <c r="N714" s="531" t="str">
        <f aca="false">IF('(1)예금승인내역'!H1340="","",'(1)예금승인내역'!H1340)</f>
        <v/>
      </c>
      <c r="O714" s="531" t="str">
        <f aca="false">IF('(1)예금승인내역'!G1340="","",'(1)예금승인내역'!G1340)</f>
        <v/>
      </c>
      <c r="P714" s="531" t="str">
        <f aca="false">IF('(1)예금승인내역'!F1340="","",'(1)예금승인내역'!F1340)</f>
        <v/>
      </c>
      <c r="Q714" s="531" t="str">
        <f aca="false">IF('(1)예금승인내역'!C1340="","",'(1)예금승인내역'!C1340)</f>
        <v/>
      </c>
      <c r="R714" s="531" t="str">
        <f aca="false">IF('(1)예금승인내역'!K1340="","",'(1)예금승인내역'!K1340)</f>
        <v/>
      </c>
      <c r="S714" s="531" t="str">
        <f aca="false">IF('(1)예금승인내역'!L1340="","",'(1)예금승인내역'!L1340)</f>
        <v/>
      </c>
      <c r="T714" s="531" t="str">
        <f aca="false">IF('(1)예금승인내역'!AG1340="","",'(1)예금승인내역'!AG1340)</f>
        <v/>
      </c>
      <c r="U714" s="531" t="str">
        <f aca="false">IF('(1)예금승인내역'!X1340="","",'(1)예금승인내역'!X1340)</f>
        <v/>
      </c>
      <c r="V714" s="531" t="str">
        <f aca="false">IF(ISNUMBER(N714),N714-$B$2,"")</f>
        <v/>
      </c>
      <c r="W714" s="531" t="str">
        <f aca="false">IF(AND(ISNUMBER(N714),N714&gt;=$B$2,N714&lt;=$B$2+10),N714*100000+ROW(),"")</f>
        <v/>
      </c>
      <c r="X714" s="531"/>
      <c r="Y714" s="531"/>
      <c r="Z714" s="531"/>
      <c r="AA714" s="531"/>
      <c r="AB714" s="531"/>
      <c r="AC714" s="531"/>
      <c r="AD714" s="531"/>
      <c r="AE714" s="531"/>
      <c r="AF714" s="531"/>
      <c r="AG714" s="531"/>
      <c r="AH714" s="531"/>
      <c r="AI714" s="531"/>
      <c r="AJ714" s="531"/>
      <c r="AK714" s="531"/>
      <c r="AL714" s="531"/>
      <c r="AM714" s="531"/>
      <c r="AN714" s="531"/>
    </row>
    <row r="715" customFormat="false" ht="16.5" hidden="false" customHeight="true" outlineLevel="0" collapsed="false">
      <c r="A715" s="531"/>
      <c r="B715" s="531"/>
      <c r="C715" s="531"/>
      <c r="D715" s="531"/>
      <c r="E715" s="531"/>
      <c r="F715" s="531"/>
      <c r="G715" s="531"/>
      <c r="H715" s="531"/>
      <c r="I715" s="531"/>
      <c r="J715" s="531"/>
      <c r="K715" s="531"/>
      <c r="L715" s="531"/>
      <c r="M715" s="531"/>
      <c r="N715" s="531" t="str">
        <f aca="false">IF('(1)예금승인내역'!H1341="","",'(1)예금승인내역'!H1341)</f>
        <v/>
      </c>
      <c r="O715" s="531" t="str">
        <f aca="false">IF('(1)예금승인내역'!G1341="","",'(1)예금승인내역'!G1341)</f>
        <v/>
      </c>
      <c r="P715" s="531" t="str">
        <f aca="false">IF('(1)예금승인내역'!F1341="","",'(1)예금승인내역'!F1341)</f>
        <v/>
      </c>
      <c r="Q715" s="531" t="str">
        <f aca="false">IF('(1)예금승인내역'!C1341="","",'(1)예금승인내역'!C1341)</f>
        <v/>
      </c>
      <c r="R715" s="531" t="str">
        <f aca="false">IF('(1)예금승인내역'!K1341="","",'(1)예금승인내역'!K1341)</f>
        <v/>
      </c>
      <c r="S715" s="531" t="str">
        <f aca="false">IF('(1)예금승인내역'!L1341="","",'(1)예금승인내역'!L1341)</f>
        <v/>
      </c>
      <c r="T715" s="531" t="str">
        <f aca="false">IF('(1)예금승인내역'!AG1341="","",'(1)예금승인내역'!AG1341)</f>
        <v/>
      </c>
      <c r="U715" s="531" t="str">
        <f aca="false">IF('(1)예금승인내역'!X1341="","",'(1)예금승인내역'!X1341)</f>
        <v/>
      </c>
      <c r="V715" s="531" t="str">
        <f aca="false">IF(ISNUMBER(N715),N715-$B$2,"")</f>
        <v/>
      </c>
      <c r="W715" s="531" t="str">
        <f aca="false">IF(AND(ISNUMBER(N715),N715&gt;=$B$2,N715&lt;=$B$2+10),N715*100000+ROW(),"")</f>
        <v/>
      </c>
      <c r="X715" s="531"/>
      <c r="Y715" s="531"/>
      <c r="Z715" s="531"/>
      <c r="AA715" s="531"/>
      <c r="AB715" s="531"/>
      <c r="AC715" s="531"/>
      <c r="AD715" s="531"/>
      <c r="AE715" s="531"/>
      <c r="AF715" s="531"/>
      <c r="AG715" s="531"/>
      <c r="AH715" s="531"/>
      <c r="AI715" s="531"/>
      <c r="AJ715" s="531"/>
      <c r="AK715" s="531"/>
      <c r="AL715" s="531"/>
      <c r="AM715" s="531"/>
      <c r="AN715" s="531"/>
    </row>
    <row r="716" customFormat="false" ht="16.5" hidden="false" customHeight="true" outlineLevel="0" collapsed="false">
      <c r="A716" s="531"/>
      <c r="B716" s="531"/>
      <c r="C716" s="531"/>
      <c r="D716" s="531"/>
      <c r="E716" s="531"/>
      <c r="F716" s="531"/>
      <c r="G716" s="531"/>
      <c r="H716" s="531"/>
      <c r="I716" s="531"/>
      <c r="J716" s="531"/>
      <c r="K716" s="531"/>
      <c r="L716" s="531"/>
      <c r="M716" s="531"/>
      <c r="N716" s="531" t="str">
        <f aca="false">IF('(1)예금승인내역'!H1342="","",'(1)예금승인내역'!H1342)</f>
        <v/>
      </c>
      <c r="O716" s="531" t="str">
        <f aca="false">IF('(1)예금승인내역'!G1342="","",'(1)예금승인내역'!G1342)</f>
        <v/>
      </c>
      <c r="P716" s="531" t="str">
        <f aca="false">IF('(1)예금승인내역'!F1342="","",'(1)예금승인내역'!F1342)</f>
        <v/>
      </c>
      <c r="Q716" s="531" t="str">
        <f aca="false">IF('(1)예금승인내역'!C1342="","",'(1)예금승인내역'!C1342)</f>
        <v/>
      </c>
      <c r="R716" s="531" t="str">
        <f aca="false">IF('(1)예금승인내역'!K1342="","",'(1)예금승인내역'!K1342)</f>
        <v/>
      </c>
      <c r="S716" s="531" t="str">
        <f aca="false">IF('(1)예금승인내역'!L1342="","",'(1)예금승인내역'!L1342)</f>
        <v/>
      </c>
      <c r="T716" s="531" t="str">
        <f aca="false">IF('(1)예금승인내역'!AG1342="","",'(1)예금승인내역'!AG1342)</f>
        <v/>
      </c>
      <c r="U716" s="531" t="str">
        <f aca="false">IF('(1)예금승인내역'!X1342="","",'(1)예금승인내역'!X1342)</f>
        <v/>
      </c>
      <c r="V716" s="531" t="str">
        <f aca="false">IF(ISNUMBER(N716),N716-$B$2,"")</f>
        <v/>
      </c>
      <c r="W716" s="531" t="str">
        <f aca="false">IF(AND(ISNUMBER(N716),N716&gt;=$B$2,N716&lt;=$B$2+10),N716*100000+ROW(),"")</f>
        <v/>
      </c>
      <c r="X716" s="531"/>
      <c r="Y716" s="531"/>
      <c r="Z716" s="531"/>
      <c r="AA716" s="531"/>
      <c r="AB716" s="531"/>
      <c r="AC716" s="531"/>
      <c r="AD716" s="531"/>
      <c r="AE716" s="531"/>
      <c r="AF716" s="531"/>
      <c r="AG716" s="531"/>
      <c r="AH716" s="531"/>
      <c r="AI716" s="531"/>
      <c r="AJ716" s="531"/>
      <c r="AK716" s="531"/>
      <c r="AL716" s="531"/>
      <c r="AM716" s="531"/>
      <c r="AN716" s="531"/>
    </row>
    <row r="717" customFormat="false" ht="16.5" hidden="false" customHeight="true" outlineLevel="0" collapsed="false">
      <c r="A717" s="531"/>
      <c r="B717" s="531"/>
      <c r="C717" s="531"/>
      <c r="D717" s="531"/>
      <c r="E717" s="531"/>
      <c r="F717" s="531"/>
      <c r="G717" s="531"/>
      <c r="H717" s="531"/>
      <c r="I717" s="531"/>
      <c r="J717" s="531"/>
      <c r="K717" s="531"/>
      <c r="L717" s="531"/>
      <c r="M717" s="531"/>
      <c r="N717" s="531" t="str">
        <f aca="false">IF('(1)예금승인내역'!H1343="","",'(1)예금승인내역'!H1343)</f>
        <v/>
      </c>
      <c r="O717" s="531" t="str">
        <f aca="false">IF('(1)예금승인내역'!G1343="","",'(1)예금승인내역'!G1343)</f>
        <v/>
      </c>
      <c r="P717" s="531" t="str">
        <f aca="false">IF('(1)예금승인내역'!F1343="","",'(1)예금승인내역'!F1343)</f>
        <v/>
      </c>
      <c r="Q717" s="531" t="str">
        <f aca="false">IF('(1)예금승인내역'!C1343="","",'(1)예금승인내역'!C1343)</f>
        <v/>
      </c>
      <c r="R717" s="531" t="str">
        <f aca="false">IF('(1)예금승인내역'!K1343="","",'(1)예금승인내역'!K1343)</f>
        <v/>
      </c>
      <c r="S717" s="531" t="str">
        <f aca="false">IF('(1)예금승인내역'!L1343="","",'(1)예금승인내역'!L1343)</f>
        <v/>
      </c>
      <c r="T717" s="531" t="str">
        <f aca="false">IF('(1)예금승인내역'!AG1343="","",'(1)예금승인내역'!AG1343)</f>
        <v/>
      </c>
      <c r="U717" s="531" t="str">
        <f aca="false">IF('(1)예금승인내역'!X1343="","",'(1)예금승인내역'!X1343)</f>
        <v/>
      </c>
      <c r="V717" s="531" t="str">
        <f aca="false">IF(ISNUMBER(N717),N717-$B$2,"")</f>
        <v/>
      </c>
      <c r="W717" s="531" t="str">
        <f aca="false">IF(AND(ISNUMBER(N717),N717&gt;=$B$2,N717&lt;=$B$2+10),N717*100000+ROW(),"")</f>
        <v/>
      </c>
      <c r="X717" s="531"/>
      <c r="Y717" s="531"/>
      <c r="Z717" s="531"/>
      <c r="AA717" s="531"/>
      <c r="AB717" s="531"/>
      <c r="AC717" s="531"/>
      <c r="AD717" s="531"/>
      <c r="AE717" s="531"/>
      <c r="AF717" s="531"/>
      <c r="AG717" s="531"/>
      <c r="AH717" s="531"/>
      <c r="AI717" s="531"/>
      <c r="AJ717" s="531"/>
      <c r="AK717" s="531"/>
      <c r="AL717" s="531"/>
      <c r="AM717" s="531"/>
      <c r="AN717" s="531"/>
    </row>
    <row r="718" customFormat="false" ht="16.5" hidden="false" customHeight="true" outlineLevel="0" collapsed="false">
      <c r="A718" s="531"/>
      <c r="B718" s="531"/>
      <c r="C718" s="531"/>
      <c r="D718" s="531"/>
      <c r="E718" s="531"/>
      <c r="F718" s="531"/>
      <c r="G718" s="531"/>
      <c r="H718" s="531"/>
      <c r="I718" s="531"/>
      <c r="J718" s="531"/>
      <c r="K718" s="531"/>
      <c r="L718" s="531"/>
      <c r="M718" s="531"/>
      <c r="N718" s="531" t="str">
        <f aca="false">IF('(1)예금승인내역'!H1344="","",'(1)예금승인내역'!H1344)</f>
        <v/>
      </c>
      <c r="O718" s="531" t="str">
        <f aca="false">IF('(1)예금승인내역'!G1344="","",'(1)예금승인내역'!G1344)</f>
        <v/>
      </c>
      <c r="P718" s="531" t="str">
        <f aca="false">IF('(1)예금승인내역'!F1344="","",'(1)예금승인내역'!F1344)</f>
        <v/>
      </c>
      <c r="Q718" s="531" t="str">
        <f aca="false">IF('(1)예금승인내역'!C1344="","",'(1)예금승인내역'!C1344)</f>
        <v/>
      </c>
      <c r="R718" s="531" t="str">
        <f aca="false">IF('(1)예금승인내역'!K1344="","",'(1)예금승인내역'!K1344)</f>
        <v/>
      </c>
      <c r="S718" s="531" t="str">
        <f aca="false">IF('(1)예금승인내역'!L1344="","",'(1)예금승인내역'!L1344)</f>
        <v/>
      </c>
      <c r="T718" s="531" t="str">
        <f aca="false">IF('(1)예금승인내역'!AG1344="","",'(1)예금승인내역'!AG1344)</f>
        <v/>
      </c>
      <c r="U718" s="531" t="str">
        <f aca="false">IF('(1)예금승인내역'!X1344="","",'(1)예금승인내역'!X1344)</f>
        <v/>
      </c>
      <c r="V718" s="531" t="str">
        <f aca="false">IF(ISNUMBER(N718),N718-$B$2,"")</f>
        <v/>
      </c>
      <c r="W718" s="531" t="str">
        <f aca="false">IF(AND(ISNUMBER(N718),N718&gt;=$B$2,N718&lt;=$B$2+10),N718*100000+ROW(),"")</f>
        <v/>
      </c>
      <c r="X718" s="531"/>
      <c r="Y718" s="531"/>
      <c r="Z718" s="531"/>
      <c r="AA718" s="531"/>
      <c r="AB718" s="531"/>
      <c r="AC718" s="531"/>
      <c r="AD718" s="531"/>
      <c r="AE718" s="531"/>
      <c r="AF718" s="531"/>
      <c r="AG718" s="531"/>
      <c r="AH718" s="531"/>
      <c r="AI718" s="531"/>
      <c r="AJ718" s="531"/>
      <c r="AK718" s="531"/>
      <c r="AL718" s="531"/>
      <c r="AM718" s="531"/>
      <c r="AN718" s="531"/>
    </row>
    <row r="719" customFormat="false" ht="16.5" hidden="false" customHeight="true" outlineLevel="0" collapsed="false">
      <c r="A719" s="531"/>
      <c r="B719" s="531"/>
      <c r="C719" s="531"/>
      <c r="D719" s="531"/>
      <c r="E719" s="531"/>
      <c r="F719" s="531"/>
      <c r="G719" s="531"/>
      <c r="H719" s="531"/>
      <c r="I719" s="531"/>
      <c r="J719" s="531"/>
      <c r="K719" s="531"/>
      <c r="L719" s="531"/>
      <c r="M719" s="531"/>
      <c r="N719" s="531" t="str">
        <f aca="false">IF('(1)예금승인내역'!H1345="","",'(1)예금승인내역'!H1345)</f>
        <v/>
      </c>
      <c r="O719" s="531" t="str">
        <f aca="false">IF('(1)예금승인내역'!G1345="","",'(1)예금승인내역'!G1345)</f>
        <v/>
      </c>
      <c r="P719" s="531" t="str">
        <f aca="false">IF('(1)예금승인내역'!F1345="","",'(1)예금승인내역'!F1345)</f>
        <v/>
      </c>
      <c r="Q719" s="531" t="str">
        <f aca="false">IF('(1)예금승인내역'!C1345="","",'(1)예금승인내역'!C1345)</f>
        <v/>
      </c>
      <c r="R719" s="531" t="str">
        <f aca="false">IF('(1)예금승인내역'!K1345="","",'(1)예금승인내역'!K1345)</f>
        <v/>
      </c>
      <c r="S719" s="531" t="str">
        <f aca="false">IF('(1)예금승인내역'!L1345="","",'(1)예금승인내역'!L1345)</f>
        <v/>
      </c>
      <c r="T719" s="531" t="str">
        <f aca="false">IF('(1)예금승인내역'!AG1345="","",'(1)예금승인내역'!AG1345)</f>
        <v/>
      </c>
      <c r="U719" s="531" t="str">
        <f aca="false">IF('(1)예금승인내역'!X1345="","",'(1)예금승인내역'!X1345)</f>
        <v/>
      </c>
      <c r="V719" s="531" t="str">
        <f aca="false">IF(ISNUMBER(N719),N719-$B$2,"")</f>
        <v/>
      </c>
      <c r="W719" s="531" t="str">
        <f aca="false">IF(AND(ISNUMBER(N719),N719&gt;=$B$2,N719&lt;=$B$2+10),N719*100000+ROW(),"")</f>
        <v/>
      </c>
      <c r="X719" s="531"/>
      <c r="Y719" s="531"/>
      <c r="Z719" s="531"/>
      <c r="AA719" s="531"/>
      <c r="AB719" s="531"/>
      <c r="AC719" s="531"/>
      <c r="AD719" s="531"/>
      <c r="AE719" s="531"/>
      <c r="AF719" s="531"/>
      <c r="AG719" s="531"/>
      <c r="AH719" s="531"/>
      <c r="AI719" s="531"/>
      <c r="AJ719" s="531"/>
      <c r="AK719" s="531"/>
      <c r="AL719" s="531"/>
      <c r="AM719" s="531"/>
      <c r="AN719" s="531"/>
    </row>
    <row r="720" customFormat="false" ht="16.5" hidden="false" customHeight="true" outlineLevel="0" collapsed="false">
      <c r="A720" s="531"/>
      <c r="B720" s="531"/>
      <c r="C720" s="531"/>
      <c r="D720" s="531"/>
      <c r="E720" s="531"/>
      <c r="F720" s="531"/>
      <c r="G720" s="531"/>
      <c r="H720" s="531"/>
      <c r="I720" s="531"/>
      <c r="J720" s="531"/>
      <c r="K720" s="531"/>
      <c r="L720" s="531"/>
      <c r="M720" s="531"/>
      <c r="N720" s="531" t="str">
        <f aca="false">IF('(1)예금승인내역'!H1346="","",'(1)예금승인내역'!H1346)</f>
        <v/>
      </c>
      <c r="O720" s="531" t="str">
        <f aca="false">IF('(1)예금승인내역'!G1346="","",'(1)예금승인내역'!G1346)</f>
        <v/>
      </c>
      <c r="P720" s="531" t="str">
        <f aca="false">IF('(1)예금승인내역'!F1346="","",'(1)예금승인내역'!F1346)</f>
        <v/>
      </c>
      <c r="Q720" s="531" t="str">
        <f aca="false">IF('(1)예금승인내역'!C1346="","",'(1)예금승인내역'!C1346)</f>
        <v/>
      </c>
      <c r="R720" s="531" t="str">
        <f aca="false">IF('(1)예금승인내역'!K1346="","",'(1)예금승인내역'!K1346)</f>
        <v/>
      </c>
      <c r="S720" s="531" t="str">
        <f aca="false">IF('(1)예금승인내역'!L1346="","",'(1)예금승인내역'!L1346)</f>
        <v/>
      </c>
      <c r="T720" s="531" t="str">
        <f aca="false">IF('(1)예금승인내역'!AG1346="","",'(1)예금승인내역'!AG1346)</f>
        <v/>
      </c>
      <c r="U720" s="531" t="str">
        <f aca="false">IF('(1)예금승인내역'!X1346="","",'(1)예금승인내역'!X1346)</f>
        <v/>
      </c>
      <c r="V720" s="531" t="str">
        <f aca="false">IF(ISNUMBER(N720),N720-$B$2,"")</f>
        <v/>
      </c>
      <c r="W720" s="531" t="str">
        <f aca="false">IF(AND(ISNUMBER(N720),N720&gt;=$B$2,N720&lt;=$B$2+10),N720*100000+ROW(),"")</f>
        <v/>
      </c>
      <c r="X720" s="531"/>
      <c r="Y720" s="531"/>
      <c r="Z720" s="531"/>
      <c r="AA720" s="531"/>
      <c r="AB720" s="531"/>
      <c r="AC720" s="531"/>
      <c r="AD720" s="531"/>
      <c r="AE720" s="531"/>
      <c r="AF720" s="531"/>
      <c r="AG720" s="531"/>
      <c r="AH720" s="531"/>
      <c r="AI720" s="531"/>
      <c r="AJ720" s="531"/>
      <c r="AK720" s="531"/>
      <c r="AL720" s="531"/>
      <c r="AM720" s="531"/>
      <c r="AN720" s="531"/>
    </row>
    <row r="721" customFormat="false" ht="16.5" hidden="false" customHeight="true" outlineLevel="0" collapsed="false">
      <c r="A721" s="531"/>
      <c r="B721" s="531"/>
      <c r="C721" s="531"/>
      <c r="D721" s="531"/>
      <c r="E721" s="531"/>
      <c r="F721" s="531"/>
      <c r="G721" s="531"/>
      <c r="H721" s="531"/>
      <c r="I721" s="531"/>
      <c r="J721" s="531"/>
      <c r="K721" s="531"/>
      <c r="L721" s="531"/>
      <c r="M721" s="531"/>
      <c r="N721" s="531" t="str">
        <f aca="false">IF('(1)예금승인내역'!H1347="","",'(1)예금승인내역'!H1347)</f>
        <v/>
      </c>
      <c r="O721" s="531" t="str">
        <f aca="false">IF('(1)예금승인내역'!G1347="","",'(1)예금승인내역'!G1347)</f>
        <v/>
      </c>
      <c r="P721" s="531" t="str">
        <f aca="false">IF('(1)예금승인내역'!F1347="","",'(1)예금승인내역'!F1347)</f>
        <v/>
      </c>
      <c r="Q721" s="531" t="str">
        <f aca="false">IF('(1)예금승인내역'!C1347="","",'(1)예금승인내역'!C1347)</f>
        <v/>
      </c>
      <c r="R721" s="531" t="str">
        <f aca="false">IF('(1)예금승인내역'!K1347="","",'(1)예금승인내역'!K1347)</f>
        <v/>
      </c>
      <c r="S721" s="531" t="str">
        <f aca="false">IF('(1)예금승인내역'!L1347="","",'(1)예금승인내역'!L1347)</f>
        <v/>
      </c>
      <c r="T721" s="531" t="str">
        <f aca="false">IF('(1)예금승인내역'!AG1347="","",'(1)예금승인내역'!AG1347)</f>
        <v/>
      </c>
      <c r="U721" s="531" t="str">
        <f aca="false">IF('(1)예금승인내역'!X1347="","",'(1)예금승인내역'!X1347)</f>
        <v/>
      </c>
      <c r="V721" s="531" t="str">
        <f aca="false">IF(ISNUMBER(N721),N721-$B$2,"")</f>
        <v/>
      </c>
      <c r="W721" s="531" t="str">
        <f aca="false">IF(AND(ISNUMBER(N721),N721&gt;=$B$2,N721&lt;=$B$2+10),N721*100000+ROW(),"")</f>
        <v/>
      </c>
      <c r="X721" s="531"/>
      <c r="Y721" s="531"/>
      <c r="Z721" s="531"/>
      <c r="AA721" s="531"/>
      <c r="AB721" s="531"/>
      <c r="AC721" s="531"/>
      <c r="AD721" s="531"/>
      <c r="AE721" s="531"/>
      <c r="AF721" s="531"/>
      <c r="AG721" s="531"/>
      <c r="AH721" s="531"/>
      <c r="AI721" s="531"/>
      <c r="AJ721" s="531"/>
      <c r="AK721" s="531"/>
      <c r="AL721" s="531"/>
      <c r="AM721" s="531"/>
      <c r="AN721" s="531"/>
    </row>
    <row r="722" customFormat="false" ht="16.5" hidden="false" customHeight="true" outlineLevel="0" collapsed="false">
      <c r="A722" s="531"/>
      <c r="B722" s="531"/>
      <c r="C722" s="531"/>
      <c r="D722" s="531"/>
      <c r="E722" s="531"/>
      <c r="F722" s="531"/>
      <c r="G722" s="531"/>
      <c r="H722" s="531"/>
      <c r="I722" s="531"/>
      <c r="J722" s="531"/>
      <c r="K722" s="531"/>
      <c r="L722" s="531"/>
      <c r="M722" s="531"/>
      <c r="N722" s="531" t="str">
        <f aca="false">IF('(1)예금승인내역'!H1348="","",'(1)예금승인내역'!H1348)</f>
        <v/>
      </c>
      <c r="O722" s="531" t="str">
        <f aca="false">IF('(1)예금승인내역'!G1348="","",'(1)예금승인내역'!G1348)</f>
        <v/>
      </c>
      <c r="P722" s="531" t="str">
        <f aca="false">IF('(1)예금승인내역'!F1348="","",'(1)예금승인내역'!F1348)</f>
        <v/>
      </c>
      <c r="Q722" s="531" t="str">
        <f aca="false">IF('(1)예금승인내역'!C1348="","",'(1)예금승인내역'!C1348)</f>
        <v/>
      </c>
      <c r="R722" s="531" t="str">
        <f aca="false">IF('(1)예금승인내역'!K1348="","",'(1)예금승인내역'!K1348)</f>
        <v/>
      </c>
      <c r="S722" s="531" t="str">
        <f aca="false">IF('(1)예금승인내역'!L1348="","",'(1)예금승인내역'!L1348)</f>
        <v/>
      </c>
      <c r="T722" s="531" t="str">
        <f aca="false">IF('(1)예금승인내역'!AG1348="","",'(1)예금승인내역'!AG1348)</f>
        <v/>
      </c>
      <c r="U722" s="531" t="str">
        <f aca="false">IF('(1)예금승인내역'!X1348="","",'(1)예금승인내역'!X1348)</f>
        <v/>
      </c>
      <c r="V722" s="531" t="str">
        <f aca="false">IF(ISNUMBER(N722),N722-$B$2,"")</f>
        <v/>
      </c>
      <c r="W722" s="531" t="str">
        <f aca="false">IF(AND(ISNUMBER(N722),N722&gt;=$B$2,N722&lt;=$B$2+10),N722*100000+ROW(),"")</f>
        <v/>
      </c>
      <c r="X722" s="531"/>
      <c r="Y722" s="531"/>
      <c r="Z722" s="531"/>
      <c r="AA722" s="531"/>
      <c r="AB722" s="531"/>
      <c r="AC722" s="531"/>
      <c r="AD722" s="531"/>
      <c r="AE722" s="531"/>
      <c r="AF722" s="531"/>
      <c r="AG722" s="531"/>
      <c r="AH722" s="531"/>
      <c r="AI722" s="531"/>
      <c r="AJ722" s="531"/>
      <c r="AK722" s="531"/>
      <c r="AL722" s="531"/>
      <c r="AM722" s="531"/>
      <c r="AN722" s="531"/>
    </row>
    <row r="723" customFormat="false" ht="16.5" hidden="false" customHeight="true" outlineLevel="0" collapsed="false">
      <c r="A723" s="531"/>
      <c r="B723" s="531"/>
      <c r="C723" s="531"/>
      <c r="D723" s="531"/>
      <c r="E723" s="531"/>
      <c r="F723" s="531"/>
      <c r="G723" s="531"/>
      <c r="H723" s="531"/>
      <c r="I723" s="531"/>
      <c r="J723" s="531"/>
      <c r="K723" s="531"/>
      <c r="L723" s="531"/>
      <c r="M723" s="531"/>
      <c r="N723" s="531" t="str">
        <f aca="false">IF('(1)예금승인내역'!H1349="","",'(1)예금승인내역'!H1349)</f>
        <v/>
      </c>
      <c r="O723" s="531" t="str">
        <f aca="false">IF('(1)예금승인내역'!G1349="","",'(1)예금승인내역'!G1349)</f>
        <v/>
      </c>
      <c r="P723" s="531" t="str">
        <f aca="false">IF('(1)예금승인내역'!F1349="","",'(1)예금승인내역'!F1349)</f>
        <v/>
      </c>
      <c r="Q723" s="531" t="str">
        <f aca="false">IF('(1)예금승인내역'!C1349="","",'(1)예금승인내역'!C1349)</f>
        <v/>
      </c>
      <c r="R723" s="531" t="str">
        <f aca="false">IF('(1)예금승인내역'!K1349="","",'(1)예금승인내역'!K1349)</f>
        <v/>
      </c>
      <c r="S723" s="531" t="str">
        <f aca="false">IF('(1)예금승인내역'!L1349="","",'(1)예금승인내역'!L1349)</f>
        <v/>
      </c>
      <c r="T723" s="531" t="str">
        <f aca="false">IF('(1)예금승인내역'!AG1349="","",'(1)예금승인내역'!AG1349)</f>
        <v/>
      </c>
      <c r="U723" s="531" t="str">
        <f aca="false">IF('(1)예금승인내역'!X1349="","",'(1)예금승인내역'!X1349)</f>
        <v/>
      </c>
      <c r="V723" s="531" t="str">
        <f aca="false">IF(ISNUMBER(N723),N723-$B$2,"")</f>
        <v/>
      </c>
      <c r="W723" s="531" t="str">
        <f aca="false">IF(AND(ISNUMBER(N723),N723&gt;=$B$2,N723&lt;=$B$2+10),N723*100000+ROW(),"")</f>
        <v/>
      </c>
      <c r="X723" s="531"/>
      <c r="Y723" s="531"/>
      <c r="Z723" s="531"/>
      <c r="AA723" s="531"/>
      <c r="AB723" s="531"/>
      <c r="AC723" s="531"/>
      <c r="AD723" s="531"/>
      <c r="AE723" s="531"/>
      <c r="AF723" s="531"/>
      <c r="AG723" s="531"/>
      <c r="AH723" s="531"/>
      <c r="AI723" s="531"/>
      <c r="AJ723" s="531"/>
      <c r="AK723" s="531"/>
      <c r="AL723" s="531"/>
      <c r="AM723" s="531"/>
      <c r="AN723" s="531"/>
    </row>
    <row r="724" customFormat="false" ht="16.5" hidden="false" customHeight="true" outlineLevel="0" collapsed="false">
      <c r="A724" s="531"/>
      <c r="B724" s="531"/>
      <c r="C724" s="531"/>
      <c r="D724" s="531"/>
      <c r="E724" s="531"/>
      <c r="F724" s="531"/>
      <c r="G724" s="531"/>
      <c r="H724" s="531"/>
      <c r="I724" s="531"/>
      <c r="J724" s="531"/>
      <c r="K724" s="531"/>
      <c r="L724" s="531"/>
      <c r="M724" s="531"/>
      <c r="N724" s="531" t="str">
        <f aca="false">IF('(1)예금승인내역'!H1350="","",'(1)예금승인내역'!H1350)</f>
        <v/>
      </c>
      <c r="O724" s="531" t="str">
        <f aca="false">IF('(1)예금승인내역'!G1350="","",'(1)예금승인내역'!G1350)</f>
        <v/>
      </c>
      <c r="P724" s="531" t="str">
        <f aca="false">IF('(1)예금승인내역'!F1350="","",'(1)예금승인내역'!F1350)</f>
        <v/>
      </c>
      <c r="Q724" s="531" t="str">
        <f aca="false">IF('(1)예금승인내역'!C1350="","",'(1)예금승인내역'!C1350)</f>
        <v/>
      </c>
      <c r="R724" s="531" t="str">
        <f aca="false">IF('(1)예금승인내역'!K1350="","",'(1)예금승인내역'!K1350)</f>
        <v/>
      </c>
      <c r="S724" s="531" t="str">
        <f aca="false">IF('(1)예금승인내역'!L1350="","",'(1)예금승인내역'!L1350)</f>
        <v/>
      </c>
      <c r="T724" s="531" t="str">
        <f aca="false">IF('(1)예금승인내역'!AG1350="","",'(1)예금승인내역'!AG1350)</f>
        <v/>
      </c>
      <c r="U724" s="531" t="str">
        <f aca="false">IF('(1)예금승인내역'!X1350="","",'(1)예금승인내역'!X1350)</f>
        <v/>
      </c>
      <c r="V724" s="531" t="str">
        <f aca="false">IF(ISNUMBER(N724),N724-$B$2,"")</f>
        <v/>
      </c>
      <c r="W724" s="531" t="str">
        <f aca="false">IF(AND(ISNUMBER(N724),N724&gt;=$B$2,N724&lt;=$B$2+10),N724*100000+ROW(),"")</f>
        <v/>
      </c>
      <c r="X724" s="531"/>
      <c r="Y724" s="531"/>
      <c r="Z724" s="531"/>
      <c r="AA724" s="531"/>
      <c r="AB724" s="531"/>
      <c r="AC724" s="531"/>
      <c r="AD724" s="531"/>
      <c r="AE724" s="531"/>
      <c r="AF724" s="531"/>
      <c r="AG724" s="531"/>
      <c r="AH724" s="531"/>
      <c r="AI724" s="531"/>
      <c r="AJ724" s="531"/>
      <c r="AK724" s="531"/>
      <c r="AL724" s="531"/>
      <c r="AM724" s="531"/>
      <c r="AN724" s="531"/>
    </row>
    <row r="725" customFormat="false" ht="16.5" hidden="false" customHeight="true" outlineLevel="0" collapsed="false">
      <c r="A725" s="531"/>
      <c r="B725" s="531"/>
      <c r="C725" s="531"/>
      <c r="D725" s="531"/>
      <c r="E725" s="531"/>
      <c r="F725" s="531"/>
      <c r="G725" s="531"/>
      <c r="H725" s="531"/>
      <c r="I725" s="531"/>
      <c r="J725" s="531"/>
      <c r="K725" s="531"/>
      <c r="L725" s="531"/>
      <c r="M725" s="531"/>
      <c r="N725" s="531" t="str">
        <f aca="false">IF('(1)예금승인내역'!H1351="","",'(1)예금승인내역'!H1351)</f>
        <v/>
      </c>
      <c r="O725" s="531" t="str">
        <f aca="false">IF('(1)예금승인내역'!G1351="","",'(1)예금승인내역'!G1351)</f>
        <v/>
      </c>
      <c r="P725" s="531" t="str">
        <f aca="false">IF('(1)예금승인내역'!F1351="","",'(1)예금승인내역'!F1351)</f>
        <v/>
      </c>
      <c r="Q725" s="531" t="str">
        <f aca="false">IF('(1)예금승인내역'!C1351="","",'(1)예금승인내역'!C1351)</f>
        <v/>
      </c>
      <c r="R725" s="531" t="str">
        <f aca="false">IF('(1)예금승인내역'!K1351="","",'(1)예금승인내역'!K1351)</f>
        <v/>
      </c>
      <c r="S725" s="531" t="str">
        <f aca="false">IF('(1)예금승인내역'!L1351="","",'(1)예금승인내역'!L1351)</f>
        <v/>
      </c>
      <c r="T725" s="531" t="str">
        <f aca="false">IF('(1)예금승인내역'!AG1351="","",'(1)예금승인내역'!AG1351)</f>
        <v/>
      </c>
      <c r="U725" s="531" t="str">
        <f aca="false">IF('(1)예금승인내역'!X1351="","",'(1)예금승인내역'!X1351)</f>
        <v/>
      </c>
      <c r="V725" s="531" t="str">
        <f aca="false">IF(ISNUMBER(N725),N725-$B$2,"")</f>
        <v/>
      </c>
      <c r="W725" s="531" t="str">
        <f aca="false">IF(AND(ISNUMBER(N725),N725&gt;=$B$2,N725&lt;=$B$2+10),N725*100000+ROW(),"")</f>
        <v/>
      </c>
      <c r="X725" s="531"/>
      <c r="Y725" s="531"/>
      <c r="Z725" s="531"/>
      <c r="AA725" s="531"/>
      <c r="AB725" s="531"/>
      <c r="AC725" s="531"/>
      <c r="AD725" s="531"/>
      <c r="AE725" s="531"/>
      <c r="AF725" s="531"/>
      <c r="AG725" s="531"/>
      <c r="AH725" s="531"/>
      <c r="AI725" s="531"/>
      <c r="AJ725" s="531"/>
      <c r="AK725" s="531"/>
      <c r="AL725" s="531"/>
      <c r="AM725" s="531"/>
      <c r="AN725" s="531"/>
    </row>
    <row r="726" customFormat="false" ht="16.5" hidden="false" customHeight="true" outlineLevel="0" collapsed="false">
      <c r="A726" s="531"/>
      <c r="B726" s="531"/>
      <c r="C726" s="531"/>
      <c r="D726" s="531"/>
      <c r="E726" s="531"/>
      <c r="F726" s="531"/>
      <c r="G726" s="531"/>
      <c r="H726" s="531"/>
      <c r="I726" s="531"/>
      <c r="J726" s="531"/>
      <c r="K726" s="531"/>
      <c r="L726" s="531"/>
      <c r="M726" s="531"/>
      <c r="N726" s="531" t="str">
        <f aca="false">IF('(1)예금승인내역'!H1352="","",'(1)예금승인내역'!H1352)</f>
        <v/>
      </c>
      <c r="O726" s="531" t="str">
        <f aca="false">IF('(1)예금승인내역'!G1352="","",'(1)예금승인내역'!G1352)</f>
        <v/>
      </c>
      <c r="P726" s="531" t="str">
        <f aca="false">IF('(1)예금승인내역'!F1352="","",'(1)예금승인내역'!F1352)</f>
        <v/>
      </c>
      <c r="Q726" s="531" t="str">
        <f aca="false">IF('(1)예금승인내역'!C1352="","",'(1)예금승인내역'!C1352)</f>
        <v/>
      </c>
      <c r="R726" s="531" t="str">
        <f aca="false">IF('(1)예금승인내역'!K1352="","",'(1)예금승인내역'!K1352)</f>
        <v/>
      </c>
      <c r="S726" s="531" t="str">
        <f aca="false">IF('(1)예금승인내역'!L1352="","",'(1)예금승인내역'!L1352)</f>
        <v/>
      </c>
      <c r="T726" s="531" t="str">
        <f aca="false">IF('(1)예금승인내역'!AG1352="","",'(1)예금승인내역'!AG1352)</f>
        <v/>
      </c>
      <c r="U726" s="531" t="str">
        <f aca="false">IF('(1)예금승인내역'!X1352="","",'(1)예금승인내역'!X1352)</f>
        <v/>
      </c>
      <c r="V726" s="531" t="str">
        <f aca="false">IF(ISNUMBER(N726),N726-$B$2,"")</f>
        <v/>
      </c>
      <c r="W726" s="531" t="str">
        <f aca="false">IF(AND(ISNUMBER(N726),N726&gt;=$B$2,N726&lt;=$B$2+10),N726*100000+ROW(),"")</f>
        <v/>
      </c>
      <c r="X726" s="531"/>
      <c r="Y726" s="531"/>
      <c r="Z726" s="531"/>
      <c r="AA726" s="531"/>
      <c r="AB726" s="531"/>
      <c r="AC726" s="531"/>
      <c r="AD726" s="531"/>
      <c r="AE726" s="531"/>
      <c r="AF726" s="531"/>
      <c r="AG726" s="531"/>
      <c r="AH726" s="531"/>
      <c r="AI726" s="531"/>
      <c r="AJ726" s="531"/>
      <c r="AK726" s="531"/>
      <c r="AL726" s="531"/>
      <c r="AM726" s="531"/>
      <c r="AN726" s="531"/>
    </row>
    <row r="727" customFormat="false" ht="16.5" hidden="false" customHeight="true" outlineLevel="0" collapsed="false">
      <c r="A727" s="531"/>
      <c r="B727" s="531"/>
      <c r="C727" s="531"/>
      <c r="D727" s="531"/>
      <c r="E727" s="531"/>
      <c r="F727" s="531"/>
      <c r="G727" s="531"/>
      <c r="H727" s="531"/>
      <c r="I727" s="531"/>
      <c r="J727" s="531"/>
      <c r="K727" s="531"/>
      <c r="L727" s="531"/>
      <c r="M727" s="531"/>
      <c r="N727" s="531" t="str">
        <f aca="false">IF('(1)예금승인내역'!H1353="","",'(1)예금승인내역'!H1353)</f>
        <v/>
      </c>
      <c r="O727" s="531" t="str">
        <f aca="false">IF('(1)예금승인내역'!G1353="","",'(1)예금승인내역'!G1353)</f>
        <v/>
      </c>
      <c r="P727" s="531" t="str">
        <f aca="false">IF('(1)예금승인내역'!F1353="","",'(1)예금승인내역'!F1353)</f>
        <v/>
      </c>
      <c r="Q727" s="531" t="str">
        <f aca="false">IF('(1)예금승인내역'!C1353="","",'(1)예금승인내역'!C1353)</f>
        <v/>
      </c>
      <c r="R727" s="531" t="str">
        <f aca="false">IF('(1)예금승인내역'!K1353="","",'(1)예금승인내역'!K1353)</f>
        <v/>
      </c>
      <c r="S727" s="531" t="str">
        <f aca="false">IF('(1)예금승인내역'!L1353="","",'(1)예금승인내역'!L1353)</f>
        <v/>
      </c>
      <c r="T727" s="531" t="str">
        <f aca="false">IF('(1)예금승인내역'!AG1353="","",'(1)예금승인내역'!AG1353)</f>
        <v/>
      </c>
      <c r="U727" s="531" t="str">
        <f aca="false">IF('(1)예금승인내역'!X1353="","",'(1)예금승인내역'!X1353)</f>
        <v/>
      </c>
      <c r="V727" s="531" t="str">
        <f aca="false">IF(ISNUMBER(N727),N727-$B$2,"")</f>
        <v/>
      </c>
      <c r="W727" s="531" t="str">
        <f aca="false">IF(AND(ISNUMBER(N727),N727&gt;=$B$2,N727&lt;=$B$2+10),N727*100000+ROW(),"")</f>
        <v/>
      </c>
      <c r="X727" s="531"/>
      <c r="Y727" s="531"/>
      <c r="Z727" s="531"/>
      <c r="AA727" s="531"/>
      <c r="AB727" s="531"/>
      <c r="AC727" s="531"/>
      <c r="AD727" s="531"/>
      <c r="AE727" s="531"/>
      <c r="AF727" s="531"/>
      <c r="AG727" s="531"/>
      <c r="AH727" s="531"/>
      <c r="AI727" s="531"/>
      <c r="AJ727" s="531"/>
      <c r="AK727" s="531"/>
      <c r="AL727" s="531"/>
      <c r="AM727" s="531"/>
      <c r="AN727" s="531"/>
    </row>
    <row r="728" customFormat="false" ht="16.5" hidden="false" customHeight="true" outlineLevel="0" collapsed="false">
      <c r="A728" s="531"/>
      <c r="B728" s="531"/>
      <c r="C728" s="531"/>
      <c r="D728" s="531"/>
      <c r="E728" s="531"/>
      <c r="F728" s="531"/>
      <c r="G728" s="531"/>
      <c r="H728" s="531"/>
      <c r="I728" s="531"/>
      <c r="J728" s="531"/>
      <c r="K728" s="531"/>
      <c r="L728" s="531"/>
      <c r="M728" s="531"/>
      <c r="N728" s="531" t="str">
        <f aca="false">IF('(1)예금승인내역'!H1354="","",'(1)예금승인내역'!H1354)</f>
        <v/>
      </c>
      <c r="O728" s="531" t="str">
        <f aca="false">IF('(1)예금승인내역'!G1354="","",'(1)예금승인내역'!G1354)</f>
        <v/>
      </c>
      <c r="P728" s="531" t="str">
        <f aca="false">IF('(1)예금승인내역'!F1354="","",'(1)예금승인내역'!F1354)</f>
        <v/>
      </c>
      <c r="Q728" s="531" t="str">
        <f aca="false">IF('(1)예금승인내역'!C1354="","",'(1)예금승인내역'!C1354)</f>
        <v/>
      </c>
      <c r="R728" s="531" t="str">
        <f aca="false">IF('(1)예금승인내역'!K1354="","",'(1)예금승인내역'!K1354)</f>
        <v/>
      </c>
      <c r="S728" s="531" t="str">
        <f aca="false">IF('(1)예금승인내역'!L1354="","",'(1)예금승인내역'!L1354)</f>
        <v/>
      </c>
      <c r="T728" s="531" t="str">
        <f aca="false">IF('(1)예금승인내역'!AG1354="","",'(1)예금승인내역'!AG1354)</f>
        <v/>
      </c>
      <c r="U728" s="531" t="str">
        <f aca="false">IF('(1)예금승인내역'!X1354="","",'(1)예금승인내역'!X1354)</f>
        <v/>
      </c>
      <c r="V728" s="531" t="str">
        <f aca="false">IF(ISNUMBER(N728),N728-$B$2,"")</f>
        <v/>
      </c>
      <c r="W728" s="531" t="str">
        <f aca="false">IF(AND(ISNUMBER(N728),N728&gt;=$B$2,N728&lt;=$B$2+10),N728*100000+ROW(),"")</f>
        <v/>
      </c>
      <c r="X728" s="531"/>
      <c r="Y728" s="531"/>
      <c r="Z728" s="531"/>
      <c r="AA728" s="531"/>
      <c r="AB728" s="531"/>
      <c r="AC728" s="531"/>
      <c r="AD728" s="531"/>
      <c r="AE728" s="531"/>
      <c r="AF728" s="531"/>
      <c r="AG728" s="531"/>
      <c r="AH728" s="531"/>
      <c r="AI728" s="531"/>
      <c r="AJ728" s="531"/>
      <c r="AK728" s="531"/>
      <c r="AL728" s="531"/>
      <c r="AM728" s="531"/>
      <c r="AN728" s="531"/>
    </row>
    <row r="729" customFormat="false" ht="16.5" hidden="false" customHeight="true" outlineLevel="0" collapsed="false">
      <c r="A729" s="531"/>
      <c r="B729" s="531"/>
      <c r="C729" s="531"/>
      <c r="D729" s="531"/>
      <c r="E729" s="531"/>
      <c r="F729" s="531"/>
      <c r="G729" s="531"/>
      <c r="H729" s="531"/>
      <c r="I729" s="531"/>
      <c r="J729" s="531"/>
      <c r="K729" s="531"/>
      <c r="L729" s="531"/>
      <c r="M729" s="531"/>
      <c r="N729" s="531" t="str">
        <f aca="false">IF('(1)예금승인내역'!H1355="","",'(1)예금승인내역'!H1355)</f>
        <v/>
      </c>
      <c r="O729" s="531" t="str">
        <f aca="false">IF('(1)예금승인내역'!G1355="","",'(1)예금승인내역'!G1355)</f>
        <v/>
      </c>
      <c r="P729" s="531" t="str">
        <f aca="false">IF('(1)예금승인내역'!F1355="","",'(1)예금승인내역'!F1355)</f>
        <v/>
      </c>
      <c r="Q729" s="531" t="str">
        <f aca="false">IF('(1)예금승인내역'!C1355="","",'(1)예금승인내역'!C1355)</f>
        <v/>
      </c>
      <c r="R729" s="531" t="str">
        <f aca="false">IF('(1)예금승인내역'!K1355="","",'(1)예금승인내역'!K1355)</f>
        <v/>
      </c>
      <c r="S729" s="531" t="str">
        <f aca="false">IF('(1)예금승인내역'!L1355="","",'(1)예금승인내역'!L1355)</f>
        <v/>
      </c>
      <c r="T729" s="531" t="str">
        <f aca="false">IF('(1)예금승인내역'!AG1355="","",'(1)예금승인내역'!AG1355)</f>
        <v/>
      </c>
      <c r="U729" s="531" t="str">
        <f aca="false">IF('(1)예금승인내역'!X1355="","",'(1)예금승인내역'!X1355)</f>
        <v/>
      </c>
      <c r="V729" s="531" t="str">
        <f aca="false">IF(ISNUMBER(N729),N729-$B$2,"")</f>
        <v/>
      </c>
      <c r="W729" s="531" t="str">
        <f aca="false">IF(AND(ISNUMBER(N729),N729&gt;=$B$2,N729&lt;=$B$2+10),N729*100000+ROW(),"")</f>
        <v/>
      </c>
      <c r="X729" s="531"/>
      <c r="Y729" s="531"/>
      <c r="Z729" s="531"/>
      <c r="AA729" s="531"/>
      <c r="AB729" s="531"/>
      <c r="AC729" s="531"/>
      <c r="AD729" s="531"/>
      <c r="AE729" s="531"/>
      <c r="AF729" s="531"/>
      <c r="AG729" s="531"/>
      <c r="AH729" s="531"/>
      <c r="AI729" s="531"/>
      <c r="AJ729" s="531"/>
      <c r="AK729" s="531"/>
      <c r="AL729" s="531"/>
      <c r="AM729" s="531"/>
      <c r="AN729" s="531"/>
    </row>
    <row r="730" customFormat="false" ht="16.5" hidden="false" customHeight="true" outlineLevel="0" collapsed="false">
      <c r="A730" s="531"/>
      <c r="B730" s="531"/>
      <c r="C730" s="531"/>
      <c r="D730" s="531"/>
      <c r="E730" s="531"/>
      <c r="F730" s="531"/>
      <c r="G730" s="531"/>
      <c r="H730" s="531"/>
      <c r="I730" s="531"/>
      <c r="J730" s="531"/>
      <c r="K730" s="531"/>
      <c r="L730" s="531"/>
      <c r="M730" s="531"/>
      <c r="N730" s="531" t="str">
        <f aca="false">IF('(1)예금승인내역'!H1356="","",'(1)예금승인내역'!H1356)</f>
        <v/>
      </c>
      <c r="O730" s="531" t="str">
        <f aca="false">IF('(1)예금승인내역'!G1356="","",'(1)예금승인내역'!G1356)</f>
        <v/>
      </c>
      <c r="P730" s="531" t="str">
        <f aca="false">IF('(1)예금승인내역'!F1356="","",'(1)예금승인내역'!F1356)</f>
        <v/>
      </c>
      <c r="Q730" s="531" t="str">
        <f aca="false">IF('(1)예금승인내역'!C1356="","",'(1)예금승인내역'!C1356)</f>
        <v/>
      </c>
      <c r="R730" s="531" t="str">
        <f aca="false">IF('(1)예금승인내역'!K1356="","",'(1)예금승인내역'!K1356)</f>
        <v/>
      </c>
      <c r="S730" s="531" t="str">
        <f aca="false">IF('(1)예금승인내역'!L1356="","",'(1)예금승인내역'!L1356)</f>
        <v/>
      </c>
      <c r="T730" s="531" t="str">
        <f aca="false">IF('(1)예금승인내역'!AG1356="","",'(1)예금승인내역'!AG1356)</f>
        <v/>
      </c>
      <c r="U730" s="531" t="str">
        <f aca="false">IF('(1)예금승인내역'!X1356="","",'(1)예금승인내역'!X1356)</f>
        <v/>
      </c>
      <c r="V730" s="531" t="str">
        <f aca="false">IF(ISNUMBER(N730),N730-$B$2,"")</f>
        <v/>
      </c>
      <c r="W730" s="531" t="str">
        <f aca="false">IF(AND(ISNUMBER(N730),N730&gt;=$B$2,N730&lt;=$B$2+10),N730*100000+ROW(),"")</f>
        <v/>
      </c>
      <c r="X730" s="531"/>
      <c r="Y730" s="531"/>
      <c r="Z730" s="531"/>
      <c r="AA730" s="531"/>
      <c r="AB730" s="531"/>
      <c r="AC730" s="531"/>
      <c r="AD730" s="531"/>
      <c r="AE730" s="531"/>
      <c r="AF730" s="531"/>
      <c r="AG730" s="531"/>
      <c r="AH730" s="531"/>
      <c r="AI730" s="531"/>
      <c r="AJ730" s="531"/>
      <c r="AK730" s="531"/>
      <c r="AL730" s="531"/>
      <c r="AM730" s="531"/>
      <c r="AN730" s="531"/>
    </row>
    <row r="731" customFormat="false" ht="16.5" hidden="false" customHeight="true" outlineLevel="0" collapsed="false">
      <c r="A731" s="531"/>
      <c r="B731" s="531"/>
      <c r="C731" s="531"/>
      <c r="D731" s="531"/>
      <c r="E731" s="531"/>
      <c r="F731" s="531"/>
      <c r="G731" s="531"/>
      <c r="H731" s="531"/>
      <c r="I731" s="531"/>
      <c r="J731" s="531"/>
      <c r="K731" s="531"/>
      <c r="L731" s="531"/>
      <c r="M731" s="531"/>
      <c r="N731" s="531" t="str">
        <f aca="false">IF('(1)예금승인내역'!H1357="","",'(1)예금승인내역'!H1357)</f>
        <v/>
      </c>
      <c r="O731" s="531" t="str">
        <f aca="false">IF('(1)예금승인내역'!G1357="","",'(1)예금승인내역'!G1357)</f>
        <v/>
      </c>
      <c r="P731" s="531" t="str">
        <f aca="false">IF('(1)예금승인내역'!F1357="","",'(1)예금승인내역'!F1357)</f>
        <v/>
      </c>
      <c r="Q731" s="531" t="str">
        <f aca="false">IF('(1)예금승인내역'!C1357="","",'(1)예금승인내역'!C1357)</f>
        <v/>
      </c>
      <c r="R731" s="531" t="str">
        <f aca="false">IF('(1)예금승인내역'!K1357="","",'(1)예금승인내역'!K1357)</f>
        <v/>
      </c>
      <c r="S731" s="531" t="str">
        <f aca="false">IF('(1)예금승인내역'!L1357="","",'(1)예금승인내역'!L1357)</f>
        <v/>
      </c>
      <c r="T731" s="531" t="str">
        <f aca="false">IF('(1)예금승인내역'!AG1357="","",'(1)예금승인내역'!AG1357)</f>
        <v/>
      </c>
      <c r="U731" s="531" t="str">
        <f aca="false">IF('(1)예금승인내역'!X1357="","",'(1)예금승인내역'!X1357)</f>
        <v/>
      </c>
      <c r="V731" s="531" t="str">
        <f aca="false">IF(ISNUMBER(N731),N731-$B$2,"")</f>
        <v/>
      </c>
      <c r="W731" s="531" t="str">
        <f aca="false">IF(AND(ISNUMBER(N731),N731&gt;=$B$2,N731&lt;=$B$2+10),N731*100000+ROW(),"")</f>
        <v/>
      </c>
      <c r="X731" s="531"/>
      <c r="Y731" s="531"/>
      <c r="Z731" s="531"/>
      <c r="AA731" s="531"/>
      <c r="AB731" s="531"/>
      <c r="AC731" s="531"/>
      <c r="AD731" s="531"/>
      <c r="AE731" s="531"/>
      <c r="AF731" s="531"/>
      <c r="AG731" s="531"/>
      <c r="AH731" s="531"/>
      <c r="AI731" s="531"/>
      <c r="AJ731" s="531"/>
      <c r="AK731" s="531"/>
      <c r="AL731" s="531"/>
      <c r="AM731" s="531"/>
      <c r="AN731" s="531"/>
    </row>
    <row r="732" customFormat="false" ht="16.5" hidden="false" customHeight="true" outlineLevel="0" collapsed="false">
      <c r="A732" s="531"/>
      <c r="B732" s="531"/>
      <c r="C732" s="531"/>
      <c r="D732" s="531"/>
      <c r="E732" s="531"/>
      <c r="F732" s="531"/>
      <c r="G732" s="531"/>
      <c r="H732" s="531"/>
      <c r="I732" s="531"/>
      <c r="J732" s="531"/>
      <c r="K732" s="531"/>
      <c r="L732" s="531"/>
      <c r="M732" s="531"/>
      <c r="N732" s="531" t="str">
        <f aca="false">IF('(1)예금승인내역'!H1358="","",'(1)예금승인내역'!H1358)</f>
        <v/>
      </c>
      <c r="O732" s="531" t="str">
        <f aca="false">IF('(1)예금승인내역'!G1358="","",'(1)예금승인내역'!G1358)</f>
        <v/>
      </c>
      <c r="P732" s="531" t="str">
        <f aca="false">IF('(1)예금승인내역'!F1358="","",'(1)예금승인내역'!F1358)</f>
        <v/>
      </c>
      <c r="Q732" s="531" t="str">
        <f aca="false">IF('(1)예금승인내역'!C1358="","",'(1)예금승인내역'!C1358)</f>
        <v/>
      </c>
      <c r="R732" s="531" t="str">
        <f aca="false">IF('(1)예금승인내역'!K1358="","",'(1)예금승인내역'!K1358)</f>
        <v/>
      </c>
      <c r="S732" s="531" t="str">
        <f aca="false">IF('(1)예금승인내역'!L1358="","",'(1)예금승인내역'!L1358)</f>
        <v/>
      </c>
      <c r="T732" s="531" t="str">
        <f aca="false">IF('(1)예금승인내역'!AG1358="","",'(1)예금승인내역'!AG1358)</f>
        <v/>
      </c>
      <c r="U732" s="531" t="str">
        <f aca="false">IF('(1)예금승인내역'!X1358="","",'(1)예금승인내역'!X1358)</f>
        <v/>
      </c>
      <c r="V732" s="531" t="str">
        <f aca="false">IF(ISNUMBER(N732),N732-$B$2,"")</f>
        <v/>
      </c>
      <c r="W732" s="531" t="str">
        <f aca="false">IF(AND(ISNUMBER(N732),N732&gt;=$B$2,N732&lt;=$B$2+10),N732*100000+ROW(),"")</f>
        <v/>
      </c>
      <c r="X732" s="531"/>
      <c r="Y732" s="531"/>
      <c r="Z732" s="531"/>
      <c r="AA732" s="531"/>
      <c r="AB732" s="531"/>
      <c r="AC732" s="531"/>
      <c r="AD732" s="531"/>
      <c r="AE732" s="531"/>
      <c r="AF732" s="531"/>
      <c r="AG732" s="531"/>
      <c r="AH732" s="531"/>
      <c r="AI732" s="531"/>
      <c r="AJ732" s="531"/>
      <c r="AK732" s="531"/>
      <c r="AL732" s="531"/>
      <c r="AM732" s="531"/>
      <c r="AN732" s="531"/>
    </row>
    <row r="733" customFormat="false" ht="16.5" hidden="false" customHeight="true" outlineLevel="0" collapsed="false">
      <c r="A733" s="531"/>
      <c r="B733" s="531"/>
      <c r="C733" s="531"/>
      <c r="D733" s="531"/>
      <c r="E733" s="531"/>
      <c r="F733" s="531"/>
      <c r="G733" s="531"/>
      <c r="H733" s="531"/>
      <c r="I733" s="531"/>
      <c r="J733" s="531"/>
      <c r="K733" s="531"/>
      <c r="L733" s="531"/>
      <c r="M733" s="531"/>
      <c r="N733" s="531" t="str">
        <f aca="false">IF('(1)예금승인내역'!H1359="","",'(1)예금승인내역'!H1359)</f>
        <v/>
      </c>
      <c r="O733" s="531" t="str">
        <f aca="false">IF('(1)예금승인내역'!G1359="","",'(1)예금승인내역'!G1359)</f>
        <v/>
      </c>
      <c r="P733" s="531" t="str">
        <f aca="false">IF('(1)예금승인내역'!F1359="","",'(1)예금승인내역'!F1359)</f>
        <v/>
      </c>
      <c r="Q733" s="531" t="str">
        <f aca="false">IF('(1)예금승인내역'!C1359="","",'(1)예금승인내역'!C1359)</f>
        <v/>
      </c>
      <c r="R733" s="531" t="str">
        <f aca="false">IF('(1)예금승인내역'!K1359="","",'(1)예금승인내역'!K1359)</f>
        <v/>
      </c>
      <c r="S733" s="531" t="str">
        <f aca="false">IF('(1)예금승인내역'!L1359="","",'(1)예금승인내역'!L1359)</f>
        <v/>
      </c>
      <c r="T733" s="531" t="str">
        <f aca="false">IF('(1)예금승인내역'!AG1359="","",'(1)예금승인내역'!AG1359)</f>
        <v/>
      </c>
      <c r="U733" s="531" t="str">
        <f aca="false">IF('(1)예금승인내역'!X1359="","",'(1)예금승인내역'!X1359)</f>
        <v/>
      </c>
      <c r="V733" s="531" t="str">
        <f aca="false">IF(ISNUMBER(N733),N733-$B$2,"")</f>
        <v/>
      </c>
      <c r="W733" s="531" t="str">
        <f aca="false">IF(AND(ISNUMBER(N733),N733&gt;=$B$2,N733&lt;=$B$2+10),N733*100000+ROW(),"")</f>
        <v/>
      </c>
      <c r="X733" s="531"/>
      <c r="Y733" s="531"/>
      <c r="Z733" s="531"/>
      <c r="AA733" s="531"/>
      <c r="AB733" s="531"/>
      <c r="AC733" s="531"/>
      <c r="AD733" s="531"/>
      <c r="AE733" s="531"/>
      <c r="AF733" s="531"/>
      <c r="AG733" s="531"/>
      <c r="AH733" s="531"/>
      <c r="AI733" s="531"/>
      <c r="AJ733" s="531"/>
      <c r="AK733" s="531"/>
      <c r="AL733" s="531"/>
      <c r="AM733" s="531"/>
      <c r="AN733" s="531"/>
    </row>
    <row r="734" customFormat="false" ht="16.5" hidden="false" customHeight="true" outlineLevel="0" collapsed="false">
      <c r="A734" s="531"/>
      <c r="B734" s="531"/>
      <c r="C734" s="531"/>
      <c r="D734" s="531"/>
      <c r="E734" s="531"/>
      <c r="F734" s="531"/>
      <c r="G734" s="531"/>
      <c r="H734" s="531"/>
      <c r="I734" s="531"/>
      <c r="J734" s="531"/>
      <c r="K734" s="531"/>
      <c r="L734" s="531"/>
      <c r="M734" s="531"/>
      <c r="N734" s="531" t="str">
        <f aca="false">IF('(1)예금승인내역'!H1360="","",'(1)예금승인내역'!H1360)</f>
        <v/>
      </c>
      <c r="O734" s="531" t="str">
        <f aca="false">IF('(1)예금승인내역'!G1360="","",'(1)예금승인내역'!G1360)</f>
        <v/>
      </c>
      <c r="P734" s="531" t="str">
        <f aca="false">IF('(1)예금승인내역'!F1360="","",'(1)예금승인내역'!F1360)</f>
        <v/>
      </c>
      <c r="Q734" s="531" t="str">
        <f aca="false">IF('(1)예금승인내역'!C1360="","",'(1)예금승인내역'!C1360)</f>
        <v/>
      </c>
      <c r="R734" s="531" t="str">
        <f aca="false">IF('(1)예금승인내역'!K1360="","",'(1)예금승인내역'!K1360)</f>
        <v/>
      </c>
      <c r="S734" s="531" t="str">
        <f aca="false">IF('(1)예금승인내역'!L1360="","",'(1)예금승인내역'!L1360)</f>
        <v/>
      </c>
      <c r="T734" s="531" t="str">
        <f aca="false">IF('(1)예금승인내역'!AG1360="","",'(1)예금승인내역'!AG1360)</f>
        <v/>
      </c>
      <c r="U734" s="531" t="str">
        <f aca="false">IF('(1)예금승인내역'!X1360="","",'(1)예금승인내역'!X1360)</f>
        <v/>
      </c>
      <c r="V734" s="531" t="str">
        <f aca="false">IF(ISNUMBER(N734),N734-$B$2,"")</f>
        <v/>
      </c>
      <c r="W734" s="531" t="str">
        <f aca="false">IF(AND(ISNUMBER(N734),N734&gt;=$B$2,N734&lt;=$B$2+10),N734*100000+ROW(),"")</f>
        <v/>
      </c>
      <c r="X734" s="531"/>
      <c r="Y734" s="531"/>
      <c r="Z734" s="531"/>
      <c r="AA734" s="531"/>
      <c r="AB734" s="531"/>
      <c r="AC734" s="531"/>
      <c r="AD734" s="531"/>
      <c r="AE734" s="531"/>
      <c r="AF734" s="531"/>
      <c r="AG734" s="531"/>
      <c r="AH734" s="531"/>
      <c r="AI734" s="531"/>
      <c r="AJ734" s="531"/>
      <c r="AK734" s="531"/>
      <c r="AL734" s="531"/>
      <c r="AM734" s="531"/>
      <c r="AN734" s="531"/>
    </row>
    <row r="735" customFormat="false" ht="16.5" hidden="false" customHeight="true" outlineLevel="0" collapsed="false">
      <c r="A735" s="531"/>
      <c r="B735" s="531"/>
      <c r="C735" s="531"/>
      <c r="D735" s="531"/>
      <c r="E735" s="531"/>
      <c r="F735" s="531"/>
      <c r="G735" s="531"/>
      <c r="H735" s="531"/>
      <c r="I735" s="531"/>
      <c r="J735" s="531"/>
      <c r="K735" s="531"/>
      <c r="L735" s="531"/>
      <c r="M735" s="531"/>
      <c r="N735" s="531" t="str">
        <f aca="false">IF('(1)예금승인내역'!H1361="","",'(1)예금승인내역'!H1361)</f>
        <v/>
      </c>
      <c r="O735" s="531" t="str">
        <f aca="false">IF('(1)예금승인내역'!G1361="","",'(1)예금승인내역'!G1361)</f>
        <v/>
      </c>
      <c r="P735" s="531" t="str">
        <f aca="false">IF('(1)예금승인내역'!F1361="","",'(1)예금승인내역'!F1361)</f>
        <v/>
      </c>
      <c r="Q735" s="531" t="str">
        <f aca="false">IF('(1)예금승인내역'!C1361="","",'(1)예금승인내역'!C1361)</f>
        <v/>
      </c>
      <c r="R735" s="531" t="str">
        <f aca="false">IF('(1)예금승인내역'!K1361="","",'(1)예금승인내역'!K1361)</f>
        <v/>
      </c>
      <c r="S735" s="531" t="str">
        <f aca="false">IF('(1)예금승인내역'!L1361="","",'(1)예금승인내역'!L1361)</f>
        <v/>
      </c>
      <c r="T735" s="531" t="str">
        <f aca="false">IF('(1)예금승인내역'!AG1361="","",'(1)예금승인내역'!AG1361)</f>
        <v/>
      </c>
      <c r="U735" s="531" t="str">
        <f aca="false">IF('(1)예금승인내역'!X1361="","",'(1)예금승인내역'!X1361)</f>
        <v/>
      </c>
      <c r="V735" s="531" t="str">
        <f aca="false">IF(ISNUMBER(N735),N735-$B$2,"")</f>
        <v/>
      </c>
      <c r="W735" s="531" t="str">
        <f aca="false">IF(AND(ISNUMBER(N735),N735&gt;=$B$2,N735&lt;=$B$2+10),N735*100000+ROW(),"")</f>
        <v/>
      </c>
      <c r="X735" s="531"/>
      <c r="Y735" s="531"/>
      <c r="Z735" s="531"/>
      <c r="AA735" s="531"/>
      <c r="AB735" s="531"/>
      <c r="AC735" s="531"/>
      <c r="AD735" s="531"/>
      <c r="AE735" s="531"/>
      <c r="AF735" s="531"/>
      <c r="AG735" s="531"/>
      <c r="AH735" s="531"/>
      <c r="AI735" s="531"/>
      <c r="AJ735" s="531"/>
      <c r="AK735" s="531"/>
      <c r="AL735" s="531"/>
      <c r="AM735" s="531"/>
      <c r="AN735" s="531"/>
    </row>
    <row r="736" customFormat="false" ht="16.5" hidden="false" customHeight="true" outlineLevel="0" collapsed="false">
      <c r="A736" s="531"/>
      <c r="B736" s="531"/>
      <c r="C736" s="531"/>
      <c r="D736" s="531"/>
      <c r="E736" s="531"/>
      <c r="F736" s="531"/>
      <c r="G736" s="531"/>
      <c r="H736" s="531"/>
      <c r="I736" s="531"/>
      <c r="J736" s="531"/>
      <c r="K736" s="531"/>
      <c r="L736" s="531"/>
      <c r="M736" s="531"/>
      <c r="N736" s="531" t="str">
        <f aca="false">IF('(1)예금승인내역'!H1362="","",'(1)예금승인내역'!H1362)</f>
        <v/>
      </c>
      <c r="O736" s="531" t="str">
        <f aca="false">IF('(1)예금승인내역'!G1362="","",'(1)예금승인내역'!G1362)</f>
        <v/>
      </c>
      <c r="P736" s="531" t="str">
        <f aca="false">IF('(1)예금승인내역'!F1362="","",'(1)예금승인내역'!F1362)</f>
        <v/>
      </c>
      <c r="Q736" s="531" t="str">
        <f aca="false">IF('(1)예금승인내역'!C1362="","",'(1)예금승인내역'!C1362)</f>
        <v/>
      </c>
      <c r="R736" s="531" t="str">
        <f aca="false">IF('(1)예금승인내역'!K1362="","",'(1)예금승인내역'!K1362)</f>
        <v/>
      </c>
      <c r="S736" s="531" t="str">
        <f aca="false">IF('(1)예금승인내역'!L1362="","",'(1)예금승인내역'!L1362)</f>
        <v/>
      </c>
      <c r="T736" s="531" t="str">
        <f aca="false">IF('(1)예금승인내역'!AG1362="","",'(1)예금승인내역'!AG1362)</f>
        <v/>
      </c>
      <c r="U736" s="531" t="str">
        <f aca="false">IF('(1)예금승인내역'!X1362="","",'(1)예금승인내역'!X1362)</f>
        <v/>
      </c>
      <c r="V736" s="531" t="str">
        <f aca="false">IF(ISNUMBER(N736),N736-$B$2,"")</f>
        <v/>
      </c>
      <c r="W736" s="531" t="str">
        <f aca="false">IF(AND(ISNUMBER(N736),N736&gt;=$B$2,N736&lt;=$B$2+10),N736*100000+ROW(),"")</f>
        <v/>
      </c>
      <c r="X736" s="531"/>
      <c r="Y736" s="531"/>
      <c r="Z736" s="531"/>
      <c r="AA736" s="531"/>
      <c r="AB736" s="531"/>
      <c r="AC736" s="531"/>
      <c r="AD736" s="531"/>
      <c r="AE736" s="531"/>
      <c r="AF736" s="531"/>
      <c r="AG736" s="531"/>
      <c r="AH736" s="531"/>
      <c r="AI736" s="531"/>
      <c r="AJ736" s="531"/>
      <c r="AK736" s="531"/>
      <c r="AL736" s="531"/>
      <c r="AM736" s="531"/>
      <c r="AN736" s="531"/>
    </row>
    <row r="737" customFormat="false" ht="16.5" hidden="false" customHeight="true" outlineLevel="0" collapsed="false">
      <c r="A737" s="531"/>
      <c r="B737" s="531"/>
      <c r="C737" s="531"/>
      <c r="D737" s="531"/>
      <c r="E737" s="531"/>
      <c r="F737" s="531"/>
      <c r="G737" s="531"/>
      <c r="H737" s="531"/>
      <c r="I737" s="531"/>
      <c r="J737" s="531"/>
      <c r="K737" s="531"/>
      <c r="L737" s="531"/>
      <c r="M737" s="531"/>
      <c r="N737" s="531" t="str">
        <f aca="false">IF('(1)예금승인내역'!H1363="","",'(1)예금승인내역'!H1363)</f>
        <v/>
      </c>
      <c r="O737" s="531" t="str">
        <f aca="false">IF('(1)예금승인내역'!G1363="","",'(1)예금승인내역'!G1363)</f>
        <v/>
      </c>
      <c r="P737" s="531" t="str">
        <f aca="false">IF('(1)예금승인내역'!F1363="","",'(1)예금승인내역'!F1363)</f>
        <v/>
      </c>
      <c r="Q737" s="531" t="str">
        <f aca="false">IF('(1)예금승인내역'!C1363="","",'(1)예금승인내역'!C1363)</f>
        <v/>
      </c>
      <c r="R737" s="531" t="str">
        <f aca="false">IF('(1)예금승인내역'!K1363="","",'(1)예금승인내역'!K1363)</f>
        <v/>
      </c>
      <c r="S737" s="531" t="str">
        <f aca="false">IF('(1)예금승인내역'!L1363="","",'(1)예금승인내역'!L1363)</f>
        <v/>
      </c>
      <c r="T737" s="531" t="str">
        <f aca="false">IF('(1)예금승인내역'!AG1363="","",'(1)예금승인내역'!AG1363)</f>
        <v/>
      </c>
      <c r="U737" s="531" t="str">
        <f aca="false">IF('(1)예금승인내역'!X1363="","",'(1)예금승인내역'!X1363)</f>
        <v/>
      </c>
      <c r="V737" s="531" t="str">
        <f aca="false">IF(ISNUMBER(N737),N737-$B$2,"")</f>
        <v/>
      </c>
      <c r="W737" s="531" t="str">
        <f aca="false">IF(AND(ISNUMBER(N737),N737&gt;=$B$2,N737&lt;=$B$2+10),N737*100000+ROW(),"")</f>
        <v/>
      </c>
      <c r="X737" s="531"/>
      <c r="Y737" s="531"/>
      <c r="Z737" s="531"/>
      <c r="AA737" s="531"/>
      <c r="AB737" s="531"/>
      <c r="AC737" s="531"/>
      <c r="AD737" s="531"/>
      <c r="AE737" s="531"/>
      <c r="AF737" s="531"/>
      <c r="AG737" s="531"/>
      <c r="AH737" s="531"/>
      <c r="AI737" s="531"/>
      <c r="AJ737" s="531"/>
      <c r="AK737" s="531"/>
      <c r="AL737" s="531"/>
      <c r="AM737" s="531"/>
      <c r="AN737" s="531"/>
    </row>
    <row r="738" customFormat="false" ht="16.5" hidden="false" customHeight="true" outlineLevel="0" collapsed="false">
      <c r="A738" s="531"/>
      <c r="B738" s="531"/>
      <c r="C738" s="531"/>
      <c r="D738" s="531"/>
      <c r="E738" s="531"/>
      <c r="F738" s="531"/>
      <c r="G738" s="531"/>
      <c r="H738" s="531"/>
      <c r="I738" s="531"/>
      <c r="J738" s="531"/>
      <c r="K738" s="531"/>
      <c r="L738" s="531"/>
      <c r="M738" s="531"/>
      <c r="N738" s="531" t="str">
        <f aca="false">IF('(1)예금승인내역'!H1364="","",'(1)예금승인내역'!H1364)</f>
        <v/>
      </c>
      <c r="O738" s="531" t="str">
        <f aca="false">IF('(1)예금승인내역'!G1364="","",'(1)예금승인내역'!G1364)</f>
        <v/>
      </c>
      <c r="P738" s="531" t="str">
        <f aca="false">IF('(1)예금승인내역'!F1364="","",'(1)예금승인내역'!F1364)</f>
        <v/>
      </c>
      <c r="Q738" s="531" t="str">
        <f aca="false">IF('(1)예금승인내역'!C1364="","",'(1)예금승인내역'!C1364)</f>
        <v/>
      </c>
      <c r="R738" s="531" t="str">
        <f aca="false">IF('(1)예금승인내역'!K1364="","",'(1)예금승인내역'!K1364)</f>
        <v/>
      </c>
      <c r="S738" s="531" t="str">
        <f aca="false">IF('(1)예금승인내역'!L1364="","",'(1)예금승인내역'!L1364)</f>
        <v/>
      </c>
      <c r="T738" s="531" t="str">
        <f aca="false">IF('(1)예금승인내역'!AG1364="","",'(1)예금승인내역'!AG1364)</f>
        <v/>
      </c>
      <c r="U738" s="531" t="str">
        <f aca="false">IF('(1)예금승인내역'!X1364="","",'(1)예금승인내역'!X1364)</f>
        <v/>
      </c>
      <c r="V738" s="531" t="str">
        <f aca="false">IF(ISNUMBER(N738),N738-$B$2,"")</f>
        <v/>
      </c>
      <c r="W738" s="531" t="str">
        <f aca="false">IF(AND(ISNUMBER(N738),N738&gt;=$B$2,N738&lt;=$B$2+10),N738*100000+ROW(),"")</f>
        <v/>
      </c>
      <c r="X738" s="531"/>
      <c r="Y738" s="531"/>
      <c r="Z738" s="531"/>
      <c r="AA738" s="531"/>
      <c r="AB738" s="531"/>
      <c r="AC738" s="531"/>
      <c r="AD738" s="531"/>
      <c r="AE738" s="531"/>
      <c r="AF738" s="531"/>
      <c r="AG738" s="531"/>
      <c r="AH738" s="531"/>
      <c r="AI738" s="531"/>
      <c r="AJ738" s="531"/>
      <c r="AK738" s="531"/>
      <c r="AL738" s="531"/>
      <c r="AM738" s="531"/>
      <c r="AN738" s="531"/>
    </row>
    <row r="739" customFormat="false" ht="16.5" hidden="false" customHeight="true" outlineLevel="0" collapsed="false">
      <c r="A739" s="531"/>
      <c r="B739" s="531"/>
      <c r="C739" s="531"/>
      <c r="D739" s="531"/>
      <c r="E739" s="531"/>
      <c r="F739" s="531"/>
      <c r="G739" s="531"/>
      <c r="H739" s="531"/>
      <c r="I739" s="531"/>
      <c r="J739" s="531"/>
      <c r="K739" s="531"/>
      <c r="L739" s="531"/>
      <c r="M739" s="531"/>
      <c r="N739" s="531" t="str">
        <f aca="false">IF('(1)예금승인내역'!H1365="","",'(1)예금승인내역'!H1365)</f>
        <v/>
      </c>
      <c r="O739" s="531" t="str">
        <f aca="false">IF('(1)예금승인내역'!G1365="","",'(1)예금승인내역'!G1365)</f>
        <v/>
      </c>
      <c r="P739" s="531" t="str">
        <f aca="false">IF('(1)예금승인내역'!F1365="","",'(1)예금승인내역'!F1365)</f>
        <v/>
      </c>
      <c r="Q739" s="531" t="str">
        <f aca="false">IF('(1)예금승인내역'!C1365="","",'(1)예금승인내역'!C1365)</f>
        <v/>
      </c>
      <c r="R739" s="531" t="str">
        <f aca="false">IF('(1)예금승인내역'!K1365="","",'(1)예금승인내역'!K1365)</f>
        <v/>
      </c>
      <c r="S739" s="531" t="str">
        <f aca="false">IF('(1)예금승인내역'!L1365="","",'(1)예금승인내역'!L1365)</f>
        <v/>
      </c>
      <c r="T739" s="531" t="str">
        <f aca="false">IF('(1)예금승인내역'!AG1365="","",'(1)예금승인내역'!AG1365)</f>
        <v/>
      </c>
      <c r="U739" s="531" t="str">
        <f aca="false">IF('(1)예금승인내역'!X1365="","",'(1)예금승인내역'!X1365)</f>
        <v/>
      </c>
      <c r="V739" s="531" t="str">
        <f aca="false">IF(ISNUMBER(N739),N739-$B$2,"")</f>
        <v/>
      </c>
      <c r="W739" s="531" t="str">
        <f aca="false">IF(AND(ISNUMBER(N739),N739&gt;=$B$2,N739&lt;=$B$2+10),N739*100000+ROW(),"")</f>
        <v/>
      </c>
      <c r="X739" s="531"/>
      <c r="Y739" s="531"/>
      <c r="Z739" s="531"/>
      <c r="AA739" s="531"/>
      <c r="AB739" s="531"/>
      <c r="AC739" s="531"/>
      <c r="AD739" s="531"/>
      <c r="AE739" s="531"/>
      <c r="AF739" s="531"/>
      <c r="AG739" s="531"/>
      <c r="AH739" s="531"/>
      <c r="AI739" s="531"/>
      <c r="AJ739" s="531"/>
      <c r="AK739" s="531"/>
      <c r="AL739" s="531"/>
      <c r="AM739" s="531"/>
      <c r="AN739" s="531"/>
    </row>
    <row r="740" customFormat="false" ht="16.5" hidden="false" customHeight="true" outlineLevel="0" collapsed="false">
      <c r="A740" s="531"/>
      <c r="B740" s="531"/>
      <c r="C740" s="531"/>
      <c r="D740" s="531"/>
      <c r="E740" s="531"/>
      <c r="F740" s="531"/>
      <c r="G740" s="531"/>
      <c r="H740" s="531"/>
      <c r="I740" s="531"/>
      <c r="J740" s="531"/>
      <c r="K740" s="531"/>
      <c r="L740" s="531"/>
      <c r="M740" s="531"/>
      <c r="N740" s="531" t="str">
        <f aca="false">IF('(1)예금승인내역'!H1366="","",'(1)예금승인내역'!H1366)</f>
        <v/>
      </c>
      <c r="O740" s="531" t="str">
        <f aca="false">IF('(1)예금승인내역'!G1366="","",'(1)예금승인내역'!G1366)</f>
        <v/>
      </c>
      <c r="P740" s="531" t="str">
        <f aca="false">IF('(1)예금승인내역'!F1366="","",'(1)예금승인내역'!F1366)</f>
        <v/>
      </c>
      <c r="Q740" s="531" t="str">
        <f aca="false">IF('(1)예금승인내역'!C1366="","",'(1)예금승인내역'!C1366)</f>
        <v/>
      </c>
      <c r="R740" s="531" t="str">
        <f aca="false">IF('(1)예금승인내역'!K1366="","",'(1)예금승인내역'!K1366)</f>
        <v/>
      </c>
      <c r="S740" s="531" t="str">
        <f aca="false">IF('(1)예금승인내역'!L1366="","",'(1)예금승인내역'!L1366)</f>
        <v/>
      </c>
      <c r="T740" s="531" t="str">
        <f aca="false">IF('(1)예금승인내역'!AG1366="","",'(1)예금승인내역'!AG1366)</f>
        <v/>
      </c>
      <c r="U740" s="531" t="str">
        <f aca="false">IF('(1)예금승인내역'!X1366="","",'(1)예금승인내역'!X1366)</f>
        <v/>
      </c>
      <c r="V740" s="531" t="str">
        <f aca="false">IF(ISNUMBER(N740),N740-$B$2,"")</f>
        <v/>
      </c>
      <c r="W740" s="531" t="str">
        <f aca="false">IF(AND(ISNUMBER(N740),N740&gt;=$B$2,N740&lt;=$B$2+10),N740*100000+ROW(),"")</f>
        <v/>
      </c>
      <c r="X740" s="531"/>
      <c r="Y740" s="531"/>
      <c r="Z740" s="531"/>
      <c r="AA740" s="531"/>
      <c r="AB740" s="531"/>
      <c r="AC740" s="531"/>
      <c r="AD740" s="531"/>
      <c r="AE740" s="531"/>
      <c r="AF740" s="531"/>
      <c r="AG740" s="531"/>
      <c r="AH740" s="531"/>
      <c r="AI740" s="531"/>
      <c r="AJ740" s="531"/>
      <c r="AK740" s="531"/>
      <c r="AL740" s="531"/>
      <c r="AM740" s="531"/>
      <c r="AN740" s="531"/>
    </row>
    <row r="741" customFormat="false" ht="16.5" hidden="false" customHeight="true" outlineLevel="0" collapsed="false">
      <c r="A741" s="531"/>
      <c r="B741" s="531"/>
      <c r="C741" s="531"/>
      <c r="D741" s="531"/>
      <c r="E741" s="531"/>
      <c r="F741" s="531"/>
      <c r="G741" s="531"/>
      <c r="H741" s="531"/>
      <c r="I741" s="531"/>
      <c r="J741" s="531"/>
      <c r="K741" s="531"/>
      <c r="L741" s="531"/>
      <c r="M741" s="531"/>
      <c r="N741" s="531" t="str">
        <f aca="false">IF('(1)예금승인내역'!H1367="","",'(1)예금승인내역'!H1367)</f>
        <v/>
      </c>
      <c r="O741" s="531" t="str">
        <f aca="false">IF('(1)예금승인내역'!G1367="","",'(1)예금승인내역'!G1367)</f>
        <v/>
      </c>
      <c r="P741" s="531" t="str">
        <f aca="false">IF('(1)예금승인내역'!F1367="","",'(1)예금승인내역'!F1367)</f>
        <v/>
      </c>
      <c r="Q741" s="531" t="str">
        <f aca="false">IF('(1)예금승인내역'!C1367="","",'(1)예금승인내역'!C1367)</f>
        <v/>
      </c>
      <c r="R741" s="531" t="str">
        <f aca="false">IF('(1)예금승인내역'!K1367="","",'(1)예금승인내역'!K1367)</f>
        <v/>
      </c>
      <c r="S741" s="531" t="str">
        <f aca="false">IF('(1)예금승인내역'!L1367="","",'(1)예금승인내역'!L1367)</f>
        <v/>
      </c>
      <c r="T741" s="531" t="str">
        <f aca="false">IF('(1)예금승인내역'!AG1367="","",'(1)예금승인내역'!AG1367)</f>
        <v/>
      </c>
      <c r="U741" s="531" t="str">
        <f aca="false">IF('(1)예금승인내역'!X1367="","",'(1)예금승인내역'!X1367)</f>
        <v/>
      </c>
      <c r="V741" s="531" t="str">
        <f aca="false">IF(ISNUMBER(N741),N741-$B$2,"")</f>
        <v/>
      </c>
      <c r="W741" s="531" t="str">
        <f aca="false">IF(AND(ISNUMBER(N741),N741&gt;=$B$2,N741&lt;=$B$2+10),N741*100000+ROW(),"")</f>
        <v/>
      </c>
      <c r="X741" s="531"/>
      <c r="Y741" s="531"/>
      <c r="Z741" s="531"/>
      <c r="AA741" s="531"/>
      <c r="AB741" s="531"/>
      <c r="AC741" s="531"/>
      <c r="AD741" s="531"/>
      <c r="AE741" s="531"/>
      <c r="AF741" s="531"/>
      <c r="AG741" s="531"/>
      <c r="AH741" s="531"/>
      <c r="AI741" s="531"/>
      <c r="AJ741" s="531"/>
      <c r="AK741" s="531"/>
      <c r="AL741" s="531"/>
      <c r="AM741" s="531"/>
      <c r="AN741" s="531"/>
    </row>
    <row r="742" customFormat="false" ht="16.5" hidden="false" customHeight="true" outlineLevel="0" collapsed="false">
      <c r="A742" s="531"/>
      <c r="B742" s="531"/>
      <c r="C742" s="531"/>
      <c r="D742" s="531"/>
      <c r="E742" s="531"/>
      <c r="F742" s="531"/>
      <c r="G742" s="531"/>
      <c r="H742" s="531"/>
      <c r="I742" s="531"/>
      <c r="J742" s="531"/>
      <c r="K742" s="531"/>
      <c r="L742" s="531"/>
      <c r="M742" s="531"/>
      <c r="N742" s="531" t="str">
        <f aca="false">IF('(1)예금승인내역'!H1368="","",'(1)예금승인내역'!H1368)</f>
        <v/>
      </c>
      <c r="O742" s="531" t="str">
        <f aca="false">IF('(1)예금승인내역'!G1368="","",'(1)예금승인내역'!G1368)</f>
        <v/>
      </c>
      <c r="P742" s="531" t="str">
        <f aca="false">IF('(1)예금승인내역'!F1368="","",'(1)예금승인내역'!F1368)</f>
        <v/>
      </c>
      <c r="Q742" s="531" t="str">
        <f aca="false">IF('(1)예금승인내역'!C1368="","",'(1)예금승인내역'!C1368)</f>
        <v/>
      </c>
      <c r="R742" s="531" t="str">
        <f aca="false">IF('(1)예금승인내역'!K1368="","",'(1)예금승인내역'!K1368)</f>
        <v/>
      </c>
      <c r="S742" s="531" t="str">
        <f aca="false">IF('(1)예금승인내역'!L1368="","",'(1)예금승인내역'!L1368)</f>
        <v/>
      </c>
      <c r="T742" s="531" t="str">
        <f aca="false">IF('(1)예금승인내역'!AG1368="","",'(1)예금승인내역'!AG1368)</f>
        <v/>
      </c>
      <c r="U742" s="531" t="str">
        <f aca="false">IF('(1)예금승인내역'!X1368="","",'(1)예금승인내역'!X1368)</f>
        <v/>
      </c>
      <c r="V742" s="531" t="str">
        <f aca="false">IF(ISNUMBER(N742),N742-$B$2,"")</f>
        <v/>
      </c>
      <c r="W742" s="531" t="str">
        <f aca="false">IF(AND(ISNUMBER(N742),N742&gt;=$B$2,N742&lt;=$B$2+10),N742*100000+ROW(),"")</f>
        <v/>
      </c>
      <c r="X742" s="531"/>
      <c r="Y742" s="531"/>
      <c r="Z742" s="531"/>
      <c r="AA742" s="531"/>
      <c r="AB742" s="531"/>
      <c r="AC742" s="531"/>
      <c r="AD742" s="531"/>
      <c r="AE742" s="531"/>
      <c r="AF742" s="531"/>
      <c r="AG742" s="531"/>
      <c r="AH742" s="531"/>
      <c r="AI742" s="531"/>
      <c r="AJ742" s="531"/>
      <c r="AK742" s="531"/>
      <c r="AL742" s="531"/>
      <c r="AM742" s="531"/>
      <c r="AN742" s="531"/>
    </row>
    <row r="743" customFormat="false" ht="16.5" hidden="false" customHeight="true" outlineLevel="0" collapsed="false">
      <c r="A743" s="531"/>
      <c r="B743" s="531"/>
      <c r="C743" s="531"/>
      <c r="D743" s="531"/>
      <c r="E743" s="531"/>
      <c r="F743" s="531"/>
      <c r="G743" s="531"/>
      <c r="H743" s="531"/>
      <c r="I743" s="531"/>
      <c r="J743" s="531"/>
      <c r="K743" s="531"/>
      <c r="L743" s="531"/>
      <c r="M743" s="531"/>
      <c r="N743" s="531" t="str">
        <f aca="false">IF('(1)예금승인내역'!H1369="","",'(1)예금승인내역'!H1369)</f>
        <v/>
      </c>
      <c r="O743" s="531" t="str">
        <f aca="false">IF('(1)예금승인내역'!G1369="","",'(1)예금승인내역'!G1369)</f>
        <v/>
      </c>
      <c r="P743" s="531" t="str">
        <f aca="false">IF('(1)예금승인내역'!F1369="","",'(1)예금승인내역'!F1369)</f>
        <v/>
      </c>
      <c r="Q743" s="531" t="str">
        <f aca="false">IF('(1)예금승인내역'!C1369="","",'(1)예금승인내역'!C1369)</f>
        <v/>
      </c>
      <c r="R743" s="531" t="str">
        <f aca="false">IF('(1)예금승인내역'!K1369="","",'(1)예금승인내역'!K1369)</f>
        <v/>
      </c>
      <c r="S743" s="531" t="str">
        <f aca="false">IF('(1)예금승인내역'!L1369="","",'(1)예금승인내역'!L1369)</f>
        <v/>
      </c>
      <c r="T743" s="531" t="str">
        <f aca="false">IF('(1)예금승인내역'!AG1369="","",'(1)예금승인내역'!AG1369)</f>
        <v/>
      </c>
      <c r="U743" s="531" t="str">
        <f aca="false">IF('(1)예금승인내역'!X1369="","",'(1)예금승인내역'!X1369)</f>
        <v/>
      </c>
      <c r="V743" s="531" t="str">
        <f aca="false">IF(ISNUMBER(N743),N743-$B$2,"")</f>
        <v/>
      </c>
      <c r="W743" s="531" t="str">
        <f aca="false">IF(AND(ISNUMBER(N743),N743&gt;=$B$2,N743&lt;=$B$2+10),N743*100000+ROW(),"")</f>
        <v/>
      </c>
      <c r="X743" s="531"/>
      <c r="Y743" s="531"/>
      <c r="Z743" s="531"/>
      <c r="AA743" s="531"/>
      <c r="AB743" s="531"/>
      <c r="AC743" s="531"/>
      <c r="AD743" s="531"/>
      <c r="AE743" s="531"/>
      <c r="AF743" s="531"/>
      <c r="AG743" s="531"/>
      <c r="AH743" s="531"/>
      <c r="AI743" s="531"/>
      <c r="AJ743" s="531"/>
      <c r="AK743" s="531"/>
      <c r="AL743" s="531"/>
      <c r="AM743" s="531"/>
      <c r="AN743" s="531"/>
    </row>
    <row r="744" customFormat="false" ht="16.5" hidden="false" customHeight="true" outlineLevel="0" collapsed="false">
      <c r="A744" s="531"/>
      <c r="B744" s="531"/>
      <c r="C744" s="531"/>
      <c r="D744" s="531"/>
      <c r="E744" s="531"/>
      <c r="F744" s="531"/>
      <c r="G744" s="531"/>
      <c r="H744" s="531"/>
      <c r="I744" s="531"/>
      <c r="J744" s="531"/>
      <c r="K744" s="531"/>
      <c r="L744" s="531"/>
      <c r="M744" s="531"/>
      <c r="N744" s="531" t="str">
        <f aca="false">IF('(1)예금승인내역'!H1370="","",'(1)예금승인내역'!H1370)</f>
        <v/>
      </c>
      <c r="O744" s="531" t="str">
        <f aca="false">IF('(1)예금승인내역'!G1370="","",'(1)예금승인내역'!G1370)</f>
        <v/>
      </c>
      <c r="P744" s="531" t="str">
        <f aca="false">IF('(1)예금승인내역'!F1370="","",'(1)예금승인내역'!F1370)</f>
        <v/>
      </c>
      <c r="Q744" s="531" t="str">
        <f aca="false">IF('(1)예금승인내역'!C1370="","",'(1)예금승인내역'!C1370)</f>
        <v/>
      </c>
      <c r="R744" s="531" t="str">
        <f aca="false">IF('(1)예금승인내역'!K1370="","",'(1)예금승인내역'!K1370)</f>
        <v/>
      </c>
      <c r="S744" s="531" t="str">
        <f aca="false">IF('(1)예금승인내역'!L1370="","",'(1)예금승인내역'!L1370)</f>
        <v/>
      </c>
      <c r="T744" s="531" t="str">
        <f aca="false">IF('(1)예금승인내역'!AG1370="","",'(1)예금승인내역'!AG1370)</f>
        <v/>
      </c>
      <c r="U744" s="531" t="str">
        <f aca="false">IF('(1)예금승인내역'!X1370="","",'(1)예금승인내역'!X1370)</f>
        <v/>
      </c>
      <c r="V744" s="531" t="str">
        <f aca="false">IF(ISNUMBER(N744),N744-$B$2,"")</f>
        <v/>
      </c>
      <c r="W744" s="531" t="str">
        <f aca="false">IF(AND(ISNUMBER(N744),N744&gt;=$B$2,N744&lt;=$B$2+10),N744*100000+ROW(),"")</f>
        <v/>
      </c>
      <c r="X744" s="531"/>
      <c r="Y744" s="531"/>
      <c r="Z744" s="531"/>
      <c r="AA744" s="531"/>
      <c r="AB744" s="531"/>
      <c r="AC744" s="531"/>
      <c r="AD744" s="531"/>
      <c r="AE744" s="531"/>
      <c r="AF744" s="531"/>
      <c r="AG744" s="531"/>
      <c r="AH744" s="531"/>
      <c r="AI744" s="531"/>
      <c r="AJ744" s="531"/>
      <c r="AK744" s="531"/>
      <c r="AL744" s="531"/>
      <c r="AM744" s="531"/>
      <c r="AN744" s="531"/>
    </row>
    <row r="745" customFormat="false" ht="16.5" hidden="false" customHeight="true" outlineLevel="0" collapsed="false">
      <c r="A745" s="531"/>
      <c r="B745" s="531"/>
      <c r="C745" s="531"/>
      <c r="D745" s="531"/>
      <c r="E745" s="531"/>
      <c r="F745" s="531"/>
      <c r="G745" s="531"/>
      <c r="H745" s="531"/>
      <c r="I745" s="531"/>
      <c r="J745" s="531"/>
      <c r="K745" s="531"/>
      <c r="L745" s="531"/>
      <c r="M745" s="531"/>
      <c r="N745" s="531" t="str">
        <f aca="false">IF('(1)예금승인내역'!H1371="","",'(1)예금승인내역'!H1371)</f>
        <v/>
      </c>
      <c r="O745" s="531" t="str">
        <f aca="false">IF('(1)예금승인내역'!G1371="","",'(1)예금승인내역'!G1371)</f>
        <v/>
      </c>
      <c r="P745" s="531" t="str">
        <f aca="false">IF('(1)예금승인내역'!F1371="","",'(1)예금승인내역'!F1371)</f>
        <v/>
      </c>
      <c r="Q745" s="531" t="str">
        <f aca="false">IF('(1)예금승인내역'!C1371="","",'(1)예금승인내역'!C1371)</f>
        <v/>
      </c>
      <c r="R745" s="531" t="str">
        <f aca="false">IF('(1)예금승인내역'!K1371="","",'(1)예금승인내역'!K1371)</f>
        <v/>
      </c>
      <c r="S745" s="531" t="str">
        <f aca="false">IF('(1)예금승인내역'!L1371="","",'(1)예금승인내역'!L1371)</f>
        <v/>
      </c>
      <c r="T745" s="531" t="str">
        <f aca="false">IF('(1)예금승인내역'!AG1371="","",'(1)예금승인내역'!AG1371)</f>
        <v/>
      </c>
      <c r="U745" s="531" t="str">
        <f aca="false">IF('(1)예금승인내역'!X1371="","",'(1)예금승인내역'!X1371)</f>
        <v/>
      </c>
      <c r="V745" s="531" t="str">
        <f aca="false">IF(ISNUMBER(N745),N745-$B$2,"")</f>
        <v/>
      </c>
      <c r="W745" s="531" t="str">
        <f aca="false">IF(AND(ISNUMBER(N745),N745&gt;=$B$2,N745&lt;=$B$2+10),N745*100000+ROW(),"")</f>
        <v/>
      </c>
      <c r="X745" s="531"/>
      <c r="Y745" s="531"/>
      <c r="Z745" s="531"/>
      <c r="AA745" s="531"/>
      <c r="AB745" s="531"/>
      <c r="AC745" s="531"/>
      <c r="AD745" s="531"/>
      <c r="AE745" s="531"/>
      <c r="AF745" s="531"/>
      <c r="AG745" s="531"/>
      <c r="AH745" s="531"/>
      <c r="AI745" s="531"/>
      <c r="AJ745" s="531"/>
      <c r="AK745" s="531"/>
      <c r="AL745" s="531"/>
      <c r="AM745" s="531"/>
      <c r="AN745" s="531"/>
    </row>
    <row r="746" customFormat="false" ht="16.5" hidden="false" customHeight="true" outlineLevel="0" collapsed="false">
      <c r="A746" s="531"/>
      <c r="B746" s="531"/>
      <c r="C746" s="531"/>
      <c r="D746" s="531"/>
      <c r="E746" s="531"/>
      <c r="F746" s="531"/>
      <c r="G746" s="531"/>
      <c r="H746" s="531"/>
      <c r="I746" s="531"/>
      <c r="J746" s="531"/>
      <c r="K746" s="531"/>
      <c r="L746" s="531"/>
      <c r="M746" s="531"/>
      <c r="N746" s="531" t="str">
        <f aca="false">IF('(1)예금승인내역'!H1372="","",'(1)예금승인내역'!H1372)</f>
        <v/>
      </c>
      <c r="O746" s="531" t="str">
        <f aca="false">IF('(1)예금승인내역'!G1372="","",'(1)예금승인내역'!G1372)</f>
        <v/>
      </c>
      <c r="P746" s="531" t="str">
        <f aca="false">IF('(1)예금승인내역'!F1372="","",'(1)예금승인내역'!F1372)</f>
        <v/>
      </c>
      <c r="Q746" s="531" t="str">
        <f aca="false">IF('(1)예금승인내역'!C1372="","",'(1)예금승인내역'!C1372)</f>
        <v/>
      </c>
      <c r="R746" s="531" t="str">
        <f aca="false">IF('(1)예금승인내역'!K1372="","",'(1)예금승인내역'!K1372)</f>
        <v/>
      </c>
      <c r="S746" s="531" t="str">
        <f aca="false">IF('(1)예금승인내역'!L1372="","",'(1)예금승인내역'!L1372)</f>
        <v/>
      </c>
      <c r="T746" s="531" t="str">
        <f aca="false">IF('(1)예금승인내역'!AG1372="","",'(1)예금승인내역'!AG1372)</f>
        <v/>
      </c>
      <c r="U746" s="531" t="str">
        <f aca="false">IF('(1)예금승인내역'!X1372="","",'(1)예금승인내역'!X1372)</f>
        <v/>
      </c>
      <c r="V746" s="531" t="str">
        <f aca="false">IF(ISNUMBER(N746),N746-$B$2,"")</f>
        <v/>
      </c>
      <c r="W746" s="531" t="str">
        <f aca="false">IF(AND(ISNUMBER(N746),N746&gt;=$B$2,N746&lt;=$B$2+10),N746*100000+ROW(),"")</f>
        <v/>
      </c>
      <c r="X746" s="531"/>
      <c r="Y746" s="531"/>
      <c r="Z746" s="531"/>
      <c r="AA746" s="531"/>
      <c r="AB746" s="531"/>
      <c r="AC746" s="531"/>
      <c r="AD746" s="531"/>
      <c r="AE746" s="531"/>
      <c r="AF746" s="531"/>
      <c r="AG746" s="531"/>
      <c r="AH746" s="531"/>
      <c r="AI746" s="531"/>
      <c r="AJ746" s="531"/>
      <c r="AK746" s="531"/>
      <c r="AL746" s="531"/>
      <c r="AM746" s="531"/>
      <c r="AN746" s="531"/>
    </row>
    <row r="747" customFormat="false" ht="16.5" hidden="false" customHeight="true" outlineLevel="0" collapsed="false">
      <c r="A747" s="531"/>
      <c r="B747" s="531"/>
      <c r="C747" s="531"/>
      <c r="D747" s="531"/>
      <c r="E747" s="531"/>
      <c r="F747" s="531"/>
      <c r="G747" s="531"/>
      <c r="H747" s="531"/>
      <c r="I747" s="531"/>
      <c r="J747" s="531"/>
      <c r="K747" s="531"/>
      <c r="L747" s="531"/>
      <c r="M747" s="531"/>
      <c r="N747" s="531" t="str">
        <f aca="false">IF('(1)예금승인내역'!H1373="","",'(1)예금승인내역'!H1373)</f>
        <v/>
      </c>
      <c r="O747" s="531" t="str">
        <f aca="false">IF('(1)예금승인내역'!G1373="","",'(1)예금승인내역'!G1373)</f>
        <v/>
      </c>
      <c r="P747" s="531" t="str">
        <f aca="false">IF('(1)예금승인내역'!F1373="","",'(1)예금승인내역'!F1373)</f>
        <v/>
      </c>
      <c r="Q747" s="531" t="str">
        <f aca="false">IF('(1)예금승인내역'!C1373="","",'(1)예금승인내역'!C1373)</f>
        <v/>
      </c>
      <c r="R747" s="531" t="str">
        <f aca="false">IF('(1)예금승인내역'!K1373="","",'(1)예금승인내역'!K1373)</f>
        <v/>
      </c>
      <c r="S747" s="531" t="str">
        <f aca="false">IF('(1)예금승인내역'!L1373="","",'(1)예금승인내역'!L1373)</f>
        <v/>
      </c>
      <c r="T747" s="531" t="str">
        <f aca="false">IF('(1)예금승인내역'!AG1373="","",'(1)예금승인내역'!AG1373)</f>
        <v/>
      </c>
      <c r="U747" s="531" t="str">
        <f aca="false">IF('(1)예금승인내역'!X1373="","",'(1)예금승인내역'!X1373)</f>
        <v/>
      </c>
      <c r="V747" s="531" t="str">
        <f aca="false">IF(ISNUMBER(N747),N747-$B$2,"")</f>
        <v/>
      </c>
      <c r="W747" s="531" t="str">
        <f aca="false">IF(AND(ISNUMBER(N747),N747&gt;=$B$2,N747&lt;=$B$2+10),N747*100000+ROW(),"")</f>
        <v/>
      </c>
      <c r="X747" s="531"/>
      <c r="Y747" s="531"/>
      <c r="Z747" s="531"/>
      <c r="AA747" s="531"/>
      <c r="AB747" s="531"/>
      <c r="AC747" s="531"/>
      <c r="AD747" s="531"/>
      <c r="AE747" s="531"/>
      <c r="AF747" s="531"/>
      <c r="AG747" s="531"/>
      <c r="AH747" s="531"/>
      <c r="AI747" s="531"/>
      <c r="AJ747" s="531"/>
      <c r="AK747" s="531"/>
      <c r="AL747" s="531"/>
      <c r="AM747" s="531"/>
      <c r="AN747" s="531"/>
    </row>
    <row r="748" customFormat="false" ht="16.5" hidden="false" customHeight="true" outlineLevel="0" collapsed="false">
      <c r="A748" s="531"/>
      <c r="B748" s="531"/>
      <c r="C748" s="531"/>
      <c r="D748" s="531"/>
      <c r="E748" s="531"/>
      <c r="F748" s="531"/>
      <c r="G748" s="531"/>
      <c r="H748" s="531"/>
      <c r="I748" s="531"/>
      <c r="J748" s="531"/>
      <c r="K748" s="531"/>
      <c r="L748" s="531"/>
      <c r="M748" s="531"/>
      <c r="N748" s="531" t="str">
        <f aca="false">IF('(1)예금승인내역'!H1374="","",'(1)예금승인내역'!H1374)</f>
        <v/>
      </c>
      <c r="O748" s="531" t="str">
        <f aca="false">IF('(1)예금승인내역'!G1374="","",'(1)예금승인내역'!G1374)</f>
        <v/>
      </c>
      <c r="P748" s="531" t="str">
        <f aca="false">IF('(1)예금승인내역'!F1374="","",'(1)예금승인내역'!F1374)</f>
        <v/>
      </c>
      <c r="Q748" s="531" t="str">
        <f aca="false">IF('(1)예금승인내역'!C1374="","",'(1)예금승인내역'!C1374)</f>
        <v/>
      </c>
      <c r="R748" s="531" t="str">
        <f aca="false">IF('(1)예금승인내역'!K1374="","",'(1)예금승인내역'!K1374)</f>
        <v/>
      </c>
      <c r="S748" s="531" t="str">
        <f aca="false">IF('(1)예금승인내역'!L1374="","",'(1)예금승인내역'!L1374)</f>
        <v/>
      </c>
      <c r="T748" s="531" t="str">
        <f aca="false">IF('(1)예금승인내역'!AG1374="","",'(1)예금승인내역'!AG1374)</f>
        <v/>
      </c>
      <c r="U748" s="531" t="str">
        <f aca="false">IF('(1)예금승인내역'!X1374="","",'(1)예금승인내역'!X1374)</f>
        <v/>
      </c>
      <c r="V748" s="531" t="str">
        <f aca="false">IF(ISNUMBER(N748),N748-$B$2,"")</f>
        <v/>
      </c>
      <c r="W748" s="531" t="str">
        <f aca="false">IF(AND(ISNUMBER(N748),N748&gt;=$B$2,N748&lt;=$B$2+10),N748*100000+ROW(),"")</f>
        <v/>
      </c>
      <c r="X748" s="531"/>
      <c r="Y748" s="531"/>
      <c r="Z748" s="531"/>
      <c r="AA748" s="531"/>
      <c r="AB748" s="531"/>
      <c r="AC748" s="531"/>
      <c r="AD748" s="531"/>
      <c r="AE748" s="531"/>
      <c r="AF748" s="531"/>
      <c r="AG748" s="531"/>
      <c r="AH748" s="531"/>
      <c r="AI748" s="531"/>
      <c r="AJ748" s="531"/>
      <c r="AK748" s="531"/>
      <c r="AL748" s="531"/>
      <c r="AM748" s="531"/>
      <c r="AN748" s="531"/>
    </row>
    <row r="749" customFormat="false" ht="16.5" hidden="false" customHeight="true" outlineLevel="0" collapsed="false">
      <c r="A749" s="531"/>
      <c r="B749" s="531"/>
      <c r="C749" s="531"/>
      <c r="D749" s="531"/>
      <c r="E749" s="531"/>
      <c r="F749" s="531"/>
      <c r="G749" s="531"/>
      <c r="H749" s="531"/>
      <c r="I749" s="531"/>
      <c r="J749" s="531"/>
      <c r="K749" s="531"/>
      <c r="L749" s="531"/>
      <c r="M749" s="531"/>
      <c r="N749" s="531" t="str">
        <f aca="false">IF('(1)예금승인내역'!H1375="","",'(1)예금승인내역'!H1375)</f>
        <v/>
      </c>
      <c r="O749" s="531" t="str">
        <f aca="false">IF('(1)예금승인내역'!G1375="","",'(1)예금승인내역'!G1375)</f>
        <v/>
      </c>
      <c r="P749" s="531" t="str">
        <f aca="false">IF('(1)예금승인내역'!F1375="","",'(1)예금승인내역'!F1375)</f>
        <v/>
      </c>
      <c r="Q749" s="531" t="str">
        <f aca="false">IF('(1)예금승인내역'!C1375="","",'(1)예금승인내역'!C1375)</f>
        <v/>
      </c>
      <c r="R749" s="531" t="str">
        <f aca="false">IF('(1)예금승인내역'!K1375="","",'(1)예금승인내역'!K1375)</f>
        <v/>
      </c>
      <c r="S749" s="531" t="str">
        <f aca="false">IF('(1)예금승인내역'!L1375="","",'(1)예금승인내역'!L1375)</f>
        <v/>
      </c>
      <c r="T749" s="531" t="str">
        <f aca="false">IF('(1)예금승인내역'!AG1375="","",'(1)예금승인내역'!AG1375)</f>
        <v/>
      </c>
      <c r="U749" s="531" t="str">
        <f aca="false">IF('(1)예금승인내역'!X1375="","",'(1)예금승인내역'!X1375)</f>
        <v/>
      </c>
      <c r="V749" s="531" t="str">
        <f aca="false">IF(ISNUMBER(N749),N749-$B$2,"")</f>
        <v/>
      </c>
      <c r="W749" s="531" t="str">
        <f aca="false">IF(AND(ISNUMBER(N749),N749&gt;=$B$2,N749&lt;=$B$2+10),N749*100000+ROW(),"")</f>
        <v/>
      </c>
      <c r="X749" s="531"/>
      <c r="Y749" s="531"/>
      <c r="Z749" s="531"/>
      <c r="AA749" s="531"/>
      <c r="AB749" s="531"/>
      <c r="AC749" s="531"/>
      <c r="AD749" s="531"/>
      <c r="AE749" s="531"/>
      <c r="AF749" s="531"/>
      <c r="AG749" s="531"/>
      <c r="AH749" s="531"/>
      <c r="AI749" s="531"/>
      <c r="AJ749" s="531"/>
      <c r="AK749" s="531"/>
      <c r="AL749" s="531"/>
      <c r="AM749" s="531"/>
      <c r="AN749" s="531"/>
    </row>
    <row r="750" customFormat="false" ht="16.5" hidden="false" customHeight="true" outlineLevel="0" collapsed="false">
      <c r="A750" s="531"/>
      <c r="B750" s="531"/>
      <c r="C750" s="531"/>
      <c r="D750" s="531"/>
      <c r="E750" s="531"/>
      <c r="F750" s="531"/>
      <c r="G750" s="531"/>
      <c r="H750" s="531"/>
      <c r="I750" s="531"/>
      <c r="J750" s="531"/>
      <c r="K750" s="531"/>
      <c r="L750" s="531"/>
      <c r="M750" s="531"/>
      <c r="N750" s="531" t="str">
        <f aca="false">IF('(1)예금승인내역'!H1376="","",'(1)예금승인내역'!H1376)</f>
        <v/>
      </c>
      <c r="O750" s="531" t="str">
        <f aca="false">IF('(1)예금승인내역'!G1376="","",'(1)예금승인내역'!G1376)</f>
        <v/>
      </c>
      <c r="P750" s="531" t="str">
        <f aca="false">IF('(1)예금승인내역'!F1376="","",'(1)예금승인내역'!F1376)</f>
        <v/>
      </c>
      <c r="Q750" s="531" t="str">
        <f aca="false">IF('(1)예금승인내역'!C1376="","",'(1)예금승인내역'!C1376)</f>
        <v/>
      </c>
      <c r="R750" s="531" t="str">
        <f aca="false">IF('(1)예금승인내역'!K1376="","",'(1)예금승인내역'!K1376)</f>
        <v/>
      </c>
      <c r="S750" s="531" t="str">
        <f aca="false">IF('(1)예금승인내역'!L1376="","",'(1)예금승인내역'!L1376)</f>
        <v/>
      </c>
      <c r="T750" s="531" t="str">
        <f aca="false">IF('(1)예금승인내역'!AG1376="","",'(1)예금승인내역'!AG1376)</f>
        <v/>
      </c>
      <c r="U750" s="531" t="str">
        <f aca="false">IF('(1)예금승인내역'!X1376="","",'(1)예금승인내역'!X1376)</f>
        <v/>
      </c>
      <c r="V750" s="531" t="str">
        <f aca="false">IF(ISNUMBER(N750),N750-$B$2,"")</f>
        <v/>
      </c>
      <c r="W750" s="531" t="str">
        <f aca="false">IF(AND(ISNUMBER(N750),N750&gt;=$B$2,N750&lt;=$B$2+10),N750*100000+ROW(),"")</f>
        <v/>
      </c>
      <c r="X750" s="531"/>
      <c r="Y750" s="531"/>
      <c r="Z750" s="531"/>
      <c r="AA750" s="531"/>
      <c r="AB750" s="531"/>
      <c r="AC750" s="531"/>
      <c r="AD750" s="531"/>
      <c r="AE750" s="531"/>
      <c r="AF750" s="531"/>
      <c r="AG750" s="531"/>
      <c r="AH750" s="531"/>
      <c r="AI750" s="531"/>
      <c r="AJ750" s="531"/>
      <c r="AK750" s="531"/>
      <c r="AL750" s="531"/>
      <c r="AM750" s="531"/>
      <c r="AN750" s="531"/>
    </row>
    <row r="751" customFormat="false" ht="16.5" hidden="false" customHeight="true" outlineLevel="0" collapsed="false">
      <c r="A751" s="531"/>
      <c r="B751" s="531"/>
      <c r="C751" s="531"/>
      <c r="D751" s="531"/>
      <c r="E751" s="531"/>
      <c r="F751" s="531"/>
      <c r="G751" s="531"/>
      <c r="H751" s="531"/>
      <c r="I751" s="531"/>
      <c r="J751" s="531"/>
      <c r="K751" s="531"/>
      <c r="L751" s="531"/>
      <c r="M751" s="531"/>
      <c r="N751" s="531" t="str">
        <f aca="false">IF('(1)예금승인내역'!H1377="","",'(1)예금승인내역'!H1377)</f>
        <v/>
      </c>
      <c r="O751" s="531" t="str">
        <f aca="false">IF('(1)예금승인내역'!G1377="","",'(1)예금승인내역'!G1377)</f>
        <v/>
      </c>
      <c r="P751" s="531" t="str">
        <f aca="false">IF('(1)예금승인내역'!F1377="","",'(1)예금승인내역'!F1377)</f>
        <v/>
      </c>
      <c r="Q751" s="531" t="str">
        <f aca="false">IF('(1)예금승인내역'!C1377="","",'(1)예금승인내역'!C1377)</f>
        <v/>
      </c>
      <c r="R751" s="531" t="str">
        <f aca="false">IF('(1)예금승인내역'!K1377="","",'(1)예금승인내역'!K1377)</f>
        <v/>
      </c>
      <c r="S751" s="531" t="str">
        <f aca="false">IF('(1)예금승인내역'!L1377="","",'(1)예금승인내역'!L1377)</f>
        <v/>
      </c>
      <c r="T751" s="531" t="str">
        <f aca="false">IF('(1)예금승인내역'!AG1377="","",'(1)예금승인내역'!AG1377)</f>
        <v/>
      </c>
      <c r="U751" s="531" t="str">
        <f aca="false">IF('(1)예금승인내역'!X1377="","",'(1)예금승인내역'!X1377)</f>
        <v/>
      </c>
      <c r="V751" s="531" t="str">
        <f aca="false">IF(ISNUMBER(N751),N751-$B$2,"")</f>
        <v/>
      </c>
      <c r="W751" s="531" t="str">
        <f aca="false">IF(AND(ISNUMBER(N751),N751&gt;=$B$2,N751&lt;=$B$2+10),N751*100000+ROW(),"")</f>
        <v/>
      </c>
      <c r="X751" s="531"/>
      <c r="Y751" s="531"/>
      <c r="Z751" s="531"/>
      <c r="AA751" s="531"/>
      <c r="AB751" s="531"/>
      <c r="AC751" s="531"/>
      <c r="AD751" s="531"/>
      <c r="AE751" s="531"/>
      <c r="AF751" s="531"/>
      <c r="AG751" s="531"/>
      <c r="AH751" s="531"/>
      <c r="AI751" s="531"/>
      <c r="AJ751" s="531"/>
      <c r="AK751" s="531"/>
      <c r="AL751" s="531"/>
      <c r="AM751" s="531"/>
      <c r="AN751" s="531"/>
    </row>
    <row r="752" customFormat="false" ht="16.5" hidden="false" customHeight="true" outlineLevel="0" collapsed="false">
      <c r="A752" s="531"/>
      <c r="B752" s="531"/>
      <c r="C752" s="531"/>
      <c r="D752" s="531"/>
      <c r="E752" s="531"/>
      <c r="F752" s="531"/>
      <c r="G752" s="531"/>
      <c r="H752" s="531"/>
      <c r="I752" s="531"/>
      <c r="J752" s="531"/>
      <c r="K752" s="531"/>
      <c r="L752" s="531"/>
      <c r="M752" s="531"/>
      <c r="N752" s="531" t="str">
        <f aca="false">IF('(1)예금승인내역'!H1378="","",'(1)예금승인내역'!H1378)</f>
        <v/>
      </c>
      <c r="O752" s="531" t="str">
        <f aca="false">IF('(1)예금승인내역'!G1378="","",'(1)예금승인내역'!G1378)</f>
        <v/>
      </c>
      <c r="P752" s="531" t="str">
        <f aca="false">IF('(1)예금승인내역'!F1378="","",'(1)예금승인내역'!F1378)</f>
        <v/>
      </c>
      <c r="Q752" s="531" t="str">
        <f aca="false">IF('(1)예금승인내역'!C1378="","",'(1)예금승인내역'!C1378)</f>
        <v/>
      </c>
      <c r="R752" s="531" t="str">
        <f aca="false">IF('(1)예금승인내역'!K1378="","",'(1)예금승인내역'!K1378)</f>
        <v/>
      </c>
      <c r="S752" s="531" t="str">
        <f aca="false">IF('(1)예금승인내역'!L1378="","",'(1)예금승인내역'!L1378)</f>
        <v/>
      </c>
      <c r="T752" s="531" t="str">
        <f aca="false">IF('(1)예금승인내역'!AG1378="","",'(1)예금승인내역'!AG1378)</f>
        <v/>
      </c>
      <c r="U752" s="531" t="str">
        <f aca="false">IF('(1)예금승인내역'!X1378="","",'(1)예금승인내역'!X1378)</f>
        <v/>
      </c>
      <c r="V752" s="531" t="str">
        <f aca="false">IF(ISNUMBER(N752),N752-$B$2,"")</f>
        <v/>
      </c>
      <c r="W752" s="531" t="str">
        <f aca="false">IF(AND(ISNUMBER(N752),N752&gt;=$B$2,N752&lt;=$B$2+10),N752*100000+ROW(),"")</f>
        <v/>
      </c>
      <c r="X752" s="531"/>
      <c r="Y752" s="531"/>
      <c r="Z752" s="531"/>
      <c r="AA752" s="531"/>
      <c r="AB752" s="531"/>
      <c r="AC752" s="531"/>
      <c r="AD752" s="531"/>
      <c r="AE752" s="531"/>
      <c r="AF752" s="531"/>
      <c r="AG752" s="531"/>
      <c r="AH752" s="531"/>
      <c r="AI752" s="531"/>
      <c r="AJ752" s="531"/>
      <c r="AK752" s="531"/>
      <c r="AL752" s="531"/>
      <c r="AM752" s="531"/>
      <c r="AN752" s="531"/>
    </row>
    <row r="753" customFormat="false" ht="16.5" hidden="false" customHeight="true" outlineLevel="0" collapsed="false">
      <c r="A753" s="531"/>
      <c r="B753" s="531"/>
      <c r="C753" s="531"/>
      <c r="D753" s="531"/>
      <c r="E753" s="531"/>
      <c r="F753" s="531"/>
      <c r="G753" s="531"/>
      <c r="H753" s="531"/>
      <c r="I753" s="531"/>
      <c r="J753" s="531"/>
      <c r="K753" s="531"/>
      <c r="L753" s="531"/>
      <c r="M753" s="531"/>
      <c r="N753" s="531" t="str">
        <f aca="false">IF('(1)예금승인내역'!H1379="","",'(1)예금승인내역'!H1379)</f>
        <v/>
      </c>
      <c r="O753" s="531" t="str">
        <f aca="false">IF('(1)예금승인내역'!G1379="","",'(1)예금승인내역'!G1379)</f>
        <v/>
      </c>
      <c r="P753" s="531" t="str">
        <f aca="false">IF('(1)예금승인내역'!F1379="","",'(1)예금승인내역'!F1379)</f>
        <v/>
      </c>
      <c r="Q753" s="531" t="str">
        <f aca="false">IF('(1)예금승인내역'!C1379="","",'(1)예금승인내역'!C1379)</f>
        <v/>
      </c>
      <c r="R753" s="531" t="str">
        <f aca="false">IF('(1)예금승인내역'!K1379="","",'(1)예금승인내역'!K1379)</f>
        <v/>
      </c>
      <c r="S753" s="531" t="str">
        <f aca="false">IF('(1)예금승인내역'!L1379="","",'(1)예금승인내역'!L1379)</f>
        <v/>
      </c>
      <c r="T753" s="531" t="str">
        <f aca="false">IF('(1)예금승인내역'!AG1379="","",'(1)예금승인내역'!AG1379)</f>
        <v/>
      </c>
      <c r="U753" s="531" t="str">
        <f aca="false">IF('(1)예금승인내역'!X1379="","",'(1)예금승인내역'!X1379)</f>
        <v/>
      </c>
      <c r="V753" s="531" t="str">
        <f aca="false">IF(ISNUMBER(N753),N753-$B$2,"")</f>
        <v/>
      </c>
      <c r="W753" s="531" t="str">
        <f aca="false">IF(AND(ISNUMBER(N753),N753&gt;=$B$2,N753&lt;=$B$2+10),N753*100000+ROW(),"")</f>
        <v/>
      </c>
      <c r="X753" s="531"/>
      <c r="Y753" s="531"/>
      <c r="Z753" s="531"/>
      <c r="AA753" s="531"/>
      <c r="AB753" s="531"/>
      <c r="AC753" s="531"/>
      <c r="AD753" s="531"/>
      <c r="AE753" s="531"/>
      <c r="AF753" s="531"/>
      <c r="AG753" s="531"/>
      <c r="AH753" s="531"/>
      <c r="AI753" s="531"/>
      <c r="AJ753" s="531"/>
      <c r="AK753" s="531"/>
      <c r="AL753" s="531"/>
      <c r="AM753" s="531"/>
      <c r="AN753" s="531"/>
    </row>
    <row r="754" customFormat="false" ht="16.5" hidden="false" customHeight="true" outlineLevel="0" collapsed="false">
      <c r="A754" s="531"/>
      <c r="B754" s="531"/>
      <c r="C754" s="531"/>
      <c r="D754" s="531"/>
      <c r="E754" s="531"/>
      <c r="F754" s="531"/>
      <c r="G754" s="531"/>
      <c r="H754" s="531"/>
      <c r="I754" s="531"/>
      <c r="J754" s="531"/>
      <c r="K754" s="531"/>
      <c r="L754" s="531"/>
      <c r="M754" s="531"/>
      <c r="N754" s="531" t="str">
        <f aca="false">IF('(1)예금승인내역'!H1380="","",'(1)예금승인내역'!H1380)</f>
        <v/>
      </c>
      <c r="O754" s="531" t="str">
        <f aca="false">IF('(1)예금승인내역'!G1380="","",'(1)예금승인내역'!G1380)</f>
        <v/>
      </c>
      <c r="P754" s="531" t="str">
        <f aca="false">IF('(1)예금승인내역'!F1380="","",'(1)예금승인내역'!F1380)</f>
        <v/>
      </c>
      <c r="Q754" s="531" t="str">
        <f aca="false">IF('(1)예금승인내역'!C1380="","",'(1)예금승인내역'!C1380)</f>
        <v/>
      </c>
      <c r="R754" s="531" t="str">
        <f aca="false">IF('(1)예금승인내역'!K1380="","",'(1)예금승인내역'!K1380)</f>
        <v/>
      </c>
      <c r="S754" s="531" t="str">
        <f aca="false">IF('(1)예금승인내역'!L1380="","",'(1)예금승인내역'!L1380)</f>
        <v/>
      </c>
      <c r="T754" s="531" t="str">
        <f aca="false">IF('(1)예금승인내역'!AG1380="","",'(1)예금승인내역'!AG1380)</f>
        <v/>
      </c>
      <c r="U754" s="531" t="str">
        <f aca="false">IF('(1)예금승인내역'!X1380="","",'(1)예금승인내역'!X1380)</f>
        <v/>
      </c>
      <c r="V754" s="531" t="str">
        <f aca="false">IF(ISNUMBER(N754),N754-$B$2,"")</f>
        <v/>
      </c>
      <c r="W754" s="531" t="str">
        <f aca="false">IF(AND(ISNUMBER(N754),N754&gt;=$B$2,N754&lt;=$B$2+10),N754*100000+ROW(),"")</f>
        <v/>
      </c>
      <c r="X754" s="531"/>
      <c r="Y754" s="531"/>
      <c r="Z754" s="531"/>
      <c r="AA754" s="531"/>
      <c r="AB754" s="531"/>
      <c r="AC754" s="531"/>
      <c r="AD754" s="531"/>
      <c r="AE754" s="531"/>
      <c r="AF754" s="531"/>
      <c r="AG754" s="531"/>
      <c r="AH754" s="531"/>
      <c r="AI754" s="531"/>
      <c r="AJ754" s="531"/>
      <c r="AK754" s="531"/>
      <c r="AL754" s="531"/>
      <c r="AM754" s="531"/>
      <c r="AN754" s="531"/>
    </row>
    <row r="755" customFormat="false" ht="16.5" hidden="false" customHeight="true" outlineLevel="0" collapsed="false">
      <c r="A755" s="531"/>
      <c r="B755" s="531"/>
      <c r="C755" s="531"/>
      <c r="D755" s="531"/>
      <c r="E755" s="531"/>
      <c r="F755" s="531"/>
      <c r="G755" s="531"/>
      <c r="H755" s="531"/>
      <c r="I755" s="531"/>
      <c r="J755" s="531"/>
      <c r="K755" s="531"/>
      <c r="L755" s="531"/>
      <c r="M755" s="531"/>
      <c r="N755" s="531" t="str">
        <f aca="false">IF('(1)예금승인내역'!H1381="","",'(1)예금승인내역'!H1381)</f>
        <v/>
      </c>
      <c r="O755" s="531" t="str">
        <f aca="false">IF('(1)예금승인내역'!G1381="","",'(1)예금승인내역'!G1381)</f>
        <v/>
      </c>
      <c r="P755" s="531" t="str">
        <f aca="false">IF('(1)예금승인내역'!F1381="","",'(1)예금승인내역'!F1381)</f>
        <v/>
      </c>
      <c r="Q755" s="531" t="str">
        <f aca="false">IF('(1)예금승인내역'!C1381="","",'(1)예금승인내역'!C1381)</f>
        <v/>
      </c>
      <c r="R755" s="531" t="str">
        <f aca="false">IF('(1)예금승인내역'!K1381="","",'(1)예금승인내역'!K1381)</f>
        <v/>
      </c>
      <c r="S755" s="531" t="str">
        <f aca="false">IF('(1)예금승인내역'!L1381="","",'(1)예금승인내역'!L1381)</f>
        <v/>
      </c>
      <c r="T755" s="531" t="str">
        <f aca="false">IF('(1)예금승인내역'!AG1381="","",'(1)예금승인내역'!AG1381)</f>
        <v/>
      </c>
      <c r="U755" s="531" t="str">
        <f aca="false">IF('(1)예금승인내역'!X1381="","",'(1)예금승인내역'!X1381)</f>
        <v/>
      </c>
      <c r="V755" s="531" t="str">
        <f aca="false">IF(ISNUMBER(N755),N755-$B$2,"")</f>
        <v/>
      </c>
      <c r="W755" s="531" t="str">
        <f aca="false">IF(AND(ISNUMBER(N755),N755&gt;=$B$2,N755&lt;=$B$2+10),N755*100000+ROW(),"")</f>
        <v/>
      </c>
      <c r="X755" s="531"/>
      <c r="Y755" s="531"/>
      <c r="Z755" s="531"/>
      <c r="AA755" s="531"/>
      <c r="AB755" s="531"/>
      <c r="AC755" s="531"/>
      <c r="AD755" s="531"/>
      <c r="AE755" s="531"/>
      <c r="AF755" s="531"/>
      <c r="AG755" s="531"/>
      <c r="AH755" s="531"/>
      <c r="AI755" s="531"/>
      <c r="AJ755" s="531"/>
      <c r="AK755" s="531"/>
      <c r="AL755" s="531"/>
      <c r="AM755" s="531"/>
      <c r="AN755" s="531"/>
    </row>
    <row r="756" customFormat="false" ht="16.5" hidden="false" customHeight="true" outlineLevel="0" collapsed="false">
      <c r="A756" s="531"/>
      <c r="B756" s="531"/>
      <c r="C756" s="531"/>
      <c r="D756" s="531"/>
      <c r="E756" s="531"/>
      <c r="F756" s="531"/>
      <c r="G756" s="531"/>
      <c r="H756" s="531"/>
      <c r="I756" s="531"/>
      <c r="J756" s="531"/>
      <c r="K756" s="531"/>
      <c r="L756" s="531"/>
      <c r="M756" s="531"/>
      <c r="N756" s="531" t="str">
        <f aca="false">IF('(1)예금승인내역'!H1382="","",'(1)예금승인내역'!H1382)</f>
        <v/>
      </c>
      <c r="O756" s="531" t="str">
        <f aca="false">IF('(1)예금승인내역'!G1382="","",'(1)예금승인내역'!G1382)</f>
        <v/>
      </c>
      <c r="P756" s="531" t="str">
        <f aca="false">IF('(1)예금승인내역'!F1382="","",'(1)예금승인내역'!F1382)</f>
        <v/>
      </c>
      <c r="Q756" s="531" t="str">
        <f aca="false">IF('(1)예금승인내역'!C1382="","",'(1)예금승인내역'!C1382)</f>
        <v/>
      </c>
      <c r="R756" s="531" t="str">
        <f aca="false">IF('(1)예금승인내역'!K1382="","",'(1)예금승인내역'!K1382)</f>
        <v/>
      </c>
      <c r="S756" s="531" t="str">
        <f aca="false">IF('(1)예금승인내역'!L1382="","",'(1)예금승인내역'!L1382)</f>
        <v/>
      </c>
      <c r="T756" s="531" t="str">
        <f aca="false">IF('(1)예금승인내역'!AG1382="","",'(1)예금승인내역'!AG1382)</f>
        <v/>
      </c>
      <c r="U756" s="531" t="str">
        <f aca="false">IF('(1)예금승인내역'!X1382="","",'(1)예금승인내역'!X1382)</f>
        <v/>
      </c>
      <c r="V756" s="531" t="str">
        <f aca="false">IF(ISNUMBER(N756),N756-$B$2,"")</f>
        <v/>
      </c>
      <c r="W756" s="531" t="str">
        <f aca="false">IF(AND(ISNUMBER(N756),N756&gt;=$B$2,N756&lt;=$B$2+10),N756*100000+ROW(),"")</f>
        <v/>
      </c>
      <c r="X756" s="531"/>
      <c r="Y756" s="531"/>
      <c r="Z756" s="531"/>
      <c r="AA756" s="531"/>
      <c r="AB756" s="531"/>
      <c r="AC756" s="531"/>
      <c r="AD756" s="531"/>
      <c r="AE756" s="531"/>
      <c r="AF756" s="531"/>
      <c r="AG756" s="531"/>
      <c r="AH756" s="531"/>
      <c r="AI756" s="531"/>
      <c r="AJ756" s="531"/>
      <c r="AK756" s="531"/>
      <c r="AL756" s="531"/>
      <c r="AM756" s="531"/>
      <c r="AN756" s="531"/>
    </row>
    <row r="757" customFormat="false" ht="16.5" hidden="false" customHeight="true" outlineLevel="0" collapsed="false">
      <c r="A757" s="531"/>
      <c r="B757" s="531"/>
      <c r="C757" s="531"/>
      <c r="D757" s="531"/>
      <c r="E757" s="531"/>
      <c r="F757" s="531"/>
      <c r="G757" s="531"/>
      <c r="H757" s="531"/>
      <c r="I757" s="531"/>
      <c r="J757" s="531"/>
      <c r="K757" s="531"/>
      <c r="L757" s="531"/>
      <c r="M757" s="531"/>
      <c r="N757" s="531" t="str">
        <f aca="false">IF('(1)예금승인내역'!H1383="","",'(1)예금승인내역'!H1383)</f>
        <v/>
      </c>
      <c r="O757" s="531" t="str">
        <f aca="false">IF('(1)예금승인내역'!G1383="","",'(1)예금승인내역'!G1383)</f>
        <v/>
      </c>
      <c r="P757" s="531" t="str">
        <f aca="false">IF('(1)예금승인내역'!F1383="","",'(1)예금승인내역'!F1383)</f>
        <v/>
      </c>
      <c r="Q757" s="531" t="str">
        <f aca="false">IF('(1)예금승인내역'!C1383="","",'(1)예금승인내역'!C1383)</f>
        <v/>
      </c>
      <c r="R757" s="531" t="str">
        <f aca="false">IF('(1)예금승인내역'!K1383="","",'(1)예금승인내역'!K1383)</f>
        <v/>
      </c>
      <c r="S757" s="531" t="str">
        <f aca="false">IF('(1)예금승인내역'!L1383="","",'(1)예금승인내역'!L1383)</f>
        <v/>
      </c>
      <c r="T757" s="531" t="str">
        <f aca="false">IF('(1)예금승인내역'!AG1383="","",'(1)예금승인내역'!AG1383)</f>
        <v/>
      </c>
      <c r="U757" s="531" t="str">
        <f aca="false">IF('(1)예금승인내역'!X1383="","",'(1)예금승인내역'!X1383)</f>
        <v/>
      </c>
      <c r="V757" s="531" t="str">
        <f aca="false">IF(ISNUMBER(N757),N757-$B$2,"")</f>
        <v/>
      </c>
      <c r="W757" s="531" t="str">
        <f aca="false">IF(AND(ISNUMBER(N757),N757&gt;=$B$2,N757&lt;=$B$2+10),N757*100000+ROW(),"")</f>
        <v/>
      </c>
      <c r="X757" s="531"/>
      <c r="Y757" s="531"/>
      <c r="Z757" s="531"/>
      <c r="AA757" s="531"/>
      <c r="AB757" s="531"/>
      <c r="AC757" s="531"/>
      <c r="AD757" s="531"/>
      <c r="AE757" s="531"/>
      <c r="AF757" s="531"/>
      <c r="AG757" s="531"/>
      <c r="AH757" s="531"/>
      <c r="AI757" s="531"/>
      <c r="AJ757" s="531"/>
      <c r="AK757" s="531"/>
      <c r="AL757" s="531"/>
      <c r="AM757" s="531"/>
      <c r="AN757" s="531"/>
    </row>
    <row r="758" customFormat="false" ht="16.5" hidden="false" customHeight="true" outlineLevel="0" collapsed="false">
      <c r="A758" s="531"/>
      <c r="B758" s="531"/>
      <c r="C758" s="531"/>
      <c r="D758" s="531"/>
      <c r="E758" s="531"/>
      <c r="F758" s="531"/>
      <c r="G758" s="531"/>
      <c r="H758" s="531"/>
      <c r="I758" s="531"/>
      <c r="J758" s="531"/>
      <c r="K758" s="531"/>
      <c r="L758" s="531"/>
      <c r="M758" s="531"/>
      <c r="N758" s="531" t="str">
        <f aca="false">IF('(1)예금승인내역'!H1384="","",'(1)예금승인내역'!H1384)</f>
        <v/>
      </c>
      <c r="O758" s="531" t="str">
        <f aca="false">IF('(1)예금승인내역'!G1384="","",'(1)예금승인내역'!G1384)</f>
        <v/>
      </c>
      <c r="P758" s="531" t="str">
        <f aca="false">IF('(1)예금승인내역'!F1384="","",'(1)예금승인내역'!F1384)</f>
        <v/>
      </c>
      <c r="Q758" s="531" t="str">
        <f aca="false">IF('(1)예금승인내역'!C1384="","",'(1)예금승인내역'!C1384)</f>
        <v/>
      </c>
      <c r="R758" s="531" t="str">
        <f aca="false">IF('(1)예금승인내역'!K1384="","",'(1)예금승인내역'!K1384)</f>
        <v/>
      </c>
      <c r="S758" s="531" t="str">
        <f aca="false">IF('(1)예금승인내역'!L1384="","",'(1)예금승인내역'!L1384)</f>
        <v/>
      </c>
      <c r="T758" s="531" t="str">
        <f aca="false">IF('(1)예금승인내역'!AG1384="","",'(1)예금승인내역'!AG1384)</f>
        <v/>
      </c>
      <c r="U758" s="531" t="str">
        <f aca="false">IF('(1)예금승인내역'!X1384="","",'(1)예금승인내역'!X1384)</f>
        <v/>
      </c>
      <c r="V758" s="531" t="str">
        <f aca="false">IF(ISNUMBER(N758),N758-$B$2,"")</f>
        <v/>
      </c>
      <c r="W758" s="531" t="str">
        <f aca="false">IF(AND(ISNUMBER(N758),N758&gt;=$B$2,N758&lt;=$B$2+10),N758*100000+ROW(),"")</f>
        <v/>
      </c>
      <c r="X758" s="531"/>
      <c r="Y758" s="531"/>
      <c r="Z758" s="531"/>
      <c r="AA758" s="531"/>
      <c r="AB758" s="531"/>
      <c r="AC758" s="531"/>
      <c r="AD758" s="531"/>
      <c r="AE758" s="531"/>
      <c r="AF758" s="531"/>
      <c r="AG758" s="531"/>
      <c r="AH758" s="531"/>
      <c r="AI758" s="531"/>
      <c r="AJ758" s="531"/>
      <c r="AK758" s="531"/>
      <c r="AL758" s="531"/>
      <c r="AM758" s="531"/>
      <c r="AN758" s="531"/>
    </row>
    <row r="759" customFormat="false" ht="16.5" hidden="false" customHeight="true" outlineLevel="0" collapsed="false">
      <c r="A759" s="531"/>
      <c r="B759" s="531"/>
      <c r="C759" s="531"/>
      <c r="D759" s="531"/>
      <c r="E759" s="531"/>
      <c r="F759" s="531"/>
      <c r="G759" s="531"/>
      <c r="H759" s="531"/>
      <c r="I759" s="531"/>
      <c r="J759" s="531"/>
      <c r="K759" s="531"/>
      <c r="L759" s="531"/>
      <c r="M759" s="531"/>
      <c r="N759" s="531" t="str">
        <f aca="false">IF('(1)예금승인내역'!H1385="","",'(1)예금승인내역'!H1385)</f>
        <v/>
      </c>
      <c r="O759" s="531" t="str">
        <f aca="false">IF('(1)예금승인내역'!G1385="","",'(1)예금승인내역'!G1385)</f>
        <v/>
      </c>
      <c r="P759" s="531" t="str">
        <f aca="false">IF('(1)예금승인내역'!F1385="","",'(1)예금승인내역'!F1385)</f>
        <v/>
      </c>
      <c r="Q759" s="531" t="str">
        <f aca="false">IF('(1)예금승인내역'!C1385="","",'(1)예금승인내역'!C1385)</f>
        <v/>
      </c>
      <c r="R759" s="531" t="str">
        <f aca="false">IF('(1)예금승인내역'!K1385="","",'(1)예금승인내역'!K1385)</f>
        <v/>
      </c>
      <c r="S759" s="531" t="str">
        <f aca="false">IF('(1)예금승인내역'!L1385="","",'(1)예금승인내역'!L1385)</f>
        <v/>
      </c>
      <c r="T759" s="531" t="str">
        <f aca="false">IF('(1)예금승인내역'!AG1385="","",'(1)예금승인내역'!AG1385)</f>
        <v/>
      </c>
      <c r="U759" s="531" t="str">
        <f aca="false">IF('(1)예금승인내역'!X1385="","",'(1)예금승인내역'!X1385)</f>
        <v/>
      </c>
      <c r="V759" s="531" t="str">
        <f aca="false">IF(ISNUMBER(N759),N759-$B$2,"")</f>
        <v/>
      </c>
      <c r="W759" s="531" t="str">
        <f aca="false">IF(AND(ISNUMBER(N759),N759&gt;=$B$2,N759&lt;=$B$2+10),N759*100000+ROW(),"")</f>
        <v/>
      </c>
      <c r="X759" s="531"/>
      <c r="Y759" s="531"/>
      <c r="Z759" s="531"/>
      <c r="AA759" s="531"/>
      <c r="AB759" s="531"/>
      <c r="AC759" s="531"/>
      <c r="AD759" s="531"/>
      <c r="AE759" s="531"/>
      <c r="AF759" s="531"/>
      <c r="AG759" s="531"/>
      <c r="AH759" s="531"/>
      <c r="AI759" s="531"/>
      <c r="AJ759" s="531"/>
      <c r="AK759" s="531"/>
      <c r="AL759" s="531"/>
      <c r="AM759" s="531"/>
      <c r="AN759" s="531"/>
    </row>
    <row r="760" customFormat="false" ht="16.5" hidden="false" customHeight="true" outlineLevel="0" collapsed="false">
      <c r="A760" s="531"/>
      <c r="B760" s="531"/>
      <c r="C760" s="531"/>
      <c r="D760" s="531"/>
      <c r="E760" s="531"/>
      <c r="F760" s="531"/>
      <c r="G760" s="531"/>
      <c r="H760" s="531"/>
      <c r="I760" s="531"/>
      <c r="J760" s="531"/>
      <c r="K760" s="531"/>
      <c r="L760" s="531"/>
      <c r="M760" s="531"/>
      <c r="N760" s="531" t="str">
        <f aca="false">IF('(1)예금승인내역'!H1386="","",'(1)예금승인내역'!H1386)</f>
        <v/>
      </c>
      <c r="O760" s="531" t="str">
        <f aca="false">IF('(1)예금승인내역'!G1386="","",'(1)예금승인내역'!G1386)</f>
        <v/>
      </c>
      <c r="P760" s="531" t="str">
        <f aca="false">IF('(1)예금승인내역'!F1386="","",'(1)예금승인내역'!F1386)</f>
        <v/>
      </c>
      <c r="Q760" s="531" t="str">
        <f aca="false">IF('(1)예금승인내역'!C1386="","",'(1)예금승인내역'!C1386)</f>
        <v/>
      </c>
      <c r="R760" s="531" t="str">
        <f aca="false">IF('(1)예금승인내역'!K1386="","",'(1)예금승인내역'!K1386)</f>
        <v/>
      </c>
      <c r="S760" s="531" t="str">
        <f aca="false">IF('(1)예금승인내역'!L1386="","",'(1)예금승인내역'!L1386)</f>
        <v/>
      </c>
      <c r="T760" s="531" t="str">
        <f aca="false">IF('(1)예금승인내역'!AG1386="","",'(1)예금승인내역'!AG1386)</f>
        <v/>
      </c>
      <c r="U760" s="531" t="str">
        <f aca="false">IF('(1)예금승인내역'!X1386="","",'(1)예금승인내역'!X1386)</f>
        <v/>
      </c>
      <c r="V760" s="531" t="str">
        <f aca="false">IF(ISNUMBER(N760),N760-$B$2,"")</f>
        <v/>
      </c>
      <c r="W760" s="531" t="str">
        <f aca="false">IF(AND(ISNUMBER(N760),N760&gt;=$B$2,N760&lt;=$B$2+10),N760*100000+ROW(),"")</f>
        <v/>
      </c>
      <c r="X760" s="531"/>
      <c r="Y760" s="531"/>
      <c r="Z760" s="531"/>
      <c r="AA760" s="531"/>
      <c r="AB760" s="531"/>
      <c r="AC760" s="531"/>
      <c r="AD760" s="531"/>
      <c r="AE760" s="531"/>
      <c r="AF760" s="531"/>
      <c r="AG760" s="531"/>
      <c r="AH760" s="531"/>
      <c r="AI760" s="531"/>
      <c r="AJ760" s="531"/>
      <c r="AK760" s="531"/>
      <c r="AL760" s="531"/>
      <c r="AM760" s="531"/>
      <c r="AN760" s="531"/>
    </row>
    <row r="761" customFormat="false" ht="16.5" hidden="false" customHeight="true" outlineLevel="0" collapsed="false">
      <c r="A761" s="531"/>
      <c r="B761" s="531"/>
      <c r="C761" s="531"/>
      <c r="D761" s="531"/>
      <c r="E761" s="531"/>
      <c r="F761" s="531"/>
      <c r="G761" s="531"/>
      <c r="H761" s="531"/>
      <c r="I761" s="531"/>
      <c r="J761" s="531"/>
      <c r="K761" s="531"/>
      <c r="L761" s="531"/>
      <c r="M761" s="531"/>
      <c r="N761" s="531" t="str">
        <f aca="false">IF('(1)예금승인내역'!H1387="","",'(1)예금승인내역'!H1387)</f>
        <v/>
      </c>
      <c r="O761" s="531" t="str">
        <f aca="false">IF('(1)예금승인내역'!G1387="","",'(1)예금승인내역'!G1387)</f>
        <v/>
      </c>
      <c r="P761" s="531" t="str">
        <f aca="false">IF('(1)예금승인내역'!F1387="","",'(1)예금승인내역'!F1387)</f>
        <v/>
      </c>
      <c r="Q761" s="531" t="str">
        <f aca="false">IF('(1)예금승인내역'!C1387="","",'(1)예금승인내역'!C1387)</f>
        <v/>
      </c>
      <c r="R761" s="531" t="str">
        <f aca="false">IF('(1)예금승인내역'!K1387="","",'(1)예금승인내역'!K1387)</f>
        <v/>
      </c>
      <c r="S761" s="531" t="str">
        <f aca="false">IF('(1)예금승인내역'!L1387="","",'(1)예금승인내역'!L1387)</f>
        <v/>
      </c>
      <c r="T761" s="531" t="str">
        <f aca="false">IF('(1)예금승인내역'!AG1387="","",'(1)예금승인내역'!AG1387)</f>
        <v/>
      </c>
      <c r="U761" s="531" t="str">
        <f aca="false">IF('(1)예금승인내역'!X1387="","",'(1)예금승인내역'!X1387)</f>
        <v/>
      </c>
      <c r="V761" s="531" t="str">
        <f aca="false">IF(ISNUMBER(N761),N761-$B$2,"")</f>
        <v/>
      </c>
      <c r="W761" s="531" t="str">
        <f aca="false">IF(AND(ISNUMBER(N761),N761&gt;=$B$2,N761&lt;=$B$2+10),N761*100000+ROW(),"")</f>
        <v/>
      </c>
      <c r="X761" s="531"/>
      <c r="Y761" s="531"/>
      <c r="Z761" s="531"/>
      <c r="AA761" s="531"/>
      <c r="AB761" s="531"/>
      <c r="AC761" s="531"/>
      <c r="AD761" s="531"/>
      <c r="AE761" s="531"/>
      <c r="AF761" s="531"/>
      <c r="AG761" s="531"/>
      <c r="AH761" s="531"/>
      <c r="AI761" s="531"/>
      <c r="AJ761" s="531"/>
      <c r="AK761" s="531"/>
      <c r="AL761" s="531"/>
      <c r="AM761" s="531"/>
      <c r="AN761" s="531"/>
    </row>
    <row r="762" customFormat="false" ht="16.5" hidden="false" customHeight="true" outlineLevel="0" collapsed="false">
      <c r="A762" s="531"/>
      <c r="B762" s="531"/>
      <c r="C762" s="531"/>
      <c r="D762" s="531"/>
      <c r="E762" s="531"/>
      <c r="F762" s="531"/>
      <c r="G762" s="531"/>
      <c r="H762" s="531"/>
      <c r="I762" s="531"/>
      <c r="J762" s="531"/>
      <c r="K762" s="531"/>
      <c r="L762" s="531"/>
      <c r="M762" s="531"/>
      <c r="N762" s="531" t="str">
        <f aca="false">IF('(1)예금승인내역'!H1388="","",'(1)예금승인내역'!H1388)</f>
        <v/>
      </c>
      <c r="O762" s="531" t="str">
        <f aca="false">IF('(1)예금승인내역'!G1388="","",'(1)예금승인내역'!G1388)</f>
        <v/>
      </c>
      <c r="P762" s="531" t="str">
        <f aca="false">IF('(1)예금승인내역'!F1388="","",'(1)예금승인내역'!F1388)</f>
        <v/>
      </c>
      <c r="Q762" s="531" t="str">
        <f aca="false">IF('(1)예금승인내역'!C1388="","",'(1)예금승인내역'!C1388)</f>
        <v/>
      </c>
      <c r="R762" s="531" t="str">
        <f aca="false">IF('(1)예금승인내역'!K1388="","",'(1)예금승인내역'!K1388)</f>
        <v/>
      </c>
      <c r="S762" s="531" t="str">
        <f aca="false">IF('(1)예금승인내역'!L1388="","",'(1)예금승인내역'!L1388)</f>
        <v/>
      </c>
      <c r="T762" s="531" t="str">
        <f aca="false">IF('(1)예금승인내역'!AG1388="","",'(1)예금승인내역'!AG1388)</f>
        <v/>
      </c>
      <c r="U762" s="531" t="str">
        <f aca="false">IF('(1)예금승인내역'!X1388="","",'(1)예금승인내역'!X1388)</f>
        <v/>
      </c>
      <c r="V762" s="531" t="str">
        <f aca="false">IF(ISNUMBER(N762),N762-$B$2,"")</f>
        <v/>
      </c>
      <c r="W762" s="531" t="str">
        <f aca="false">IF(AND(ISNUMBER(N762),N762&gt;=$B$2,N762&lt;=$B$2+10),N762*100000+ROW(),"")</f>
        <v/>
      </c>
      <c r="X762" s="531"/>
      <c r="Y762" s="531"/>
      <c r="Z762" s="531"/>
      <c r="AA762" s="531"/>
      <c r="AB762" s="531"/>
      <c r="AC762" s="531"/>
      <c r="AD762" s="531"/>
      <c r="AE762" s="531"/>
      <c r="AF762" s="531"/>
      <c r="AG762" s="531"/>
      <c r="AH762" s="531"/>
      <c r="AI762" s="531"/>
      <c r="AJ762" s="531"/>
      <c r="AK762" s="531"/>
      <c r="AL762" s="531"/>
      <c r="AM762" s="531"/>
      <c r="AN762" s="531"/>
    </row>
    <row r="763" customFormat="false" ht="16.5" hidden="false" customHeight="true" outlineLevel="0" collapsed="false">
      <c r="A763" s="531"/>
      <c r="B763" s="531"/>
      <c r="C763" s="531"/>
      <c r="D763" s="531"/>
      <c r="E763" s="531"/>
      <c r="F763" s="531"/>
      <c r="G763" s="531"/>
      <c r="H763" s="531"/>
      <c r="I763" s="531"/>
      <c r="J763" s="531"/>
      <c r="K763" s="531"/>
      <c r="L763" s="531"/>
      <c r="M763" s="531"/>
      <c r="N763" s="531" t="str">
        <f aca="false">IF('(1)예금승인내역'!H1389="","",'(1)예금승인내역'!H1389)</f>
        <v/>
      </c>
      <c r="O763" s="531" t="str">
        <f aca="false">IF('(1)예금승인내역'!G1389="","",'(1)예금승인내역'!G1389)</f>
        <v/>
      </c>
      <c r="P763" s="531" t="str">
        <f aca="false">IF('(1)예금승인내역'!F1389="","",'(1)예금승인내역'!F1389)</f>
        <v/>
      </c>
      <c r="Q763" s="531" t="str">
        <f aca="false">IF('(1)예금승인내역'!C1389="","",'(1)예금승인내역'!C1389)</f>
        <v/>
      </c>
      <c r="R763" s="531" t="str">
        <f aca="false">IF('(1)예금승인내역'!K1389="","",'(1)예금승인내역'!K1389)</f>
        <v/>
      </c>
      <c r="S763" s="531" t="str">
        <f aca="false">IF('(1)예금승인내역'!L1389="","",'(1)예금승인내역'!L1389)</f>
        <v/>
      </c>
      <c r="T763" s="531" t="str">
        <f aca="false">IF('(1)예금승인내역'!AG1389="","",'(1)예금승인내역'!AG1389)</f>
        <v/>
      </c>
      <c r="U763" s="531" t="str">
        <f aca="false">IF('(1)예금승인내역'!X1389="","",'(1)예금승인내역'!X1389)</f>
        <v/>
      </c>
      <c r="V763" s="531" t="str">
        <f aca="false">IF(ISNUMBER(N763),N763-$B$2,"")</f>
        <v/>
      </c>
      <c r="W763" s="531" t="str">
        <f aca="false">IF(AND(ISNUMBER(N763),N763&gt;=$B$2,N763&lt;=$B$2+10),N763*100000+ROW(),"")</f>
        <v/>
      </c>
      <c r="X763" s="531"/>
      <c r="Y763" s="531"/>
      <c r="Z763" s="531"/>
      <c r="AA763" s="531"/>
      <c r="AB763" s="531"/>
      <c r="AC763" s="531"/>
      <c r="AD763" s="531"/>
      <c r="AE763" s="531"/>
      <c r="AF763" s="531"/>
      <c r="AG763" s="531"/>
      <c r="AH763" s="531"/>
      <c r="AI763" s="531"/>
      <c r="AJ763" s="531"/>
      <c r="AK763" s="531"/>
      <c r="AL763" s="531"/>
      <c r="AM763" s="531"/>
      <c r="AN763" s="531"/>
    </row>
    <row r="764" customFormat="false" ht="16.5" hidden="false" customHeight="true" outlineLevel="0" collapsed="false">
      <c r="A764" s="531"/>
      <c r="B764" s="531"/>
      <c r="C764" s="531"/>
      <c r="D764" s="531"/>
      <c r="E764" s="531"/>
      <c r="F764" s="531"/>
      <c r="G764" s="531"/>
      <c r="H764" s="531"/>
      <c r="I764" s="531"/>
      <c r="J764" s="531"/>
      <c r="K764" s="531"/>
      <c r="L764" s="531"/>
      <c r="M764" s="531"/>
      <c r="N764" s="531" t="str">
        <f aca="false">IF('(1)예금승인내역'!H1390="","",'(1)예금승인내역'!H1390)</f>
        <v/>
      </c>
      <c r="O764" s="531" t="str">
        <f aca="false">IF('(1)예금승인내역'!G1390="","",'(1)예금승인내역'!G1390)</f>
        <v/>
      </c>
      <c r="P764" s="531" t="str">
        <f aca="false">IF('(1)예금승인내역'!F1390="","",'(1)예금승인내역'!F1390)</f>
        <v/>
      </c>
      <c r="Q764" s="531" t="str">
        <f aca="false">IF('(1)예금승인내역'!C1390="","",'(1)예금승인내역'!C1390)</f>
        <v/>
      </c>
      <c r="R764" s="531" t="str">
        <f aca="false">IF('(1)예금승인내역'!K1390="","",'(1)예금승인내역'!K1390)</f>
        <v/>
      </c>
      <c r="S764" s="531" t="str">
        <f aca="false">IF('(1)예금승인내역'!L1390="","",'(1)예금승인내역'!L1390)</f>
        <v/>
      </c>
      <c r="T764" s="531" t="str">
        <f aca="false">IF('(1)예금승인내역'!AG1390="","",'(1)예금승인내역'!AG1390)</f>
        <v/>
      </c>
      <c r="U764" s="531" t="str">
        <f aca="false">IF('(1)예금승인내역'!X1390="","",'(1)예금승인내역'!X1390)</f>
        <v/>
      </c>
      <c r="V764" s="531" t="str">
        <f aca="false">IF(ISNUMBER(N764),N764-$B$2,"")</f>
        <v/>
      </c>
      <c r="W764" s="531" t="str">
        <f aca="false">IF(AND(ISNUMBER(N764),N764&gt;=$B$2,N764&lt;=$B$2+10),N764*100000+ROW(),"")</f>
        <v/>
      </c>
      <c r="X764" s="531"/>
      <c r="Y764" s="531"/>
      <c r="Z764" s="531"/>
      <c r="AA764" s="531"/>
      <c r="AB764" s="531"/>
      <c r="AC764" s="531"/>
      <c r="AD764" s="531"/>
      <c r="AE764" s="531"/>
      <c r="AF764" s="531"/>
      <c r="AG764" s="531"/>
      <c r="AH764" s="531"/>
      <c r="AI764" s="531"/>
      <c r="AJ764" s="531"/>
      <c r="AK764" s="531"/>
      <c r="AL764" s="531"/>
      <c r="AM764" s="531"/>
      <c r="AN764" s="531"/>
    </row>
    <row r="765" customFormat="false" ht="16.5" hidden="false" customHeight="true" outlineLevel="0" collapsed="false">
      <c r="A765" s="531"/>
      <c r="B765" s="531"/>
      <c r="C765" s="531"/>
      <c r="D765" s="531"/>
      <c r="E765" s="531"/>
      <c r="F765" s="531"/>
      <c r="G765" s="531"/>
      <c r="H765" s="531"/>
      <c r="I765" s="531"/>
      <c r="J765" s="531"/>
      <c r="K765" s="531"/>
      <c r="L765" s="531"/>
      <c r="M765" s="531"/>
      <c r="N765" s="531" t="str">
        <f aca="false">IF('(1)예금승인내역'!H1391="","",'(1)예금승인내역'!H1391)</f>
        <v/>
      </c>
      <c r="O765" s="531" t="str">
        <f aca="false">IF('(1)예금승인내역'!G1391="","",'(1)예금승인내역'!G1391)</f>
        <v/>
      </c>
      <c r="P765" s="531" t="str">
        <f aca="false">IF('(1)예금승인내역'!F1391="","",'(1)예금승인내역'!F1391)</f>
        <v/>
      </c>
      <c r="Q765" s="531" t="str">
        <f aca="false">IF('(1)예금승인내역'!C1391="","",'(1)예금승인내역'!C1391)</f>
        <v/>
      </c>
      <c r="R765" s="531" t="str">
        <f aca="false">IF('(1)예금승인내역'!K1391="","",'(1)예금승인내역'!K1391)</f>
        <v/>
      </c>
      <c r="S765" s="531" t="str">
        <f aca="false">IF('(1)예금승인내역'!L1391="","",'(1)예금승인내역'!L1391)</f>
        <v/>
      </c>
      <c r="T765" s="531" t="str">
        <f aca="false">IF('(1)예금승인내역'!AG1391="","",'(1)예금승인내역'!AG1391)</f>
        <v/>
      </c>
      <c r="U765" s="531" t="str">
        <f aca="false">IF('(1)예금승인내역'!X1391="","",'(1)예금승인내역'!X1391)</f>
        <v/>
      </c>
      <c r="V765" s="531" t="str">
        <f aca="false">IF(ISNUMBER(N765),N765-$B$2,"")</f>
        <v/>
      </c>
      <c r="W765" s="531" t="str">
        <f aca="false">IF(AND(ISNUMBER(N765),N765&gt;=$B$2,N765&lt;=$B$2+10),N765*100000+ROW(),"")</f>
        <v/>
      </c>
      <c r="X765" s="531"/>
      <c r="Y765" s="531"/>
      <c r="Z765" s="531"/>
      <c r="AA765" s="531"/>
      <c r="AB765" s="531"/>
      <c r="AC765" s="531"/>
      <c r="AD765" s="531"/>
      <c r="AE765" s="531"/>
      <c r="AF765" s="531"/>
      <c r="AG765" s="531"/>
      <c r="AH765" s="531"/>
      <c r="AI765" s="531"/>
      <c r="AJ765" s="531"/>
      <c r="AK765" s="531"/>
      <c r="AL765" s="531"/>
      <c r="AM765" s="531"/>
      <c r="AN765" s="531"/>
    </row>
    <row r="766" customFormat="false" ht="16.5" hidden="false" customHeight="true" outlineLevel="0" collapsed="false">
      <c r="A766" s="531"/>
      <c r="B766" s="531"/>
      <c r="C766" s="531"/>
      <c r="D766" s="531"/>
      <c r="E766" s="531"/>
      <c r="F766" s="531"/>
      <c r="G766" s="531"/>
      <c r="H766" s="531"/>
      <c r="I766" s="531"/>
      <c r="J766" s="531"/>
      <c r="K766" s="531"/>
      <c r="L766" s="531"/>
      <c r="M766" s="531"/>
      <c r="N766" s="531" t="str">
        <f aca="false">IF('(1)예금승인내역'!H1392="","",'(1)예금승인내역'!H1392)</f>
        <v/>
      </c>
      <c r="O766" s="531" t="str">
        <f aca="false">IF('(1)예금승인내역'!G1392="","",'(1)예금승인내역'!G1392)</f>
        <v/>
      </c>
      <c r="P766" s="531" t="str">
        <f aca="false">IF('(1)예금승인내역'!F1392="","",'(1)예금승인내역'!F1392)</f>
        <v/>
      </c>
      <c r="Q766" s="531" t="str">
        <f aca="false">IF('(1)예금승인내역'!C1392="","",'(1)예금승인내역'!C1392)</f>
        <v/>
      </c>
      <c r="R766" s="531" t="str">
        <f aca="false">IF('(1)예금승인내역'!K1392="","",'(1)예금승인내역'!K1392)</f>
        <v/>
      </c>
      <c r="S766" s="531" t="str">
        <f aca="false">IF('(1)예금승인내역'!L1392="","",'(1)예금승인내역'!L1392)</f>
        <v/>
      </c>
      <c r="T766" s="531" t="str">
        <f aca="false">IF('(1)예금승인내역'!AG1392="","",'(1)예금승인내역'!AG1392)</f>
        <v/>
      </c>
      <c r="U766" s="531" t="str">
        <f aca="false">IF('(1)예금승인내역'!X1392="","",'(1)예금승인내역'!X1392)</f>
        <v/>
      </c>
      <c r="V766" s="531" t="str">
        <f aca="false">IF(ISNUMBER(N766),N766-$B$2,"")</f>
        <v/>
      </c>
      <c r="W766" s="531" t="str">
        <f aca="false">IF(AND(ISNUMBER(N766),N766&gt;=$B$2,N766&lt;=$B$2+10),N766*100000+ROW(),"")</f>
        <v/>
      </c>
      <c r="X766" s="531"/>
      <c r="Y766" s="531"/>
      <c r="Z766" s="531"/>
      <c r="AA766" s="531"/>
      <c r="AB766" s="531"/>
      <c r="AC766" s="531"/>
      <c r="AD766" s="531"/>
      <c r="AE766" s="531"/>
      <c r="AF766" s="531"/>
      <c r="AG766" s="531"/>
      <c r="AH766" s="531"/>
      <c r="AI766" s="531"/>
      <c r="AJ766" s="531"/>
      <c r="AK766" s="531"/>
      <c r="AL766" s="531"/>
      <c r="AM766" s="531"/>
      <c r="AN766" s="531"/>
    </row>
    <row r="767" customFormat="false" ht="16.5" hidden="false" customHeight="true" outlineLevel="0" collapsed="false">
      <c r="A767" s="531"/>
      <c r="B767" s="531"/>
      <c r="C767" s="531"/>
      <c r="D767" s="531"/>
      <c r="E767" s="531"/>
      <c r="F767" s="531"/>
      <c r="G767" s="531"/>
      <c r="H767" s="531"/>
      <c r="I767" s="531"/>
      <c r="J767" s="531"/>
      <c r="K767" s="531"/>
      <c r="L767" s="531"/>
      <c r="M767" s="531"/>
      <c r="N767" s="531" t="str">
        <f aca="false">IF('(1)예금승인내역'!H1393="","",'(1)예금승인내역'!H1393)</f>
        <v/>
      </c>
      <c r="O767" s="531" t="str">
        <f aca="false">IF('(1)예금승인내역'!G1393="","",'(1)예금승인내역'!G1393)</f>
        <v/>
      </c>
      <c r="P767" s="531" t="str">
        <f aca="false">IF('(1)예금승인내역'!F1393="","",'(1)예금승인내역'!F1393)</f>
        <v/>
      </c>
      <c r="Q767" s="531" t="str">
        <f aca="false">IF('(1)예금승인내역'!C1393="","",'(1)예금승인내역'!C1393)</f>
        <v/>
      </c>
      <c r="R767" s="531" t="str">
        <f aca="false">IF('(1)예금승인내역'!K1393="","",'(1)예금승인내역'!K1393)</f>
        <v/>
      </c>
      <c r="S767" s="531" t="str">
        <f aca="false">IF('(1)예금승인내역'!L1393="","",'(1)예금승인내역'!L1393)</f>
        <v/>
      </c>
      <c r="T767" s="531" t="str">
        <f aca="false">IF('(1)예금승인내역'!AG1393="","",'(1)예금승인내역'!AG1393)</f>
        <v/>
      </c>
      <c r="U767" s="531" t="str">
        <f aca="false">IF('(1)예금승인내역'!X1393="","",'(1)예금승인내역'!X1393)</f>
        <v/>
      </c>
      <c r="V767" s="531" t="str">
        <f aca="false">IF(ISNUMBER(N767),N767-$B$2,"")</f>
        <v/>
      </c>
      <c r="W767" s="531" t="str">
        <f aca="false">IF(AND(ISNUMBER(N767),N767&gt;=$B$2,N767&lt;=$B$2+10),N767*100000+ROW(),"")</f>
        <v/>
      </c>
      <c r="X767" s="531"/>
      <c r="Y767" s="531"/>
      <c r="Z767" s="531"/>
      <c r="AA767" s="531"/>
      <c r="AB767" s="531"/>
      <c r="AC767" s="531"/>
      <c r="AD767" s="531"/>
      <c r="AE767" s="531"/>
      <c r="AF767" s="531"/>
      <c r="AG767" s="531"/>
      <c r="AH767" s="531"/>
      <c r="AI767" s="531"/>
      <c r="AJ767" s="531"/>
      <c r="AK767" s="531"/>
      <c r="AL767" s="531"/>
      <c r="AM767" s="531"/>
      <c r="AN767" s="531"/>
    </row>
    <row r="768" customFormat="false" ht="16.5" hidden="false" customHeight="true" outlineLevel="0" collapsed="false">
      <c r="A768" s="531"/>
      <c r="B768" s="531"/>
      <c r="C768" s="531"/>
      <c r="D768" s="531"/>
      <c r="E768" s="531"/>
      <c r="F768" s="531"/>
      <c r="G768" s="531"/>
      <c r="H768" s="531"/>
      <c r="I768" s="531"/>
      <c r="J768" s="531"/>
      <c r="K768" s="531"/>
      <c r="L768" s="531"/>
      <c r="M768" s="531"/>
      <c r="N768" s="531" t="str">
        <f aca="false">IF('(1)예금승인내역'!H1394="","",'(1)예금승인내역'!H1394)</f>
        <v/>
      </c>
      <c r="O768" s="531" t="str">
        <f aca="false">IF('(1)예금승인내역'!G1394="","",'(1)예금승인내역'!G1394)</f>
        <v/>
      </c>
      <c r="P768" s="531" t="str">
        <f aca="false">IF('(1)예금승인내역'!F1394="","",'(1)예금승인내역'!F1394)</f>
        <v/>
      </c>
      <c r="Q768" s="531" t="str">
        <f aca="false">IF('(1)예금승인내역'!C1394="","",'(1)예금승인내역'!C1394)</f>
        <v/>
      </c>
      <c r="R768" s="531" t="str">
        <f aca="false">IF('(1)예금승인내역'!K1394="","",'(1)예금승인내역'!K1394)</f>
        <v/>
      </c>
      <c r="S768" s="531" t="str">
        <f aca="false">IF('(1)예금승인내역'!L1394="","",'(1)예금승인내역'!L1394)</f>
        <v/>
      </c>
      <c r="T768" s="531" t="str">
        <f aca="false">IF('(1)예금승인내역'!AG1394="","",'(1)예금승인내역'!AG1394)</f>
        <v/>
      </c>
      <c r="U768" s="531" t="str">
        <f aca="false">IF('(1)예금승인내역'!X1394="","",'(1)예금승인내역'!X1394)</f>
        <v/>
      </c>
      <c r="V768" s="531" t="str">
        <f aca="false">IF(ISNUMBER(N768),N768-$B$2,"")</f>
        <v/>
      </c>
      <c r="W768" s="531" t="str">
        <f aca="false">IF(AND(ISNUMBER(N768),N768&gt;=$B$2,N768&lt;=$B$2+10),N768*100000+ROW(),"")</f>
        <v/>
      </c>
      <c r="X768" s="531"/>
      <c r="Y768" s="531"/>
      <c r="Z768" s="531"/>
      <c r="AA768" s="531"/>
      <c r="AB768" s="531"/>
      <c r="AC768" s="531"/>
      <c r="AD768" s="531"/>
      <c r="AE768" s="531"/>
      <c r="AF768" s="531"/>
      <c r="AG768" s="531"/>
      <c r="AH768" s="531"/>
      <c r="AI768" s="531"/>
      <c r="AJ768" s="531"/>
      <c r="AK768" s="531"/>
      <c r="AL768" s="531"/>
      <c r="AM768" s="531"/>
      <c r="AN768" s="531"/>
    </row>
    <row r="769" customFormat="false" ht="16.5" hidden="false" customHeight="true" outlineLevel="0" collapsed="false">
      <c r="A769" s="531"/>
      <c r="B769" s="531"/>
      <c r="C769" s="531"/>
      <c r="D769" s="531"/>
      <c r="E769" s="531"/>
      <c r="F769" s="531"/>
      <c r="G769" s="531"/>
      <c r="H769" s="531"/>
      <c r="I769" s="531"/>
      <c r="J769" s="531"/>
      <c r="K769" s="531"/>
      <c r="L769" s="531"/>
      <c r="M769" s="531"/>
      <c r="N769" s="531" t="str">
        <f aca="false">IF('(1)예금승인내역'!H1395="","",'(1)예금승인내역'!H1395)</f>
        <v/>
      </c>
      <c r="O769" s="531" t="str">
        <f aca="false">IF('(1)예금승인내역'!G1395="","",'(1)예금승인내역'!G1395)</f>
        <v/>
      </c>
      <c r="P769" s="531" t="str">
        <f aca="false">IF('(1)예금승인내역'!F1395="","",'(1)예금승인내역'!F1395)</f>
        <v/>
      </c>
      <c r="Q769" s="531" t="str">
        <f aca="false">IF('(1)예금승인내역'!C1395="","",'(1)예금승인내역'!C1395)</f>
        <v/>
      </c>
      <c r="R769" s="531" t="str">
        <f aca="false">IF('(1)예금승인내역'!K1395="","",'(1)예금승인내역'!K1395)</f>
        <v/>
      </c>
      <c r="S769" s="531" t="str">
        <f aca="false">IF('(1)예금승인내역'!L1395="","",'(1)예금승인내역'!L1395)</f>
        <v/>
      </c>
      <c r="T769" s="531" t="str">
        <f aca="false">IF('(1)예금승인내역'!AG1395="","",'(1)예금승인내역'!AG1395)</f>
        <v/>
      </c>
      <c r="U769" s="531" t="str">
        <f aca="false">IF('(1)예금승인내역'!X1395="","",'(1)예금승인내역'!X1395)</f>
        <v/>
      </c>
      <c r="V769" s="531" t="str">
        <f aca="false">IF(ISNUMBER(N769),N769-$B$2,"")</f>
        <v/>
      </c>
      <c r="W769" s="531" t="str">
        <f aca="false">IF(AND(ISNUMBER(N769),N769&gt;=$B$2,N769&lt;=$B$2+10),N769*100000+ROW(),"")</f>
        <v/>
      </c>
      <c r="X769" s="531"/>
      <c r="Y769" s="531"/>
      <c r="Z769" s="531"/>
      <c r="AA769" s="531"/>
      <c r="AB769" s="531"/>
      <c r="AC769" s="531"/>
      <c r="AD769" s="531"/>
      <c r="AE769" s="531"/>
      <c r="AF769" s="531"/>
      <c r="AG769" s="531"/>
      <c r="AH769" s="531"/>
      <c r="AI769" s="531"/>
      <c r="AJ769" s="531"/>
      <c r="AK769" s="531"/>
      <c r="AL769" s="531"/>
      <c r="AM769" s="531"/>
      <c r="AN769" s="531"/>
    </row>
    <row r="770" customFormat="false" ht="16.5" hidden="false" customHeight="true" outlineLevel="0" collapsed="false">
      <c r="A770" s="531"/>
      <c r="B770" s="531"/>
      <c r="C770" s="531"/>
      <c r="D770" s="531"/>
      <c r="E770" s="531"/>
      <c r="F770" s="531"/>
      <c r="G770" s="531"/>
      <c r="H770" s="531"/>
      <c r="I770" s="531"/>
      <c r="J770" s="531"/>
      <c r="K770" s="531"/>
      <c r="L770" s="531"/>
      <c r="M770" s="531"/>
      <c r="N770" s="531" t="str">
        <f aca="false">IF('(1)예금승인내역'!H1396="","",'(1)예금승인내역'!H1396)</f>
        <v/>
      </c>
      <c r="O770" s="531" t="str">
        <f aca="false">IF('(1)예금승인내역'!G1396="","",'(1)예금승인내역'!G1396)</f>
        <v/>
      </c>
      <c r="P770" s="531" t="str">
        <f aca="false">IF('(1)예금승인내역'!F1396="","",'(1)예금승인내역'!F1396)</f>
        <v/>
      </c>
      <c r="Q770" s="531" t="str">
        <f aca="false">IF('(1)예금승인내역'!C1396="","",'(1)예금승인내역'!C1396)</f>
        <v/>
      </c>
      <c r="R770" s="531" t="str">
        <f aca="false">IF('(1)예금승인내역'!K1396="","",'(1)예금승인내역'!K1396)</f>
        <v/>
      </c>
      <c r="S770" s="531" t="str">
        <f aca="false">IF('(1)예금승인내역'!L1396="","",'(1)예금승인내역'!L1396)</f>
        <v/>
      </c>
      <c r="T770" s="531" t="str">
        <f aca="false">IF('(1)예금승인내역'!AG1396="","",'(1)예금승인내역'!AG1396)</f>
        <v/>
      </c>
      <c r="U770" s="531" t="str">
        <f aca="false">IF('(1)예금승인내역'!X1396="","",'(1)예금승인내역'!X1396)</f>
        <v/>
      </c>
      <c r="V770" s="531" t="str">
        <f aca="false">IF(ISNUMBER(N770),N770-$B$2,"")</f>
        <v/>
      </c>
      <c r="W770" s="531" t="str">
        <f aca="false">IF(AND(ISNUMBER(N770),N770&gt;=$B$2,N770&lt;=$B$2+10),N770*100000+ROW(),"")</f>
        <v/>
      </c>
      <c r="X770" s="531"/>
      <c r="Y770" s="531"/>
      <c r="Z770" s="531"/>
      <c r="AA770" s="531"/>
      <c r="AB770" s="531"/>
      <c r="AC770" s="531"/>
      <c r="AD770" s="531"/>
      <c r="AE770" s="531"/>
      <c r="AF770" s="531"/>
      <c r="AG770" s="531"/>
      <c r="AH770" s="531"/>
      <c r="AI770" s="531"/>
      <c r="AJ770" s="531"/>
      <c r="AK770" s="531"/>
      <c r="AL770" s="531"/>
      <c r="AM770" s="531"/>
      <c r="AN770" s="531"/>
    </row>
    <row r="771" customFormat="false" ht="16.5" hidden="false" customHeight="true" outlineLevel="0" collapsed="false">
      <c r="A771" s="531"/>
      <c r="B771" s="531"/>
      <c r="C771" s="531"/>
      <c r="D771" s="531"/>
      <c r="E771" s="531"/>
      <c r="F771" s="531"/>
      <c r="G771" s="531"/>
      <c r="H771" s="531"/>
      <c r="I771" s="531"/>
      <c r="J771" s="531"/>
      <c r="K771" s="531"/>
      <c r="L771" s="531"/>
      <c r="M771" s="531"/>
      <c r="N771" s="531" t="str">
        <f aca="false">IF('(1)예금승인내역'!H1397="","",'(1)예금승인내역'!H1397)</f>
        <v/>
      </c>
      <c r="O771" s="531" t="str">
        <f aca="false">IF('(1)예금승인내역'!G1397="","",'(1)예금승인내역'!G1397)</f>
        <v/>
      </c>
      <c r="P771" s="531" t="str">
        <f aca="false">IF('(1)예금승인내역'!F1397="","",'(1)예금승인내역'!F1397)</f>
        <v/>
      </c>
      <c r="Q771" s="531" t="str">
        <f aca="false">IF('(1)예금승인내역'!C1397="","",'(1)예금승인내역'!C1397)</f>
        <v/>
      </c>
      <c r="R771" s="531" t="str">
        <f aca="false">IF('(1)예금승인내역'!K1397="","",'(1)예금승인내역'!K1397)</f>
        <v/>
      </c>
      <c r="S771" s="531" t="str">
        <f aca="false">IF('(1)예금승인내역'!L1397="","",'(1)예금승인내역'!L1397)</f>
        <v/>
      </c>
      <c r="T771" s="531" t="str">
        <f aca="false">IF('(1)예금승인내역'!AG1397="","",'(1)예금승인내역'!AG1397)</f>
        <v/>
      </c>
      <c r="U771" s="531" t="str">
        <f aca="false">IF('(1)예금승인내역'!X1397="","",'(1)예금승인내역'!X1397)</f>
        <v/>
      </c>
      <c r="V771" s="531" t="str">
        <f aca="false">IF(ISNUMBER(N771),N771-$B$2,"")</f>
        <v/>
      </c>
      <c r="W771" s="531" t="str">
        <f aca="false">IF(AND(ISNUMBER(N771),N771&gt;=$B$2,N771&lt;=$B$2+10),N771*100000+ROW(),"")</f>
        <v/>
      </c>
      <c r="X771" s="531"/>
      <c r="Y771" s="531"/>
      <c r="Z771" s="531"/>
      <c r="AA771" s="531"/>
      <c r="AB771" s="531"/>
      <c r="AC771" s="531"/>
      <c r="AD771" s="531"/>
      <c r="AE771" s="531"/>
      <c r="AF771" s="531"/>
      <c r="AG771" s="531"/>
      <c r="AH771" s="531"/>
      <c r="AI771" s="531"/>
      <c r="AJ771" s="531"/>
      <c r="AK771" s="531"/>
      <c r="AL771" s="531"/>
      <c r="AM771" s="531"/>
      <c r="AN771" s="531"/>
    </row>
    <row r="772" customFormat="false" ht="16.5" hidden="false" customHeight="true" outlineLevel="0" collapsed="false">
      <c r="A772" s="531"/>
      <c r="B772" s="531"/>
      <c r="C772" s="531"/>
      <c r="D772" s="531"/>
      <c r="E772" s="531"/>
      <c r="F772" s="531"/>
      <c r="G772" s="531"/>
      <c r="H772" s="531"/>
      <c r="I772" s="531"/>
      <c r="J772" s="531"/>
      <c r="K772" s="531"/>
      <c r="L772" s="531"/>
      <c r="M772" s="531"/>
      <c r="N772" s="531" t="str">
        <f aca="false">IF('(1)예금승인내역'!H1398="","",'(1)예금승인내역'!H1398)</f>
        <v/>
      </c>
      <c r="O772" s="531" t="str">
        <f aca="false">IF('(1)예금승인내역'!G1398="","",'(1)예금승인내역'!G1398)</f>
        <v/>
      </c>
      <c r="P772" s="531" t="str">
        <f aca="false">IF('(1)예금승인내역'!F1398="","",'(1)예금승인내역'!F1398)</f>
        <v/>
      </c>
      <c r="Q772" s="531" t="str">
        <f aca="false">IF('(1)예금승인내역'!C1398="","",'(1)예금승인내역'!C1398)</f>
        <v/>
      </c>
      <c r="R772" s="531" t="str">
        <f aca="false">IF('(1)예금승인내역'!K1398="","",'(1)예금승인내역'!K1398)</f>
        <v/>
      </c>
      <c r="S772" s="531" t="str">
        <f aca="false">IF('(1)예금승인내역'!L1398="","",'(1)예금승인내역'!L1398)</f>
        <v/>
      </c>
      <c r="T772" s="531" t="str">
        <f aca="false">IF('(1)예금승인내역'!AG1398="","",'(1)예금승인내역'!AG1398)</f>
        <v/>
      </c>
      <c r="U772" s="531" t="str">
        <f aca="false">IF('(1)예금승인내역'!X1398="","",'(1)예금승인내역'!X1398)</f>
        <v/>
      </c>
      <c r="V772" s="531" t="str">
        <f aca="false">IF(ISNUMBER(N772),N772-$B$2,"")</f>
        <v/>
      </c>
      <c r="W772" s="531" t="str">
        <f aca="false">IF(AND(ISNUMBER(N772),N772&gt;=$B$2,N772&lt;=$B$2+10),N772*100000+ROW(),"")</f>
        <v/>
      </c>
      <c r="X772" s="531"/>
      <c r="Y772" s="531"/>
      <c r="Z772" s="531"/>
      <c r="AA772" s="531"/>
      <c r="AB772" s="531"/>
      <c r="AC772" s="531"/>
      <c r="AD772" s="531"/>
      <c r="AE772" s="531"/>
      <c r="AF772" s="531"/>
      <c r="AG772" s="531"/>
      <c r="AH772" s="531"/>
      <c r="AI772" s="531"/>
      <c r="AJ772" s="531"/>
      <c r="AK772" s="531"/>
      <c r="AL772" s="531"/>
      <c r="AM772" s="531"/>
      <c r="AN772" s="531"/>
    </row>
    <row r="773" customFormat="false" ht="16.5" hidden="false" customHeight="true" outlineLevel="0" collapsed="false">
      <c r="A773" s="531"/>
      <c r="B773" s="531"/>
      <c r="C773" s="531"/>
      <c r="D773" s="531"/>
      <c r="E773" s="531"/>
      <c r="F773" s="531"/>
      <c r="G773" s="531"/>
      <c r="H773" s="531"/>
      <c r="I773" s="531"/>
      <c r="J773" s="531"/>
      <c r="K773" s="531"/>
      <c r="L773" s="531"/>
      <c r="M773" s="531"/>
      <c r="N773" s="531" t="str">
        <f aca="false">IF('(1)예금승인내역'!H1399="","",'(1)예금승인내역'!H1399)</f>
        <v/>
      </c>
      <c r="O773" s="531" t="str">
        <f aca="false">IF('(1)예금승인내역'!G1399="","",'(1)예금승인내역'!G1399)</f>
        <v/>
      </c>
      <c r="P773" s="531" t="str">
        <f aca="false">IF('(1)예금승인내역'!F1399="","",'(1)예금승인내역'!F1399)</f>
        <v/>
      </c>
      <c r="Q773" s="531" t="str">
        <f aca="false">IF('(1)예금승인내역'!C1399="","",'(1)예금승인내역'!C1399)</f>
        <v/>
      </c>
      <c r="R773" s="531" t="str">
        <f aca="false">IF('(1)예금승인내역'!K1399="","",'(1)예금승인내역'!K1399)</f>
        <v/>
      </c>
      <c r="S773" s="531" t="str">
        <f aca="false">IF('(1)예금승인내역'!L1399="","",'(1)예금승인내역'!L1399)</f>
        <v/>
      </c>
      <c r="T773" s="531" t="str">
        <f aca="false">IF('(1)예금승인내역'!AG1399="","",'(1)예금승인내역'!AG1399)</f>
        <v/>
      </c>
      <c r="U773" s="531" t="str">
        <f aca="false">IF('(1)예금승인내역'!X1399="","",'(1)예금승인내역'!X1399)</f>
        <v/>
      </c>
      <c r="V773" s="531" t="str">
        <f aca="false">IF(ISNUMBER(N773),N773-$B$2,"")</f>
        <v/>
      </c>
      <c r="W773" s="531" t="str">
        <f aca="false">IF(AND(ISNUMBER(N773),N773&gt;=$B$2,N773&lt;=$B$2+10),N773*100000+ROW(),"")</f>
        <v/>
      </c>
      <c r="X773" s="531"/>
      <c r="Y773" s="531"/>
      <c r="Z773" s="531"/>
      <c r="AA773" s="531"/>
      <c r="AB773" s="531"/>
      <c r="AC773" s="531"/>
      <c r="AD773" s="531"/>
      <c r="AE773" s="531"/>
      <c r="AF773" s="531"/>
      <c r="AG773" s="531"/>
      <c r="AH773" s="531"/>
      <c r="AI773" s="531"/>
      <c r="AJ773" s="531"/>
      <c r="AK773" s="531"/>
      <c r="AL773" s="531"/>
      <c r="AM773" s="531"/>
      <c r="AN773" s="531"/>
    </row>
    <row r="774" customFormat="false" ht="16.5" hidden="false" customHeight="true" outlineLevel="0" collapsed="false">
      <c r="A774" s="531"/>
      <c r="B774" s="531"/>
      <c r="C774" s="531"/>
      <c r="D774" s="531"/>
      <c r="E774" s="531"/>
      <c r="F774" s="531"/>
      <c r="G774" s="531"/>
      <c r="H774" s="531"/>
      <c r="I774" s="531"/>
      <c r="J774" s="531"/>
      <c r="K774" s="531"/>
      <c r="L774" s="531"/>
      <c r="M774" s="531"/>
      <c r="N774" s="531" t="str">
        <f aca="false">IF('(1)예금승인내역'!H1400="","",'(1)예금승인내역'!H1400)</f>
        <v/>
      </c>
      <c r="O774" s="531" t="str">
        <f aca="false">IF('(1)예금승인내역'!G1400="","",'(1)예금승인내역'!G1400)</f>
        <v/>
      </c>
      <c r="P774" s="531" t="str">
        <f aca="false">IF('(1)예금승인내역'!F1400="","",'(1)예금승인내역'!F1400)</f>
        <v/>
      </c>
      <c r="Q774" s="531" t="str">
        <f aca="false">IF('(1)예금승인내역'!C1400="","",'(1)예금승인내역'!C1400)</f>
        <v/>
      </c>
      <c r="R774" s="531" t="str">
        <f aca="false">IF('(1)예금승인내역'!K1400="","",'(1)예금승인내역'!K1400)</f>
        <v/>
      </c>
      <c r="S774" s="531" t="str">
        <f aca="false">IF('(1)예금승인내역'!L1400="","",'(1)예금승인내역'!L1400)</f>
        <v/>
      </c>
      <c r="T774" s="531" t="str">
        <f aca="false">IF('(1)예금승인내역'!AG1400="","",'(1)예금승인내역'!AG1400)</f>
        <v/>
      </c>
      <c r="U774" s="531" t="str">
        <f aca="false">IF('(1)예금승인내역'!X1400="","",'(1)예금승인내역'!X1400)</f>
        <v/>
      </c>
      <c r="V774" s="531" t="str">
        <f aca="false">IF(ISNUMBER(N774),N774-$B$2,"")</f>
        <v/>
      </c>
      <c r="W774" s="531" t="str">
        <f aca="false">IF(AND(ISNUMBER(N774),N774&gt;=$B$2,N774&lt;=$B$2+10),N774*100000+ROW(),"")</f>
        <v/>
      </c>
      <c r="X774" s="531"/>
      <c r="Y774" s="531"/>
      <c r="Z774" s="531"/>
      <c r="AA774" s="531"/>
      <c r="AB774" s="531"/>
      <c r="AC774" s="531"/>
      <c r="AD774" s="531"/>
      <c r="AE774" s="531"/>
      <c r="AF774" s="531"/>
      <c r="AG774" s="531"/>
      <c r="AH774" s="531"/>
      <c r="AI774" s="531"/>
      <c r="AJ774" s="531"/>
      <c r="AK774" s="531"/>
      <c r="AL774" s="531"/>
      <c r="AM774" s="531"/>
      <c r="AN774" s="531"/>
    </row>
    <row r="775" customFormat="false" ht="16.5" hidden="false" customHeight="true" outlineLevel="0" collapsed="false">
      <c r="A775" s="531"/>
      <c r="B775" s="531"/>
      <c r="C775" s="531"/>
      <c r="D775" s="531"/>
      <c r="E775" s="531"/>
      <c r="F775" s="531"/>
      <c r="G775" s="531"/>
      <c r="H775" s="531"/>
      <c r="I775" s="531"/>
      <c r="J775" s="531"/>
      <c r="K775" s="531"/>
      <c r="L775" s="531"/>
      <c r="M775" s="531"/>
      <c r="N775" s="531" t="str">
        <f aca="false">IF('(1)예금승인내역'!H1401="","",'(1)예금승인내역'!H1401)</f>
        <v/>
      </c>
      <c r="O775" s="531" t="str">
        <f aca="false">IF('(1)예금승인내역'!G1401="","",'(1)예금승인내역'!G1401)</f>
        <v/>
      </c>
      <c r="P775" s="531" t="str">
        <f aca="false">IF('(1)예금승인내역'!F1401="","",'(1)예금승인내역'!F1401)</f>
        <v/>
      </c>
      <c r="Q775" s="531" t="str">
        <f aca="false">IF('(1)예금승인내역'!C1401="","",'(1)예금승인내역'!C1401)</f>
        <v/>
      </c>
      <c r="R775" s="531" t="str">
        <f aca="false">IF('(1)예금승인내역'!K1401="","",'(1)예금승인내역'!K1401)</f>
        <v/>
      </c>
      <c r="S775" s="531" t="str">
        <f aca="false">IF('(1)예금승인내역'!L1401="","",'(1)예금승인내역'!L1401)</f>
        <v/>
      </c>
      <c r="T775" s="531" t="str">
        <f aca="false">IF('(1)예금승인내역'!AG1401="","",'(1)예금승인내역'!AG1401)</f>
        <v/>
      </c>
      <c r="U775" s="531" t="str">
        <f aca="false">IF('(1)예금승인내역'!X1401="","",'(1)예금승인내역'!X1401)</f>
        <v/>
      </c>
      <c r="V775" s="531" t="str">
        <f aca="false">IF(ISNUMBER(N775),N775-$B$2,"")</f>
        <v/>
      </c>
      <c r="W775" s="531" t="str">
        <f aca="false">IF(AND(ISNUMBER(N775),N775&gt;=$B$2,N775&lt;=$B$2+10),N775*100000+ROW(),"")</f>
        <v/>
      </c>
      <c r="X775" s="531"/>
      <c r="Y775" s="531"/>
      <c r="Z775" s="531"/>
      <c r="AA775" s="531"/>
      <c r="AB775" s="531"/>
      <c r="AC775" s="531"/>
      <c r="AD775" s="531"/>
      <c r="AE775" s="531"/>
      <c r="AF775" s="531"/>
      <c r="AG775" s="531"/>
      <c r="AH775" s="531"/>
      <c r="AI775" s="531"/>
      <c r="AJ775" s="531"/>
      <c r="AK775" s="531"/>
      <c r="AL775" s="531"/>
      <c r="AM775" s="531"/>
      <c r="AN775" s="531"/>
    </row>
    <row r="776" customFormat="false" ht="16.5" hidden="false" customHeight="true" outlineLevel="0" collapsed="false">
      <c r="A776" s="531"/>
      <c r="B776" s="531"/>
      <c r="C776" s="531"/>
      <c r="D776" s="531"/>
      <c r="E776" s="531"/>
      <c r="F776" s="531"/>
      <c r="G776" s="531"/>
      <c r="H776" s="531"/>
      <c r="I776" s="531"/>
      <c r="J776" s="531"/>
      <c r="K776" s="531"/>
      <c r="L776" s="531"/>
      <c r="M776" s="531"/>
      <c r="N776" s="531" t="str">
        <f aca="false">IF('(1)예금승인내역'!H1402="","",'(1)예금승인내역'!H1402)</f>
        <v/>
      </c>
      <c r="O776" s="531" t="str">
        <f aca="false">IF('(1)예금승인내역'!G1402="","",'(1)예금승인내역'!G1402)</f>
        <v/>
      </c>
      <c r="P776" s="531" t="str">
        <f aca="false">IF('(1)예금승인내역'!F1402="","",'(1)예금승인내역'!F1402)</f>
        <v/>
      </c>
      <c r="Q776" s="531" t="str">
        <f aca="false">IF('(1)예금승인내역'!C1402="","",'(1)예금승인내역'!C1402)</f>
        <v/>
      </c>
      <c r="R776" s="531" t="str">
        <f aca="false">IF('(1)예금승인내역'!K1402="","",'(1)예금승인내역'!K1402)</f>
        <v/>
      </c>
      <c r="S776" s="531" t="str">
        <f aca="false">IF('(1)예금승인내역'!L1402="","",'(1)예금승인내역'!L1402)</f>
        <v/>
      </c>
      <c r="T776" s="531" t="str">
        <f aca="false">IF('(1)예금승인내역'!AG1402="","",'(1)예금승인내역'!AG1402)</f>
        <v/>
      </c>
      <c r="U776" s="531" t="str">
        <f aca="false">IF('(1)예금승인내역'!X1402="","",'(1)예금승인내역'!X1402)</f>
        <v/>
      </c>
      <c r="V776" s="531" t="str">
        <f aca="false">IF(ISNUMBER(N776),N776-$B$2,"")</f>
        <v/>
      </c>
      <c r="W776" s="531" t="str">
        <f aca="false">IF(AND(ISNUMBER(N776),N776&gt;=$B$2,N776&lt;=$B$2+10),N776*100000+ROW(),"")</f>
        <v/>
      </c>
      <c r="X776" s="531"/>
      <c r="Y776" s="531"/>
      <c r="Z776" s="531"/>
      <c r="AA776" s="531"/>
      <c r="AB776" s="531"/>
      <c r="AC776" s="531"/>
      <c r="AD776" s="531"/>
      <c r="AE776" s="531"/>
      <c r="AF776" s="531"/>
      <c r="AG776" s="531"/>
      <c r="AH776" s="531"/>
      <c r="AI776" s="531"/>
      <c r="AJ776" s="531"/>
      <c r="AK776" s="531"/>
      <c r="AL776" s="531"/>
      <c r="AM776" s="531"/>
      <c r="AN776" s="531"/>
    </row>
    <row r="777" customFormat="false" ht="16.5" hidden="false" customHeight="true" outlineLevel="0" collapsed="false">
      <c r="A777" s="531"/>
      <c r="B777" s="531"/>
      <c r="C777" s="531"/>
      <c r="D777" s="531"/>
      <c r="E777" s="531"/>
      <c r="F777" s="531"/>
      <c r="G777" s="531"/>
      <c r="H777" s="531"/>
      <c r="I777" s="531"/>
      <c r="J777" s="531"/>
      <c r="K777" s="531"/>
      <c r="L777" s="531"/>
      <c r="M777" s="531"/>
      <c r="N777" s="531" t="str">
        <f aca="false">IF('(1)예금승인내역'!H1403="","",'(1)예금승인내역'!H1403)</f>
        <v/>
      </c>
      <c r="O777" s="531" t="str">
        <f aca="false">IF('(1)예금승인내역'!G1403="","",'(1)예금승인내역'!G1403)</f>
        <v/>
      </c>
      <c r="P777" s="531" t="str">
        <f aca="false">IF('(1)예금승인내역'!F1403="","",'(1)예금승인내역'!F1403)</f>
        <v/>
      </c>
      <c r="Q777" s="531" t="str">
        <f aca="false">IF('(1)예금승인내역'!C1403="","",'(1)예금승인내역'!C1403)</f>
        <v/>
      </c>
      <c r="R777" s="531" t="str">
        <f aca="false">IF('(1)예금승인내역'!K1403="","",'(1)예금승인내역'!K1403)</f>
        <v/>
      </c>
      <c r="S777" s="531" t="str">
        <f aca="false">IF('(1)예금승인내역'!L1403="","",'(1)예금승인내역'!L1403)</f>
        <v/>
      </c>
      <c r="T777" s="531" t="str">
        <f aca="false">IF('(1)예금승인내역'!AG1403="","",'(1)예금승인내역'!AG1403)</f>
        <v/>
      </c>
      <c r="U777" s="531" t="str">
        <f aca="false">IF('(1)예금승인내역'!X1403="","",'(1)예금승인내역'!X1403)</f>
        <v/>
      </c>
      <c r="V777" s="531" t="str">
        <f aca="false">IF(ISNUMBER(N777),N777-$B$2,"")</f>
        <v/>
      </c>
      <c r="W777" s="531" t="str">
        <f aca="false">IF(AND(ISNUMBER(N777),N777&gt;=$B$2,N777&lt;=$B$2+10),N777*100000+ROW(),"")</f>
        <v/>
      </c>
      <c r="X777" s="531"/>
      <c r="Y777" s="531"/>
      <c r="Z777" s="531"/>
      <c r="AA777" s="531"/>
      <c r="AB777" s="531"/>
      <c r="AC777" s="531"/>
      <c r="AD777" s="531"/>
      <c r="AE777" s="531"/>
      <c r="AF777" s="531"/>
      <c r="AG777" s="531"/>
      <c r="AH777" s="531"/>
      <c r="AI777" s="531"/>
      <c r="AJ777" s="531"/>
      <c r="AK777" s="531"/>
      <c r="AL777" s="531"/>
      <c r="AM777" s="531"/>
      <c r="AN777" s="531"/>
    </row>
    <row r="778" customFormat="false" ht="16.5" hidden="false" customHeight="true" outlineLevel="0" collapsed="false">
      <c r="A778" s="531"/>
      <c r="B778" s="531"/>
      <c r="C778" s="531"/>
      <c r="D778" s="531"/>
      <c r="E778" s="531"/>
      <c r="F778" s="531"/>
      <c r="G778" s="531"/>
      <c r="H778" s="531"/>
      <c r="I778" s="531"/>
      <c r="J778" s="531"/>
      <c r="K778" s="531"/>
      <c r="L778" s="531"/>
      <c r="M778" s="531"/>
      <c r="N778" s="531" t="str">
        <f aca="false">IF('(1)예금승인내역'!H1404="","",'(1)예금승인내역'!H1404)</f>
        <v/>
      </c>
      <c r="O778" s="531" t="str">
        <f aca="false">IF('(1)예금승인내역'!G1404="","",'(1)예금승인내역'!G1404)</f>
        <v/>
      </c>
      <c r="P778" s="531" t="str">
        <f aca="false">IF('(1)예금승인내역'!F1404="","",'(1)예금승인내역'!F1404)</f>
        <v/>
      </c>
      <c r="Q778" s="531" t="str">
        <f aca="false">IF('(1)예금승인내역'!C1404="","",'(1)예금승인내역'!C1404)</f>
        <v/>
      </c>
      <c r="R778" s="531" t="str">
        <f aca="false">IF('(1)예금승인내역'!K1404="","",'(1)예금승인내역'!K1404)</f>
        <v/>
      </c>
      <c r="S778" s="531" t="str">
        <f aca="false">IF('(1)예금승인내역'!L1404="","",'(1)예금승인내역'!L1404)</f>
        <v/>
      </c>
      <c r="T778" s="531" t="str">
        <f aca="false">IF('(1)예금승인내역'!AG1404="","",'(1)예금승인내역'!AG1404)</f>
        <v/>
      </c>
      <c r="U778" s="531" t="str">
        <f aca="false">IF('(1)예금승인내역'!X1404="","",'(1)예금승인내역'!X1404)</f>
        <v/>
      </c>
      <c r="V778" s="531" t="str">
        <f aca="false">IF(ISNUMBER(N778),N778-$B$2,"")</f>
        <v/>
      </c>
      <c r="W778" s="531" t="str">
        <f aca="false">IF(AND(ISNUMBER(N778),N778&gt;=$B$2,N778&lt;=$B$2+10),N778*100000+ROW(),"")</f>
        <v/>
      </c>
      <c r="X778" s="531"/>
      <c r="Y778" s="531"/>
      <c r="Z778" s="531"/>
      <c r="AA778" s="531"/>
      <c r="AB778" s="531"/>
      <c r="AC778" s="531"/>
      <c r="AD778" s="531"/>
      <c r="AE778" s="531"/>
      <c r="AF778" s="531"/>
      <c r="AG778" s="531"/>
      <c r="AH778" s="531"/>
      <c r="AI778" s="531"/>
      <c r="AJ778" s="531"/>
      <c r="AK778" s="531"/>
      <c r="AL778" s="531"/>
      <c r="AM778" s="531"/>
      <c r="AN778" s="531"/>
    </row>
    <row r="779" customFormat="false" ht="16.5" hidden="false" customHeight="true" outlineLevel="0" collapsed="false">
      <c r="A779" s="531"/>
      <c r="B779" s="531"/>
      <c r="C779" s="531"/>
      <c r="D779" s="531"/>
      <c r="E779" s="531"/>
      <c r="F779" s="531"/>
      <c r="G779" s="531"/>
      <c r="H779" s="531"/>
      <c r="I779" s="531"/>
      <c r="J779" s="531"/>
      <c r="K779" s="531"/>
      <c r="L779" s="531"/>
      <c r="M779" s="531"/>
      <c r="N779" s="531" t="str">
        <f aca="false">IF('(1)예금승인내역'!H1405="","",'(1)예금승인내역'!H1405)</f>
        <v/>
      </c>
      <c r="O779" s="531" t="str">
        <f aca="false">IF('(1)예금승인내역'!G1405="","",'(1)예금승인내역'!G1405)</f>
        <v/>
      </c>
      <c r="P779" s="531" t="str">
        <f aca="false">IF('(1)예금승인내역'!F1405="","",'(1)예금승인내역'!F1405)</f>
        <v/>
      </c>
      <c r="Q779" s="531" t="str">
        <f aca="false">IF('(1)예금승인내역'!C1405="","",'(1)예금승인내역'!C1405)</f>
        <v/>
      </c>
      <c r="R779" s="531" t="str">
        <f aca="false">IF('(1)예금승인내역'!K1405="","",'(1)예금승인내역'!K1405)</f>
        <v/>
      </c>
      <c r="S779" s="531" t="str">
        <f aca="false">IF('(1)예금승인내역'!L1405="","",'(1)예금승인내역'!L1405)</f>
        <v/>
      </c>
      <c r="T779" s="531" t="str">
        <f aca="false">IF('(1)예금승인내역'!AG1405="","",'(1)예금승인내역'!AG1405)</f>
        <v/>
      </c>
      <c r="U779" s="531" t="str">
        <f aca="false">IF('(1)예금승인내역'!X1405="","",'(1)예금승인내역'!X1405)</f>
        <v/>
      </c>
      <c r="V779" s="531" t="str">
        <f aca="false">IF(ISNUMBER(N779),N779-$B$2,"")</f>
        <v/>
      </c>
      <c r="W779" s="531" t="str">
        <f aca="false">IF(AND(ISNUMBER(N779),N779&gt;=$B$2,N779&lt;=$B$2+10),N779*100000+ROW(),"")</f>
        <v/>
      </c>
      <c r="X779" s="531"/>
      <c r="Y779" s="531"/>
      <c r="Z779" s="531"/>
      <c r="AA779" s="531"/>
      <c r="AB779" s="531"/>
      <c r="AC779" s="531"/>
      <c r="AD779" s="531"/>
      <c r="AE779" s="531"/>
      <c r="AF779" s="531"/>
      <c r="AG779" s="531"/>
      <c r="AH779" s="531"/>
      <c r="AI779" s="531"/>
      <c r="AJ779" s="531"/>
      <c r="AK779" s="531"/>
      <c r="AL779" s="531"/>
      <c r="AM779" s="531"/>
      <c r="AN779" s="531"/>
    </row>
    <row r="780" customFormat="false" ht="16.5" hidden="false" customHeight="true" outlineLevel="0" collapsed="false">
      <c r="A780" s="531"/>
      <c r="B780" s="531"/>
      <c r="C780" s="531"/>
      <c r="D780" s="531"/>
      <c r="E780" s="531"/>
      <c r="F780" s="531"/>
      <c r="G780" s="531"/>
      <c r="H780" s="531"/>
      <c r="I780" s="531"/>
      <c r="J780" s="531"/>
      <c r="K780" s="531"/>
      <c r="L780" s="531"/>
      <c r="M780" s="531"/>
      <c r="N780" s="531" t="str">
        <f aca="false">IF('(1)예금승인내역'!H1406="","",'(1)예금승인내역'!H1406)</f>
        <v/>
      </c>
      <c r="O780" s="531" t="str">
        <f aca="false">IF('(1)예금승인내역'!G1406="","",'(1)예금승인내역'!G1406)</f>
        <v/>
      </c>
      <c r="P780" s="531" t="str">
        <f aca="false">IF('(1)예금승인내역'!F1406="","",'(1)예금승인내역'!F1406)</f>
        <v/>
      </c>
      <c r="Q780" s="531" t="str">
        <f aca="false">IF('(1)예금승인내역'!C1406="","",'(1)예금승인내역'!C1406)</f>
        <v/>
      </c>
      <c r="R780" s="531" t="str">
        <f aca="false">IF('(1)예금승인내역'!K1406="","",'(1)예금승인내역'!K1406)</f>
        <v/>
      </c>
      <c r="S780" s="531" t="str">
        <f aca="false">IF('(1)예금승인내역'!L1406="","",'(1)예금승인내역'!L1406)</f>
        <v/>
      </c>
      <c r="T780" s="531" t="str">
        <f aca="false">IF('(1)예금승인내역'!AG1406="","",'(1)예금승인내역'!AG1406)</f>
        <v/>
      </c>
      <c r="U780" s="531" t="str">
        <f aca="false">IF('(1)예금승인내역'!X1406="","",'(1)예금승인내역'!X1406)</f>
        <v/>
      </c>
      <c r="V780" s="531" t="str">
        <f aca="false">IF(ISNUMBER(N780),N780-$B$2,"")</f>
        <v/>
      </c>
      <c r="W780" s="531" t="str">
        <f aca="false">IF(AND(ISNUMBER(N780),N780&gt;=$B$2,N780&lt;=$B$2+10),N780*100000+ROW(),"")</f>
        <v/>
      </c>
      <c r="X780" s="531"/>
      <c r="Y780" s="531"/>
      <c r="Z780" s="531"/>
      <c r="AA780" s="531"/>
      <c r="AB780" s="531"/>
      <c r="AC780" s="531"/>
      <c r="AD780" s="531"/>
      <c r="AE780" s="531"/>
      <c r="AF780" s="531"/>
      <c r="AG780" s="531"/>
      <c r="AH780" s="531"/>
      <c r="AI780" s="531"/>
      <c r="AJ780" s="531"/>
      <c r="AK780" s="531"/>
      <c r="AL780" s="531"/>
      <c r="AM780" s="531"/>
      <c r="AN780" s="531"/>
    </row>
    <row r="781" customFormat="false" ht="16.5" hidden="false" customHeight="true" outlineLevel="0" collapsed="false">
      <c r="A781" s="531"/>
      <c r="B781" s="531"/>
      <c r="C781" s="531"/>
      <c r="D781" s="531"/>
      <c r="E781" s="531"/>
      <c r="F781" s="531"/>
      <c r="G781" s="531"/>
      <c r="H781" s="531"/>
      <c r="I781" s="531"/>
      <c r="J781" s="531"/>
      <c r="K781" s="531"/>
      <c r="L781" s="531"/>
      <c r="M781" s="531"/>
      <c r="N781" s="531" t="str">
        <f aca="false">IF('(1)예금승인내역'!H1407="","",'(1)예금승인내역'!H1407)</f>
        <v/>
      </c>
      <c r="O781" s="531" t="str">
        <f aca="false">IF('(1)예금승인내역'!G1407="","",'(1)예금승인내역'!G1407)</f>
        <v/>
      </c>
      <c r="P781" s="531" t="str">
        <f aca="false">IF('(1)예금승인내역'!F1407="","",'(1)예금승인내역'!F1407)</f>
        <v/>
      </c>
      <c r="Q781" s="531" t="str">
        <f aca="false">IF('(1)예금승인내역'!C1407="","",'(1)예금승인내역'!C1407)</f>
        <v/>
      </c>
      <c r="R781" s="531" t="str">
        <f aca="false">IF('(1)예금승인내역'!K1407="","",'(1)예금승인내역'!K1407)</f>
        <v/>
      </c>
      <c r="S781" s="531" t="str">
        <f aca="false">IF('(1)예금승인내역'!L1407="","",'(1)예금승인내역'!L1407)</f>
        <v/>
      </c>
      <c r="T781" s="531" t="str">
        <f aca="false">IF('(1)예금승인내역'!AG1407="","",'(1)예금승인내역'!AG1407)</f>
        <v/>
      </c>
      <c r="U781" s="531" t="str">
        <f aca="false">IF('(1)예금승인내역'!X1407="","",'(1)예금승인내역'!X1407)</f>
        <v/>
      </c>
      <c r="V781" s="531" t="str">
        <f aca="false">IF(ISNUMBER(N781),N781-$B$2,"")</f>
        <v/>
      </c>
      <c r="W781" s="531" t="str">
        <f aca="false">IF(AND(ISNUMBER(N781),N781&gt;=$B$2,N781&lt;=$B$2+10),N781*100000+ROW(),"")</f>
        <v/>
      </c>
      <c r="X781" s="531"/>
      <c r="Y781" s="531"/>
      <c r="Z781" s="531"/>
      <c r="AA781" s="531"/>
      <c r="AB781" s="531"/>
      <c r="AC781" s="531"/>
      <c r="AD781" s="531"/>
      <c r="AE781" s="531"/>
      <c r="AF781" s="531"/>
      <c r="AG781" s="531"/>
      <c r="AH781" s="531"/>
      <c r="AI781" s="531"/>
      <c r="AJ781" s="531"/>
      <c r="AK781" s="531"/>
      <c r="AL781" s="531"/>
      <c r="AM781" s="531"/>
      <c r="AN781" s="531"/>
    </row>
    <row r="782" customFormat="false" ht="16.5" hidden="false" customHeight="true" outlineLevel="0" collapsed="false">
      <c r="A782" s="531"/>
      <c r="B782" s="531"/>
      <c r="C782" s="531"/>
      <c r="D782" s="531"/>
      <c r="E782" s="531"/>
      <c r="F782" s="531"/>
      <c r="G782" s="531"/>
      <c r="H782" s="531"/>
      <c r="I782" s="531"/>
      <c r="J782" s="531"/>
      <c r="K782" s="531"/>
      <c r="L782" s="531"/>
      <c r="M782" s="531"/>
      <c r="N782" s="531" t="str">
        <f aca="false">IF('(1)예금승인내역'!H1408="","",'(1)예금승인내역'!H1408)</f>
        <v/>
      </c>
      <c r="O782" s="531" t="str">
        <f aca="false">IF('(1)예금승인내역'!G1408="","",'(1)예금승인내역'!G1408)</f>
        <v/>
      </c>
      <c r="P782" s="531" t="str">
        <f aca="false">IF('(1)예금승인내역'!F1408="","",'(1)예금승인내역'!F1408)</f>
        <v/>
      </c>
      <c r="Q782" s="531" t="str">
        <f aca="false">IF('(1)예금승인내역'!C1408="","",'(1)예금승인내역'!C1408)</f>
        <v/>
      </c>
      <c r="R782" s="531" t="str">
        <f aca="false">IF('(1)예금승인내역'!K1408="","",'(1)예금승인내역'!K1408)</f>
        <v/>
      </c>
      <c r="S782" s="531" t="str">
        <f aca="false">IF('(1)예금승인내역'!L1408="","",'(1)예금승인내역'!L1408)</f>
        <v/>
      </c>
      <c r="T782" s="531" t="str">
        <f aca="false">IF('(1)예금승인내역'!AG1408="","",'(1)예금승인내역'!AG1408)</f>
        <v/>
      </c>
      <c r="U782" s="531" t="str">
        <f aca="false">IF('(1)예금승인내역'!X1408="","",'(1)예금승인내역'!X1408)</f>
        <v/>
      </c>
      <c r="V782" s="531" t="str">
        <f aca="false">IF(ISNUMBER(N782),N782-$B$2,"")</f>
        <v/>
      </c>
      <c r="W782" s="531" t="str">
        <f aca="false">IF(AND(ISNUMBER(N782),N782&gt;=$B$2,N782&lt;=$B$2+10),N782*100000+ROW(),"")</f>
        <v/>
      </c>
      <c r="X782" s="531"/>
      <c r="Y782" s="531"/>
      <c r="Z782" s="531"/>
      <c r="AA782" s="531"/>
      <c r="AB782" s="531"/>
      <c r="AC782" s="531"/>
      <c r="AD782" s="531"/>
      <c r="AE782" s="531"/>
      <c r="AF782" s="531"/>
      <c r="AG782" s="531"/>
      <c r="AH782" s="531"/>
      <c r="AI782" s="531"/>
      <c r="AJ782" s="531"/>
      <c r="AK782" s="531"/>
      <c r="AL782" s="531"/>
      <c r="AM782" s="531"/>
      <c r="AN782" s="531"/>
    </row>
    <row r="783" customFormat="false" ht="16.5" hidden="false" customHeight="true" outlineLevel="0" collapsed="false">
      <c r="A783" s="531"/>
      <c r="B783" s="531"/>
      <c r="C783" s="531"/>
      <c r="D783" s="531"/>
      <c r="E783" s="531"/>
      <c r="F783" s="531"/>
      <c r="G783" s="531"/>
      <c r="H783" s="531"/>
      <c r="I783" s="531"/>
      <c r="J783" s="531"/>
      <c r="K783" s="531"/>
      <c r="L783" s="531"/>
      <c r="M783" s="531"/>
      <c r="N783" s="531" t="str">
        <f aca="false">IF('(1)예금승인내역'!H1409="","",'(1)예금승인내역'!H1409)</f>
        <v/>
      </c>
      <c r="O783" s="531" t="str">
        <f aca="false">IF('(1)예금승인내역'!G1409="","",'(1)예금승인내역'!G1409)</f>
        <v/>
      </c>
      <c r="P783" s="531" t="str">
        <f aca="false">IF('(1)예금승인내역'!F1409="","",'(1)예금승인내역'!F1409)</f>
        <v/>
      </c>
      <c r="Q783" s="531" t="str">
        <f aca="false">IF('(1)예금승인내역'!C1409="","",'(1)예금승인내역'!C1409)</f>
        <v/>
      </c>
      <c r="R783" s="531" t="str">
        <f aca="false">IF('(1)예금승인내역'!K1409="","",'(1)예금승인내역'!K1409)</f>
        <v/>
      </c>
      <c r="S783" s="531" t="str">
        <f aca="false">IF('(1)예금승인내역'!L1409="","",'(1)예금승인내역'!L1409)</f>
        <v/>
      </c>
      <c r="T783" s="531" t="str">
        <f aca="false">IF('(1)예금승인내역'!AG1409="","",'(1)예금승인내역'!AG1409)</f>
        <v/>
      </c>
      <c r="U783" s="531" t="str">
        <f aca="false">IF('(1)예금승인내역'!X1409="","",'(1)예금승인내역'!X1409)</f>
        <v/>
      </c>
      <c r="V783" s="531" t="str">
        <f aca="false">IF(ISNUMBER(N783),N783-$B$2,"")</f>
        <v/>
      </c>
      <c r="W783" s="531" t="str">
        <f aca="false">IF(AND(ISNUMBER(N783),N783&gt;=$B$2,N783&lt;=$B$2+10),N783*100000+ROW(),"")</f>
        <v/>
      </c>
      <c r="X783" s="531"/>
      <c r="Y783" s="531"/>
      <c r="Z783" s="531"/>
      <c r="AA783" s="531"/>
      <c r="AB783" s="531"/>
      <c r="AC783" s="531"/>
      <c r="AD783" s="531"/>
      <c r="AE783" s="531"/>
      <c r="AF783" s="531"/>
      <c r="AG783" s="531"/>
      <c r="AH783" s="531"/>
      <c r="AI783" s="531"/>
      <c r="AJ783" s="531"/>
      <c r="AK783" s="531"/>
      <c r="AL783" s="531"/>
      <c r="AM783" s="531"/>
      <c r="AN783" s="531"/>
    </row>
    <row r="784" customFormat="false" ht="16.5" hidden="false" customHeight="true" outlineLevel="0" collapsed="false">
      <c r="A784" s="531"/>
      <c r="B784" s="531"/>
      <c r="C784" s="531"/>
      <c r="D784" s="531"/>
      <c r="E784" s="531"/>
      <c r="F784" s="531"/>
      <c r="G784" s="531"/>
      <c r="H784" s="531"/>
      <c r="I784" s="531"/>
      <c r="J784" s="531"/>
      <c r="K784" s="531"/>
      <c r="L784" s="531"/>
      <c r="M784" s="531"/>
      <c r="N784" s="531" t="str">
        <f aca="false">IF('(1)예금승인내역'!H1410="","",'(1)예금승인내역'!H1410)</f>
        <v/>
      </c>
      <c r="O784" s="531" t="str">
        <f aca="false">IF('(1)예금승인내역'!G1410="","",'(1)예금승인내역'!G1410)</f>
        <v/>
      </c>
      <c r="P784" s="531" t="str">
        <f aca="false">IF('(1)예금승인내역'!F1410="","",'(1)예금승인내역'!F1410)</f>
        <v/>
      </c>
      <c r="Q784" s="531" t="str">
        <f aca="false">IF('(1)예금승인내역'!C1410="","",'(1)예금승인내역'!C1410)</f>
        <v/>
      </c>
      <c r="R784" s="531" t="str">
        <f aca="false">IF('(1)예금승인내역'!K1410="","",'(1)예금승인내역'!K1410)</f>
        <v/>
      </c>
      <c r="S784" s="531" t="str">
        <f aca="false">IF('(1)예금승인내역'!L1410="","",'(1)예금승인내역'!L1410)</f>
        <v/>
      </c>
      <c r="T784" s="531" t="str">
        <f aca="false">IF('(1)예금승인내역'!AG1410="","",'(1)예금승인내역'!AG1410)</f>
        <v/>
      </c>
      <c r="U784" s="531" t="str">
        <f aca="false">IF('(1)예금승인내역'!X1410="","",'(1)예금승인내역'!X1410)</f>
        <v/>
      </c>
      <c r="V784" s="531" t="str">
        <f aca="false">IF(ISNUMBER(N784),N784-$B$2,"")</f>
        <v/>
      </c>
      <c r="W784" s="531" t="str">
        <f aca="false">IF(AND(ISNUMBER(N784),N784&gt;=$B$2,N784&lt;=$B$2+10),N784*100000+ROW(),"")</f>
        <v/>
      </c>
      <c r="X784" s="531"/>
      <c r="Y784" s="531"/>
      <c r="Z784" s="531"/>
      <c r="AA784" s="531"/>
      <c r="AB784" s="531"/>
      <c r="AC784" s="531"/>
      <c r="AD784" s="531"/>
      <c r="AE784" s="531"/>
      <c r="AF784" s="531"/>
      <c r="AG784" s="531"/>
      <c r="AH784" s="531"/>
      <c r="AI784" s="531"/>
      <c r="AJ784" s="531"/>
      <c r="AK784" s="531"/>
      <c r="AL784" s="531"/>
      <c r="AM784" s="531"/>
      <c r="AN784" s="531"/>
    </row>
    <row r="785" customFormat="false" ht="16.5" hidden="false" customHeight="true" outlineLevel="0" collapsed="false">
      <c r="A785" s="531"/>
      <c r="B785" s="531"/>
      <c r="C785" s="531"/>
      <c r="D785" s="531"/>
      <c r="E785" s="531"/>
      <c r="F785" s="531"/>
      <c r="G785" s="531"/>
      <c r="H785" s="531"/>
      <c r="I785" s="531"/>
      <c r="J785" s="531"/>
      <c r="K785" s="531"/>
      <c r="L785" s="531"/>
      <c r="M785" s="531"/>
      <c r="N785" s="531" t="str">
        <f aca="false">IF('(1)예금승인내역'!H1411="","",'(1)예금승인내역'!H1411)</f>
        <v/>
      </c>
      <c r="O785" s="531" t="str">
        <f aca="false">IF('(1)예금승인내역'!G1411="","",'(1)예금승인내역'!G1411)</f>
        <v/>
      </c>
      <c r="P785" s="531" t="str">
        <f aca="false">IF('(1)예금승인내역'!F1411="","",'(1)예금승인내역'!F1411)</f>
        <v/>
      </c>
      <c r="Q785" s="531" t="str">
        <f aca="false">IF('(1)예금승인내역'!C1411="","",'(1)예금승인내역'!C1411)</f>
        <v/>
      </c>
      <c r="R785" s="531" t="str">
        <f aca="false">IF('(1)예금승인내역'!K1411="","",'(1)예금승인내역'!K1411)</f>
        <v/>
      </c>
      <c r="S785" s="531" t="str">
        <f aca="false">IF('(1)예금승인내역'!L1411="","",'(1)예금승인내역'!L1411)</f>
        <v/>
      </c>
      <c r="T785" s="531" t="str">
        <f aca="false">IF('(1)예금승인내역'!AG1411="","",'(1)예금승인내역'!AG1411)</f>
        <v/>
      </c>
      <c r="U785" s="531" t="str">
        <f aca="false">IF('(1)예금승인내역'!X1411="","",'(1)예금승인내역'!X1411)</f>
        <v/>
      </c>
      <c r="V785" s="531" t="str">
        <f aca="false">IF(ISNUMBER(N785),N785-$B$2,"")</f>
        <v/>
      </c>
      <c r="W785" s="531" t="str">
        <f aca="false">IF(AND(ISNUMBER(N785),N785&gt;=$B$2,N785&lt;=$B$2+10),N785*100000+ROW(),"")</f>
        <v/>
      </c>
      <c r="X785" s="531"/>
      <c r="Y785" s="531"/>
      <c r="Z785" s="531"/>
      <c r="AA785" s="531"/>
      <c r="AB785" s="531"/>
      <c r="AC785" s="531"/>
      <c r="AD785" s="531"/>
      <c r="AE785" s="531"/>
      <c r="AF785" s="531"/>
      <c r="AG785" s="531"/>
      <c r="AH785" s="531"/>
      <c r="AI785" s="531"/>
      <c r="AJ785" s="531"/>
      <c r="AK785" s="531"/>
      <c r="AL785" s="531"/>
      <c r="AM785" s="531"/>
      <c r="AN785" s="531"/>
    </row>
    <row r="786" customFormat="false" ht="16.5" hidden="false" customHeight="true" outlineLevel="0" collapsed="false">
      <c r="A786" s="531"/>
      <c r="B786" s="531"/>
      <c r="C786" s="531"/>
      <c r="D786" s="531"/>
      <c r="E786" s="531"/>
      <c r="F786" s="531"/>
      <c r="G786" s="531"/>
      <c r="H786" s="531"/>
      <c r="I786" s="531"/>
      <c r="J786" s="531"/>
      <c r="K786" s="531"/>
      <c r="L786" s="531"/>
      <c r="M786" s="531"/>
      <c r="N786" s="531" t="str">
        <f aca="false">IF('(1)예금승인내역'!H1412="","",'(1)예금승인내역'!H1412)</f>
        <v/>
      </c>
      <c r="O786" s="531" t="str">
        <f aca="false">IF('(1)예금승인내역'!G1412="","",'(1)예금승인내역'!G1412)</f>
        <v/>
      </c>
      <c r="P786" s="531" t="str">
        <f aca="false">IF('(1)예금승인내역'!F1412="","",'(1)예금승인내역'!F1412)</f>
        <v/>
      </c>
      <c r="Q786" s="531" t="str">
        <f aca="false">IF('(1)예금승인내역'!C1412="","",'(1)예금승인내역'!C1412)</f>
        <v/>
      </c>
      <c r="R786" s="531" t="str">
        <f aca="false">IF('(1)예금승인내역'!K1412="","",'(1)예금승인내역'!K1412)</f>
        <v/>
      </c>
      <c r="S786" s="531" t="str">
        <f aca="false">IF('(1)예금승인내역'!L1412="","",'(1)예금승인내역'!L1412)</f>
        <v/>
      </c>
      <c r="T786" s="531" t="str">
        <f aca="false">IF('(1)예금승인내역'!AG1412="","",'(1)예금승인내역'!AG1412)</f>
        <v/>
      </c>
      <c r="U786" s="531" t="str">
        <f aca="false">IF('(1)예금승인내역'!X1412="","",'(1)예금승인내역'!X1412)</f>
        <v/>
      </c>
      <c r="V786" s="531" t="str">
        <f aca="false">IF(ISNUMBER(N786),N786-$B$2,"")</f>
        <v/>
      </c>
      <c r="W786" s="531" t="str">
        <f aca="false">IF(AND(ISNUMBER(N786),N786&gt;=$B$2,N786&lt;=$B$2+10),N786*100000+ROW(),"")</f>
        <v/>
      </c>
      <c r="X786" s="531"/>
      <c r="Y786" s="531"/>
      <c r="Z786" s="531"/>
      <c r="AA786" s="531"/>
      <c r="AB786" s="531"/>
      <c r="AC786" s="531"/>
      <c r="AD786" s="531"/>
      <c r="AE786" s="531"/>
      <c r="AF786" s="531"/>
      <c r="AG786" s="531"/>
      <c r="AH786" s="531"/>
      <c r="AI786" s="531"/>
      <c r="AJ786" s="531"/>
      <c r="AK786" s="531"/>
      <c r="AL786" s="531"/>
      <c r="AM786" s="531"/>
      <c r="AN786" s="531"/>
    </row>
    <row r="787" customFormat="false" ht="16.5" hidden="false" customHeight="true" outlineLevel="0" collapsed="false">
      <c r="A787" s="531"/>
      <c r="B787" s="531"/>
      <c r="C787" s="531"/>
      <c r="D787" s="531"/>
      <c r="E787" s="531"/>
      <c r="F787" s="531"/>
      <c r="G787" s="531"/>
      <c r="H787" s="531"/>
      <c r="I787" s="531"/>
      <c r="J787" s="531"/>
      <c r="K787" s="531"/>
      <c r="L787" s="531"/>
      <c r="M787" s="531"/>
      <c r="N787" s="531" t="str">
        <f aca="false">IF('(1)예금승인내역'!H1413="","",'(1)예금승인내역'!H1413)</f>
        <v/>
      </c>
      <c r="O787" s="531" t="str">
        <f aca="false">IF('(1)예금승인내역'!G1413="","",'(1)예금승인내역'!G1413)</f>
        <v/>
      </c>
      <c r="P787" s="531" t="str">
        <f aca="false">IF('(1)예금승인내역'!F1413="","",'(1)예금승인내역'!F1413)</f>
        <v/>
      </c>
      <c r="Q787" s="531" t="str">
        <f aca="false">IF('(1)예금승인내역'!C1413="","",'(1)예금승인내역'!C1413)</f>
        <v/>
      </c>
      <c r="R787" s="531" t="str">
        <f aca="false">IF('(1)예금승인내역'!K1413="","",'(1)예금승인내역'!K1413)</f>
        <v/>
      </c>
      <c r="S787" s="531" t="str">
        <f aca="false">IF('(1)예금승인내역'!L1413="","",'(1)예금승인내역'!L1413)</f>
        <v/>
      </c>
      <c r="T787" s="531" t="str">
        <f aca="false">IF('(1)예금승인내역'!AG1413="","",'(1)예금승인내역'!AG1413)</f>
        <v/>
      </c>
      <c r="U787" s="531" t="str">
        <f aca="false">IF('(1)예금승인내역'!X1413="","",'(1)예금승인내역'!X1413)</f>
        <v/>
      </c>
      <c r="V787" s="531" t="str">
        <f aca="false">IF(ISNUMBER(N787),N787-$B$2,"")</f>
        <v/>
      </c>
      <c r="W787" s="531" t="str">
        <f aca="false">IF(AND(ISNUMBER(N787),N787&gt;=$B$2,N787&lt;=$B$2+10),N787*100000+ROW(),"")</f>
        <v/>
      </c>
      <c r="X787" s="531"/>
      <c r="Y787" s="531"/>
      <c r="Z787" s="531"/>
      <c r="AA787" s="531"/>
      <c r="AB787" s="531"/>
      <c r="AC787" s="531"/>
      <c r="AD787" s="531"/>
      <c r="AE787" s="531"/>
      <c r="AF787" s="531"/>
      <c r="AG787" s="531"/>
      <c r="AH787" s="531"/>
      <c r="AI787" s="531"/>
      <c r="AJ787" s="531"/>
      <c r="AK787" s="531"/>
      <c r="AL787" s="531"/>
      <c r="AM787" s="531"/>
      <c r="AN787" s="531"/>
    </row>
    <row r="788" customFormat="false" ht="16.5" hidden="false" customHeight="true" outlineLevel="0" collapsed="false">
      <c r="A788" s="531"/>
      <c r="B788" s="531"/>
      <c r="C788" s="531"/>
      <c r="D788" s="531"/>
      <c r="E788" s="531"/>
      <c r="F788" s="531"/>
      <c r="G788" s="531"/>
      <c r="H788" s="531"/>
      <c r="I788" s="531"/>
      <c r="J788" s="531"/>
      <c r="K788" s="531"/>
      <c r="L788" s="531"/>
      <c r="M788" s="531"/>
      <c r="N788" s="531" t="str">
        <f aca="false">IF('(1)예금승인내역'!H1414="","",'(1)예금승인내역'!H1414)</f>
        <v/>
      </c>
      <c r="O788" s="531" t="str">
        <f aca="false">IF('(1)예금승인내역'!G1414="","",'(1)예금승인내역'!G1414)</f>
        <v/>
      </c>
      <c r="P788" s="531" t="str">
        <f aca="false">IF('(1)예금승인내역'!F1414="","",'(1)예금승인내역'!F1414)</f>
        <v/>
      </c>
      <c r="Q788" s="531" t="str">
        <f aca="false">IF('(1)예금승인내역'!C1414="","",'(1)예금승인내역'!C1414)</f>
        <v/>
      </c>
      <c r="R788" s="531" t="str">
        <f aca="false">IF('(1)예금승인내역'!K1414="","",'(1)예금승인내역'!K1414)</f>
        <v/>
      </c>
      <c r="S788" s="531" t="str">
        <f aca="false">IF('(1)예금승인내역'!L1414="","",'(1)예금승인내역'!L1414)</f>
        <v/>
      </c>
      <c r="T788" s="531" t="str">
        <f aca="false">IF('(1)예금승인내역'!AG1414="","",'(1)예금승인내역'!AG1414)</f>
        <v/>
      </c>
      <c r="U788" s="531" t="str">
        <f aca="false">IF('(1)예금승인내역'!X1414="","",'(1)예금승인내역'!X1414)</f>
        <v/>
      </c>
      <c r="V788" s="531" t="str">
        <f aca="false">IF(ISNUMBER(N788),N788-$B$2,"")</f>
        <v/>
      </c>
      <c r="W788" s="531" t="str">
        <f aca="false">IF(AND(ISNUMBER(N788),N788&gt;=$B$2,N788&lt;=$B$2+10),N788*100000+ROW(),"")</f>
        <v/>
      </c>
      <c r="X788" s="531"/>
      <c r="Y788" s="531"/>
      <c r="Z788" s="531"/>
      <c r="AA788" s="531"/>
      <c r="AB788" s="531"/>
      <c r="AC788" s="531"/>
      <c r="AD788" s="531"/>
      <c r="AE788" s="531"/>
      <c r="AF788" s="531"/>
      <c r="AG788" s="531"/>
      <c r="AH788" s="531"/>
      <c r="AI788" s="531"/>
      <c r="AJ788" s="531"/>
      <c r="AK788" s="531"/>
      <c r="AL788" s="531"/>
      <c r="AM788" s="531"/>
      <c r="AN788" s="531"/>
    </row>
    <row r="789" customFormat="false" ht="16.5" hidden="false" customHeight="true" outlineLevel="0" collapsed="false">
      <c r="A789" s="531"/>
      <c r="B789" s="531"/>
      <c r="C789" s="531"/>
      <c r="D789" s="531"/>
      <c r="E789" s="531"/>
      <c r="F789" s="531"/>
      <c r="G789" s="531"/>
      <c r="H789" s="531"/>
      <c r="I789" s="531"/>
      <c r="J789" s="531"/>
      <c r="K789" s="531"/>
      <c r="L789" s="531"/>
      <c r="M789" s="531"/>
      <c r="N789" s="531" t="str">
        <f aca="false">IF('(1)예금승인내역'!H1415="","",'(1)예금승인내역'!H1415)</f>
        <v/>
      </c>
      <c r="O789" s="531" t="str">
        <f aca="false">IF('(1)예금승인내역'!G1415="","",'(1)예금승인내역'!G1415)</f>
        <v/>
      </c>
      <c r="P789" s="531" t="str">
        <f aca="false">IF('(1)예금승인내역'!F1415="","",'(1)예금승인내역'!F1415)</f>
        <v/>
      </c>
      <c r="Q789" s="531" t="str">
        <f aca="false">IF('(1)예금승인내역'!C1415="","",'(1)예금승인내역'!C1415)</f>
        <v/>
      </c>
      <c r="R789" s="531" t="str">
        <f aca="false">IF('(1)예금승인내역'!K1415="","",'(1)예금승인내역'!K1415)</f>
        <v/>
      </c>
      <c r="S789" s="531" t="str">
        <f aca="false">IF('(1)예금승인내역'!L1415="","",'(1)예금승인내역'!L1415)</f>
        <v/>
      </c>
      <c r="T789" s="531" t="str">
        <f aca="false">IF('(1)예금승인내역'!AG1415="","",'(1)예금승인내역'!AG1415)</f>
        <v/>
      </c>
      <c r="U789" s="531" t="str">
        <f aca="false">IF('(1)예금승인내역'!X1415="","",'(1)예금승인내역'!X1415)</f>
        <v/>
      </c>
      <c r="V789" s="531" t="str">
        <f aca="false">IF(ISNUMBER(N789),N789-$B$2,"")</f>
        <v/>
      </c>
      <c r="W789" s="531" t="str">
        <f aca="false">IF(AND(ISNUMBER(N789),N789&gt;=$B$2,N789&lt;=$B$2+10),N789*100000+ROW(),"")</f>
        <v/>
      </c>
      <c r="X789" s="531"/>
      <c r="Y789" s="531"/>
      <c r="Z789" s="531"/>
      <c r="AA789" s="531"/>
      <c r="AB789" s="531"/>
      <c r="AC789" s="531"/>
      <c r="AD789" s="531"/>
      <c r="AE789" s="531"/>
      <c r="AF789" s="531"/>
      <c r="AG789" s="531"/>
      <c r="AH789" s="531"/>
      <c r="AI789" s="531"/>
      <c r="AJ789" s="531"/>
      <c r="AK789" s="531"/>
      <c r="AL789" s="531"/>
      <c r="AM789" s="531"/>
      <c r="AN789" s="531"/>
    </row>
    <row r="790" customFormat="false" ht="16.5" hidden="false" customHeight="true" outlineLevel="0" collapsed="false">
      <c r="A790" s="531"/>
      <c r="B790" s="531"/>
      <c r="C790" s="531"/>
      <c r="D790" s="531"/>
      <c r="E790" s="531"/>
      <c r="F790" s="531"/>
      <c r="G790" s="531"/>
      <c r="H790" s="531"/>
      <c r="I790" s="531"/>
      <c r="J790" s="531"/>
      <c r="K790" s="531"/>
      <c r="L790" s="531"/>
      <c r="M790" s="531"/>
      <c r="N790" s="531" t="str">
        <f aca="false">IF('(1)예금승인내역'!H1416="","",'(1)예금승인내역'!H1416)</f>
        <v/>
      </c>
      <c r="O790" s="531" t="str">
        <f aca="false">IF('(1)예금승인내역'!G1416="","",'(1)예금승인내역'!G1416)</f>
        <v/>
      </c>
      <c r="P790" s="531" t="str">
        <f aca="false">IF('(1)예금승인내역'!F1416="","",'(1)예금승인내역'!F1416)</f>
        <v/>
      </c>
      <c r="Q790" s="531" t="str">
        <f aca="false">IF('(1)예금승인내역'!C1416="","",'(1)예금승인내역'!C1416)</f>
        <v/>
      </c>
      <c r="R790" s="531" t="str">
        <f aca="false">IF('(1)예금승인내역'!K1416="","",'(1)예금승인내역'!K1416)</f>
        <v/>
      </c>
      <c r="S790" s="531" t="str">
        <f aca="false">IF('(1)예금승인내역'!L1416="","",'(1)예금승인내역'!L1416)</f>
        <v/>
      </c>
      <c r="T790" s="531" t="str">
        <f aca="false">IF('(1)예금승인내역'!AG1416="","",'(1)예금승인내역'!AG1416)</f>
        <v/>
      </c>
      <c r="U790" s="531" t="str">
        <f aca="false">IF('(1)예금승인내역'!X1416="","",'(1)예금승인내역'!X1416)</f>
        <v/>
      </c>
      <c r="V790" s="531" t="str">
        <f aca="false">IF(ISNUMBER(N790),N790-$B$2,"")</f>
        <v/>
      </c>
      <c r="W790" s="531" t="str">
        <f aca="false">IF(AND(ISNUMBER(N790),N790&gt;=$B$2,N790&lt;=$B$2+10),N790*100000+ROW(),"")</f>
        <v/>
      </c>
      <c r="X790" s="531"/>
      <c r="Y790" s="531"/>
      <c r="Z790" s="531"/>
      <c r="AA790" s="531"/>
      <c r="AB790" s="531"/>
      <c r="AC790" s="531"/>
      <c r="AD790" s="531"/>
      <c r="AE790" s="531"/>
      <c r="AF790" s="531"/>
      <c r="AG790" s="531"/>
      <c r="AH790" s="531"/>
      <c r="AI790" s="531"/>
      <c r="AJ790" s="531"/>
      <c r="AK790" s="531"/>
      <c r="AL790" s="531"/>
      <c r="AM790" s="531"/>
      <c r="AN790" s="531"/>
    </row>
    <row r="791" customFormat="false" ht="16.5" hidden="false" customHeight="true" outlineLevel="0" collapsed="false">
      <c r="A791" s="531"/>
      <c r="B791" s="531"/>
      <c r="C791" s="531"/>
      <c r="D791" s="531"/>
      <c r="E791" s="531"/>
      <c r="F791" s="531"/>
      <c r="G791" s="531"/>
      <c r="H791" s="531"/>
      <c r="I791" s="531"/>
      <c r="J791" s="531"/>
      <c r="K791" s="531"/>
      <c r="L791" s="531"/>
      <c r="M791" s="531"/>
      <c r="N791" s="531" t="str">
        <f aca="false">IF('(1)예금승인내역'!H1417="","",'(1)예금승인내역'!H1417)</f>
        <v/>
      </c>
      <c r="O791" s="531" t="str">
        <f aca="false">IF('(1)예금승인내역'!G1417="","",'(1)예금승인내역'!G1417)</f>
        <v/>
      </c>
      <c r="P791" s="531" t="str">
        <f aca="false">IF('(1)예금승인내역'!F1417="","",'(1)예금승인내역'!F1417)</f>
        <v/>
      </c>
      <c r="Q791" s="531" t="str">
        <f aca="false">IF('(1)예금승인내역'!C1417="","",'(1)예금승인내역'!C1417)</f>
        <v/>
      </c>
      <c r="R791" s="531" t="str">
        <f aca="false">IF('(1)예금승인내역'!K1417="","",'(1)예금승인내역'!K1417)</f>
        <v/>
      </c>
      <c r="S791" s="531" t="str">
        <f aca="false">IF('(1)예금승인내역'!L1417="","",'(1)예금승인내역'!L1417)</f>
        <v/>
      </c>
      <c r="T791" s="531" t="str">
        <f aca="false">IF('(1)예금승인내역'!AG1417="","",'(1)예금승인내역'!AG1417)</f>
        <v/>
      </c>
      <c r="U791" s="531" t="str">
        <f aca="false">IF('(1)예금승인내역'!X1417="","",'(1)예금승인내역'!X1417)</f>
        <v/>
      </c>
      <c r="V791" s="531" t="str">
        <f aca="false">IF(ISNUMBER(N791),N791-$B$2,"")</f>
        <v/>
      </c>
      <c r="W791" s="531" t="str">
        <f aca="false">IF(AND(ISNUMBER(N791),N791&gt;=$B$2,N791&lt;=$B$2+10),N791*100000+ROW(),"")</f>
        <v/>
      </c>
      <c r="X791" s="531"/>
      <c r="Y791" s="531"/>
      <c r="Z791" s="531"/>
      <c r="AA791" s="531"/>
      <c r="AB791" s="531"/>
      <c r="AC791" s="531"/>
      <c r="AD791" s="531"/>
      <c r="AE791" s="531"/>
      <c r="AF791" s="531"/>
      <c r="AG791" s="531"/>
      <c r="AH791" s="531"/>
      <c r="AI791" s="531"/>
      <c r="AJ791" s="531"/>
      <c r="AK791" s="531"/>
      <c r="AL791" s="531"/>
      <c r="AM791" s="531"/>
      <c r="AN791" s="531"/>
    </row>
    <row r="792" customFormat="false" ht="16.5" hidden="false" customHeight="true" outlineLevel="0" collapsed="false">
      <c r="A792" s="531"/>
      <c r="B792" s="531"/>
      <c r="C792" s="531"/>
      <c r="D792" s="531"/>
      <c r="E792" s="531"/>
      <c r="F792" s="531"/>
      <c r="G792" s="531"/>
      <c r="H792" s="531"/>
      <c r="I792" s="531"/>
      <c r="J792" s="531"/>
      <c r="K792" s="531"/>
      <c r="L792" s="531"/>
      <c r="M792" s="531"/>
      <c r="N792" s="531" t="str">
        <f aca="false">IF('(1)예금승인내역'!H1418="","",'(1)예금승인내역'!H1418)</f>
        <v/>
      </c>
      <c r="O792" s="531" t="str">
        <f aca="false">IF('(1)예금승인내역'!G1418="","",'(1)예금승인내역'!G1418)</f>
        <v/>
      </c>
      <c r="P792" s="531" t="str">
        <f aca="false">IF('(1)예금승인내역'!F1418="","",'(1)예금승인내역'!F1418)</f>
        <v/>
      </c>
      <c r="Q792" s="531" t="str">
        <f aca="false">IF('(1)예금승인내역'!C1418="","",'(1)예금승인내역'!C1418)</f>
        <v/>
      </c>
      <c r="R792" s="531" t="str">
        <f aca="false">IF('(1)예금승인내역'!K1418="","",'(1)예금승인내역'!K1418)</f>
        <v/>
      </c>
      <c r="S792" s="531" t="str">
        <f aca="false">IF('(1)예금승인내역'!L1418="","",'(1)예금승인내역'!L1418)</f>
        <v/>
      </c>
      <c r="T792" s="531" t="str">
        <f aca="false">IF('(1)예금승인내역'!AG1418="","",'(1)예금승인내역'!AG1418)</f>
        <v/>
      </c>
      <c r="U792" s="531" t="str">
        <f aca="false">IF('(1)예금승인내역'!X1418="","",'(1)예금승인내역'!X1418)</f>
        <v/>
      </c>
      <c r="V792" s="531" t="str">
        <f aca="false">IF(ISNUMBER(N792),N792-$B$2,"")</f>
        <v/>
      </c>
      <c r="W792" s="531" t="str">
        <f aca="false">IF(AND(ISNUMBER(N792),N792&gt;=$B$2,N792&lt;=$B$2+10),N792*100000+ROW(),"")</f>
        <v/>
      </c>
      <c r="X792" s="531"/>
      <c r="Y792" s="531"/>
      <c r="Z792" s="531"/>
      <c r="AA792" s="531"/>
      <c r="AB792" s="531"/>
      <c r="AC792" s="531"/>
      <c r="AD792" s="531"/>
      <c r="AE792" s="531"/>
      <c r="AF792" s="531"/>
      <c r="AG792" s="531"/>
      <c r="AH792" s="531"/>
      <c r="AI792" s="531"/>
      <c r="AJ792" s="531"/>
      <c r="AK792" s="531"/>
      <c r="AL792" s="531"/>
      <c r="AM792" s="531"/>
      <c r="AN792" s="531"/>
    </row>
    <row r="793" customFormat="false" ht="16.5" hidden="false" customHeight="true" outlineLevel="0" collapsed="false">
      <c r="A793" s="531"/>
      <c r="B793" s="531"/>
      <c r="C793" s="531"/>
      <c r="D793" s="531"/>
      <c r="E793" s="531"/>
      <c r="F793" s="531"/>
      <c r="G793" s="531"/>
      <c r="H793" s="531"/>
      <c r="I793" s="531"/>
      <c r="J793" s="531"/>
      <c r="K793" s="531"/>
      <c r="L793" s="531"/>
      <c r="M793" s="531"/>
      <c r="N793" s="531" t="str">
        <f aca="false">IF('(1)예금승인내역'!H1419="","",'(1)예금승인내역'!H1419)</f>
        <v/>
      </c>
      <c r="O793" s="531" t="str">
        <f aca="false">IF('(1)예금승인내역'!G1419="","",'(1)예금승인내역'!G1419)</f>
        <v/>
      </c>
      <c r="P793" s="531" t="str">
        <f aca="false">IF('(1)예금승인내역'!F1419="","",'(1)예금승인내역'!F1419)</f>
        <v/>
      </c>
      <c r="Q793" s="531" t="str">
        <f aca="false">IF('(1)예금승인내역'!C1419="","",'(1)예금승인내역'!C1419)</f>
        <v/>
      </c>
      <c r="R793" s="531" t="str">
        <f aca="false">IF('(1)예금승인내역'!K1419="","",'(1)예금승인내역'!K1419)</f>
        <v/>
      </c>
      <c r="S793" s="531" t="str">
        <f aca="false">IF('(1)예금승인내역'!L1419="","",'(1)예금승인내역'!L1419)</f>
        <v/>
      </c>
      <c r="T793" s="531" t="str">
        <f aca="false">IF('(1)예금승인내역'!AG1419="","",'(1)예금승인내역'!AG1419)</f>
        <v/>
      </c>
      <c r="U793" s="531" t="str">
        <f aca="false">IF('(1)예금승인내역'!X1419="","",'(1)예금승인내역'!X1419)</f>
        <v/>
      </c>
      <c r="V793" s="531" t="str">
        <f aca="false">IF(ISNUMBER(N793),N793-$B$2,"")</f>
        <v/>
      </c>
      <c r="W793" s="531" t="str">
        <f aca="false">IF(AND(ISNUMBER(N793),N793&gt;=$B$2,N793&lt;=$B$2+10),N793*100000+ROW(),"")</f>
        <v/>
      </c>
      <c r="X793" s="531"/>
      <c r="Y793" s="531"/>
      <c r="Z793" s="531"/>
      <c r="AA793" s="531"/>
      <c r="AB793" s="531"/>
      <c r="AC793" s="531"/>
      <c r="AD793" s="531"/>
      <c r="AE793" s="531"/>
      <c r="AF793" s="531"/>
      <c r="AG793" s="531"/>
      <c r="AH793" s="531"/>
      <c r="AI793" s="531"/>
      <c r="AJ793" s="531"/>
      <c r="AK793" s="531"/>
      <c r="AL793" s="531"/>
      <c r="AM793" s="531"/>
      <c r="AN793" s="531"/>
    </row>
    <row r="794" customFormat="false" ht="16.5" hidden="false" customHeight="true" outlineLevel="0" collapsed="false">
      <c r="A794" s="531"/>
      <c r="B794" s="531"/>
      <c r="C794" s="531"/>
      <c r="D794" s="531"/>
      <c r="E794" s="531"/>
      <c r="F794" s="531"/>
      <c r="G794" s="531"/>
      <c r="H794" s="531"/>
      <c r="I794" s="531"/>
      <c r="J794" s="531"/>
      <c r="K794" s="531"/>
      <c r="L794" s="531"/>
      <c r="M794" s="531"/>
      <c r="N794" s="531" t="str">
        <f aca="false">IF('(1)예금승인내역'!H1420="","",'(1)예금승인내역'!H1420)</f>
        <v/>
      </c>
      <c r="O794" s="531" t="str">
        <f aca="false">IF('(1)예금승인내역'!G1420="","",'(1)예금승인내역'!G1420)</f>
        <v/>
      </c>
      <c r="P794" s="531" t="str">
        <f aca="false">IF('(1)예금승인내역'!F1420="","",'(1)예금승인내역'!F1420)</f>
        <v/>
      </c>
      <c r="Q794" s="531" t="str">
        <f aca="false">IF('(1)예금승인내역'!C1420="","",'(1)예금승인내역'!C1420)</f>
        <v/>
      </c>
      <c r="R794" s="531" t="str">
        <f aca="false">IF('(1)예금승인내역'!K1420="","",'(1)예금승인내역'!K1420)</f>
        <v/>
      </c>
      <c r="S794" s="531" t="str">
        <f aca="false">IF('(1)예금승인내역'!L1420="","",'(1)예금승인내역'!L1420)</f>
        <v/>
      </c>
      <c r="T794" s="531" t="str">
        <f aca="false">IF('(1)예금승인내역'!AG1420="","",'(1)예금승인내역'!AG1420)</f>
        <v/>
      </c>
      <c r="U794" s="531" t="str">
        <f aca="false">IF('(1)예금승인내역'!X1420="","",'(1)예금승인내역'!X1420)</f>
        <v/>
      </c>
      <c r="V794" s="531" t="str">
        <f aca="false">IF(ISNUMBER(N794),N794-$B$2,"")</f>
        <v/>
      </c>
      <c r="W794" s="531" t="str">
        <f aca="false">IF(AND(ISNUMBER(N794),N794&gt;=$B$2,N794&lt;=$B$2+10),N794*100000+ROW(),"")</f>
        <v/>
      </c>
      <c r="X794" s="531"/>
      <c r="Y794" s="531"/>
      <c r="Z794" s="531"/>
      <c r="AA794" s="531"/>
      <c r="AB794" s="531"/>
      <c r="AC794" s="531"/>
      <c r="AD794" s="531"/>
      <c r="AE794" s="531"/>
      <c r="AF794" s="531"/>
      <c r="AG794" s="531"/>
      <c r="AH794" s="531"/>
      <c r="AI794" s="531"/>
      <c r="AJ794" s="531"/>
      <c r="AK794" s="531"/>
      <c r="AL794" s="531"/>
      <c r="AM794" s="531"/>
      <c r="AN794" s="531"/>
    </row>
    <row r="795" customFormat="false" ht="16.5" hidden="false" customHeight="true" outlineLevel="0" collapsed="false">
      <c r="A795" s="531"/>
      <c r="B795" s="531"/>
      <c r="C795" s="531"/>
      <c r="D795" s="531"/>
      <c r="E795" s="531"/>
      <c r="F795" s="531"/>
      <c r="G795" s="531"/>
      <c r="H795" s="531"/>
      <c r="I795" s="531"/>
      <c r="J795" s="531"/>
      <c r="K795" s="531"/>
      <c r="L795" s="531"/>
      <c r="M795" s="531"/>
      <c r="N795" s="531" t="str">
        <f aca="false">IF('(1)예금승인내역'!H1421="","",'(1)예금승인내역'!H1421)</f>
        <v/>
      </c>
      <c r="O795" s="531" t="str">
        <f aca="false">IF('(1)예금승인내역'!G1421="","",'(1)예금승인내역'!G1421)</f>
        <v/>
      </c>
      <c r="P795" s="531" t="str">
        <f aca="false">IF('(1)예금승인내역'!F1421="","",'(1)예금승인내역'!F1421)</f>
        <v/>
      </c>
      <c r="Q795" s="531" t="str">
        <f aca="false">IF('(1)예금승인내역'!C1421="","",'(1)예금승인내역'!C1421)</f>
        <v/>
      </c>
      <c r="R795" s="531" t="str">
        <f aca="false">IF('(1)예금승인내역'!K1421="","",'(1)예금승인내역'!K1421)</f>
        <v/>
      </c>
      <c r="S795" s="531" t="str">
        <f aca="false">IF('(1)예금승인내역'!L1421="","",'(1)예금승인내역'!L1421)</f>
        <v/>
      </c>
      <c r="T795" s="531" t="str">
        <f aca="false">IF('(1)예금승인내역'!AG1421="","",'(1)예금승인내역'!AG1421)</f>
        <v/>
      </c>
      <c r="U795" s="531" t="str">
        <f aca="false">IF('(1)예금승인내역'!X1421="","",'(1)예금승인내역'!X1421)</f>
        <v/>
      </c>
      <c r="V795" s="531" t="str">
        <f aca="false">IF(ISNUMBER(N795),N795-$B$2,"")</f>
        <v/>
      </c>
      <c r="W795" s="531" t="str">
        <f aca="false">IF(AND(ISNUMBER(N795),N795&gt;=$B$2,N795&lt;=$B$2+10),N795*100000+ROW(),"")</f>
        <v/>
      </c>
      <c r="X795" s="531"/>
      <c r="Y795" s="531"/>
      <c r="Z795" s="531"/>
      <c r="AA795" s="531"/>
      <c r="AB795" s="531"/>
      <c r="AC795" s="531"/>
      <c r="AD795" s="531"/>
      <c r="AE795" s="531"/>
      <c r="AF795" s="531"/>
      <c r="AG795" s="531"/>
      <c r="AH795" s="531"/>
      <c r="AI795" s="531"/>
      <c r="AJ795" s="531"/>
      <c r="AK795" s="531"/>
      <c r="AL795" s="531"/>
      <c r="AM795" s="531"/>
      <c r="AN795" s="531"/>
    </row>
    <row r="796" customFormat="false" ht="16.5" hidden="false" customHeight="true" outlineLevel="0" collapsed="false">
      <c r="A796" s="531"/>
      <c r="B796" s="531"/>
      <c r="C796" s="531"/>
      <c r="D796" s="531"/>
      <c r="E796" s="531"/>
      <c r="F796" s="531"/>
      <c r="G796" s="531"/>
      <c r="H796" s="531"/>
      <c r="I796" s="531"/>
      <c r="J796" s="531"/>
      <c r="K796" s="531"/>
      <c r="L796" s="531"/>
      <c r="M796" s="531"/>
      <c r="N796" s="531" t="str">
        <f aca="false">IF('(1)예금승인내역'!H1422="","",'(1)예금승인내역'!H1422)</f>
        <v/>
      </c>
      <c r="O796" s="531" t="str">
        <f aca="false">IF('(1)예금승인내역'!G1422="","",'(1)예금승인내역'!G1422)</f>
        <v/>
      </c>
      <c r="P796" s="531" t="str">
        <f aca="false">IF('(1)예금승인내역'!F1422="","",'(1)예금승인내역'!F1422)</f>
        <v/>
      </c>
      <c r="Q796" s="531" t="str">
        <f aca="false">IF('(1)예금승인내역'!C1422="","",'(1)예금승인내역'!C1422)</f>
        <v/>
      </c>
      <c r="R796" s="531" t="str">
        <f aca="false">IF('(1)예금승인내역'!K1422="","",'(1)예금승인내역'!K1422)</f>
        <v/>
      </c>
      <c r="S796" s="531" t="str">
        <f aca="false">IF('(1)예금승인내역'!L1422="","",'(1)예금승인내역'!L1422)</f>
        <v/>
      </c>
      <c r="T796" s="531" t="str">
        <f aca="false">IF('(1)예금승인내역'!AG1422="","",'(1)예금승인내역'!AG1422)</f>
        <v/>
      </c>
      <c r="U796" s="531" t="str">
        <f aca="false">IF('(1)예금승인내역'!X1422="","",'(1)예금승인내역'!X1422)</f>
        <v/>
      </c>
      <c r="V796" s="531" t="str">
        <f aca="false">IF(ISNUMBER(N796),N796-$B$2,"")</f>
        <v/>
      </c>
      <c r="W796" s="531" t="str">
        <f aca="false">IF(AND(ISNUMBER(N796),N796&gt;=$B$2,N796&lt;=$B$2+10),N796*100000+ROW(),"")</f>
        <v/>
      </c>
      <c r="X796" s="531"/>
      <c r="Y796" s="531"/>
      <c r="Z796" s="531"/>
      <c r="AA796" s="531"/>
      <c r="AB796" s="531"/>
      <c r="AC796" s="531"/>
      <c r="AD796" s="531"/>
      <c r="AE796" s="531"/>
      <c r="AF796" s="531"/>
      <c r="AG796" s="531"/>
      <c r="AH796" s="531"/>
      <c r="AI796" s="531"/>
      <c r="AJ796" s="531"/>
      <c r="AK796" s="531"/>
      <c r="AL796" s="531"/>
      <c r="AM796" s="531"/>
      <c r="AN796" s="531"/>
    </row>
    <row r="797" customFormat="false" ht="16.5" hidden="false" customHeight="true" outlineLevel="0" collapsed="false">
      <c r="A797" s="531"/>
      <c r="B797" s="531"/>
      <c r="C797" s="531"/>
      <c r="D797" s="531"/>
      <c r="E797" s="531"/>
      <c r="F797" s="531"/>
      <c r="G797" s="531"/>
      <c r="H797" s="531"/>
      <c r="I797" s="531"/>
      <c r="J797" s="531"/>
      <c r="K797" s="531"/>
      <c r="L797" s="531"/>
      <c r="M797" s="531"/>
      <c r="N797" s="531" t="str">
        <f aca="false">IF('(1)예금승인내역'!H1423="","",'(1)예금승인내역'!H1423)</f>
        <v/>
      </c>
      <c r="O797" s="531" t="str">
        <f aca="false">IF('(1)예금승인내역'!G1423="","",'(1)예금승인내역'!G1423)</f>
        <v/>
      </c>
      <c r="P797" s="531" t="str">
        <f aca="false">IF('(1)예금승인내역'!F1423="","",'(1)예금승인내역'!F1423)</f>
        <v/>
      </c>
      <c r="Q797" s="531" t="str">
        <f aca="false">IF('(1)예금승인내역'!C1423="","",'(1)예금승인내역'!C1423)</f>
        <v/>
      </c>
      <c r="R797" s="531" t="str">
        <f aca="false">IF('(1)예금승인내역'!K1423="","",'(1)예금승인내역'!K1423)</f>
        <v/>
      </c>
      <c r="S797" s="531" t="str">
        <f aca="false">IF('(1)예금승인내역'!L1423="","",'(1)예금승인내역'!L1423)</f>
        <v/>
      </c>
      <c r="T797" s="531" t="str">
        <f aca="false">IF('(1)예금승인내역'!AG1423="","",'(1)예금승인내역'!AG1423)</f>
        <v/>
      </c>
      <c r="U797" s="531" t="str">
        <f aca="false">IF('(1)예금승인내역'!X1423="","",'(1)예금승인내역'!X1423)</f>
        <v/>
      </c>
      <c r="V797" s="531" t="str">
        <f aca="false">IF(ISNUMBER(N797),N797-$B$2,"")</f>
        <v/>
      </c>
      <c r="W797" s="531" t="str">
        <f aca="false">IF(AND(ISNUMBER(N797),N797&gt;=$B$2,N797&lt;=$B$2+10),N797*100000+ROW(),"")</f>
        <v/>
      </c>
      <c r="X797" s="531"/>
      <c r="Y797" s="531"/>
      <c r="Z797" s="531"/>
      <c r="AA797" s="531"/>
      <c r="AB797" s="531"/>
      <c r="AC797" s="531"/>
      <c r="AD797" s="531"/>
      <c r="AE797" s="531"/>
      <c r="AF797" s="531"/>
      <c r="AG797" s="531"/>
      <c r="AH797" s="531"/>
      <c r="AI797" s="531"/>
      <c r="AJ797" s="531"/>
      <c r="AK797" s="531"/>
      <c r="AL797" s="531"/>
      <c r="AM797" s="531"/>
      <c r="AN797" s="531"/>
    </row>
    <row r="798" customFormat="false" ht="16.5" hidden="false" customHeight="true" outlineLevel="0" collapsed="false">
      <c r="A798" s="531"/>
      <c r="B798" s="531"/>
      <c r="C798" s="531"/>
      <c r="D798" s="531"/>
      <c r="E798" s="531"/>
      <c r="F798" s="531"/>
      <c r="G798" s="531"/>
      <c r="H798" s="531"/>
      <c r="I798" s="531"/>
      <c r="J798" s="531"/>
      <c r="K798" s="531"/>
      <c r="L798" s="531"/>
      <c r="M798" s="531"/>
      <c r="N798" s="531" t="str">
        <f aca="false">IF('(1)예금승인내역'!H1424="","",'(1)예금승인내역'!H1424)</f>
        <v/>
      </c>
      <c r="O798" s="531" t="str">
        <f aca="false">IF('(1)예금승인내역'!G1424="","",'(1)예금승인내역'!G1424)</f>
        <v/>
      </c>
      <c r="P798" s="531" t="str">
        <f aca="false">IF('(1)예금승인내역'!F1424="","",'(1)예금승인내역'!F1424)</f>
        <v/>
      </c>
      <c r="Q798" s="531" t="str">
        <f aca="false">IF('(1)예금승인내역'!C1424="","",'(1)예금승인내역'!C1424)</f>
        <v/>
      </c>
      <c r="R798" s="531" t="str">
        <f aca="false">IF('(1)예금승인내역'!K1424="","",'(1)예금승인내역'!K1424)</f>
        <v/>
      </c>
      <c r="S798" s="531" t="str">
        <f aca="false">IF('(1)예금승인내역'!L1424="","",'(1)예금승인내역'!L1424)</f>
        <v/>
      </c>
      <c r="T798" s="531" t="str">
        <f aca="false">IF('(1)예금승인내역'!AG1424="","",'(1)예금승인내역'!AG1424)</f>
        <v/>
      </c>
      <c r="U798" s="531" t="str">
        <f aca="false">IF('(1)예금승인내역'!X1424="","",'(1)예금승인내역'!X1424)</f>
        <v/>
      </c>
      <c r="V798" s="531" t="str">
        <f aca="false">IF(ISNUMBER(N798),N798-$B$2,"")</f>
        <v/>
      </c>
      <c r="W798" s="531" t="str">
        <f aca="false">IF(AND(ISNUMBER(N798),N798&gt;=$B$2,N798&lt;=$B$2+10),N798*100000+ROW(),"")</f>
        <v/>
      </c>
      <c r="X798" s="531"/>
      <c r="Y798" s="531"/>
      <c r="Z798" s="531"/>
      <c r="AA798" s="531"/>
      <c r="AB798" s="531"/>
      <c r="AC798" s="531"/>
      <c r="AD798" s="531"/>
      <c r="AE798" s="531"/>
      <c r="AF798" s="531"/>
      <c r="AG798" s="531"/>
      <c r="AH798" s="531"/>
      <c r="AI798" s="531"/>
      <c r="AJ798" s="531"/>
      <c r="AK798" s="531"/>
      <c r="AL798" s="531"/>
      <c r="AM798" s="531"/>
      <c r="AN798" s="531"/>
    </row>
    <row r="799" customFormat="false" ht="16.5" hidden="false" customHeight="true" outlineLevel="0" collapsed="false">
      <c r="A799" s="531"/>
      <c r="B799" s="531"/>
      <c r="C799" s="531"/>
      <c r="D799" s="531"/>
      <c r="E799" s="531"/>
      <c r="F799" s="531"/>
      <c r="G799" s="531"/>
      <c r="H799" s="531"/>
      <c r="I799" s="531"/>
      <c r="J799" s="531"/>
      <c r="K799" s="531"/>
      <c r="L799" s="531"/>
      <c r="M799" s="531"/>
      <c r="N799" s="531" t="str">
        <f aca="false">IF('(1)예금승인내역'!H1425="","",'(1)예금승인내역'!H1425)</f>
        <v/>
      </c>
      <c r="O799" s="531" t="str">
        <f aca="false">IF('(1)예금승인내역'!G1425="","",'(1)예금승인내역'!G1425)</f>
        <v/>
      </c>
      <c r="P799" s="531" t="str">
        <f aca="false">IF('(1)예금승인내역'!F1425="","",'(1)예금승인내역'!F1425)</f>
        <v/>
      </c>
      <c r="Q799" s="531" t="str">
        <f aca="false">IF('(1)예금승인내역'!C1425="","",'(1)예금승인내역'!C1425)</f>
        <v/>
      </c>
      <c r="R799" s="531" t="str">
        <f aca="false">IF('(1)예금승인내역'!K1425="","",'(1)예금승인내역'!K1425)</f>
        <v/>
      </c>
      <c r="S799" s="531" t="str">
        <f aca="false">IF('(1)예금승인내역'!L1425="","",'(1)예금승인내역'!L1425)</f>
        <v/>
      </c>
      <c r="T799" s="531" t="str">
        <f aca="false">IF('(1)예금승인내역'!AG1425="","",'(1)예금승인내역'!AG1425)</f>
        <v/>
      </c>
      <c r="U799" s="531" t="str">
        <f aca="false">IF('(1)예금승인내역'!X1425="","",'(1)예금승인내역'!X1425)</f>
        <v/>
      </c>
      <c r="V799" s="531" t="str">
        <f aca="false">IF(ISNUMBER(N799),N799-$B$2,"")</f>
        <v/>
      </c>
      <c r="W799" s="531" t="str">
        <f aca="false">IF(AND(ISNUMBER(N799),N799&gt;=$B$2,N799&lt;=$B$2+10),N799*100000+ROW(),"")</f>
        <v/>
      </c>
      <c r="X799" s="531"/>
      <c r="Y799" s="531"/>
      <c r="Z799" s="531"/>
      <c r="AA799" s="531"/>
      <c r="AB799" s="531"/>
      <c r="AC799" s="531"/>
      <c r="AD799" s="531"/>
      <c r="AE799" s="531"/>
      <c r="AF799" s="531"/>
      <c r="AG799" s="531"/>
      <c r="AH799" s="531"/>
      <c r="AI799" s="531"/>
      <c r="AJ799" s="531"/>
      <c r="AK799" s="531"/>
      <c r="AL799" s="531"/>
      <c r="AM799" s="531"/>
      <c r="AN799" s="531"/>
    </row>
    <row r="800" customFormat="false" ht="16.5" hidden="false" customHeight="true" outlineLevel="0" collapsed="false">
      <c r="A800" s="531"/>
      <c r="B800" s="531"/>
      <c r="C800" s="531"/>
      <c r="D800" s="531"/>
      <c r="E800" s="531"/>
      <c r="F800" s="531"/>
      <c r="G800" s="531"/>
      <c r="H800" s="531"/>
      <c r="I800" s="531"/>
      <c r="J800" s="531"/>
      <c r="K800" s="531"/>
      <c r="L800" s="531"/>
      <c r="M800" s="531"/>
      <c r="N800" s="531" t="str">
        <f aca="false">IF('(1)예금승인내역'!H1426="","",'(1)예금승인내역'!H1426)</f>
        <v/>
      </c>
      <c r="O800" s="531" t="str">
        <f aca="false">IF('(1)예금승인내역'!G1426="","",'(1)예금승인내역'!G1426)</f>
        <v/>
      </c>
      <c r="P800" s="531" t="str">
        <f aca="false">IF('(1)예금승인내역'!F1426="","",'(1)예금승인내역'!F1426)</f>
        <v/>
      </c>
      <c r="Q800" s="531" t="str">
        <f aca="false">IF('(1)예금승인내역'!C1426="","",'(1)예금승인내역'!C1426)</f>
        <v/>
      </c>
      <c r="R800" s="531" t="str">
        <f aca="false">IF('(1)예금승인내역'!K1426="","",'(1)예금승인내역'!K1426)</f>
        <v/>
      </c>
      <c r="S800" s="531" t="str">
        <f aca="false">IF('(1)예금승인내역'!L1426="","",'(1)예금승인내역'!L1426)</f>
        <v/>
      </c>
      <c r="T800" s="531" t="str">
        <f aca="false">IF('(1)예금승인내역'!AG1426="","",'(1)예금승인내역'!AG1426)</f>
        <v/>
      </c>
      <c r="U800" s="531" t="str">
        <f aca="false">IF('(1)예금승인내역'!X1426="","",'(1)예금승인내역'!X1426)</f>
        <v/>
      </c>
      <c r="V800" s="531" t="str">
        <f aca="false">IF(ISNUMBER(N800),N800-$B$2,"")</f>
        <v/>
      </c>
      <c r="W800" s="531" t="str">
        <f aca="false">IF(AND(ISNUMBER(N800),N800&gt;=$B$2,N800&lt;=$B$2+10),N800*100000+ROW(),"")</f>
        <v/>
      </c>
      <c r="X800" s="531"/>
      <c r="Y800" s="531"/>
      <c r="Z800" s="531"/>
      <c r="AA800" s="531"/>
      <c r="AB800" s="531"/>
      <c r="AC800" s="531"/>
      <c r="AD800" s="531"/>
      <c r="AE800" s="531"/>
      <c r="AF800" s="531"/>
      <c r="AG800" s="531"/>
      <c r="AH800" s="531"/>
      <c r="AI800" s="531"/>
      <c r="AJ800" s="531"/>
      <c r="AK800" s="531"/>
      <c r="AL800" s="531"/>
      <c r="AM800" s="531"/>
      <c r="AN800" s="531"/>
    </row>
    <row r="801" customFormat="false" ht="16.5" hidden="false" customHeight="true" outlineLevel="0" collapsed="false">
      <c r="A801" s="531"/>
      <c r="B801" s="531"/>
      <c r="C801" s="531"/>
      <c r="D801" s="531"/>
      <c r="E801" s="531"/>
      <c r="F801" s="531"/>
      <c r="G801" s="531"/>
      <c r="H801" s="531"/>
      <c r="I801" s="531"/>
      <c r="J801" s="531"/>
      <c r="K801" s="531"/>
      <c r="L801" s="531"/>
      <c r="M801" s="531"/>
      <c r="N801" s="531" t="str">
        <f aca="false">IF('(1)예금승인내역'!H1427="","",'(1)예금승인내역'!H1427)</f>
        <v/>
      </c>
      <c r="O801" s="531" t="str">
        <f aca="false">IF('(1)예금승인내역'!G1427="","",'(1)예금승인내역'!G1427)</f>
        <v/>
      </c>
      <c r="P801" s="531" t="str">
        <f aca="false">IF('(1)예금승인내역'!F1427="","",'(1)예금승인내역'!F1427)</f>
        <v/>
      </c>
      <c r="Q801" s="531" t="str">
        <f aca="false">IF('(1)예금승인내역'!C1427="","",'(1)예금승인내역'!C1427)</f>
        <v/>
      </c>
      <c r="R801" s="531" t="str">
        <f aca="false">IF('(1)예금승인내역'!K1427="","",'(1)예금승인내역'!K1427)</f>
        <v/>
      </c>
      <c r="S801" s="531" t="str">
        <f aca="false">IF('(1)예금승인내역'!L1427="","",'(1)예금승인내역'!L1427)</f>
        <v/>
      </c>
      <c r="T801" s="531" t="str">
        <f aca="false">IF('(1)예금승인내역'!AG1427="","",'(1)예금승인내역'!AG1427)</f>
        <v/>
      </c>
      <c r="U801" s="531" t="str">
        <f aca="false">IF('(1)예금승인내역'!X1427="","",'(1)예금승인내역'!X1427)</f>
        <v/>
      </c>
      <c r="V801" s="531" t="str">
        <f aca="false">IF(ISNUMBER(N801),N801-$B$2,"")</f>
        <v/>
      </c>
      <c r="W801" s="531" t="str">
        <f aca="false">IF(AND(ISNUMBER(N801),N801&gt;=$B$2,N801&lt;=$B$2+10),N801*100000+ROW(),"")</f>
        <v/>
      </c>
      <c r="X801" s="531"/>
      <c r="Y801" s="531"/>
      <c r="Z801" s="531"/>
      <c r="AA801" s="531"/>
      <c r="AB801" s="531"/>
      <c r="AC801" s="531"/>
      <c r="AD801" s="531"/>
      <c r="AE801" s="531"/>
      <c r="AF801" s="531"/>
      <c r="AG801" s="531"/>
      <c r="AH801" s="531"/>
      <c r="AI801" s="531"/>
      <c r="AJ801" s="531"/>
      <c r="AK801" s="531"/>
      <c r="AL801" s="531"/>
      <c r="AM801" s="531"/>
      <c r="AN801" s="531"/>
    </row>
    <row r="802" customFormat="false" ht="16.5" hidden="false" customHeight="true" outlineLevel="0" collapsed="false">
      <c r="A802" s="531"/>
      <c r="B802" s="531"/>
      <c r="C802" s="531"/>
      <c r="D802" s="531"/>
      <c r="E802" s="531"/>
      <c r="F802" s="531"/>
      <c r="G802" s="531"/>
      <c r="H802" s="531"/>
      <c r="I802" s="531"/>
      <c r="J802" s="531"/>
      <c r="K802" s="531"/>
      <c r="L802" s="531"/>
      <c r="M802" s="531"/>
      <c r="N802" s="531" t="str">
        <f aca="false">IF('(1)예금승인내역'!H1428="","",'(1)예금승인내역'!H1428)</f>
        <v/>
      </c>
      <c r="O802" s="531" t="str">
        <f aca="false">IF('(1)예금승인내역'!G1428="","",'(1)예금승인내역'!G1428)</f>
        <v/>
      </c>
      <c r="P802" s="531" t="str">
        <f aca="false">IF('(1)예금승인내역'!F1428="","",'(1)예금승인내역'!F1428)</f>
        <v/>
      </c>
      <c r="Q802" s="531" t="str">
        <f aca="false">IF('(1)예금승인내역'!C1428="","",'(1)예금승인내역'!C1428)</f>
        <v/>
      </c>
      <c r="R802" s="531" t="str">
        <f aca="false">IF('(1)예금승인내역'!K1428="","",'(1)예금승인내역'!K1428)</f>
        <v/>
      </c>
      <c r="S802" s="531" t="str">
        <f aca="false">IF('(1)예금승인내역'!L1428="","",'(1)예금승인내역'!L1428)</f>
        <v/>
      </c>
      <c r="T802" s="531" t="str">
        <f aca="false">IF('(1)예금승인내역'!AG1428="","",'(1)예금승인내역'!AG1428)</f>
        <v/>
      </c>
      <c r="U802" s="531" t="str">
        <f aca="false">IF('(1)예금승인내역'!X1428="","",'(1)예금승인내역'!X1428)</f>
        <v/>
      </c>
      <c r="V802" s="531" t="str">
        <f aca="false">IF(ISNUMBER(N802),N802-$B$2,"")</f>
        <v/>
      </c>
      <c r="W802" s="531" t="str">
        <f aca="false">IF(AND(ISNUMBER(N802),N802&gt;=$B$2,N802&lt;=$B$2+10),N802*100000+ROW(),"")</f>
        <v/>
      </c>
      <c r="X802" s="531"/>
      <c r="Y802" s="531"/>
      <c r="Z802" s="531"/>
      <c r="AA802" s="531"/>
      <c r="AB802" s="531"/>
      <c r="AC802" s="531"/>
      <c r="AD802" s="531"/>
      <c r="AE802" s="531"/>
      <c r="AF802" s="531"/>
      <c r="AG802" s="531"/>
      <c r="AH802" s="531"/>
      <c r="AI802" s="531"/>
      <c r="AJ802" s="531"/>
      <c r="AK802" s="531"/>
      <c r="AL802" s="531"/>
      <c r="AM802" s="531"/>
      <c r="AN802" s="531"/>
    </row>
    <row r="803" customFormat="false" ht="16.5" hidden="false" customHeight="true" outlineLevel="0" collapsed="false">
      <c r="A803" s="531"/>
      <c r="B803" s="531"/>
      <c r="C803" s="531"/>
      <c r="D803" s="531"/>
      <c r="E803" s="531"/>
      <c r="F803" s="531"/>
      <c r="G803" s="531"/>
      <c r="H803" s="531"/>
      <c r="I803" s="531"/>
      <c r="J803" s="531"/>
      <c r="K803" s="531"/>
      <c r="L803" s="531"/>
      <c r="M803" s="531"/>
      <c r="N803" s="531" t="str">
        <f aca="false">IF('(1)예금승인내역'!H1429="","",'(1)예금승인내역'!H1429)</f>
        <v/>
      </c>
      <c r="O803" s="531" t="str">
        <f aca="false">IF('(1)예금승인내역'!G1429="","",'(1)예금승인내역'!G1429)</f>
        <v/>
      </c>
      <c r="P803" s="531" t="str">
        <f aca="false">IF('(1)예금승인내역'!F1429="","",'(1)예금승인내역'!F1429)</f>
        <v/>
      </c>
      <c r="Q803" s="531" t="str">
        <f aca="false">IF('(1)예금승인내역'!C1429="","",'(1)예금승인내역'!C1429)</f>
        <v/>
      </c>
      <c r="R803" s="531" t="str">
        <f aca="false">IF('(1)예금승인내역'!K1429="","",'(1)예금승인내역'!K1429)</f>
        <v/>
      </c>
      <c r="S803" s="531" t="str">
        <f aca="false">IF('(1)예금승인내역'!L1429="","",'(1)예금승인내역'!L1429)</f>
        <v/>
      </c>
      <c r="T803" s="531" t="str">
        <f aca="false">IF('(1)예금승인내역'!AG1429="","",'(1)예금승인내역'!AG1429)</f>
        <v/>
      </c>
      <c r="U803" s="531" t="str">
        <f aca="false">IF('(1)예금승인내역'!X1429="","",'(1)예금승인내역'!X1429)</f>
        <v/>
      </c>
      <c r="V803" s="531" t="str">
        <f aca="false">IF(ISNUMBER(N803),N803-$B$2,"")</f>
        <v/>
      </c>
      <c r="W803" s="531" t="str">
        <f aca="false">IF(AND(ISNUMBER(N803),N803&gt;=$B$2,N803&lt;=$B$2+10),N803*100000+ROW(),"")</f>
        <v/>
      </c>
      <c r="X803" s="531"/>
      <c r="Y803" s="531"/>
      <c r="Z803" s="531"/>
      <c r="AA803" s="531"/>
      <c r="AB803" s="531"/>
      <c r="AC803" s="531"/>
      <c r="AD803" s="531"/>
      <c r="AE803" s="531"/>
      <c r="AF803" s="531"/>
      <c r="AG803" s="531"/>
      <c r="AH803" s="531"/>
      <c r="AI803" s="531"/>
      <c r="AJ803" s="531"/>
      <c r="AK803" s="531"/>
      <c r="AL803" s="531"/>
      <c r="AM803" s="531"/>
      <c r="AN803" s="531"/>
    </row>
    <row r="804" customFormat="false" ht="16.5" hidden="false" customHeight="true" outlineLevel="0" collapsed="false">
      <c r="A804" s="531"/>
      <c r="B804" s="531"/>
      <c r="C804" s="531"/>
      <c r="D804" s="531"/>
      <c r="E804" s="531"/>
      <c r="F804" s="531"/>
      <c r="G804" s="531"/>
      <c r="H804" s="531"/>
      <c r="I804" s="531"/>
      <c r="J804" s="531"/>
      <c r="K804" s="531"/>
      <c r="L804" s="531"/>
      <c r="M804" s="531"/>
      <c r="N804" s="531" t="str">
        <f aca="false">IF('(1)예금승인내역'!H1430="","",'(1)예금승인내역'!H1430)</f>
        <v/>
      </c>
      <c r="O804" s="531" t="str">
        <f aca="false">IF('(1)예금승인내역'!G1430="","",'(1)예금승인내역'!G1430)</f>
        <v/>
      </c>
      <c r="P804" s="531" t="str">
        <f aca="false">IF('(1)예금승인내역'!F1430="","",'(1)예금승인내역'!F1430)</f>
        <v/>
      </c>
      <c r="Q804" s="531" t="str">
        <f aca="false">IF('(1)예금승인내역'!C1430="","",'(1)예금승인내역'!C1430)</f>
        <v/>
      </c>
      <c r="R804" s="531" t="str">
        <f aca="false">IF('(1)예금승인내역'!K1430="","",'(1)예금승인내역'!K1430)</f>
        <v/>
      </c>
      <c r="S804" s="531" t="str">
        <f aca="false">IF('(1)예금승인내역'!L1430="","",'(1)예금승인내역'!L1430)</f>
        <v/>
      </c>
      <c r="T804" s="531" t="str">
        <f aca="false">IF('(1)예금승인내역'!AG1430="","",'(1)예금승인내역'!AG1430)</f>
        <v/>
      </c>
      <c r="U804" s="531" t="str">
        <f aca="false">IF('(1)예금승인내역'!X1430="","",'(1)예금승인내역'!X1430)</f>
        <v/>
      </c>
      <c r="V804" s="531" t="str">
        <f aca="false">IF(ISNUMBER(N804),N804-$B$2,"")</f>
        <v/>
      </c>
      <c r="W804" s="531" t="str">
        <f aca="false">IF(AND(ISNUMBER(N804),N804&gt;=$B$2,N804&lt;=$B$2+10),N804*100000+ROW(),"")</f>
        <v/>
      </c>
      <c r="X804" s="531"/>
      <c r="Y804" s="531"/>
      <c r="Z804" s="531"/>
      <c r="AA804" s="531"/>
      <c r="AB804" s="531"/>
      <c r="AC804" s="531"/>
      <c r="AD804" s="531"/>
      <c r="AE804" s="531"/>
      <c r="AF804" s="531"/>
      <c r="AG804" s="531"/>
      <c r="AH804" s="531"/>
      <c r="AI804" s="531"/>
      <c r="AJ804" s="531"/>
      <c r="AK804" s="531"/>
      <c r="AL804" s="531"/>
      <c r="AM804" s="531"/>
      <c r="AN804" s="531"/>
    </row>
    <row r="805" customFormat="false" ht="16.5" hidden="false" customHeight="true" outlineLevel="0" collapsed="false">
      <c r="A805" s="531"/>
      <c r="B805" s="531"/>
      <c r="C805" s="531"/>
      <c r="D805" s="531"/>
      <c r="E805" s="531"/>
      <c r="F805" s="531"/>
      <c r="G805" s="531"/>
      <c r="H805" s="531"/>
      <c r="I805" s="531"/>
      <c r="J805" s="531"/>
      <c r="K805" s="531"/>
      <c r="L805" s="531"/>
      <c r="M805" s="531"/>
      <c r="N805" s="531" t="str">
        <f aca="false">IF('(1)예금승인내역'!H1431="","",'(1)예금승인내역'!H1431)</f>
        <v/>
      </c>
      <c r="O805" s="531" t="str">
        <f aca="false">IF('(1)예금승인내역'!G1431="","",'(1)예금승인내역'!G1431)</f>
        <v/>
      </c>
      <c r="P805" s="531" t="str">
        <f aca="false">IF('(1)예금승인내역'!F1431="","",'(1)예금승인내역'!F1431)</f>
        <v/>
      </c>
      <c r="Q805" s="531" t="str">
        <f aca="false">IF('(1)예금승인내역'!C1431="","",'(1)예금승인내역'!C1431)</f>
        <v/>
      </c>
      <c r="R805" s="531" t="str">
        <f aca="false">IF('(1)예금승인내역'!K1431="","",'(1)예금승인내역'!K1431)</f>
        <v/>
      </c>
      <c r="S805" s="531" t="str">
        <f aca="false">IF('(1)예금승인내역'!L1431="","",'(1)예금승인내역'!L1431)</f>
        <v/>
      </c>
      <c r="T805" s="531" t="str">
        <f aca="false">IF('(1)예금승인내역'!AG1431="","",'(1)예금승인내역'!AG1431)</f>
        <v/>
      </c>
      <c r="U805" s="531" t="str">
        <f aca="false">IF('(1)예금승인내역'!X1431="","",'(1)예금승인내역'!X1431)</f>
        <v/>
      </c>
      <c r="V805" s="531" t="str">
        <f aca="false">IF(ISNUMBER(N805),N805-$B$2,"")</f>
        <v/>
      </c>
      <c r="W805" s="531" t="str">
        <f aca="false">IF(AND(ISNUMBER(N805),N805&gt;=$B$2,N805&lt;=$B$2+10),N805*100000+ROW(),"")</f>
        <v/>
      </c>
      <c r="X805" s="531"/>
      <c r="Y805" s="531"/>
      <c r="Z805" s="531"/>
      <c r="AA805" s="531"/>
      <c r="AB805" s="531"/>
      <c r="AC805" s="531"/>
      <c r="AD805" s="531"/>
      <c r="AE805" s="531"/>
      <c r="AF805" s="531"/>
      <c r="AG805" s="531"/>
      <c r="AH805" s="531"/>
      <c r="AI805" s="531"/>
      <c r="AJ805" s="531"/>
      <c r="AK805" s="531"/>
      <c r="AL805" s="531"/>
      <c r="AM805" s="531"/>
      <c r="AN805" s="531"/>
    </row>
    <row r="806" customFormat="false" ht="16.5" hidden="false" customHeight="true" outlineLevel="0" collapsed="false">
      <c r="A806" s="531"/>
      <c r="B806" s="531"/>
      <c r="C806" s="531"/>
      <c r="D806" s="531"/>
      <c r="E806" s="531"/>
      <c r="F806" s="531"/>
      <c r="G806" s="531"/>
      <c r="H806" s="531"/>
      <c r="I806" s="531"/>
      <c r="J806" s="531"/>
      <c r="K806" s="531"/>
      <c r="L806" s="531"/>
      <c r="M806" s="531"/>
      <c r="N806" s="531" t="str">
        <f aca="false">IF('(1)예금승인내역'!H1432="","",'(1)예금승인내역'!H1432)</f>
        <v/>
      </c>
      <c r="O806" s="531" t="str">
        <f aca="false">IF('(1)예금승인내역'!G1432="","",'(1)예금승인내역'!G1432)</f>
        <v/>
      </c>
      <c r="P806" s="531" t="str">
        <f aca="false">IF('(1)예금승인내역'!F1432="","",'(1)예금승인내역'!F1432)</f>
        <v/>
      </c>
      <c r="Q806" s="531" t="str">
        <f aca="false">IF('(1)예금승인내역'!C1432="","",'(1)예금승인내역'!C1432)</f>
        <v/>
      </c>
      <c r="R806" s="531" t="str">
        <f aca="false">IF('(1)예금승인내역'!K1432="","",'(1)예금승인내역'!K1432)</f>
        <v/>
      </c>
      <c r="S806" s="531" t="str">
        <f aca="false">IF('(1)예금승인내역'!L1432="","",'(1)예금승인내역'!L1432)</f>
        <v/>
      </c>
      <c r="T806" s="531" t="str">
        <f aca="false">IF('(1)예금승인내역'!AG1432="","",'(1)예금승인내역'!AG1432)</f>
        <v/>
      </c>
      <c r="U806" s="531" t="str">
        <f aca="false">IF('(1)예금승인내역'!X1432="","",'(1)예금승인내역'!X1432)</f>
        <v/>
      </c>
      <c r="V806" s="531" t="str">
        <f aca="false">IF(ISNUMBER(N806),N806-$B$2,"")</f>
        <v/>
      </c>
      <c r="W806" s="531" t="str">
        <f aca="false">IF(AND(ISNUMBER(N806),N806&gt;=$B$2,N806&lt;=$B$2+10),N806*100000+ROW(),"")</f>
        <v/>
      </c>
      <c r="X806" s="531"/>
      <c r="Y806" s="531"/>
      <c r="Z806" s="531"/>
      <c r="AA806" s="531"/>
      <c r="AB806" s="531"/>
      <c r="AC806" s="531"/>
      <c r="AD806" s="531"/>
      <c r="AE806" s="531"/>
      <c r="AF806" s="531"/>
      <c r="AG806" s="531"/>
      <c r="AH806" s="531"/>
      <c r="AI806" s="531"/>
      <c r="AJ806" s="531"/>
      <c r="AK806" s="531"/>
      <c r="AL806" s="531"/>
      <c r="AM806" s="531"/>
      <c r="AN806" s="531"/>
    </row>
    <row r="807" customFormat="false" ht="16.5" hidden="false" customHeight="true" outlineLevel="0" collapsed="false">
      <c r="A807" s="531"/>
      <c r="B807" s="531"/>
      <c r="C807" s="531"/>
      <c r="D807" s="531"/>
      <c r="E807" s="531"/>
      <c r="F807" s="531"/>
      <c r="G807" s="531"/>
      <c r="H807" s="531"/>
      <c r="I807" s="531"/>
      <c r="J807" s="531"/>
      <c r="K807" s="531"/>
      <c r="L807" s="531"/>
      <c r="M807" s="531"/>
      <c r="N807" s="531" t="str">
        <f aca="false">IF('(1)예금승인내역'!H1433="","",'(1)예금승인내역'!H1433)</f>
        <v/>
      </c>
      <c r="O807" s="531" t="str">
        <f aca="false">IF('(1)예금승인내역'!G1433="","",'(1)예금승인내역'!G1433)</f>
        <v/>
      </c>
      <c r="P807" s="531" t="str">
        <f aca="false">IF('(1)예금승인내역'!F1433="","",'(1)예금승인내역'!F1433)</f>
        <v/>
      </c>
      <c r="Q807" s="531" t="str">
        <f aca="false">IF('(1)예금승인내역'!C1433="","",'(1)예금승인내역'!C1433)</f>
        <v/>
      </c>
      <c r="R807" s="531" t="str">
        <f aca="false">IF('(1)예금승인내역'!K1433="","",'(1)예금승인내역'!K1433)</f>
        <v/>
      </c>
      <c r="S807" s="531" t="str">
        <f aca="false">IF('(1)예금승인내역'!L1433="","",'(1)예금승인내역'!L1433)</f>
        <v/>
      </c>
      <c r="T807" s="531" t="str">
        <f aca="false">IF('(1)예금승인내역'!AG1433="","",'(1)예금승인내역'!AG1433)</f>
        <v/>
      </c>
      <c r="U807" s="531" t="str">
        <f aca="false">IF('(1)예금승인내역'!X1433="","",'(1)예금승인내역'!X1433)</f>
        <v/>
      </c>
      <c r="V807" s="531" t="str">
        <f aca="false">IF(ISNUMBER(N807),N807-$B$2,"")</f>
        <v/>
      </c>
      <c r="W807" s="531" t="str">
        <f aca="false">IF(AND(ISNUMBER(N807),N807&gt;=$B$2,N807&lt;=$B$2+10),N807*100000+ROW(),"")</f>
        <v/>
      </c>
      <c r="X807" s="531"/>
      <c r="Y807" s="531"/>
      <c r="Z807" s="531"/>
      <c r="AA807" s="531"/>
      <c r="AB807" s="531"/>
      <c r="AC807" s="531"/>
      <c r="AD807" s="531"/>
      <c r="AE807" s="531"/>
      <c r="AF807" s="531"/>
      <c r="AG807" s="531"/>
      <c r="AH807" s="531"/>
      <c r="AI807" s="531"/>
      <c r="AJ807" s="531"/>
      <c r="AK807" s="531"/>
      <c r="AL807" s="531"/>
      <c r="AM807" s="531"/>
      <c r="AN807" s="531"/>
    </row>
    <row r="808" customFormat="false" ht="16.5" hidden="false" customHeight="true" outlineLevel="0" collapsed="false">
      <c r="A808" s="531"/>
      <c r="B808" s="531"/>
      <c r="C808" s="531"/>
      <c r="D808" s="531"/>
      <c r="E808" s="531"/>
      <c r="F808" s="531"/>
      <c r="G808" s="531"/>
      <c r="H808" s="531"/>
      <c r="I808" s="531"/>
      <c r="J808" s="531"/>
      <c r="K808" s="531"/>
      <c r="L808" s="531"/>
      <c r="M808" s="531"/>
      <c r="N808" s="531" t="str">
        <f aca="false">IF('(1)예금승인내역'!H1434="","",'(1)예금승인내역'!H1434)</f>
        <v/>
      </c>
      <c r="O808" s="531" t="str">
        <f aca="false">IF('(1)예금승인내역'!G1434="","",'(1)예금승인내역'!G1434)</f>
        <v/>
      </c>
      <c r="P808" s="531" t="str">
        <f aca="false">IF('(1)예금승인내역'!F1434="","",'(1)예금승인내역'!F1434)</f>
        <v/>
      </c>
      <c r="Q808" s="531" t="str">
        <f aca="false">IF('(1)예금승인내역'!C1434="","",'(1)예금승인내역'!C1434)</f>
        <v/>
      </c>
      <c r="R808" s="531" t="str">
        <f aca="false">IF('(1)예금승인내역'!K1434="","",'(1)예금승인내역'!K1434)</f>
        <v/>
      </c>
      <c r="S808" s="531" t="str">
        <f aca="false">IF('(1)예금승인내역'!L1434="","",'(1)예금승인내역'!L1434)</f>
        <v/>
      </c>
      <c r="T808" s="531" t="str">
        <f aca="false">IF('(1)예금승인내역'!AG1434="","",'(1)예금승인내역'!AG1434)</f>
        <v/>
      </c>
      <c r="U808" s="531" t="str">
        <f aca="false">IF('(1)예금승인내역'!X1434="","",'(1)예금승인내역'!X1434)</f>
        <v/>
      </c>
      <c r="V808" s="531" t="str">
        <f aca="false">IF(ISNUMBER(N808),N808-$B$2,"")</f>
        <v/>
      </c>
      <c r="W808" s="531" t="str">
        <f aca="false">IF(AND(ISNUMBER(N808),N808&gt;=$B$2,N808&lt;=$B$2+10),N808*100000+ROW(),"")</f>
        <v/>
      </c>
      <c r="X808" s="531"/>
      <c r="Y808" s="531"/>
      <c r="Z808" s="531"/>
      <c r="AA808" s="531"/>
      <c r="AB808" s="531"/>
      <c r="AC808" s="531"/>
      <c r="AD808" s="531"/>
      <c r="AE808" s="531"/>
      <c r="AF808" s="531"/>
      <c r="AG808" s="531"/>
      <c r="AH808" s="531"/>
      <c r="AI808" s="531"/>
      <c r="AJ808" s="531"/>
      <c r="AK808" s="531"/>
      <c r="AL808" s="531"/>
      <c r="AM808" s="531"/>
      <c r="AN808" s="531"/>
    </row>
    <row r="809" customFormat="false" ht="16.5" hidden="false" customHeight="true" outlineLevel="0" collapsed="false">
      <c r="A809" s="531"/>
      <c r="B809" s="531"/>
      <c r="C809" s="531"/>
      <c r="D809" s="531"/>
      <c r="E809" s="531"/>
      <c r="F809" s="531"/>
      <c r="G809" s="531"/>
      <c r="H809" s="531"/>
      <c r="I809" s="531"/>
      <c r="J809" s="531"/>
      <c r="K809" s="531"/>
      <c r="L809" s="531"/>
      <c r="M809" s="531"/>
      <c r="N809" s="531" t="str">
        <f aca="false">IF('(1)예금승인내역'!H1435="","",'(1)예금승인내역'!H1435)</f>
        <v/>
      </c>
      <c r="O809" s="531" t="str">
        <f aca="false">IF('(1)예금승인내역'!G1435="","",'(1)예금승인내역'!G1435)</f>
        <v/>
      </c>
      <c r="P809" s="531" t="str">
        <f aca="false">IF('(1)예금승인내역'!F1435="","",'(1)예금승인내역'!F1435)</f>
        <v/>
      </c>
      <c r="Q809" s="531" t="str">
        <f aca="false">IF('(1)예금승인내역'!C1435="","",'(1)예금승인내역'!C1435)</f>
        <v/>
      </c>
      <c r="R809" s="531" t="str">
        <f aca="false">IF('(1)예금승인내역'!K1435="","",'(1)예금승인내역'!K1435)</f>
        <v/>
      </c>
      <c r="S809" s="531" t="str">
        <f aca="false">IF('(1)예금승인내역'!L1435="","",'(1)예금승인내역'!L1435)</f>
        <v/>
      </c>
      <c r="T809" s="531" t="str">
        <f aca="false">IF('(1)예금승인내역'!AG1435="","",'(1)예금승인내역'!AG1435)</f>
        <v/>
      </c>
      <c r="U809" s="531" t="str">
        <f aca="false">IF('(1)예금승인내역'!X1435="","",'(1)예금승인내역'!X1435)</f>
        <v/>
      </c>
      <c r="V809" s="531" t="str">
        <f aca="false">IF(ISNUMBER(N809),N809-$B$2,"")</f>
        <v/>
      </c>
      <c r="W809" s="531" t="str">
        <f aca="false">IF(AND(ISNUMBER(N809),N809&gt;=$B$2,N809&lt;=$B$2+10),N809*100000+ROW(),"")</f>
        <v/>
      </c>
      <c r="X809" s="531"/>
      <c r="Y809" s="531"/>
      <c r="Z809" s="531"/>
      <c r="AA809" s="531"/>
      <c r="AB809" s="531"/>
      <c r="AC809" s="531"/>
      <c r="AD809" s="531"/>
      <c r="AE809" s="531"/>
      <c r="AF809" s="531"/>
      <c r="AG809" s="531"/>
      <c r="AH809" s="531"/>
      <c r="AI809" s="531"/>
      <c r="AJ809" s="531"/>
      <c r="AK809" s="531"/>
      <c r="AL809" s="531"/>
      <c r="AM809" s="531"/>
      <c r="AN809" s="531"/>
    </row>
    <row r="810" customFormat="false" ht="16.5" hidden="false" customHeight="true" outlineLevel="0" collapsed="false">
      <c r="A810" s="531"/>
      <c r="B810" s="531"/>
      <c r="C810" s="531"/>
      <c r="D810" s="531"/>
      <c r="E810" s="531"/>
      <c r="F810" s="531"/>
      <c r="G810" s="531"/>
      <c r="H810" s="531"/>
      <c r="I810" s="531"/>
      <c r="J810" s="531"/>
      <c r="K810" s="531"/>
      <c r="L810" s="531"/>
      <c r="M810" s="531"/>
      <c r="N810" s="531" t="str">
        <f aca="false">IF('(1)예금승인내역'!H1436="","",'(1)예금승인내역'!H1436)</f>
        <v/>
      </c>
      <c r="O810" s="531" t="str">
        <f aca="false">IF('(1)예금승인내역'!G1436="","",'(1)예금승인내역'!G1436)</f>
        <v/>
      </c>
      <c r="P810" s="531" t="str">
        <f aca="false">IF('(1)예금승인내역'!F1436="","",'(1)예금승인내역'!F1436)</f>
        <v/>
      </c>
      <c r="Q810" s="531" t="str">
        <f aca="false">IF('(1)예금승인내역'!C1436="","",'(1)예금승인내역'!C1436)</f>
        <v/>
      </c>
      <c r="R810" s="531" t="str">
        <f aca="false">IF('(1)예금승인내역'!K1436="","",'(1)예금승인내역'!K1436)</f>
        <v/>
      </c>
      <c r="S810" s="531" t="str">
        <f aca="false">IF('(1)예금승인내역'!L1436="","",'(1)예금승인내역'!L1436)</f>
        <v/>
      </c>
      <c r="T810" s="531" t="str">
        <f aca="false">IF('(1)예금승인내역'!AG1436="","",'(1)예금승인내역'!AG1436)</f>
        <v/>
      </c>
      <c r="U810" s="531" t="str">
        <f aca="false">IF('(1)예금승인내역'!X1436="","",'(1)예금승인내역'!X1436)</f>
        <v/>
      </c>
      <c r="V810" s="531" t="str">
        <f aca="false">IF(ISNUMBER(N810),N810-$B$2,"")</f>
        <v/>
      </c>
      <c r="W810" s="531" t="str">
        <f aca="false">IF(AND(ISNUMBER(N810),N810&gt;=$B$2,N810&lt;=$B$2+10),N810*100000+ROW(),"")</f>
        <v/>
      </c>
      <c r="X810" s="531"/>
      <c r="Y810" s="531"/>
      <c r="Z810" s="531"/>
      <c r="AA810" s="531"/>
      <c r="AB810" s="531"/>
      <c r="AC810" s="531"/>
      <c r="AD810" s="531"/>
      <c r="AE810" s="531"/>
      <c r="AF810" s="531"/>
      <c r="AG810" s="531"/>
      <c r="AH810" s="531"/>
      <c r="AI810" s="531"/>
      <c r="AJ810" s="531"/>
      <c r="AK810" s="531"/>
      <c r="AL810" s="531"/>
      <c r="AM810" s="531"/>
      <c r="AN810" s="531"/>
    </row>
    <row r="811" customFormat="false" ht="16.5" hidden="false" customHeight="true" outlineLevel="0" collapsed="false">
      <c r="A811" s="531"/>
      <c r="B811" s="531"/>
      <c r="C811" s="531"/>
      <c r="D811" s="531"/>
      <c r="E811" s="531"/>
      <c r="F811" s="531"/>
      <c r="G811" s="531"/>
      <c r="H811" s="531"/>
      <c r="I811" s="531"/>
      <c r="J811" s="531"/>
      <c r="K811" s="531"/>
      <c r="L811" s="531"/>
      <c r="M811" s="531"/>
      <c r="N811" s="531" t="str">
        <f aca="false">IF('(1)예금승인내역'!H1437="","",'(1)예금승인내역'!H1437)</f>
        <v/>
      </c>
      <c r="O811" s="531" t="str">
        <f aca="false">IF('(1)예금승인내역'!G1437="","",'(1)예금승인내역'!G1437)</f>
        <v/>
      </c>
      <c r="P811" s="531" t="str">
        <f aca="false">IF('(1)예금승인내역'!F1437="","",'(1)예금승인내역'!F1437)</f>
        <v/>
      </c>
      <c r="Q811" s="531" t="str">
        <f aca="false">IF('(1)예금승인내역'!C1437="","",'(1)예금승인내역'!C1437)</f>
        <v/>
      </c>
      <c r="R811" s="531" t="str">
        <f aca="false">IF('(1)예금승인내역'!K1437="","",'(1)예금승인내역'!K1437)</f>
        <v/>
      </c>
      <c r="S811" s="531" t="str">
        <f aca="false">IF('(1)예금승인내역'!L1437="","",'(1)예금승인내역'!L1437)</f>
        <v/>
      </c>
      <c r="T811" s="531" t="str">
        <f aca="false">IF('(1)예금승인내역'!AG1437="","",'(1)예금승인내역'!AG1437)</f>
        <v/>
      </c>
      <c r="U811" s="531" t="str">
        <f aca="false">IF('(1)예금승인내역'!X1437="","",'(1)예금승인내역'!X1437)</f>
        <v/>
      </c>
      <c r="V811" s="531" t="str">
        <f aca="false">IF(ISNUMBER(N811),N811-$B$2,"")</f>
        <v/>
      </c>
      <c r="W811" s="531" t="str">
        <f aca="false">IF(AND(ISNUMBER(N811),N811&gt;=$B$2,N811&lt;=$B$2+10),N811*100000+ROW(),"")</f>
        <v/>
      </c>
      <c r="X811" s="531"/>
      <c r="Y811" s="531"/>
      <c r="Z811" s="531"/>
      <c r="AA811" s="531"/>
      <c r="AB811" s="531"/>
      <c r="AC811" s="531"/>
      <c r="AD811" s="531"/>
      <c r="AE811" s="531"/>
      <c r="AF811" s="531"/>
      <c r="AG811" s="531"/>
      <c r="AH811" s="531"/>
      <c r="AI811" s="531"/>
      <c r="AJ811" s="531"/>
      <c r="AK811" s="531"/>
      <c r="AL811" s="531"/>
      <c r="AM811" s="531"/>
      <c r="AN811" s="531"/>
    </row>
    <row r="812" customFormat="false" ht="16.5" hidden="false" customHeight="true" outlineLevel="0" collapsed="false">
      <c r="A812" s="531"/>
      <c r="B812" s="531"/>
      <c r="C812" s="531"/>
      <c r="D812" s="531"/>
      <c r="E812" s="531"/>
      <c r="F812" s="531"/>
      <c r="G812" s="531"/>
      <c r="H812" s="531"/>
      <c r="I812" s="531"/>
      <c r="J812" s="531"/>
      <c r="K812" s="531"/>
      <c r="L812" s="531"/>
      <c r="M812" s="531"/>
      <c r="N812" s="531" t="str">
        <f aca="false">IF('(1)예금승인내역'!H1438="","",'(1)예금승인내역'!H1438)</f>
        <v/>
      </c>
      <c r="O812" s="531" t="str">
        <f aca="false">IF('(1)예금승인내역'!G1438="","",'(1)예금승인내역'!G1438)</f>
        <v/>
      </c>
      <c r="P812" s="531" t="str">
        <f aca="false">IF('(1)예금승인내역'!F1438="","",'(1)예금승인내역'!F1438)</f>
        <v/>
      </c>
      <c r="Q812" s="531" t="str">
        <f aca="false">IF('(1)예금승인내역'!C1438="","",'(1)예금승인내역'!C1438)</f>
        <v/>
      </c>
      <c r="R812" s="531" t="str">
        <f aca="false">IF('(1)예금승인내역'!K1438="","",'(1)예금승인내역'!K1438)</f>
        <v/>
      </c>
      <c r="S812" s="531" t="str">
        <f aca="false">IF('(1)예금승인내역'!L1438="","",'(1)예금승인내역'!L1438)</f>
        <v/>
      </c>
      <c r="T812" s="531" t="str">
        <f aca="false">IF('(1)예금승인내역'!AG1438="","",'(1)예금승인내역'!AG1438)</f>
        <v/>
      </c>
      <c r="U812" s="531" t="str">
        <f aca="false">IF('(1)예금승인내역'!X1438="","",'(1)예금승인내역'!X1438)</f>
        <v/>
      </c>
      <c r="V812" s="531" t="str">
        <f aca="false">IF(ISNUMBER(N812),N812-$B$2,"")</f>
        <v/>
      </c>
      <c r="W812" s="531" t="str">
        <f aca="false">IF(AND(ISNUMBER(N812),N812&gt;=$B$2,N812&lt;=$B$2+10),N812*100000+ROW(),"")</f>
        <v/>
      </c>
      <c r="X812" s="531"/>
      <c r="Y812" s="531"/>
      <c r="Z812" s="531"/>
      <c r="AA812" s="531"/>
      <c r="AB812" s="531"/>
      <c r="AC812" s="531"/>
      <c r="AD812" s="531"/>
      <c r="AE812" s="531"/>
      <c r="AF812" s="531"/>
      <c r="AG812" s="531"/>
      <c r="AH812" s="531"/>
      <c r="AI812" s="531"/>
      <c r="AJ812" s="531"/>
      <c r="AK812" s="531"/>
      <c r="AL812" s="531"/>
      <c r="AM812" s="531"/>
      <c r="AN812" s="531"/>
    </row>
    <row r="813" customFormat="false" ht="16.5" hidden="false" customHeight="true" outlineLevel="0" collapsed="false">
      <c r="A813" s="531"/>
      <c r="B813" s="531"/>
      <c r="C813" s="531"/>
      <c r="D813" s="531"/>
      <c r="E813" s="531"/>
      <c r="F813" s="531"/>
      <c r="G813" s="531"/>
      <c r="H813" s="531"/>
      <c r="I813" s="531"/>
      <c r="J813" s="531"/>
      <c r="K813" s="531"/>
      <c r="L813" s="531"/>
      <c r="M813" s="531"/>
      <c r="N813" s="531" t="str">
        <f aca="false">IF('(1)예금승인내역'!H1439="","",'(1)예금승인내역'!H1439)</f>
        <v/>
      </c>
      <c r="O813" s="531" t="str">
        <f aca="false">IF('(1)예금승인내역'!G1439="","",'(1)예금승인내역'!G1439)</f>
        <v/>
      </c>
      <c r="P813" s="531" t="str">
        <f aca="false">IF('(1)예금승인내역'!F1439="","",'(1)예금승인내역'!F1439)</f>
        <v/>
      </c>
      <c r="Q813" s="531" t="str">
        <f aca="false">IF('(1)예금승인내역'!C1439="","",'(1)예금승인내역'!C1439)</f>
        <v/>
      </c>
      <c r="R813" s="531" t="str">
        <f aca="false">IF('(1)예금승인내역'!K1439="","",'(1)예금승인내역'!K1439)</f>
        <v/>
      </c>
      <c r="S813" s="531" t="str">
        <f aca="false">IF('(1)예금승인내역'!L1439="","",'(1)예금승인내역'!L1439)</f>
        <v/>
      </c>
      <c r="T813" s="531" t="str">
        <f aca="false">IF('(1)예금승인내역'!AG1439="","",'(1)예금승인내역'!AG1439)</f>
        <v/>
      </c>
      <c r="U813" s="531" t="str">
        <f aca="false">IF('(1)예금승인내역'!X1439="","",'(1)예금승인내역'!X1439)</f>
        <v/>
      </c>
      <c r="V813" s="531" t="str">
        <f aca="false">IF(ISNUMBER(N813),N813-$B$2,"")</f>
        <v/>
      </c>
      <c r="W813" s="531" t="str">
        <f aca="false">IF(AND(ISNUMBER(N813),N813&gt;=$B$2,N813&lt;=$B$2+10),N813*100000+ROW(),"")</f>
        <v/>
      </c>
      <c r="X813" s="531"/>
      <c r="Y813" s="531"/>
      <c r="Z813" s="531"/>
      <c r="AA813" s="531"/>
      <c r="AB813" s="531"/>
      <c r="AC813" s="531"/>
      <c r="AD813" s="531"/>
      <c r="AE813" s="531"/>
      <c r="AF813" s="531"/>
      <c r="AG813" s="531"/>
      <c r="AH813" s="531"/>
      <c r="AI813" s="531"/>
      <c r="AJ813" s="531"/>
      <c r="AK813" s="531"/>
      <c r="AL813" s="531"/>
      <c r="AM813" s="531"/>
      <c r="AN813" s="531"/>
    </row>
    <row r="814" customFormat="false" ht="16.5" hidden="false" customHeight="true" outlineLevel="0" collapsed="false">
      <c r="A814" s="531"/>
      <c r="B814" s="531"/>
      <c r="C814" s="531"/>
      <c r="D814" s="531"/>
      <c r="E814" s="531"/>
      <c r="F814" s="531"/>
      <c r="G814" s="531"/>
      <c r="H814" s="531"/>
      <c r="I814" s="531"/>
      <c r="J814" s="531"/>
      <c r="K814" s="531"/>
      <c r="L814" s="531"/>
      <c r="M814" s="531"/>
      <c r="N814" s="531" t="str">
        <f aca="false">IF('(1)예금승인내역'!H1440="","",'(1)예금승인내역'!H1440)</f>
        <v/>
      </c>
      <c r="O814" s="531" t="str">
        <f aca="false">IF('(1)예금승인내역'!G1440="","",'(1)예금승인내역'!G1440)</f>
        <v/>
      </c>
      <c r="P814" s="531" t="str">
        <f aca="false">IF('(1)예금승인내역'!F1440="","",'(1)예금승인내역'!F1440)</f>
        <v/>
      </c>
      <c r="Q814" s="531" t="str">
        <f aca="false">IF('(1)예금승인내역'!C1440="","",'(1)예금승인내역'!C1440)</f>
        <v/>
      </c>
      <c r="R814" s="531" t="str">
        <f aca="false">IF('(1)예금승인내역'!K1440="","",'(1)예금승인내역'!K1440)</f>
        <v/>
      </c>
      <c r="S814" s="531" t="str">
        <f aca="false">IF('(1)예금승인내역'!L1440="","",'(1)예금승인내역'!L1440)</f>
        <v/>
      </c>
      <c r="T814" s="531" t="str">
        <f aca="false">IF('(1)예금승인내역'!AG1440="","",'(1)예금승인내역'!AG1440)</f>
        <v/>
      </c>
      <c r="U814" s="531" t="str">
        <f aca="false">IF('(1)예금승인내역'!X1440="","",'(1)예금승인내역'!X1440)</f>
        <v/>
      </c>
      <c r="V814" s="531" t="str">
        <f aca="false">IF(ISNUMBER(N814),N814-$B$2,"")</f>
        <v/>
      </c>
      <c r="W814" s="531" t="str">
        <f aca="false">IF(AND(ISNUMBER(N814),N814&gt;=$B$2,N814&lt;=$B$2+10),N814*100000+ROW(),"")</f>
        <v/>
      </c>
      <c r="X814" s="531"/>
      <c r="Y814" s="531"/>
      <c r="Z814" s="531"/>
      <c r="AA814" s="531"/>
      <c r="AB814" s="531"/>
      <c r="AC814" s="531"/>
      <c r="AD814" s="531"/>
      <c r="AE814" s="531"/>
      <c r="AF814" s="531"/>
      <c r="AG814" s="531"/>
      <c r="AH814" s="531"/>
      <c r="AI814" s="531"/>
      <c r="AJ814" s="531"/>
      <c r="AK814" s="531"/>
      <c r="AL814" s="531"/>
      <c r="AM814" s="531"/>
      <c r="AN814" s="531"/>
    </row>
    <row r="815" customFormat="false" ht="16.5" hidden="false" customHeight="true" outlineLevel="0" collapsed="false">
      <c r="A815" s="531"/>
      <c r="B815" s="531"/>
      <c r="C815" s="531"/>
      <c r="D815" s="531"/>
      <c r="E815" s="531"/>
      <c r="F815" s="531"/>
      <c r="G815" s="531"/>
      <c r="H815" s="531"/>
      <c r="I815" s="531"/>
      <c r="J815" s="531"/>
      <c r="K815" s="531"/>
      <c r="L815" s="531"/>
      <c r="M815" s="531"/>
      <c r="N815" s="531" t="str">
        <f aca="false">IF('(1)예금승인내역'!H1441="","",'(1)예금승인내역'!H1441)</f>
        <v/>
      </c>
      <c r="O815" s="531" t="str">
        <f aca="false">IF('(1)예금승인내역'!G1441="","",'(1)예금승인내역'!G1441)</f>
        <v/>
      </c>
      <c r="P815" s="531" t="str">
        <f aca="false">IF('(1)예금승인내역'!F1441="","",'(1)예금승인내역'!F1441)</f>
        <v/>
      </c>
      <c r="Q815" s="531" t="str">
        <f aca="false">IF('(1)예금승인내역'!C1441="","",'(1)예금승인내역'!C1441)</f>
        <v/>
      </c>
      <c r="R815" s="531" t="str">
        <f aca="false">IF('(1)예금승인내역'!K1441="","",'(1)예금승인내역'!K1441)</f>
        <v/>
      </c>
      <c r="S815" s="531" t="str">
        <f aca="false">IF('(1)예금승인내역'!L1441="","",'(1)예금승인내역'!L1441)</f>
        <v/>
      </c>
      <c r="T815" s="531" t="str">
        <f aca="false">IF('(1)예금승인내역'!AG1441="","",'(1)예금승인내역'!AG1441)</f>
        <v/>
      </c>
      <c r="U815" s="531" t="str">
        <f aca="false">IF('(1)예금승인내역'!X1441="","",'(1)예금승인내역'!X1441)</f>
        <v/>
      </c>
      <c r="V815" s="531" t="str">
        <f aca="false">IF(ISNUMBER(N815),N815-$B$2,"")</f>
        <v/>
      </c>
      <c r="W815" s="531" t="str">
        <f aca="false">IF(AND(ISNUMBER(N815),N815&gt;=$B$2,N815&lt;=$B$2+10),N815*100000+ROW(),"")</f>
        <v/>
      </c>
      <c r="X815" s="531"/>
      <c r="Y815" s="531"/>
      <c r="Z815" s="531"/>
      <c r="AA815" s="531"/>
      <c r="AB815" s="531"/>
      <c r="AC815" s="531"/>
      <c r="AD815" s="531"/>
      <c r="AE815" s="531"/>
      <c r="AF815" s="531"/>
      <c r="AG815" s="531"/>
      <c r="AH815" s="531"/>
      <c r="AI815" s="531"/>
      <c r="AJ815" s="531"/>
      <c r="AK815" s="531"/>
      <c r="AL815" s="531"/>
      <c r="AM815" s="531"/>
      <c r="AN815" s="531"/>
    </row>
    <row r="816" customFormat="false" ht="16.5" hidden="false" customHeight="true" outlineLevel="0" collapsed="false">
      <c r="A816" s="531"/>
      <c r="B816" s="531"/>
      <c r="C816" s="531"/>
      <c r="D816" s="531"/>
      <c r="E816" s="531"/>
      <c r="F816" s="531"/>
      <c r="G816" s="531"/>
      <c r="H816" s="531"/>
      <c r="I816" s="531"/>
      <c r="J816" s="531"/>
      <c r="K816" s="531"/>
      <c r="L816" s="531"/>
      <c r="M816" s="531"/>
      <c r="N816" s="531" t="str">
        <f aca="false">IF('(1)예금승인내역'!H1442="","",'(1)예금승인내역'!H1442)</f>
        <v/>
      </c>
      <c r="O816" s="531" t="str">
        <f aca="false">IF('(1)예금승인내역'!G1442="","",'(1)예금승인내역'!G1442)</f>
        <v/>
      </c>
      <c r="P816" s="531" t="str">
        <f aca="false">IF('(1)예금승인내역'!F1442="","",'(1)예금승인내역'!F1442)</f>
        <v/>
      </c>
      <c r="Q816" s="531" t="str">
        <f aca="false">IF('(1)예금승인내역'!C1442="","",'(1)예금승인내역'!C1442)</f>
        <v/>
      </c>
      <c r="R816" s="531" t="str">
        <f aca="false">IF('(1)예금승인내역'!K1442="","",'(1)예금승인내역'!K1442)</f>
        <v/>
      </c>
      <c r="S816" s="531" t="str">
        <f aca="false">IF('(1)예금승인내역'!L1442="","",'(1)예금승인내역'!L1442)</f>
        <v/>
      </c>
      <c r="T816" s="531" t="str">
        <f aca="false">IF('(1)예금승인내역'!AG1442="","",'(1)예금승인내역'!AG1442)</f>
        <v/>
      </c>
      <c r="U816" s="531" t="str">
        <f aca="false">IF('(1)예금승인내역'!X1442="","",'(1)예금승인내역'!X1442)</f>
        <v/>
      </c>
      <c r="V816" s="531" t="str">
        <f aca="false">IF(ISNUMBER(N816),N816-$B$2,"")</f>
        <v/>
      </c>
      <c r="W816" s="531" t="str">
        <f aca="false">IF(AND(ISNUMBER(N816),N816&gt;=$B$2,N816&lt;=$B$2+10),N816*100000+ROW(),"")</f>
        <v/>
      </c>
      <c r="X816" s="531"/>
      <c r="Y816" s="531"/>
      <c r="Z816" s="531"/>
      <c r="AA816" s="531"/>
      <c r="AB816" s="531"/>
      <c r="AC816" s="531"/>
      <c r="AD816" s="531"/>
      <c r="AE816" s="531"/>
      <c r="AF816" s="531"/>
      <c r="AG816" s="531"/>
      <c r="AH816" s="531"/>
      <c r="AI816" s="531"/>
      <c r="AJ816" s="531"/>
      <c r="AK816" s="531"/>
      <c r="AL816" s="531"/>
      <c r="AM816" s="531"/>
      <c r="AN816" s="531"/>
    </row>
    <row r="817" customFormat="false" ht="16.5" hidden="false" customHeight="true" outlineLevel="0" collapsed="false">
      <c r="A817" s="531"/>
      <c r="B817" s="531"/>
      <c r="C817" s="531"/>
      <c r="D817" s="531"/>
      <c r="E817" s="531"/>
      <c r="F817" s="531"/>
      <c r="G817" s="531"/>
      <c r="H817" s="531"/>
      <c r="I817" s="531"/>
      <c r="J817" s="531"/>
      <c r="K817" s="531"/>
      <c r="L817" s="531"/>
      <c r="M817" s="531"/>
      <c r="N817" s="531" t="str">
        <f aca="false">IF('(1)예금승인내역'!H1443="","",'(1)예금승인내역'!H1443)</f>
        <v/>
      </c>
      <c r="O817" s="531" t="str">
        <f aca="false">IF('(1)예금승인내역'!G1443="","",'(1)예금승인내역'!G1443)</f>
        <v/>
      </c>
      <c r="P817" s="531" t="str">
        <f aca="false">IF('(1)예금승인내역'!F1443="","",'(1)예금승인내역'!F1443)</f>
        <v/>
      </c>
      <c r="Q817" s="531" t="str">
        <f aca="false">IF('(1)예금승인내역'!C1443="","",'(1)예금승인내역'!C1443)</f>
        <v/>
      </c>
      <c r="R817" s="531" t="str">
        <f aca="false">IF('(1)예금승인내역'!K1443="","",'(1)예금승인내역'!K1443)</f>
        <v/>
      </c>
      <c r="S817" s="531" t="str">
        <f aca="false">IF('(1)예금승인내역'!L1443="","",'(1)예금승인내역'!L1443)</f>
        <v/>
      </c>
      <c r="T817" s="531" t="str">
        <f aca="false">IF('(1)예금승인내역'!AG1443="","",'(1)예금승인내역'!AG1443)</f>
        <v/>
      </c>
      <c r="U817" s="531" t="str">
        <f aca="false">IF('(1)예금승인내역'!X1443="","",'(1)예금승인내역'!X1443)</f>
        <v/>
      </c>
      <c r="V817" s="531" t="str">
        <f aca="false">IF(ISNUMBER(N817),N817-$B$2,"")</f>
        <v/>
      </c>
      <c r="W817" s="531" t="str">
        <f aca="false">IF(AND(ISNUMBER(N817),N817&gt;=$B$2,N817&lt;=$B$2+10),N817*100000+ROW(),"")</f>
        <v/>
      </c>
      <c r="X817" s="531"/>
      <c r="Y817" s="531"/>
      <c r="Z817" s="531"/>
      <c r="AA817" s="531"/>
      <c r="AB817" s="531"/>
      <c r="AC817" s="531"/>
      <c r="AD817" s="531"/>
      <c r="AE817" s="531"/>
      <c r="AF817" s="531"/>
      <c r="AG817" s="531"/>
      <c r="AH817" s="531"/>
      <c r="AI817" s="531"/>
      <c r="AJ817" s="531"/>
      <c r="AK817" s="531"/>
      <c r="AL817" s="531"/>
      <c r="AM817" s="531"/>
      <c r="AN817" s="531"/>
    </row>
    <row r="818" customFormat="false" ht="16.5" hidden="false" customHeight="true" outlineLevel="0" collapsed="false">
      <c r="A818" s="531"/>
      <c r="B818" s="531"/>
      <c r="C818" s="531"/>
      <c r="D818" s="531"/>
      <c r="E818" s="531"/>
      <c r="F818" s="531"/>
      <c r="G818" s="531"/>
      <c r="H818" s="531"/>
      <c r="I818" s="531"/>
      <c r="J818" s="531"/>
      <c r="K818" s="531"/>
      <c r="L818" s="531"/>
      <c r="M818" s="531"/>
      <c r="N818" s="531" t="str">
        <f aca="false">IF('(1)예금승인내역'!H1444="","",'(1)예금승인내역'!H1444)</f>
        <v/>
      </c>
      <c r="O818" s="531" t="str">
        <f aca="false">IF('(1)예금승인내역'!G1444="","",'(1)예금승인내역'!G1444)</f>
        <v/>
      </c>
      <c r="P818" s="531" t="str">
        <f aca="false">IF('(1)예금승인내역'!F1444="","",'(1)예금승인내역'!F1444)</f>
        <v/>
      </c>
      <c r="Q818" s="531" t="str">
        <f aca="false">IF('(1)예금승인내역'!C1444="","",'(1)예금승인내역'!C1444)</f>
        <v/>
      </c>
      <c r="R818" s="531" t="str">
        <f aca="false">IF('(1)예금승인내역'!K1444="","",'(1)예금승인내역'!K1444)</f>
        <v/>
      </c>
      <c r="S818" s="531" t="str">
        <f aca="false">IF('(1)예금승인내역'!L1444="","",'(1)예금승인내역'!L1444)</f>
        <v/>
      </c>
      <c r="T818" s="531" t="str">
        <f aca="false">IF('(1)예금승인내역'!AG1444="","",'(1)예금승인내역'!AG1444)</f>
        <v/>
      </c>
      <c r="U818" s="531" t="str">
        <f aca="false">IF('(1)예금승인내역'!X1444="","",'(1)예금승인내역'!X1444)</f>
        <v/>
      </c>
      <c r="V818" s="531" t="str">
        <f aca="false">IF(ISNUMBER(N818),N818-$B$2,"")</f>
        <v/>
      </c>
      <c r="W818" s="531" t="str">
        <f aca="false">IF(AND(ISNUMBER(N818),N818&gt;=$B$2,N818&lt;=$B$2+10),N818*100000+ROW(),"")</f>
        <v/>
      </c>
      <c r="X818" s="531"/>
      <c r="Y818" s="531"/>
      <c r="Z818" s="531"/>
      <c r="AA818" s="531"/>
      <c r="AB818" s="531"/>
      <c r="AC818" s="531"/>
      <c r="AD818" s="531"/>
      <c r="AE818" s="531"/>
      <c r="AF818" s="531"/>
      <c r="AG818" s="531"/>
      <c r="AH818" s="531"/>
      <c r="AI818" s="531"/>
      <c r="AJ818" s="531"/>
      <c r="AK818" s="531"/>
      <c r="AL818" s="531"/>
      <c r="AM818" s="531"/>
      <c r="AN818" s="531"/>
    </row>
    <row r="819" customFormat="false" ht="16.5" hidden="false" customHeight="true" outlineLevel="0" collapsed="false">
      <c r="A819" s="531"/>
      <c r="B819" s="531"/>
      <c r="C819" s="531"/>
      <c r="D819" s="531"/>
      <c r="E819" s="531"/>
      <c r="F819" s="531"/>
      <c r="G819" s="531"/>
      <c r="H819" s="531"/>
      <c r="I819" s="531"/>
      <c r="J819" s="531"/>
      <c r="K819" s="531"/>
      <c r="L819" s="531"/>
      <c r="M819" s="531"/>
      <c r="N819" s="531" t="str">
        <f aca="false">IF('(1)예금승인내역'!H1445="","",'(1)예금승인내역'!H1445)</f>
        <v/>
      </c>
      <c r="O819" s="531" t="str">
        <f aca="false">IF('(1)예금승인내역'!G1445="","",'(1)예금승인내역'!G1445)</f>
        <v/>
      </c>
      <c r="P819" s="531" t="str">
        <f aca="false">IF('(1)예금승인내역'!F1445="","",'(1)예금승인내역'!F1445)</f>
        <v/>
      </c>
      <c r="Q819" s="531" t="str">
        <f aca="false">IF('(1)예금승인내역'!C1445="","",'(1)예금승인내역'!C1445)</f>
        <v/>
      </c>
      <c r="R819" s="531" t="str">
        <f aca="false">IF('(1)예금승인내역'!K1445="","",'(1)예금승인내역'!K1445)</f>
        <v/>
      </c>
      <c r="S819" s="531" t="str">
        <f aca="false">IF('(1)예금승인내역'!L1445="","",'(1)예금승인내역'!L1445)</f>
        <v/>
      </c>
      <c r="T819" s="531" t="str">
        <f aca="false">IF('(1)예금승인내역'!AG1445="","",'(1)예금승인내역'!AG1445)</f>
        <v/>
      </c>
      <c r="U819" s="531" t="str">
        <f aca="false">IF('(1)예금승인내역'!X1445="","",'(1)예금승인내역'!X1445)</f>
        <v/>
      </c>
      <c r="V819" s="531" t="str">
        <f aca="false">IF(ISNUMBER(N819),N819-$B$2,"")</f>
        <v/>
      </c>
      <c r="W819" s="531" t="str">
        <f aca="false">IF(AND(ISNUMBER(N819),N819&gt;=$B$2,N819&lt;=$B$2+10),N819*100000+ROW(),"")</f>
        <v/>
      </c>
      <c r="X819" s="531"/>
      <c r="Y819" s="531"/>
      <c r="Z819" s="531"/>
      <c r="AA819" s="531"/>
      <c r="AB819" s="531"/>
      <c r="AC819" s="531"/>
      <c r="AD819" s="531"/>
      <c r="AE819" s="531"/>
      <c r="AF819" s="531"/>
      <c r="AG819" s="531"/>
      <c r="AH819" s="531"/>
      <c r="AI819" s="531"/>
      <c r="AJ819" s="531"/>
      <c r="AK819" s="531"/>
      <c r="AL819" s="531"/>
      <c r="AM819" s="531"/>
      <c r="AN819" s="531"/>
    </row>
    <row r="820" customFormat="false" ht="16.5" hidden="false" customHeight="true" outlineLevel="0" collapsed="false">
      <c r="A820" s="531"/>
      <c r="B820" s="531"/>
      <c r="C820" s="531"/>
      <c r="D820" s="531"/>
      <c r="E820" s="531"/>
      <c r="F820" s="531"/>
      <c r="G820" s="531"/>
      <c r="H820" s="531"/>
      <c r="I820" s="531"/>
      <c r="J820" s="531"/>
      <c r="K820" s="531"/>
      <c r="L820" s="531"/>
      <c r="M820" s="531"/>
      <c r="N820" s="531" t="str">
        <f aca="false">IF('(1)예금승인내역'!H1446="","",'(1)예금승인내역'!H1446)</f>
        <v/>
      </c>
      <c r="O820" s="531" t="str">
        <f aca="false">IF('(1)예금승인내역'!G1446="","",'(1)예금승인내역'!G1446)</f>
        <v/>
      </c>
      <c r="P820" s="531" t="str">
        <f aca="false">IF('(1)예금승인내역'!F1446="","",'(1)예금승인내역'!F1446)</f>
        <v/>
      </c>
      <c r="Q820" s="531" t="str">
        <f aca="false">IF('(1)예금승인내역'!C1446="","",'(1)예금승인내역'!C1446)</f>
        <v/>
      </c>
      <c r="R820" s="531" t="str">
        <f aca="false">IF('(1)예금승인내역'!K1446="","",'(1)예금승인내역'!K1446)</f>
        <v/>
      </c>
      <c r="S820" s="531" t="str">
        <f aca="false">IF('(1)예금승인내역'!L1446="","",'(1)예금승인내역'!L1446)</f>
        <v/>
      </c>
      <c r="T820" s="531" t="str">
        <f aca="false">IF('(1)예금승인내역'!AG1446="","",'(1)예금승인내역'!AG1446)</f>
        <v/>
      </c>
      <c r="U820" s="531" t="str">
        <f aca="false">IF('(1)예금승인내역'!X1446="","",'(1)예금승인내역'!X1446)</f>
        <v/>
      </c>
      <c r="V820" s="531" t="str">
        <f aca="false">IF(ISNUMBER(N820),N820-$B$2,"")</f>
        <v/>
      </c>
      <c r="W820" s="531" t="str">
        <f aca="false">IF(AND(ISNUMBER(N820),N820&gt;=$B$2,N820&lt;=$B$2+10),N820*100000+ROW(),"")</f>
        <v/>
      </c>
      <c r="X820" s="531"/>
      <c r="Y820" s="531"/>
      <c r="Z820" s="531"/>
      <c r="AA820" s="531"/>
      <c r="AB820" s="531"/>
      <c r="AC820" s="531"/>
      <c r="AD820" s="531"/>
      <c r="AE820" s="531"/>
      <c r="AF820" s="531"/>
      <c r="AG820" s="531"/>
      <c r="AH820" s="531"/>
      <c r="AI820" s="531"/>
      <c r="AJ820" s="531"/>
      <c r="AK820" s="531"/>
      <c r="AL820" s="531"/>
      <c r="AM820" s="531"/>
      <c r="AN820" s="531"/>
    </row>
    <row r="821" customFormat="false" ht="16.5" hidden="false" customHeight="true" outlineLevel="0" collapsed="false">
      <c r="A821" s="531"/>
      <c r="B821" s="531"/>
      <c r="C821" s="531"/>
      <c r="D821" s="531"/>
      <c r="E821" s="531"/>
      <c r="F821" s="531"/>
      <c r="G821" s="531"/>
      <c r="H821" s="531"/>
      <c r="I821" s="531"/>
      <c r="J821" s="531"/>
      <c r="K821" s="531"/>
      <c r="L821" s="531"/>
      <c r="M821" s="531"/>
      <c r="N821" s="531" t="str">
        <f aca="false">IF('(1)예금승인내역'!H1447="","",'(1)예금승인내역'!H1447)</f>
        <v/>
      </c>
      <c r="O821" s="531" t="str">
        <f aca="false">IF('(1)예금승인내역'!G1447="","",'(1)예금승인내역'!G1447)</f>
        <v/>
      </c>
      <c r="P821" s="531" t="str">
        <f aca="false">IF('(1)예금승인내역'!F1447="","",'(1)예금승인내역'!F1447)</f>
        <v/>
      </c>
      <c r="Q821" s="531" t="str">
        <f aca="false">IF('(1)예금승인내역'!C1447="","",'(1)예금승인내역'!C1447)</f>
        <v/>
      </c>
      <c r="R821" s="531" t="str">
        <f aca="false">IF('(1)예금승인내역'!K1447="","",'(1)예금승인내역'!K1447)</f>
        <v/>
      </c>
      <c r="S821" s="531" t="str">
        <f aca="false">IF('(1)예금승인내역'!L1447="","",'(1)예금승인내역'!L1447)</f>
        <v/>
      </c>
      <c r="T821" s="531" t="str">
        <f aca="false">IF('(1)예금승인내역'!AG1447="","",'(1)예금승인내역'!AG1447)</f>
        <v/>
      </c>
      <c r="U821" s="531" t="str">
        <f aca="false">IF('(1)예금승인내역'!X1447="","",'(1)예금승인내역'!X1447)</f>
        <v/>
      </c>
      <c r="V821" s="531" t="str">
        <f aca="false">IF(ISNUMBER(N821),N821-$B$2,"")</f>
        <v/>
      </c>
      <c r="W821" s="531" t="str">
        <f aca="false">IF(AND(ISNUMBER(N821),N821&gt;=$B$2,N821&lt;=$B$2+10),N821*100000+ROW(),"")</f>
        <v/>
      </c>
      <c r="X821" s="531"/>
      <c r="Y821" s="531"/>
      <c r="Z821" s="531"/>
      <c r="AA821" s="531"/>
      <c r="AB821" s="531"/>
      <c r="AC821" s="531"/>
      <c r="AD821" s="531"/>
      <c r="AE821" s="531"/>
      <c r="AF821" s="531"/>
      <c r="AG821" s="531"/>
      <c r="AH821" s="531"/>
      <c r="AI821" s="531"/>
      <c r="AJ821" s="531"/>
      <c r="AK821" s="531"/>
      <c r="AL821" s="531"/>
      <c r="AM821" s="531"/>
      <c r="AN821" s="531"/>
    </row>
    <row r="822" customFormat="false" ht="16.5" hidden="false" customHeight="true" outlineLevel="0" collapsed="false">
      <c r="A822" s="531"/>
      <c r="B822" s="531"/>
      <c r="C822" s="531"/>
      <c r="D822" s="531"/>
      <c r="E822" s="531"/>
      <c r="F822" s="531"/>
      <c r="G822" s="531"/>
      <c r="H822" s="531"/>
      <c r="I822" s="531"/>
      <c r="J822" s="531"/>
      <c r="K822" s="531"/>
      <c r="L822" s="531"/>
      <c r="M822" s="531"/>
      <c r="N822" s="531" t="str">
        <f aca="false">IF('(1)예금승인내역'!H1448="","",'(1)예금승인내역'!H1448)</f>
        <v/>
      </c>
      <c r="O822" s="531" t="str">
        <f aca="false">IF('(1)예금승인내역'!G1448="","",'(1)예금승인내역'!G1448)</f>
        <v/>
      </c>
      <c r="P822" s="531" t="str">
        <f aca="false">IF('(1)예금승인내역'!F1448="","",'(1)예금승인내역'!F1448)</f>
        <v/>
      </c>
      <c r="Q822" s="531" t="str">
        <f aca="false">IF('(1)예금승인내역'!C1448="","",'(1)예금승인내역'!C1448)</f>
        <v/>
      </c>
      <c r="R822" s="531" t="str">
        <f aca="false">IF('(1)예금승인내역'!K1448="","",'(1)예금승인내역'!K1448)</f>
        <v/>
      </c>
      <c r="S822" s="531" t="str">
        <f aca="false">IF('(1)예금승인내역'!L1448="","",'(1)예금승인내역'!L1448)</f>
        <v/>
      </c>
      <c r="T822" s="531" t="str">
        <f aca="false">IF('(1)예금승인내역'!AG1448="","",'(1)예금승인내역'!AG1448)</f>
        <v/>
      </c>
      <c r="U822" s="531" t="str">
        <f aca="false">IF('(1)예금승인내역'!X1448="","",'(1)예금승인내역'!X1448)</f>
        <v/>
      </c>
      <c r="V822" s="531" t="str">
        <f aca="false">IF(ISNUMBER(N822),N822-$B$2,"")</f>
        <v/>
      </c>
      <c r="W822" s="531" t="str">
        <f aca="false">IF(AND(ISNUMBER(N822),N822&gt;=$B$2,N822&lt;=$B$2+10),N822*100000+ROW(),"")</f>
        <v/>
      </c>
      <c r="X822" s="531"/>
      <c r="Y822" s="531"/>
      <c r="Z822" s="531"/>
      <c r="AA822" s="531"/>
      <c r="AB822" s="531"/>
      <c r="AC822" s="531"/>
      <c r="AD822" s="531"/>
      <c r="AE822" s="531"/>
      <c r="AF822" s="531"/>
      <c r="AG822" s="531"/>
      <c r="AH822" s="531"/>
      <c r="AI822" s="531"/>
      <c r="AJ822" s="531"/>
      <c r="AK822" s="531"/>
      <c r="AL822" s="531"/>
      <c r="AM822" s="531"/>
      <c r="AN822" s="531"/>
    </row>
    <row r="823" customFormat="false" ht="16.5" hidden="false" customHeight="true" outlineLevel="0" collapsed="false">
      <c r="A823" s="531"/>
      <c r="B823" s="531"/>
      <c r="C823" s="531"/>
      <c r="D823" s="531"/>
      <c r="E823" s="531"/>
      <c r="F823" s="531"/>
      <c r="G823" s="531"/>
      <c r="H823" s="531"/>
      <c r="I823" s="531"/>
      <c r="J823" s="531"/>
      <c r="K823" s="531"/>
      <c r="L823" s="531"/>
      <c r="M823" s="531"/>
      <c r="N823" s="531" t="str">
        <f aca="false">IF('(1)예금승인내역'!H1449="","",'(1)예금승인내역'!H1449)</f>
        <v/>
      </c>
      <c r="O823" s="531" t="str">
        <f aca="false">IF('(1)예금승인내역'!G1449="","",'(1)예금승인내역'!G1449)</f>
        <v/>
      </c>
      <c r="P823" s="531" t="str">
        <f aca="false">IF('(1)예금승인내역'!F1449="","",'(1)예금승인내역'!F1449)</f>
        <v/>
      </c>
      <c r="Q823" s="531" t="str">
        <f aca="false">IF('(1)예금승인내역'!C1449="","",'(1)예금승인내역'!C1449)</f>
        <v/>
      </c>
      <c r="R823" s="531" t="str">
        <f aca="false">IF('(1)예금승인내역'!K1449="","",'(1)예금승인내역'!K1449)</f>
        <v/>
      </c>
      <c r="S823" s="531" t="str">
        <f aca="false">IF('(1)예금승인내역'!L1449="","",'(1)예금승인내역'!L1449)</f>
        <v/>
      </c>
      <c r="T823" s="531" t="str">
        <f aca="false">IF('(1)예금승인내역'!AG1449="","",'(1)예금승인내역'!AG1449)</f>
        <v/>
      </c>
      <c r="U823" s="531" t="str">
        <f aca="false">IF('(1)예금승인내역'!X1449="","",'(1)예금승인내역'!X1449)</f>
        <v/>
      </c>
      <c r="V823" s="531" t="str">
        <f aca="false">IF(ISNUMBER(N823),N823-$B$2,"")</f>
        <v/>
      </c>
      <c r="W823" s="531" t="str">
        <f aca="false">IF(AND(ISNUMBER(N823),N823&gt;=$B$2,N823&lt;=$B$2+10),N823*100000+ROW(),"")</f>
        <v/>
      </c>
      <c r="X823" s="531"/>
      <c r="Y823" s="531"/>
      <c r="Z823" s="531"/>
      <c r="AA823" s="531"/>
      <c r="AB823" s="531"/>
      <c r="AC823" s="531"/>
      <c r="AD823" s="531"/>
      <c r="AE823" s="531"/>
      <c r="AF823" s="531"/>
      <c r="AG823" s="531"/>
      <c r="AH823" s="531"/>
      <c r="AI823" s="531"/>
      <c r="AJ823" s="531"/>
      <c r="AK823" s="531"/>
      <c r="AL823" s="531"/>
      <c r="AM823" s="531"/>
      <c r="AN823" s="531"/>
    </row>
    <row r="824" customFormat="false" ht="16.5" hidden="false" customHeight="true" outlineLevel="0" collapsed="false">
      <c r="A824" s="531"/>
      <c r="B824" s="531"/>
      <c r="C824" s="531"/>
      <c r="D824" s="531"/>
      <c r="E824" s="531"/>
      <c r="F824" s="531"/>
      <c r="G824" s="531"/>
      <c r="H824" s="531"/>
      <c r="I824" s="531"/>
      <c r="J824" s="531"/>
      <c r="K824" s="531"/>
      <c r="L824" s="531"/>
      <c r="M824" s="531"/>
      <c r="N824" s="531" t="str">
        <f aca="false">IF('(1)예금승인내역'!H1450="","",'(1)예금승인내역'!H1450)</f>
        <v/>
      </c>
      <c r="O824" s="531" t="str">
        <f aca="false">IF('(1)예금승인내역'!G1450="","",'(1)예금승인내역'!G1450)</f>
        <v/>
      </c>
      <c r="P824" s="531" t="str">
        <f aca="false">IF('(1)예금승인내역'!F1450="","",'(1)예금승인내역'!F1450)</f>
        <v/>
      </c>
      <c r="Q824" s="531" t="str">
        <f aca="false">IF('(1)예금승인내역'!C1450="","",'(1)예금승인내역'!C1450)</f>
        <v/>
      </c>
      <c r="R824" s="531" t="str">
        <f aca="false">IF('(1)예금승인내역'!K1450="","",'(1)예금승인내역'!K1450)</f>
        <v/>
      </c>
      <c r="S824" s="531" t="str">
        <f aca="false">IF('(1)예금승인내역'!L1450="","",'(1)예금승인내역'!L1450)</f>
        <v/>
      </c>
      <c r="T824" s="531" t="str">
        <f aca="false">IF('(1)예금승인내역'!AG1450="","",'(1)예금승인내역'!AG1450)</f>
        <v/>
      </c>
      <c r="U824" s="531" t="str">
        <f aca="false">IF('(1)예금승인내역'!X1450="","",'(1)예금승인내역'!X1450)</f>
        <v/>
      </c>
      <c r="V824" s="531" t="str">
        <f aca="false">IF(ISNUMBER(N824),N824-$B$2,"")</f>
        <v/>
      </c>
      <c r="W824" s="531" t="str">
        <f aca="false">IF(AND(ISNUMBER(N824),N824&gt;=$B$2,N824&lt;=$B$2+10),N824*100000+ROW(),"")</f>
        <v/>
      </c>
      <c r="X824" s="531"/>
      <c r="Y824" s="531"/>
      <c r="Z824" s="531"/>
      <c r="AA824" s="531"/>
      <c r="AB824" s="531"/>
      <c r="AC824" s="531"/>
      <c r="AD824" s="531"/>
      <c r="AE824" s="531"/>
      <c r="AF824" s="531"/>
      <c r="AG824" s="531"/>
      <c r="AH824" s="531"/>
      <c r="AI824" s="531"/>
      <c r="AJ824" s="531"/>
      <c r="AK824" s="531"/>
      <c r="AL824" s="531"/>
      <c r="AM824" s="531"/>
      <c r="AN824" s="531"/>
    </row>
    <row r="825" customFormat="false" ht="16.5" hidden="false" customHeight="true" outlineLevel="0" collapsed="false">
      <c r="A825" s="531"/>
      <c r="B825" s="531"/>
      <c r="C825" s="531"/>
      <c r="D825" s="531"/>
      <c r="E825" s="531"/>
      <c r="F825" s="531"/>
      <c r="G825" s="531"/>
      <c r="H825" s="531"/>
      <c r="I825" s="531"/>
      <c r="J825" s="531"/>
      <c r="K825" s="531"/>
      <c r="L825" s="531"/>
      <c r="M825" s="531"/>
      <c r="N825" s="531" t="str">
        <f aca="false">IF('(1)예금승인내역'!H1451="","",'(1)예금승인내역'!H1451)</f>
        <v/>
      </c>
      <c r="O825" s="531" t="str">
        <f aca="false">IF('(1)예금승인내역'!G1451="","",'(1)예금승인내역'!G1451)</f>
        <v/>
      </c>
      <c r="P825" s="531" t="str">
        <f aca="false">IF('(1)예금승인내역'!F1451="","",'(1)예금승인내역'!F1451)</f>
        <v/>
      </c>
      <c r="Q825" s="531" t="str">
        <f aca="false">IF('(1)예금승인내역'!C1451="","",'(1)예금승인내역'!C1451)</f>
        <v/>
      </c>
      <c r="R825" s="531" t="str">
        <f aca="false">IF('(1)예금승인내역'!K1451="","",'(1)예금승인내역'!K1451)</f>
        <v/>
      </c>
      <c r="S825" s="531" t="str">
        <f aca="false">IF('(1)예금승인내역'!L1451="","",'(1)예금승인내역'!L1451)</f>
        <v/>
      </c>
      <c r="T825" s="531" t="str">
        <f aca="false">IF('(1)예금승인내역'!AG1451="","",'(1)예금승인내역'!AG1451)</f>
        <v/>
      </c>
      <c r="U825" s="531" t="str">
        <f aca="false">IF('(1)예금승인내역'!X1451="","",'(1)예금승인내역'!X1451)</f>
        <v/>
      </c>
      <c r="V825" s="531" t="str">
        <f aca="false">IF(ISNUMBER(N825),N825-$B$2,"")</f>
        <v/>
      </c>
      <c r="W825" s="531" t="str">
        <f aca="false">IF(AND(ISNUMBER(N825),N825&gt;=$B$2,N825&lt;=$B$2+10),N825*100000+ROW(),"")</f>
        <v/>
      </c>
      <c r="X825" s="531"/>
      <c r="Y825" s="531"/>
      <c r="Z825" s="531"/>
      <c r="AA825" s="531"/>
      <c r="AB825" s="531"/>
      <c r="AC825" s="531"/>
      <c r="AD825" s="531"/>
      <c r="AE825" s="531"/>
      <c r="AF825" s="531"/>
      <c r="AG825" s="531"/>
      <c r="AH825" s="531"/>
      <c r="AI825" s="531"/>
      <c r="AJ825" s="531"/>
      <c r="AK825" s="531"/>
      <c r="AL825" s="531"/>
      <c r="AM825" s="531"/>
      <c r="AN825" s="531"/>
    </row>
    <row r="826" customFormat="false" ht="16.5" hidden="false" customHeight="true" outlineLevel="0" collapsed="false">
      <c r="A826" s="531"/>
      <c r="B826" s="531"/>
      <c r="C826" s="531"/>
      <c r="D826" s="531"/>
      <c r="E826" s="531"/>
      <c r="F826" s="531"/>
      <c r="G826" s="531"/>
      <c r="H826" s="531"/>
      <c r="I826" s="531"/>
      <c r="J826" s="531"/>
      <c r="K826" s="531"/>
      <c r="L826" s="531"/>
      <c r="M826" s="531"/>
      <c r="N826" s="531" t="str">
        <f aca="false">IF('(1)예금승인내역'!H1452="","",'(1)예금승인내역'!H1452)</f>
        <v/>
      </c>
      <c r="O826" s="531" t="str">
        <f aca="false">IF('(1)예금승인내역'!G1452="","",'(1)예금승인내역'!G1452)</f>
        <v/>
      </c>
      <c r="P826" s="531" t="str">
        <f aca="false">IF('(1)예금승인내역'!F1452="","",'(1)예금승인내역'!F1452)</f>
        <v/>
      </c>
      <c r="Q826" s="531" t="str">
        <f aca="false">IF('(1)예금승인내역'!C1452="","",'(1)예금승인내역'!C1452)</f>
        <v/>
      </c>
      <c r="R826" s="531" t="str">
        <f aca="false">IF('(1)예금승인내역'!K1452="","",'(1)예금승인내역'!K1452)</f>
        <v/>
      </c>
      <c r="S826" s="531" t="str">
        <f aca="false">IF('(1)예금승인내역'!L1452="","",'(1)예금승인내역'!L1452)</f>
        <v/>
      </c>
      <c r="T826" s="531" t="str">
        <f aca="false">IF('(1)예금승인내역'!AG1452="","",'(1)예금승인내역'!AG1452)</f>
        <v/>
      </c>
      <c r="U826" s="531" t="str">
        <f aca="false">IF('(1)예금승인내역'!X1452="","",'(1)예금승인내역'!X1452)</f>
        <v/>
      </c>
      <c r="V826" s="531" t="str">
        <f aca="false">IF(ISNUMBER(N826),N826-$B$2,"")</f>
        <v/>
      </c>
      <c r="W826" s="531" t="str">
        <f aca="false">IF(AND(ISNUMBER(N826),N826&gt;=$B$2,N826&lt;=$B$2+10),N826*100000+ROW(),"")</f>
        <v/>
      </c>
      <c r="X826" s="531"/>
      <c r="Y826" s="531"/>
      <c r="Z826" s="531"/>
      <c r="AA826" s="531"/>
      <c r="AB826" s="531"/>
      <c r="AC826" s="531"/>
      <c r="AD826" s="531"/>
      <c r="AE826" s="531"/>
      <c r="AF826" s="531"/>
      <c r="AG826" s="531"/>
      <c r="AH826" s="531"/>
      <c r="AI826" s="531"/>
      <c r="AJ826" s="531"/>
      <c r="AK826" s="531"/>
      <c r="AL826" s="531"/>
      <c r="AM826" s="531"/>
      <c r="AN826" s="531"/>
    </row>
    <row r="827" customFormat="false" ht="16.5" hidden="false" customHeight="true" outlineLevel="0" collapsed="false">
      <c r="A827" s="531"/>
      <c r="B827" s="531"/>
      <c r="C827" s="531"/>
      <c r="D827" s="531"/>
      <c r="E827" s="531"/>
      <c r="F827" s="531"/>
      <c r="G827" s="531"/>
      <c r="H827" s="531"/>
      <c r="I827" s="531"/>
      <c r="J827" s="531"/>
      <c r="K827" s="531"/>
      <c r="L827" s="531"/>
      <c r="M827" s="531"/>
      <c r="N827" s="531" t="str">
        <f aca="false">IF('(1)예금승인내역'!H1453="","",'(1)예금승인내역'!H1453)</f>
        <v/>
      </c>
      <c r="O827" s="531" t="str">
        <f aca="false">IF('(1)예금승인내역'!G1453="","",'(1)예금승인내역'!G1453)</f>
        <v/>
      </c>
      <c r="P827" s="531" t="str">
        <f aca="false">IF('(1)예금승인내역'!F1453="","",'(1)예금승인내역'!F1453)</f>
        <v/>
      </c>
      <c r="Q827" s="531" t="str">
        <f aca="false">IF('(1)예금승인내역'!C1453="","",'(1)예금승인내역'!C1453)</f>
        <v/>
      </c>
      <c r="R827" s="531" t="str">
        <f aca="false">IF('(1)예금승인내역'!K1453="","",'(1)예금승인내역'!K1453)</f>
        <v/>
      </c>
      <c r="S827" s="531" t="str">
        <f aca="false">IF('(1)예금승인내역'!L1453="","",'(1)예금승인내역'!L1453)</f>
        <v/>
      </c>
      <c r="T827" s="531" t="str">
        <f aca="false">IF('(1)예금승인내역'!AG1453="","",'(1)예금승인내역'!AG1453)</f>
        <v/>
      </c>
      <c r="U827" s="531" t="str">
        <f aca="false">IF('(1)예금승인내역'!X1453="","",'(1)예금승인내역'!X1453)</f>
        <v/>
      </c>
      <c r="V827" s="531" t="str">
        <f aca="false">IF(ISNUMBER(N827),N827-$B$2,"")</f>
        <v/>
      </c>
      <c r="W827" s="531" t="str">
        <f aca="false">IF(AND(ISNUMBER(N827),N827&gt;=$B$2,N827&lt;=$B$2+10),N827*100000+ROW(),"")</f>
        <v/>
      </c>
      <c r="X827" s="531"/>
      <c r="Y827" s="531"/>
      <c r="Z827" s="531"/>
      <c r="AA827" s="531"/>
      <c r="AB827" s="531"/>
      <c r="AC827" s="531"/>
      <c r="AD827" s="531"/>
      <c r="AE827" s="531"/>
      <c r="AF827" s="531"/>
      <c r="AG827" s="531"/>
      <c r="AH827" s="531"/>
      <c r="AI827" s="531"/>
      <c r="AJ827" s="531"/>
      <c r="AK827" s="531"/>
      <c r="AL827" s="531"/>
      <c r="AM827" s="531"/>
      <c r="AN827" s="531"/>
    </row>
    <row r="828" customFormat="false" ht="16.5" hidden="false" customHeight="true" outlineLevel="0" collapsed="false">
      <c r="A828" s="531"/>
      <c r="B828" s="531"/>
      <c r="C828" s="531"/>
      <c r="D828" s="531"/>
      <c r="E828" s="531"/>
      <c r="F828" s="531"/>
      <c r="G828" s="531"/>
      <c r="H828" s="531"/>
      <c r="I828" s="531"/>
      <c r="J828" s="531"/>
      <c r="K828" s="531"/>
      <c r="L828" s="531"/>
      <c r="M828" s="531"/>
      <c r="N828" s="531" t="str">
        <f aca="false">IF('(1)예금승인내역'!H1454="","",'(1)예금승인내역'!H1454)</f>
        <v/>
      </c>
      <c r="O828" s="531" t="str">
        <f aca="false">IF('(1)예금승인내역'!G1454="","",'(1)예금승인내역'!G1454)</f>
        <v/>
      </c>
      <c r="P828" s="531" t="str">
        <f aca="false">IF('(1)예금승인내역'!F1454="","",'(1)예금승인내역'!F1454)</f>
        <v/>
      </c>
      <c r="Q828" s="531" t="str">
        <f aca="false">IF('(1)예금승인내역'!C1454="","",'(1)예금승인내역'!C1454)</f>
        <v/>
      </c>
      <c r="R828" s="531" t="str">
        <f aca="false">IF('(1)예금승인내역'!K1454="","",'(1)예금승인내역'!K1454)</f>
        <v/>
      </c>
      <c r="S828" s="531" t="str">
        <f aca="false">IF('(1)예금승인내역'!L1454="","",'(1)예금승인내역'!L1454)</f>
        <v/>
      </c>
      <c r="T828" s="531" t="str">
        <f aca="false">IF('(1)예금승인내역'!AG1454="","",'(1)예금승인내역'!AG1454)</f>
        <v/>
      </c>
      <c r="U828" s="531" t="str">
        <f aca="false">IF('(1)예금승인내역'!X1454="","",'(1)예금승인내역'!X1454)</f>
        <v/>
      </c>
      <c r="V828" s="531" t="str">
        <f aca="false">IF(ISNUMBER(N828),N828-$B$2,"")</f>
        <v/>
      </c>
      <c r="W828" s="531" t="str">
        <f aca="false">IF(AND(ISNUMBER(N828),N828&gt;=$B$2,N828&lt;=$B$2+10),N828*100000+ROW(),"")</f>
        <v/>
      </c>
      <c r="X828" s="531"/>
      <c r="Y828" s="531"/>
      <c r="Z828" s="531"/>
      <c r="AA828" s="531"/>
      <c r="AB828" s="531"/>
      <c r="AC828" s="531"/>
      <c r="AD828" s="531"/>
      <c r="AE828" s="531"/>
      <c r="AF828" s="531"/>
      <c r="AG828" s="531"/>
      <c r="AH828" s="531"/>
      <c r="AI828" s="531"/>
      <c r="AJ828" s="531"/>
      <c r="AK828" s="531"/>
      <c r="AL828" s="531"/>
      <c r="AM828" s="531"/>
      <c r="AN828" s="531"/>
    </row>
    <row r="829" customFormat="false" ht="16.5" hidden="false" customHeight="true" outlineLevel="0" collapsed="false">
      <c r="A829" s="531"/>
      <c r="B829" s="531"/>
      <c r="C829" s="531"/>
      <c r="D829" s="531"/>
      <c r="E829" s="531"/>
      <c r="F829" s="531"/>
      <c r="G829" s="531"/>
      <c r="H829" s="531"/>
      <c r="I829" s="531"/>
      <c r="J829" s="531"/>
      <c r="K829" s="531"/>
      <c r="L829" s="531"/>
      <c r="M829" s="531"/>
      <c r="N829" s="531" t="str">
        <f aca="false">IF('(1)예금승인내역'!H1455="","",'(1)예금승인내역'!H1455)</f>
        <v/>
      </c>
      <c r="O829" s="531" t="str">
        <f aca="false">IF('(1)예금승인내역'!G1455="","",'(1)예금승인내역'!G1455)</f>
        <v/>
      </c>
      <c r="P829" s="531" t="str">
        <f aca="false">IF('(1)예금승인내역'!F1455="","",'(1)예금승인내역'!F1455)</f>
        <v/>
      </c>
      <c r="Q829" s="531" t="str">
        <f aca="false">IF('(1)예금승인내역'!C1455="","",'(1)예금승인내역'!C1455)</f>
        <v/>
      </c>
      <c r="R829" s="531" t="str">
        <f aca="false">IF('(1)예금승인내역'!K1455="","",'(1)예금승인내역'!K1455)</f>
        <v/>
      </c>
      <c r="S829" s="531" t="str">
        <f aca="false">IF('(1)예금승인내역'!L1455="","",'(1)예금승인내역'!L1455)</f>
        <v/>
      </c>
      <c r="T829" s="531" t="str">
        <f aca="false">IF('(1)예금승인내역'!AG1455="","",'(1)예금승인내역'!AG1455)</f>
        <v/>
      </c>
      <c r="U829" s="531" t="str">
        <f aca="false">IF('(1)예금승인내역'!X1455="","",'(1)예금승인내역'!X1455)</f>
        <v/>
      </c>
      <c r="V829" s="531" t="str">
        <f aca="false">IF(ISNUMBER(N829),N829-$B$2,"")</f>
        <v/>
      </c>
      <c r="W829" s="531" t="str">
        <f aca="false">IF(AND(ISNUMBER(N829),N829&gt;=$B$2,N829&lt;=$B$2+10),N829*100000+ROW(),"")</f>
        <v/>
      </c>
      <c r="X829" s="531"/>
      <c r="Y829" s="531"/>
      <c r="Z829" s="531"/>
      <c r="AA829" s="531"/>
      <c r="AB829" s="531"/>
      <c r="AC829" s="531"/>
      <c r="AD829" s="531"/>
      <c r="AE829" s="531"/>
      <c r="AF829" s="531"/>
      <c r="AG829" s="531"/>
      <c r="AH829" s="531"/>
      <c r="AI829" s="531"/>
      <c r="AJ829" s="531"/>
      <c r="AK829" s="531"/>
      <c r="AL829" s="531"/>
      <c r="AM829" s="531"/>
      <c r="AN829" s="531"/>
    </row>
    <row r="830" customFormat="false" ht="16.5" hidden="false" customHeight="true" outlineLevel="0" collapsed="false">
      <c r="A830" s="531"/>
      <c r="B830" s="531"/>
      <c r="C830" s="531"/>
      <c r="D830" s="531"/>
      <c r="E830" s="531"/>
      <c r="F830" s="531"/>
      <c r="G830" s="531"/>
      <c r="H830" s="531"/>
      <c r="I830" s="531"/>
      <c r="J830" s="531"/>
      <c r="K830" s="531"/>
      <c r="L830" s="531"/>
      <c r="M830" s="531"/>
      <c r="N830" s="531" t="str">
        <f aca="false">IF('(1)예금승인내역'!H1456="","",'(1)예금승인내역'!H1456)</f>
        <v/>
      </c>
      <c r="O830" s="531" t="str">
        <f aca="false">IF('(1)예금승인내역'!G1456="","",'(1)예금승인내역'!G1456)</f>
        <v/>
      </c>
      <c r="P830" s="531" t="str">
        <f aca="false">IF('(1)예금승인내역'!F1456="","",'(1)예금승인내역'!F1456)</f>
        <v/>
      </c>
      <c r="Q830" s="531" t="str">
        <f aca="false">IF('(1)예금승인내역'!C1456="","",'(1)예금승인내역'!C1456)</f>
        <v/>
      </c>
      <c r="R830" s="531" t="str">
        <f aca="false">IF('(1)예금승인내역'!K1456="","",'(1)예금승인내역'!K1456)</f>
        <v/>
      </c>
      <c r="S830" s="531" t="str">
        <f aca="false">IF('(1)예금승인내역'!L1456="","",'(1)예금승인내역'!L1456)</f>
        <v/>
      </c>
      <c r="T830" s="531" t="str">
        <f aca="false">IF('(1)예금승인내역'!AG1456="","",'(1)예금승인내역'!AG1456)</f>
        <v/>
      </c>
      <c r="U830" s="531" t="str">
        <f aca="false">IF('(1)예금승인내역'!X1456="","",'(1)예금승인내역'!X1456)</f>
        <v/>
      </c>
      <c r="V830" s="531" t="str">
        <f aca="false">IF(ISNUMBER(N830),N830-$B$2,"")</f>
        <v/>
      </c>
      <c r="W830" s="531" t="str">
        <f aca="false">IF(AND(ISNUMBER(N830),N830&gt;=$B$2,N830&lt;=$B$2+10),N830*100000+ROW(),"")</f>
        <v/>
      </c>
      <c r="X830" s="531"/>
      <c r="Y830" s="531"/>
      <c r="Z830" s="531"/>
      <c r="AA830" s="531"/>
      <c r="AB830" s="531"/>
      <c r="AC830" s="531"/>
      <c r="AD830" s="531"/>
      <c r="AE830" s="531"/>
      <c r="AF830" s="531"/>
      <c r="AG830" s="531"/>
      <c r="AH830" s="531"/>
      <c r="AI830" s="531"/>
      <c r="AJ830" s="531"/>
      <c r="AK830" s="531"/>
      <c r="AL830" s="531"/>
      <c r="AM830" s="531"/>
      <c r="AN830" s="531"/>
    </row>
    <row r="831" customFormat="false" ht="16.5" hidden="false" customHeight="true" outlineLevel="0" collapsed="false">
      <c r="A831" s="531"/>
      <c r="B831" s="531"/>
      <c r="C831" s="531"/>
      <c r="D831" s="531"/>
      <c r="E831" s="531"/>
      <c r="F831" s="531"/>
      <c r="G831" s="531"/>
      <c r="H831" s="531"/>
      <c r="I831" s="531"/>
      <c r="J831" s="531"/>
      <c r="K831" s="531"/>
      <c r="L831" s="531"/>
      <c r="M831" s="531"/>
      <c r="N831" s="531" t="str">
        <f aca="false">IF('(1)예금승인내역'!H1457="","",'(1)예금승인내역'!H1457)</f>
        <v/>
      </c>
      <c r="O831" s="531" t="str">
        <f aca="false">IF('(1)예금승인내역'!G1457="","",'(1)예금승인내역'!G1457)</f>
        <v/>
      </c>
      <c r="P831" s="531" t="str">
        <f aca="false">IF('(1)예금승인내역'!F1457="","",'(1)예금승인내역'!F1457)</f>
        <v/>
      </c>
      <c r="Q831" s="531" t="str">
        <f aca="false">IF('(1)예금승인내역'!C1457="","",'(1)예금승인내역'!C1457)</f>
        <v/>
      </c>
      <c r="R831" s="531" t="str">
        <f aca="false">IF('(1)예금승인내역'!K1457="","",'(1)예금승인내역'!K1457)</f>
        <v/>
      </c>
      <c r="S831" s="531" t="str">
        <f aca="false">IF('(1)예금승인내역'!L1457="","",'(1)예금승인내역'!L1457)</f>
        <v/>
      </c>
      <c r="T831" s="531" t="str">
        <f aca="false">IF('(1)예금승인내역'!AG1457="","",'(1)예금승인내역'!AG1457)</f>
        <v/>
      </c>
      <c r="U831" s="531" t="str">
        <f aca="false">IF('(1)예금승인내역'!X1457="","",'(1)예금승인내역'!X1457)</f>
        <v/>
      </c>
      <c r="V831" s="531" t="str">
        <f aca="false">IF(ISNUMBER(N831),N831-$B$2,"")</f>
        <v/>
      </c>
      <c r="W831" s="531" t="str">
        <f aca="false">IF(AND(ISNUMBER(N831),N831&gt;=$B$2,N831&lt;=$B$2+10),N831*100000+ROW(),"")</f>
        <v/>
      </c>
      <c r="X831" s="531"/>
      <c r="Y831" s="531"/>
      <c r="Z831" s="531"/>
      <c r="AA831" s="531"/>
      <c r="AB831" s="531"/>
      <c r="AC831" s="531"/>
      <c r="AD831" s="531"/>
      <c r="AE831" s="531"/>
      <c r="AF831" s="531"/>
      <c r="AG831" s="531"/>
      <c r="AH831" s="531"/>
      <c r="AI831" s="531"/>
      <c r="AJ831" s="531"/>
      <c r="AK831" s="531"/>
      <c r="AL831" s="531"/>
      <c r="AM831" s="531"/>
      <c r="AN831" s="531"/>
    </row>
    <row r="832" customFormat="false" ht="16.5" hidden="false" customHeight="true" outlineLevel="0" collapsed="false">
      <c r="A832" s="531"/>
      <c r="B832" s="531"/>
      <c r="C832" s="531"/>
      <c r="D832" s="531"/>
      <c r="E832" s="531"/>
      <c r="F832" s="531"/>
      <c r="G832" s="531"/>
      <c r="H832" s="531"/>
      <c r="I832" s="531"/>
      <c r="J832" s="531"/>
      <c r="K832" s="531"/>
      <c r="L832" s="531"/>
      <c r="M832" s="531"/>
      <c r="N832" s="531" t="str">
        <f aca="false">IF('(1)예금승인내역'!H1458="","",'(1)예금승인내역'!H1458)</f>
        <v/>
      </c>
      <c r="O832" s="531" t="str">
        <f aca="false">IF('(1)예금승인내역'!G1458="","",'(1)예금승인내역'!G1458)</f>
        <v/>
      </c>
      <c r="P832" s="531" t="str">
        <f aca="false">IF('(1)예금승인내역'!F1458="","",'(1)예금승인내역'!F1458)</f>
        <v/>
      </c>
      <c r="Q832" s="531" t="str">
        <f aca="false">IF('(1)예금승인내역'!C1458="","",'(1)예금승인내역'!C1458)</f>
        <v/>
      </c>
      <c r="R832" s="531" t="str">
        <f aca="false">IF('(1)예금승인내역'!K1458="","",'(1)예금승인내역'!K1458)</f>
        <v/>
      </c>
      <c r="S832" s="531" t="str">
        <f aca="false">IF('(1)예금승인내역'!L1458="","",'(1)예금승인내역'!L1458)</f>
        <v/>
      </c>
      <c r="T832" s="531" t="str">
        <f aca="false">IF('(1)예금승인내역'!AG1458="","",'(1)예금승인내역'!AG1458)</f>
        <v/>
      </c>
      <c r="U832" s="531" t="str">
        <f aca="false">IF('(1)예금승인내역'!X1458="","",'(1)예금승인내역'!X1458)</f>
        <v/>
      </c>
      <c r="V832" s="531" t="str">
        <f aca="false">IF(ISNUMBER(N832),N832-$B$2,"")</f>
        <v/>
      </c>
      <c r="W832" s="531" t="str">
        <f aca="false">IF(AND(ISNUMBER(N832),N832&gt;=$B$2,N832&lt;=$B$2+10),N832*100000+ROW(),"")</f>
        <v/>
      </c>
      <c r="X832" s="531"/>
      <c r="Y832" s="531"/>
      <c r="Z832" s="531"/>
      <c r="AA832" s="531"/>
      <c r="AB832" s="531"/>
      <c r="AC832" s="531"/>
      <c r="AD832" s="531"/>
      <c r="AE832" s="531"/>
      <c r="AF832" s="531"/>
      <c r="AG832" s="531"/>
      <c r="AH832" s="531"/>
      <c r="AI832" s="531"/>
      <c r="AJ832" s="531"/>
      <c r="AK832" s="531"/>
      <c r="AL832" s="531"/>
      <c r="AM832" s="531"/>
      <c r="AN832" s="531"/>
    </row>
    <row r="833" customFormat="false" ht="16.5" hidden="false" customHeight="true" outlineLevel="0" collapsed="false">
      <c r="A833" s="531"/>
      <c r="B833" s="531"/>
      <c r="C833" s="531"/>
      <c r="D833" s="531"/>
      <c r="E833" s="531"/>
      <c r="F833" s="531"/>
      <c r="G833" s="531"/>
      <c r="H833" s="531"/>
      <c r="I833" s="531"/>
      <c r="J833" s="531"/>
      <c r="K833" s="531"/>
      <c r="L833" s="531"/>
      <c r="M833" s="531"/>
      <c r="N833" s="531" t="str">
        <f aca="false">IF('(1)예금승인내역'!H1459="","",'(1)예금승인내역'!H1459)</f>
        <v/>
      </c>
      <c r="O833" s="531" t="str">
        <f aca="false">IF('(1)예금승인내역'!G1459="","",'(1)예금승인내역'!G1459)</f>
        <v/>
      </c>
      <c r="P833" s="531" t="str">
        <f aca="false">IF('(1)예금승인내역'!F1459="","",'(1)예금승인내역'!F1459)</f>
        <v/>
      </c>
      <c r="Q833" s="531" t="str">
        <f aca="false">IF('(1)예금승인내역'!C1459="","",'(1)예금승인내역'!C1459)</f>
        <v/>
      </c>
      <c r="R833" s="531" t="str">
        <f aca="false">IF('(1)예금승인내역'!K1459="","",'(1)예금승인내역'!K1459)</f>
        <v/>
      </c>
      <c r="S833" s="531" t="str">
        <f aca="false">IF('(1)예금승인내역'!L1459="","",'(1)예금승인내역'!L1459)</f>
        <v/>
      </c>
      <c r="T833" s="531" t="str">
        <f aca="false">IF('(1)예금승인내역'!AG1459="","",'(1)예금승인내역'!AG1459)</f>
        <v/>
      </c>
      <c r="U833" s="531" t="str">
        <f aca="false">IF('(1)예금승인내역'!X1459="","",'(1)예금승인내역'!X1459)</f>
        <v/>
      </c>
      <c r="V833" s="531" t="str">
        <f aca="false">IF(ISNUMBER(N833),N833-$B$2,"")</f>
        <v/>
      </c>
      <c r="W833" s="531" t="str">
        <f aca="false">IF(AND(ISNUMBER(N833),N833&gt;=$B$2,N833&lt;=$B$2+10),N833*100000+ROW(),"")</f>
        <v/>
      </c>
      <c r="X833" s="531"/>
      <c r="Y833" s="531"/>
      <c r="Z833" s="531"/>
      <c r="AA833" s="531"/>
      <c r="AB833" s="531"/>
      <c r="AC833" s="531"/>
      <c r="AD833" s="531"/>
      <c r="AE833" s="531"/>
      <c r="AF833" s="531"/>
      <c r="AG833" s="531"/>
      <c r="AH833" s="531"/>
      <c r="AI833" s="531"/>
      <c r="AJ833" s="531"/>
      <c r="AK833" s="531"/>
      <c r="AL833" s="531"/>
      <c r="AM833" s="531"/>
      <c r="AN833" s="531"/>
    </row>
    <row r="834" customFormat="false" ht="16.5" hidden="false" customHeight="true" outlineLevel="0" collapsed="false">
      <c r="A834" s="531"/>
      <c r="B834" s="531"/>
      <c r="C834" s="531"/>
      <c r="D834" s="531"/>
      <c r="E834" s="531"/>
      <c r="F834" s="531"/>
      <c r="G834" s="531"/>
      <c r="H834" s="531"/>
      <c r="I834" s="531"/>
      <c r="J834" s="531"/>
      <c r="K834" s="531"/>
      <c r="L834" s="531"/>
      <c r="M834" s="531"/>
      <c r="N834" s="531" t="str">
        <f aca="false">IF('(1)예금승인내역'!H1460="","",'(1)예금승인내역'!H1460)</f>
        <v/>
      </c>
      <c r="O834" s="531" t="str">
        <f aca="false">IF('(1)예금승인내역'!G1460="","",'(1)예금승인내역'!G1460)</f>
        <v/>
      </c>
      <c r="P834" s="531" t="str">
        <f aca="false">IF('(1)예금승인내역'!F1460="","",'(1)예금승인내역'!F1460)</f>
        <v/>
      </c>
      <c r="Q834" s="531" t="str">
        <f aca="false">IF('(1)예금승인내역'!C1460="","",'(1)예금승인내역'!C1460)</f>
        <v/>
      </c>
      <c r="R834" s="531" t="str">
        <f aca="false">IF('(1)예금승인내역'!K1460="","",'(1)예금승인내역'!K1460)</f>
        <v/>
      </c>
      <c r="S834" s="531" t="str">
        <f aca="false">IF('(1)예금승인내역'!L1460="","",'(1)예금승인내역'!L1460)</f>
        <v/>
      </c>
      <c r="T834" s="531" t="str">
        <f aca="false">IF('(1)예금승인내역'!AG1460="","",'(1)예금승인내역'!AG1460)</f>
        <v/>
      </c>
      <c r="U834" s="531" t="str">
        <f aca="false">IF('(1)예금승인내역'!X1460="","",'(1)예금승인내역'!X1460)</f>
        <v/>
      </c>
      <c r="V834" s="531" t="str">
        <f aca="false">IF(ISNUMBER(N834),N834-$B$2,"")</f>
        <v/>
      </c>
      <c r="W834" s="531" t="str">
        <f aca="false">IF(AND(ISNUMBER(N834),N834&gt;=$B$2,N834&lt;=$B$2+10),N834*100000+ROW(),"")</f>
        <v/>
      </c>
      <c r="X834" s="531"/>
      <c r="Y834" s="531"/>
      <c r="Z834" s="531"/>
      <c r="AA834" s="531"/>
      <c r="AB834" s="531"/>
      <c r="AC834" s="531"/>
      <c r="AD834" s="531"/>
      <c r="AE834" s="531"/>
      <c r="AF834" s="531"/>
      <c r="AG834" s="531"/>
      <c r="AH834" s="531"/>
      <c r="AI834" s="531"/>
      <c r="AJ834" s="531"/>
      <c r="AK834" s="531"/>
      <c r="AL834" s="531"/>
      <c r="AM834" s="531"/>
      <c r="AN834" s="531"/>
    </row>
    <row r="835" customFormat="false" ht="16.5" hidden="false" customHeight="true" outlineLevel="0" collapsed="false">
      <c r="A835" s="531"/>
      <c r="B835" s="531"/>
      <c r="C835" s="531"/>
      <c r="D835" s="531"/>
      <c r="E835" s="531"/>
      <c r="F835" s="531"/>
      <c r="G835" s="531"/>
      <c r="H835" s="531"/>
      <c r="I835" s="531"/>
      <c r="J835" s="531"/>
      <c r="K835" s="531"/>
      <c r="L835" s="531"/>
      <c r="M835" s="531"/>
      <c r="N835" s="531" t="str">
        <f aca="false">IF('(1)예금승인내역'!H1461="","",'(1)예금승인내역'!H1461)</f>
        <v/>
      </c>
      <c r="O835" s="531" t="str">
        <f aca="false">IF('(1)예금승인내역'!G1461="","",'(1)예금승인내역'!G1461)</f>
        <v/>
      </c>
      <c r="P835" s="531" t="str">
        <f aca="false">IF('(1)예금승인내역'!F1461="","",'(1)예금승인내역'!F1461)</f>
        <v/>
      </c>
      <c r="Q835" s="531" t="str">
        <f aca="false">IF('(1)예금승인내역'!C1461="","",'(1)예금승인내역'!C1461)</f>
        <v/>
      </c>
      <c r="R835" s="531" t="str">
        <f aca="false">IF('(1)예금승인내역'!K1461="","",'(1)예금승인내역'!K1461)</f>
        <v/>
      </c>
      <c r="S835" s="531" t="str">
        <f aca="false">IF('(1)예금승인내역'!L1461="","",'(1)예금승인내역'!L1461)</f>
        <v/>
      </c>
      <c r="T835" s="531" t="str">
        <f aca="false">IF('(1)예금승인내역'!AG1461="","",'(1)예금승인내역'!AG1461)</f>
        <v/>
      </c>
      <c r="U835" s="531" t="str">
        <f aca="false">IF('(1)예금승인내역'!X1461="","",'(1)예금승인내역'!X1461)</f>
        <v/>
      </c>
      <c r="V835" s="531" t="str">
        <f aca="false">IF(ISNUMBER(N835),N835-$B$2,"")</f>
        <v/>
      </c>
      <c r="W835" s="531" t="str">
        <f aca="false">IF(AND(ISNUMBER(N835),N835&gt;=$B$2,N835&lt;=$B$2+10),N835*100000+ROW(),"")</f>
        <v/>
      </c>
      <c r="X835" s="531"/>
      <c r="Y835" s="531"/>
      <c r="Z835" s="531"/>
      <c r="AA835" s="531"/>
      <c r="AB835" s="531"/>
      <c r="AC835" s="531"/>
      <c r="AD835" s="531"/>
      <c r="AE835" s="531"/>
      <c r="AF835" s="531"/>
      <c r="AG835" s="531"/>
      <c r="AH835" s="531"/>
      <c r="AI835" s="531"/>
      <c r="AJ835" s="531"/>
      <c r="AK835" s="531"/>
      <c r="AL835" s="531"/>
      <c r="AM835" s="531"/>
      <c r="AN835" s="531"/>
    </row>
    <row r="836" customFormat="false" ht="16.5" hidden="false" customHeight="true" outlineLevel="0" collapsed="false">
      <c r="A836" s="531"/>
      <c r="B836" s="531"/>
      <c r="C836" s="531"/>
      <c r="D836" s="531"/>
      <c r="E836" s="531"/>
      <c r="F836" s="531"/>
      <c r="G836" s="531"/>
      <c r="H836" s="531"/>
      <c r="I836" s="531"/>
      <c r="J836" s="531"/>
      <c r="K836" s="531"/>
      <c r="L836" s="531"/>
      <c r="M836" s="531"/>
      <c r="N836" s="531" t="str">
        <f aca="false">IF('(1)예금승인내역'!H1462="","",'(1)예금승인내역'!H1462)</f>
        <v/>
      </c>
      <c r="O836" s="531" t="str">
        <f aca="false">IF('(1)예금승인내역'!G1462="","",'(1)예금승인내역'!G1462)</f>
        <v/>
      </c>
      <c r="P836" s="531" t="str">
        <f aca="false">IF('(1)예금승인내역'!F1462="","",'(1)예금승인내역'!F1462)</f>
        <v/>
      </c>
      <c r="Q836" s="531" t="str">
        <f aca="false">IF('(1)예금승인내역'!C1462="","",'(1)예금승인내역'!C1462)</f>
        <v/>
      </c>
      <c r="R836" s="531" t="str">
        <f aca="false">IF('(1)예금승인내역'!K1462="","",'(1)예금승인내역'!K1462)</f>
        <v/>
      </c>
      <c r="S836" s="531" t="str">
        <f aca="false">IF('(1)예금승인내역'!L1462="","",'(1)예금승인내역'!L1462)</f>
        <v/>
      </c>
      <c r="T836" s="531" t="str">
        <f aca="false">IF('(1)예금승인내역'!AG1462="","",'(1)예금승인내역'!AG1462)</f>
        <v/>
      </c>
      <c r="U836" s="531" t="str">
        <f aca="false">IF('(1)예금승인내역'!X1462="","",'(1)예금승인내역'!X1462)</f>
        <v/>
      </c>
      <c r="V836" s="531" t="str">
        <f aca="false">IF(ISNUMBER(N836),N836-$B$2,"")</f>
        <v/>
      </c>
      <c r="W836" s="531" t="str">
        <f aca="false">IF(AND(ISNUMBER(N836),N836&gt;=$B$2,N836&lt;=$B$2+10),N836*100000+ROW(),"")</f>
        <v/>
      </c>
      <c r="X836" s="531"/>
      <c r="Y836" s="531"/>
      <c r="Z836" s="531"/>
      <c r="AA836" s="531"/>
      <c r="AB836" s="531"/>
      <c r="AC836" s="531"/>
      <c r="AD836" s="531"/>
      <c r="AE836" s="531"/>
      <c r="AF836" s="531"/>
      <c r="AG836" s="531"/>
      <c r="AH836" s="531"/>
      <c r="AI836" s="531"/>
      <c r="AJ836" s="531"/>
      <c r="AK836" s="531"/>
      <c r="AL836" s="531"/>
      <c r="AM836" s="531"/>
      <c r="AN836" s="531"/>
    </row>
    <row r="837" customFormat="false" ht="16.5" hidden="false" customHeight="true" outlineLevel="0" collapsed="false">
      <c r="A837" s="531"/>
      <c r="B837" s="531"/>
      <c r="C837" s="531"/>
      <c r="D837" s="531"/>
      <c r="E837" s="531"/>
      <c r="F837" s="531"/>
      <c r="G837" s="531"/>
      <c r="H837" s="531"/>
      <c r="I837" s="531"/>
      <c r="J837" s="531"/>
      <c r="K837" s="531"/>
      <c r="L837" s="531"/>
      <c r="M837" s="531"/>
      <c r="N837" s="531" t="str">
        <f aca="false">IF('(1)예금승인내역'!H1463="","",'(1)예금승인내역'!H1463)</f>
        <v/>
      </c>
      <c r="O837" s="531" t="str">
        <f aca="false">IF('(1)예금승인내역'!G1463="","",'(1)예금승인내역'!G1463)</f>
        <v/>
      </c>
      <c r="P837" s="531" t="str">
        <f aca="false">IF('(1)예금승인내역'!F1463="","",'(1)예금승인내역'!F1463)</f>
        <v/>
      </c>
      <c r="Q837" s="531" t="str">
        <f aca="false">IF('(1)예금승인내역'!C1463="","",'(1)예금승인내역'!C1463)</f>
        <v/>
      </c>
      <c r="R837" s="531" t="str">
        <f aca="false">IF('(1)예금승인내역'!K1463="","",'(1)예금승인내역'!K1463)</f>
        <v/>
      </c>
      <c r="S837" s="531" t="str">
        <f aca="false">IF('(1)예금승인내역'!L1463="","",'(1)예금승인내역'!L1463)</f>
        <v/>
      </c>
      <c r="T837" s="531" t="str">
        <f aca="false">IF('(1)예금승인내역'!AG1463="","",'(1)예금승인내역'!AG1463)</f>
        <v/>
      </c>
      <c r="U837" s="531" t="str">
        <f aca="false">IF('(1)예금승인내역'!X1463="","",'(1)예금승인내역'!X1463)</f>
        <v/>
      </c>
      <c r="V837" s="531" t="str">
        <f aca="false">IF(ISNUMBER(N837),N837-$B$2,"")</f>
        <v/>
      </c>
      <c r="W837" s="531" t="str">
        <f aca="false">IF(AND(ISNUMBER(N837),N837&gt;=$B$2,N837&lt;=$B$2+10),N837*100000+ROW(),"")</f>
        <v/>
      </c>
      <c r="X837" s="531"/>
      <c r="Y837" s="531"/>
      <c r="Z837" s="531"/>
      <c r="AA837" s="531"/>
      <c r="AB837" s="531"/>
      <c r="AC837" s="531"/>
      <c r="AD837" s="531"/>
      <c r="AE837" s="531"/>
      <c r="AF837" s="531"/>
      <c r="AG837" s="531"/>
      <c r="AH837" s="531"/>
      <c r="AI837" s="531"/>
      <c r="AJ837" s="531"/>
      <c r="AK837" s="531"/>
      <c r="AL837" s="531"/>
      <c r="AM837" s="531"/>
      <c r="AN837" s="531"/>
    </row>
    <row r="838" customFormat="false" ht="16.5" hidden="false" customHeight="true" outlineLevel="0" collapsed="false">
      <c r="A838" s="531"/>
      <c r="B838" s="531"/>
      <c r="C838" s="531"/>
      <c r="D838" s="531"/>
      <c r="E838" s="531"/>
      <c r="F838" s="531"/>
      <c r="G838" s="531"/>
      <c r="H838" s="531"/>
      <c r="I838" s="531"/>
      <c r="J838" s="531"/>
      <c r="K838" s="531"/>
      <c r="L838" s="531"/>
      <c r="M838" s="531"/>
      <c r="N838" s="531" t="str">
        <f aca="false">IF('(1)예금승인내역'!H1464="","",'(1)예금승인내역'!H1464)</f>
        <v/>
      </c>
      <c r="O838" s="531" t="str">
        <f aca="false">IF('(1)예금승인내역'!G1464="","",'(1)예금승인내역'!G1464)</f>
        <v/>
      </c>
      <c r="P838" s="531" t="str">
        <f aca="false">IF('(1)예금승인내역'!F1464="","",'(1)예금승인내역'!F1464)</f>
        <v/>
      </c>
      <c r="Q838" s="531" t="str">
        <f aca="false">IF('(1)예금승인내역'!C1464="","",'(1)예금승인내역'!C1464)</f>
        <v/>
      </c>
      <c r="R838" s="531" t="str">
        <f aca="false">IF('(1)예금승인내역'!K1464="","",'(1)예금승인내역'!K1464)</f>
        <v/>
      </c>
      <c r="S838" s="531" t="str">
        <f aca="false">IF('(1)예금승인내역'!L1464="","",'(1)예금승인내역'!L1464)</f>
        <v/>
      </c>
      <c r="T838" s="531" t="str">
        <f aca="false">IF('(1)예금승인내역'!AG1464="","",'(1)예금승인내역'!AG1464)</f>
        <v/>
      </c>
      <c r="U838" s="531" t="str">
        <f aca="false">IF('(1)예금승인내역'!X1464="","",'(1)예금승인내역'!X1464)</f>
        <v/>
      </c>
      <c r="V838" s="531" t="str">
        <f aca="false">IF(ISNUMBER(N838),N838-$B$2,"")</f>
        <v/>
      </c>
      <c r="W838" s="531" t="str">
        <f aca="false">IF(AND(ISNUMBER(N838),N838&gt;=$B$2,N838&lt;=$B$2+10),N838*100000+ROW(),"")</f>
        <v/>
      </c>
      <c r="X838" s="531"/>
      <c r="Y838" s="531"/>
      <c r="Z838" s="531"/>
      <c r="AA838" s="531"/>
      <c r="AB838" s="531"/>
      <c r="AC838" s="531"/>
      <c r="AD838" s="531"/>
      <c r="AE838" s="531"/>
      <c r="AF838" s="531"/>
      <c r="AG838" s="531"/>
      <c r="AH838" s="531"/>
      <c r="AI838" s="531"/>
      <c r="AJ838" s="531"/>
      <c r="AK838" s="531"/>
      <c r="AL838" s="531"/>
      <c r="AM838" s="531"/>
      <c r="AN838" s="531"/>
    </row>
    <row r="839" customFormat="false" ht="16.5" hidden="false" customHeight="true" outlineLevel="0" collapsed="false">
      <c r="A839" s="531"/>
      <c r="B839" s="531"/>
      <c r="C839" s="531"/>
      <c r="D839" s="531"/>
      <c r="E839" s="531"/>
      <c r="F839" s="531"/>
      <c r="G839" s="531"/>
      <c r="H839" s="531"/>
      <c r="I839" s="531"/>
      <c r="J839" s="531"/>
      <c r="K839" s="531"/>
      <c r="L839" s="531"/>
      <c r="M839" s="531"/>
      <c r="N839" s="531" t="str">
        <f aca="false">IF('(1)예금승인내역'!H1465="","",'(1)예금승인내역'!H1465)</f>
        <v/>
      </c>
      <c r="O839" s="531" t="str">
        <f aca="false">IF('(1)예금승인내역'!G1465="","",'(1)예금승인내역'!G1465)</f>
        <v/>
      </c>
      <c r="P839" s="531" t="str">
        <f aca="false">IF('(1)예금승인내역'!F1465="","",'(1)예금승인내역'!F1465)</f>
        <v/>
      </c>
      <c r="Q839" s="531" t="str">
        <f aca="false">IF('(1)예금승인내역'!C1465="","",'(1)예금승인내역'!C1465)</f>
        <v/>
      </c>
      <c r="R839" s="531" t="str">
        <f aca="false">IF('(1)예금승인내역'!K1465="","",'(1)예금승인내역'!K1465)</f>
        <v/>
      </c>
      <c r="S839" s="531" t="str">
        <f aca="false">IF('(1)예금승인내역'!L1465="","",'(1)예금승인내역'!L1465)</f>
        <v/>
      </c>
      <c r="T839" s="531" t="str">
        <f aca="false">IF('(1)예금승인내역'!AG1465="","",'(1)예금승인내역'!AG1465)</f>
        <v/>
      </c>
      <c r="U839" s="531" t="str">
        <f aca="false">IF('(1)예금승인내역'!X1465="","",'(1)예금승인내역'!X1465)</f>
        <v/>
      </c>
      <c r="V839" s="531" t="str">
        <f aca="false">IF(ISNUMBER(N839),N839-$B$2,"")</f>
        <v/>
      </c>
      <c r="W839" s="531" t="str">
        <f aca="false">IF(AND(ISNUMBER(N839),N839&gt;=$B$2,N839&lt;=$B$2+10),N839*100000+ROW(),"")</f>
        <v/>
      </c>
      <c r="X839" s="531"/>
      <c r="Y839" s="531"/>
      <c r="Z839" s="531"/>
      <c r="AA839" s="531"/>
      <c r="AB839" s="531"/>
      <c r="AC839" s="531"/>
      <c r="AD839" s="531"/>
      <c r="AE839" s="531"/>
      <c r="AF839" s="531"/>
      <c r="AG839" s="531"/>
      <c r="AH839" s="531"/>
      <c r="AI839" s="531"/>
      <c r="AJ839" s="531"/>
      <c r="AK839" s="531"/>
      <c r="AL839" s="531"/>
      <c r="AM839" s="531"/>
      <c r="AN839" s="531"/>
    </row>
    <row r="840" customFormat="false" ht="16.5" hidden="false" customHeight="true" outlineLevel="0" collapsed="false">
      <c r="A840" s="531"/>
      <c r="B840" s="531"/>
      <c r="C840" s="531"/>
      <c r="D840" s="531"/>
      <c r="E840" s="531"/>
      <c r="F840" s="531"/>
      <c r="G840" s="531"/>
      <c r="H840" s="531"/>
      <c r="I840" s="531"/>
      <c r="J840" s="531"/>
      <c r="K840" s="531"/>
      <c r="L840" s="531"/>
      <c r="M840" s="531"/>
      <c r="N840" s="531" t="str">
        <f aca="false">IF('(1)예금승인내역'!H1466="","",'(1)예금승인내역'!H1466)</f>
        <v/>
      </c>
      <c r="O840" s="531" t="str">
        <f aca="false">IF('(1)예금승인내역'!G1466="","",'(1)예금승인내역'!G1466)</f>
        <v/>
      </c>
      <c r="P840" s="531" t="str">
        <f aca="false">IF('(1)예금승인내역'!F1466="","",'(1)예금승인내역'!F1466)</f>
        <v/>
      </c>
      <c r="Q840" s="531" t="str">
        <f aca="false">IF('(1)예금승인내역'!C1466="","",'(1)예금승인내역'!C1466)</f>
        <v/>
      </c>
      <c r="R840" s="531" t="str">
        <f aca="false">IF('(1)예금승인내역'!K1466="","",'(1)예금승인내역'!K1466)</f>
        <v/>
      </c>
      <c r="S840" s="531" t="str">
        <f aca="false">IF('(1)예금승인내역'!L1466="","",'(1)예금승인내역'!L1466)</f>
        <v/>
      </c>
      <c r="T840" s="531" t="str">
        <f aca="false">IF('(1)예금승인내역'!AG1466="","",'(1)예금승인내역'!AG1466)</f>
        <v/>
      </c>
      <c r="U840" s="531" t="str">
        <f aca="false">IF('(1)예금승인내역'!X1466="","",'(1)예금승인내역'!X1466)</f>
        <v/>
      </c>
      <c r="V840" s="531" t="str">
        <f aca="false">IF(ISNUMBER(N840),N840-$B$2,"")</f>
        <v/>
      </c>
      <c r="W840" s="531" t="str">
        <f aca="false">IF(AND(ISNUMBER(N840),N840&gt;=$B$2,N840&lt;=$B$2+10),N840*100000+ROW(),"")</f>
        <v/>
      </c>
      <c r="X840" s="531"/>
      <c r="Y840" s="531"/>
      <c r="Z840" s="531"/>
      <c r="AA840" s="531"/>
      <c r="AB840" s="531"/>
      <c r="AC840" s="531"/>
      <c r="AD840" s="531"/>
      <c r="AE840" s="531"/>
      <c r="AF840" s="531"/>
      <c r="AG840" s="531"/>
      <c r="AH840" s="531"/>
      <c r="AI840" s="531"/>
      <c r="AJ840" s="531"/>
      <c r="AK840" s="531"/>
      <c r="AL840" s="531"/>
      <c r="AM840" s="531"/>
      <c r="AN840" s="531"/>
    </row>
    <row r="841" customFormat="false" ht="16.5" hidden="false" customHeight="true" outlineLevel="0" collapsed="false">
      <c r="A841" s="531"/>
      <c r="B841" s="531"/>
      <c r="C841" s="531"/>
      <c r="D841" s="531"/>
      <c r="E841" s="531"/>
      <c r="F841" s="531"/>
      <c r="G841" s="531"/>
      <c r="H841" s="531"/>
      <c r="I841" s="531"/>
      <c r="J841" s="531"/>
      <c r="K841" s="531"/>
      <c r="L841" s="531"/>
      <c r="M841" s="531"/>
      <c r="N841" s="531" t="str">
        <f aca="false">IF('(1)예금승인내역'!H1467="","",'(1)예금승인내역'!H1467)</f>
        <v/>
      </c>
      <c r="O841" s="531" t="str">
        <f aca="false">IF('(1)예금승인내역'!G1467="","",'(1)예금승인내역'!G1467)</f>
        <v/>
      </c>
      <c r="P841" s="531" t="str">
        <f aca="false">IF('(1)예금승인내역'!F1467="","",'(1)예금승인내역'!F1467)</f>
        <v/>
      </c>
      <c r="Q841" s="531" t="str">
        <f aca="false">IF('(1)예금승인내역'!C1467="","",'(1)예금승인내역'!C1467)</f>
        <v/>
      </c>
      <c r="R841" s="531" t="str">
        <f aca="false">IF('(1)예금승인내역'!K1467="","",'(1)예금승인내역'!K1467)</f>
        <v/>
      </c>
      <c r="S841" s="531" t="str">
        <f aca="false">IF('(1)예금승인내역'!L1467="","",'(1)예금승인내역'!L1467)</f>
        <v/>
      </c>
      <c r="T841" s="531" t="str">
        <f aca="false">IF('(1)예금승인내역'!AG1467="","",'(1)예금승인내역'!AG1467)</f>
        <v/>
      </c>
      <c r="U841" s="531" t="str">
        <f aca="false">IF('(1)예금승인내역'!X1467="","",'(1)예금승인내역'!X1467)</f>
        <v/>
      </c>
      <c r="V841" s="531" t="str">
        <f aca="false">IF(ISNUMBER(N841),N841-$B$2,"")</f>
        <v/>
      </c>
      <c r="W841" s="531" t="str">
        <f aca="false">IF(AND(ISNUMBER(N841),N841&gt;=$B$2,N841&lt;=$B$2+10),N841*100000+ROW(),"")</f>
        <v/>
      </c>
      <c r="X841" s="531"/>
      <c r="Y841" s="531"/>
      <c r="Z841" s="531"/>
      <c r="AA841" s="531"/>
      <c r="AB841" s="531"/>
      <c r="AC841" s="531"/>
      <c r="AD841" s="531"/>
      <c r="AE841" s="531"/>
      <c r="AF841" s="531"/>
      <c r="AG841" s="531"/>
      <c r="AH841" s="531"/>
      <c r="AI841" s="531"/>
      <c r="AJ841" s="531"/>
      <c r="AK841" s="531"/>
      <c r="AL841" s="531"/>
      <c r="AM841" s="531"/>
      <c r="AN841" s="531"/>
    </row>
    <row r="842" customFormat="false" ht="16.5" hidden="false" customHeight="true" outlineLevel="0" collapsed="false">
      <c r="A842" s="531"/>
      <c r="B842" s="531"/>
      <c r="C842" s="531"/>
      <c r="D842" s="531"/>
      <c r="E842" s="531"/>
      <c r="F842" s="531"/>
      <c r="G842" s="531"/>
      <c r="H842" s="531"/>
      <c r="I842" s="531"/>
      <c r="J842" s="531"/>
      <c r="K842" s="531"/>
      <c r="L842" s="531"/>
      <c r="M842" s="531"/>
      <c r="N842" s="531" t="str">
        <f aca="false">IF('(1)예금승인내역'!H1468="","",'(1)예금승인내역'!H1468)</f>
        <v/>
      </c>
      <c r="O842" s="531" t="str">
        <f aca="false">IF('(1)예금승인내역'!G1468="","",'(1)예금승인내역'!G1468)</f>
        <v/>
      </c>
      <c r="P842" s="531" t="str">
        <f aca="false">IF('(1)예금승인내역'!F1468="","",'(1)예금승인내역'!F1468)</f>
        <v/>
      </c>
      <c r="Q842" s="531" t="str">
        <f aca="false">IF('(1)예금승인내역'!C1468="","",'(1)예금승인내역'!C1468)</f>
        <v/>
      </c>
      <c r="R842" s="531" t="str">
        <f aca="false">IF('(1)예금승인내역'!K1468="","",'(1)예금승인내역'!K1468)</f>
        <v/>
      </c>
      <c r="S842" s="531" t="str">
        <f aca="false">IF('(1)예금승인내역'!L1468="","",'(1)예금승인내역'!L1468)</f>
        <v/>
      </c>
      <c r="T842" s="531" t="str">
        <f aca="false">IF('(1)예금승인내역'!AG1468="","",'(1)예금승인내역'!AG1468)</f>
        <v/>
      </c>
      <c r="U842" s="531" t="str">
        <f aca="false">IF('(1)예금승인내역'!X1468="","",'(1)예금승인내역'!X1468)</f>
        <v/>
      </c>
      <c r="V842" s="531" t="str">
        <f aca="false">IF(ISNUMBER(N842),N842-$B$2,"")</f>
        <v/>
      </c>
      <c r="W842" s="531" t="str">
        <f aca="false">IF(AND(ISNUMBER(N842),N842&gt;=$B$2,N842&lt;=$B$2+10),N842*100000+ROW(),"")</f>
        <v/>
      </c>
      <c r="X842" s="531"/>
      <c r="Y842" s="531"/>
      <c r="Z842" s="531"/>
      <c r="AA842" s="531"/>
      <c r="AB842" s="531"/>
      <c r="AC842" s="531"/>
      <c r="AD842" s="531"/>
      <c r="AE842" s="531"/>
      <c r="AF842" s="531"/>
      <c r="AG842" s="531"/>
      <c r="AH842" s="531"/>
      <c r="AI842" s="531"/>
      <c r="AJ842" s="531"/>
      <c r="AK842" s="531"/>
      <c r="AL842" s="531"/>
      <c r="AM842" s="531"/>
      <c r="AN842" s="531"/>
    </row>
    <row r="843" customFormat="false" ht="16.5" hidden="false" customHeight="true" outlineLevel="0" collapsed="false">
      <c r="A843" s="531"/>
      <c r="B843" s="531"/>
      <c r="C843" s="531"/>
      <c r="D843" s="531"/>
      <c r="E843" s="531"/>
      <c r="F843" s="531"/>
      <c r="G843" s="531"/>
      <c r="H843" s="531"/>
      <c r="I843" s="531"/>
      <c r="J843" s="531"/>
      <c r="K843" s="531"/>
      <c r="L843" s="531"/>
      <c r="M843" s="531"/>
      <c r="N843" s="531" t="str">
        <f aca="false">IF('(1)예금승인내역'!H1469="","",'(1)예금승인내역'!H1469)</f>
        <v/>
      </c>
      <c r="O843" s="531" t="str">
        <f aca="false">IF('(1)예금승인내역'!G1469="","",'(1)예금승인내역'!G1469)</f>
        <v/>
      </c>
      <c r="P843" s="531" t="str">
        <f aca="false">IF('(1)예금승인내역'!F1469="","",'(1)예금승인내역'!F1469)</f>
        <v/>
      </c>
      <c r="Q843" s="531" t="str">
        <f aca="false">IF('(1)예금승인내역'!C1469="","",'(1)예금승인내역'!C1469)</f>
        <v/>
      </c>
      <c r="R843" s="531" t="str">
        <f aca="false">IF('(1)예금승인내역'!K1469="","",'(1)예금승인내역'!K1469)</f>
        <v/>
      </c>
      <c r="S843" s="531" t="str">
        <f aca="false">IF('(1)예금승인내역'!L1469="","",'(1)예금승인내역'!L1469)</f>
        <v/>
      </c>
      <c r="T843" s="531" t="str">
        <f aca="false">IF('(1)예금승인내역'!AG1469="","",'(1)예금승인내역'!AG1469)</f>
        <v/>
      </c>
      <c r="U843" s="531" t="str">
        <f aca="false">IF('(1)예금승인내역'!X1469="","",'(1)예금승인내역'!X1469)</f>
        <v/>
      </c>
      <c r="V843" s="531" t="str">
        <f aca="false">IF(ISNUMBER(N843),N843-$B$2,"")</f>
        <v/>
      </c>
      <c r="W843" s="531" t="str">
        <f aca="false">IF(AND(ISNUMBER(N843),N843&gt;=$B$2,N843&lt;=$B$2+10),N843*100000+ROW(),"")</f>
        <v/>
      </c>
      <c r="X843" s="531"/>
      <c r="Y843" s="531"/>
      <c r="Z843" s="531"/>
      <c r="AA843" s="531"/>
      <c r="AB843" s="531"/>
      <c r="AC843" s="531"/>
      <c r="AD843" s="531"/>
      <c r="AE843" s="531"/>
      <c r="AF843" s="531"/>
      <c r="AG843" s="531"/>
      <c r="AH843" s="531"/>
      <c r="AI843" s="531"/>
      <c r="AJ843" s="531"/>
      <c r="AK843" s="531"/>
      <c r="AL843" s="531"/>
      <c r="AM843" s="531"/>
      <c r="AN843" s="531"/>
    </row>
    <row r="844" customFormat="false" ht="16.5" hidden="false" customHeight="true" outlineLevel="0" collapsed="false">
      <c r="A844" s="531"/>
      <c r="B844" s="531"/>
      <c r="C844" s="531"/>
      <c r="D844" s="531"/>
      <c r="E844" s="531"/>
      <c r="F844" s="531"/>
      <c r="G844" s="531"/>
      <c r="H844" s="531"/>
      <c r="I844" s="531"/>
      <c r="J844" s="531"/>
      <c r="K844" s="531"/>
      <c r="L844" s="531"/>
      <c r="M844" s="531"/>
      <c r="N844" s="531" t="str">
        <f aca="false">IF('(1)예금승인내역'!H1470="","",'(1)예금승인내역'!H1470)</f>
        <v/>
      </c>
      <c r="O844" s="531" t="str">
        <f aca="false">IF('(1)예금승인내역'!G1470="","",'(1)예금승인내역'!G1470)</f>
        <v/>
      </c>
      <c r="P844" s="531" t="str">
        <f aca="false">IF('(1)예금승인내역'!F1470="","",'(1)예금승인내역'!F1470)</f>
        <v/>
      </c>
      <c r="Q844" s="531" t="str">
        <f aca="false">IF('(1)예금승인내역'!C1470="","",'(1)예금승인내역'!C1470)</f>
        <v/>
      </c>
      <c r="R844" s="531" t="str">
        <f aca="false">IF('(1)예금승인내역'!K1470="","",'(1)예금승인내역'!K1470)</f>
        <v/>
      </c>
      <c r="S844" s="531" t="str">
        <f aca="false">IF('(1)예금승인내역'!L1470="","",'(1)예금승인내역'!L1470)</f>
        <v/>
      </c>
      <c r="T844" s="531" t="str">
        <f aca="false">IF('(1)예금승인내역'!AG1470="","",'(1)예금승인내역'!AG1470)</f>
        <v/>
      </c>
      <c r="U844" s="531" t="str">
        <f aca="false">IF('(1)예금승인내역'!X1470="","",'(1)예금승인내역'!X1470)</f>
        <v/>
      </c>
      <c r="V844" s="531" t="str">
        <f aca="false">IF(ISNUMBER(N844),N844-$B$2,"")</f>
        <v/>
      </c>
      <c r="W844" s="531" t="str">
        <f aca="false">IF(AND(ISNUMBER(N844),N844&gt;=$B$2,N844&lt;=$B$2+10),N844*100000+ROW(),"")</f>
        <v/>
      </c>
      <c r="X844" s="531"/>
      <c r="Y844" s="531"/>
      <c r="Z844" s="531"/>
      <c r="AA844" s="531"/>
      <c r="AB844" s="531"/>
      <c r="AC844" s="531"/>
      <c r="AD844" s="531"/>
      <c r="AE844" s="531"/>
      <c r="AF844" s="531"/>
      <c r="AG844" s="531"/>
      <c r="AH844" s="531"/>
      <c r="AI844" s="531"/>
      <c r="AJ844" s="531"/>
      <c r="AK844" s="531"/>
      <c r="AL844" s="531"/>
      <c r="AM844" s="531"/>
      <c r="AN844" s="531"/>
    </row>
    <row r="845" customFormat="false" ht="16.5" hidden="false" customHeight="true" outlineLevel="0" collapsed="false">
      <c r="A845" s="531"/>
      <c r="B845" s="531"/>
      <c r="C845" s="531"/>
      <c r="D845" s="531"/>
      <c r="E845" s="531"/>
      <c r="F845" s="531"/>
      <c r="G845" s="531"/>
      <c r="H845" s="531"/>
      <c r="I845" s="531"/>
      <c r="J845" s="531"/>
      <c r="K845" s="531"/>
      <c r="L845" s="531"/>
      <c r="M845" s="531"/>
      <c r="N845" s="531" t="str">
        <f aca="false">IF('(1)예금승인내역'!H1471="","",'(1)예금승인내역'!H1471)</f>
        <v/>
      </c>
      <c r="O845" s="531" t="str">
        <f aca="false">IF('(1)예금승인내역'!G1471="","",'(1)예금승인내역'!G1471)</f>
        <v/>
      </c>
      <c r="P845" s="531" t="str">
        <f aca="false">IF('(1)예금승인내역'!F1471="","",'(1)예금승인내역'!F1471)</f>
        <v/>
      </c>
      <c r="Q845" s="531" t="str">
        <f aca="false">IF('(1)예금승인내역'!C1471="","",'(1)예금승인내역'!C1471)</f>
        <v/>
      </c>
      <c r="R845" s="531" t="str">
        <f aca="false">IF('(1)예금승인내역'!K1471="","",'(1)예금승인내역'!K1471)</f>
        <v/>
      </c>
      <c r="S845" s="531" t="str">
        <f aca="false">IF('(1)예금승인내역'!L1471="","",'(1)예금승인내역'!L1471)</f>
        <v/>
      </c>
      <c r="T845" s="531" t="str">
        <f aca="false">IF('(1)예금승인내역'!AG1471="","",'(1)예금승인내역'!AG1471)</f>
        <v/>
      </c>
      <c r="U845" s="531" t="str">
        <f aca="false">IF('(1)예금승인내역'!X1471="","",'(1)예금승인내역'!X1471)</f>
        <v/>
      </c>
      <c r="V845" s="531" t="str">
        <f aca="false">IF(ISNUMBER(N845),N845-$B$2,"")</f>
        <v/>
      </c>
      <c r="W845" s="531" t="str">
        <f aca="false">IF(AND(ISNUMBER(N845),N845&gt;=$B$2,N845&lt;=$B$2+10),N845*100000+ROW(),"")</f>
        <v/>
      </c>
      <c r="X845" s="531"/>
      <c r="Y845" s="531"/>
      <c r="Z845" s="531"/>
      <c r="AA845" s="531"/>
      <c r="AB845" s="531"/>
      <c r="AC845" s="531"/>
      <c r="AD845" s="531"/>
      <c r="AE845" s="531"/>
      <c r="AF845" s="531"/>
      <c r="AG845" s="531"/>
      <c r="AH845" s="531"/>
      <c r="AI845" s="531"/>
      <c r="AJ845" s="531"/>
      <c r="AK845" s="531"/>
      <c r="AL845" s="531"/>
      <c r="AM845" s="531"/>
      <c r="AN845" s="531"/>
    </row>
    <row r="846" customFormat="false" ht="16.5" hidden="false" customHeight="true" outlineLevel="0" collapsed="false">
      <c r="A846" s="531"/>
      <c r="B846" s="531"/>
      <c r="C846" s="531"/>
      <c r="D846" s="531"/>
      <c r="E846" s="531"/>
      <c r="F846" s="531"/>
      <c r="G846" s="531"/>
      <c r="H846" s="531"/>
      <c r="I846" s="531"/>
      <c r="J846" s="531"/>
      <c r="K846" s="531"/>
      <c r="L846" s="531"/>
      <c r="M846" s="531"/>
      <c r="N846" s="531" t="str">
        <f aca="false">IF('(1)예금승인내역'!H1472="","",'(1)예금승인내역'!H1472)</f>
        <v/>
      </c>
      <c r="O846" s="531" t="str">
        <f aca="false">IF('(1)예금승인내역'!G1472="","",'(1)예금승인내역'!G1472)</f>
        <v/>
      </c>
      <c r="P846" s="531" t="str">
        <f aca="false">IF('(1)예금승인내역'!F1472="","",'(1)예금승인내역'!F1472)</f>
        <v/>
      </c>
      <c r="Q846" s="531" t="str">
        <f aca="false">IF('(1)예금승인내역'!C1472="","",'(1)예금승인내역'!C1472)</f>
        <v/>
      </c>
      <c r="R846" s="531" t="str">
        <f aca="false">IF('(1)예금승인내역'!K1472="","",'(1)예금승인내역'!K1472)</f>
        <v/>
      </c>
      <c r="S846" s="531" t="str">
        <f aca="false">IF('(1)예금승인내역'!L1472="","",'(1)예금승인내역'!L1472)</f>
        <v/>
      </c>
      <c r="T846" s="531" t="str">
        <f aca="false">IF('(1)예금승인내역'!AG1472="","",'(1)예금승인내역'!AG1472)</f>
        <v/>
      </c>
      <c r="U846" s="531" t="str">
        <f aca="false">IF('(1)예금승인내역'!X1472="","",'(1)예금승인내역'!X1472)</f>
        <v/>
      </c>
      <c r="V846" s="531" t="str">
        <f aca="false">IF(ISNUMBER(N846),N846-$B$2,"")</f>
        <v/>
      </c>
      <c r="W846" s="531" t="str">
        <f aca="false">IF(AND(ISNUMBER(N846),N846&gt;=$B$2,N846&lt;=$B$2+10),N846*100000+ROW(),"")</f>
        <v/>
      </c>
      <c r="X846" s="531"/>
      <c r="Y846" s="531"/>
      <c r="Z846" s="531"/>
      <c r="AA846" s="531"/>
      <c r="AB846" s="531"/>
      <c r="AC846" s="531"/>
      <c r="AD846" s="531"/>
      <c r="AE846" s="531"/>
      <c r="AF846" s="531"/>
      <c r="AG846" s="531"/>
      <c r="AH846" s="531"/>
      <c r="AI846" s="531"/>
      <c r="AJ846" s="531"/>
      <c r="AK846" s="531"/>
      <c r="AL846" s="531"/>
      <c r="AM846" s="531"/>
      <c r="AN846" s="531"/>
    </row>
    <row r="847" customFormat="false" ht="16.5" hidden="false" customHeight="true" outlineLevel="0" collapsed="false">
      <c r="A847" s="531"/>
      <c r="B847" s="531"/>
      <c r="C847" s="531"/>
      <c r="D847" s="531"/>
      <c r="E847" s="531"/>
      <c r="F847" s="531"/>
      <c r="G847" s="531"/>
      <c r="H847" s="531"/>
      <c r="I847" s="531"/>
      <c r="J847" s="531"/>
      <c r="K847" s="531"/>
      <c r="L847" s="531"/>
      <c r="M847" s="531"/>
      <c r="N847" s="531" t="str">
        <f aca="false">IF('(1)예금승인내역'!H1473="","",'(1)예금승인내역'!H1473)</f>
        <v/>
      </c>
      <c r="O847" s="531" t="str">
        <f aca="false">IF('(1)예금승인내역'!G1473="","",'(1)예금승인내역'!G1473)</f>
        <v/>
      </c>
      <c r="P847" s="531" t="str">
        <f aca="false">IF('(1)예금승인내역'!F1473="","",'(1)예금승인내역'!F1473)</f>
        <v/>
      </c>
      <c r="Q847" s="531" t="str">
        <f aca="false">IF('(1)예금승인내역'!C1473="","",'(1)예금승인내역'!C1473)</f>
        <v/>
      </c>
      <c r="R847" s="531" t="str">
        <f aca="false">IF('(1)예금승인내역'!K1473="","",'(1)예금승인내역'!K1473)</f>
        <v/>
      </c>
      <c r="S847" s="531" t="str">
        <f aca="false">IF('(1)예금승인내역'!L1473="","",'(1)예금승인내역'!L1473)</f>
        <v/>
      </c>
      <c r="T847" s="531" t="str">
        <f aca="false">IF('(1)예금승인내역'!AG1473="","",'(1)예금승인내역'!AG1473)</f>
        <v/>
      </c>
      <c r="U847" s="531" t="str">
        <f aca="false">IF('(1)예금승인내역'!X1473="","",'(1)예금승인내역'!X1473)</f>
        <v/>
      </c>
      <c r="V847" s="531" t="str">
        <f aca="false">IF(ISNUMBER(N847),N847-$B$2,"")</f>
        <v/>
      </c>
      <c r="W847" s="531" t="str">
        <f aca="false">IF(AND(ISNUMBER(N847),N847&gt;=$B$2,N847&lt;=$B$2+10),N847*100000+ROW(),"")</f>
        <v/>
      </c>
      <c r="X847" s="531"/>
      <c r="Y847" s="531"/>
      <c r="Z847" s="531"/>
      <c r="AA847" s="531"/>
      <c r="AB847" s="531"/>
      <c r="AC847" s="531"/>
      <c r="AD847" s="531"/>
      <c r="AE847" s="531"/>
      <c r="AF847" s="531"/>
      <c r="AG847" s="531"/>
      <c r="AH847" s="531"/>
      <c r="AI847" s="531"/>
      <c r="AJ847" s="531"/>
      <c r="AK847" s="531"/>
      <c r="AL847" s="531"/>
      <c r="AM847" s="531"/>
      <c r="AN847" s="531"/>
    </row>
    <row r="848" customFormat="false" ht="16.5" hidden="false" customHeight="true" outlineLevel="0" collapsed="false">
      <c r="A848" s="531"/>
      <c r="B848" s="531"/>
      <c r="C848" s="531"/>
      <c r="D848" s="531"/>
      <c r="E848" s="531"/>
      <c r="F848" s="531"/>
      <c r="G848" s="531"/>
      <c r="H848" s="531"/>
      <c r="I848" s="531"/>
      <c r="J848" s="531"/>
      <c r="K848" s="531"/>
      <c r="L848" s="531"/>
      <c r="M848" s="531"/>
      <c r="N848" s="531" t="str">
        <f aca="false">IF('(1)예금승인내역'!H1474="","",'(1)예금승인내역'!H1474)</f>
        <v/>
      </c>
      <c r="O848" s="531" t="str">
        <f aca="false">IF('(1)예금승인내역'!G1474="","",'(1)예금승인내역'!G1474)</f>
        <v/>
      </c>
      <c r="P848" s="531" t="str">
        <f aca="false">IF('(1)예금승인내역'!F1474="","",'(1)예금승인내역'!F1474)</f>
        <v/>
      </c>
      <c r="Q848" s="531" t="str">
        <f aca="false">IF('(1)예금승인내역'!C1474="","",'(1)예금승인내역'!C1474)</f>
        <v/>
      </c>
      <c r="R848" s="531" t="str">
        <f aca="false">IF('(1)예금승인내역'!K1474="","",'(1)예금승인내역'!K1474)</f>
        <v/>
      </c>
      <c r="S848" s="531" t="str">
        <f aca="false">IF('(1)예금승인내역'!L1474="","",'(1)예금승인내역'!L1474)</f>
        <v/>
      </c>
      <c r="T848" s="531" t="str">
        <f aca="false">IF('(1)예금승인내역'!AG1474="","",'(1)예금승인내역'!AG1474)</f>
        <v/>
      </c>
      <c r="U848" s="531" t="str">
        <f aca="false">IF('(1)예금승인내역'!X1474="","",'(1)예금승인내역'!X1474)</f>
        <v/>
      </c>
      <c r="V848" s="531" t="str">
        <f aca="false">IF(ISNUMBER(N848),N848-$B$2,"")</f>
        <v/>
      </c>
      <c r="W848" s="531" t="str">
        <f aca="false">IF(AND(ISNUMBER(N848),N848&gt;=$B$2,N848&lt;=$B$2+10),N848*100000+ROW(),"")</f>
        <v/>
      </c>
      <c r="X848" s="531"/>
      <c r="Y848" s="531"/>
      <c r="Z848" s="531"/>
      <c r="AA848" s="531"/>
      <c r="AB848" s="531"/>
      <c r="AC848" s="531"/>
      <c r="AD848" s="531"/>
      <c r="AE848" s="531"/>
      <c r="AF848" s="531"/>
      <c r="AG848" s="531"/>
      <c r="AH848" s="531"/>
      <c r="AI848" s="531"/>
      <c r="AJ848" s="531"/>
      <c r="AK848" s="531"/>
      <c r="AL848" s="531"/>
      <c r="AM848" s="531"/>
      <c r="AN848" s="531"/>
    </row>
    <row r="849" customFormat="false" ht="16.5" hidden="false" customHeight="true" outlineLevel="0" collapsed="false">
      <c r="A849" s="531"/>
      <c r="B849" s="531"/>
      <c r="C849" s="531"/>
      <c r="D849" s="531"/>
      <c r="E849" s="531"/>
      <c r="F849" s="531"/>
      <c r="G849" s="531"/>
      <c r="H849" s="531"/>
      <c r="I849" s="531"/>
      <c r="J849" s="531"/>
      <c r="K849" s="531"/>
      <c r="L849" s="531"/>
      <c r="M849" s="531"/>
      <c r="N849" s="531" t="str">
        <f aca="false">IF('(1)예금승인내역'!H1475="","",'(1)예금승인내역'!H1475)</f>
        <v/>
      </c>
      <c r="O849" s="531" t="str">
        <f aca="false">IF('(1)예금승인내역'!G1475="","",'(1)예금승인내역'!G1475)</f>
        <v/>
      </c>
      <c r="P849" s="531" t="str">
        <f aca="false">IF('(1)예금승인내역'!F1475="","",'(1)예금승인내역'!F1475)</f>
        <v/>
      </c>
      <c r="Q849" s="531" t="str">
        <f aca="false">IF('(1)예금승인내역'!C1475="","",'(1)예금승인내역'!C1475)</f>
        <v/>
      </c>
      <c r="R849" s="531" t="str">
        <f aca="false">IF('(1)예금승인내역'!K1475="","",'(1)예금승인내역'!K1475)</f>
        <v/>
      </c>
      <c r="S849" s="531" t="str">
        <f aca="false">IF('(1)예금승인내역'!L1475="","",'(1)예금승인내역'!L1475)</f>
        <v/>
      </c>
      <c r="T849" s="531" t="str">
        <f aca="false">IF('(1)예금승인내역'!AG1475="","",'(1)예금승인내역'!AG1475)</f>
        <v/>
      </c>
      <c r="U849" s="531" t="str">
        <f aca="false">IF('(1)예금승인내역'!X1475="","",'(1)예금승인내역'!X1475)</f>
        <v/>
      </c>
      <c r="V849" s="531" t="str">
        <f aca="false">IF(ISNUMBER(N849),N849-$B$2,"")</f>
        <v/>
      </c>
      <c r="W849" s="531" t="str">
        <f aca="false">IF(AND(ISNUMBER(N849),N849&gt;=$B$2,N849&lt;=$B$2+10),N849*100000+ROW(),"")</f>
        <v/>
      </c>
      <c r="X849" s="531"/>
      <c r="Y849" s="531"/>
      <c r="Z849" s="531"/>
      <c r="AA849" s="531"/>
      <c r="AB849" s="531"/>
      <c r="AC849" s="531"/>
      <c r="AD849" s="531"/>
      <c r="AE849" s="531"/>
      <c r="AF849" s="531"/>
      <c r="AG849" s="531"/>
      <c r="AH849" s="531"/>
      <c r="AI849" s="531"/>
      <c r="AJ849" s="531"/>
      <c r="AK849" s="531"/>
      <c r="AL849" s="531"/>
      <c r="AM849" s="531"/>
      <c r="AN849" s="531"/>
    </row>
    <row r="850" customFormat="false" ht="16.5" hidden="false" customHeight="true" outlineLevel="0" collapsed="false">
      <c r="A850" s="531"/>
      <c r="B850" s="531"/>
      <c r="C850" s="531"/>
      <c r="D850" s="531"/>
      <c r="E850" s="531"/>
      <c r="F850" s="531"/>
      <c r="G850" s="531"/>
      <c r="H850" s="531"/>
      <c r="I850" s="531"/>
      <c r="J850" s="531"/>
      <c r="K850" s="531"/>
      <c r="L850" s="531"/>
      <c r="M850" s="531"/>
      <c r="N850" s="531" t="str">
        <f aca="false">IF('(1)예금승인내역'!H1476="","",'(1)예금승인내역'!H1476)</f>
        <v/>
      </c>
      <c r="O850" s="531" t="str">
        <f aca="false">IF('(1)예금승인내역'!G1476="","",'(1)예금승인내역'!G1476)</f>
        <v/>
      </c>
      <c r="P850" s="531" t="str">
        <f aca="false">IF('(1)예금승인내역'!F1476="","",'(1)예금승인내역'!F1476)</f>
        <v/>
      </c>
      <c r="Q850" s="531" t="str">
        <f aca="false">IF('(1)예금승인내역'!C1476="","",'(1)예금승인내역'!C1476)</f>
        <v/>
      </c>
      <c r="R850" s="531" t="str">
        <f aca="false">IF('(1)예금승인내역'!K1476="","",'(1)예금승인내역'!K1476)</f>
        <v/>
      </c>
      <c r="S850" s="531" t="str">
        <f aca="false">IF('(1)예금승인내역'!L1476="","",'(1)예금승인내역'!L1476)</f>
        <v/>
      </c>
      <c r="T850" s="531" t="str">
        <f aca="false">IF('(1)예금승인내역'!AG1476="","",'(1)예금승인내역'!AG1476)</f>
        <v/>
      </c>
      <c r="U850" s="531" t="str">
        <f aca="false">IF('(1)예금승인내역'!X1476="","",'(1)예금승인내역'!X1476)</f>
        <v/>
      </c>
      <c r="V850" s="531" t="str">
        <f aca="false">IF(ISNUMBER(N850),N850-$B$2,"")</f>
        <v/>
      </c>
      <c r="W850" s="531" t="str">
        <f aca="false">IF(AND(ISNUMBER(N850),N850&gt;=$B$2,N850&lt;=$B$2+10),N850*100000+ROW(),"")</f>
        <v/>
      </c>
      <c r="X850" s="531"/>
      <c r="Y850" s="531"/>
      <c r="Z850" s="531"/>
      <c r="AA850" s="531"/>
      <c r="AB850" s="531"/>
      <c r="AC850" s="531"/>
      <c r="AD850" s="531"/>
      <c r="AE850" s="531"/>
      <c r="AF850" s="531"/>
      <c r="AG850" s="531"/>
      <c r="AH850" s="531"/>
      <c r="AI850" s="531"/>
      <c r="AJ850" s="531"/>
      <c r="AK850" s="531"/>
      <c r="AL850" s="531"/>
      <c r="AM850" s="531"/>
      <c r="AN850" s="531"/>
    </row>
    <row r="851" customFormat="false" ht="16.5" hidden="false" customHeight="true" outlineLevel="0" collapsed="false">
      <c r="A851" s="531"/>
      <c r="B851" s="531"/>
      <c r="C851" s="531"/>
      <c r="D851" s="531"/>
      <c r="E851" s="531"/>
      <c r="F851" s="531"/>
      <c r="G851" s="531"/>
      <c r="H851" s="531"/>
      <c r="I851" s="531"/>
      <c r="J851" s="531"/>
      <c r="K851" s="531"/>
      <c r="L851" s="531"/>
      <c r="M851" s="531"/>
      <c r="N851" s="531" t="str">
        <f aca="false">IF('(1)예금승인내역'!H1477="","",'(1)예금승인내역'!H1477)</f>
        <v/>
      </c>
      <c r="O851" s="531" t="str">
        <f aca="false">IF('(1)예금승인내역'!G1477="","",'(1)예금승인내역'!G1477)</f>
        <v/>
      </c>
      <c r="P851" s="531" t="str">
        <f aca="false">IF('(1)예금승인내역'!F1477="","",'(1)예금승인내역'!F1477)</f>
        <v/>
      </c>
      <c r="Q851" s="531" t="str">
        <f aca="false">IF('(1)예금승인내역'!C1477="","",'(1)예금승인내역'!C1477)</f>
        <v/>
      </c>
      <c r="R851" s="531" t="str">
        <f aca="false">IF('(1)예금승인내역'!K1477="","",'(1)예금승인내역'!K1477)</f>
        <v/>
      </c>
      <c r="S851" s="531" t="str">
        <f aca="false">IF('(1)예금승인내역'!L1477="","",'(1)예금승인내역'!L1477)</f>
        <v/>
      </c>
      <c r="T851" s="531" t="str">
        <f aca="false">IF('(1)예금승인내역'!AG1477="","",'(1)예금승인내역'!AG1477)</f>
        <v/>
      </c>
      <c r="U851" s="531" t="str">
        <f aca="false">IF('(1)예금승인내역'!X1477="","",'(1)예금승인내역'!X1477)</f>
        <v/>
      </c>
      <c r="V851" s="531" t="str">
        <f aca="false">IF(ISNUMBER(N851),N851-$B$2,"")</f>
        <v/>
      </c>
      <c r="W851" s="531" t="str">
        <f aca="false">IF(AND(ISNUMBER(N851),N851&gt;=$B$2,N851&lt;=$B$2+10),N851*100000+ROW(),"")</f>
        <v/>
      </c>
      <c r="X851" s="531"/>
      <c r="Y851" s="531"/>
      <c r="Z851" s="531"/>
      <c r="AA851" s="531"/>
      <c r="AB851" s="531"/>
      <c r="AC851" s="531"/>
      <c r="AD851" s="531"/>
      <c r="AE851" s="531"/>
      <c r="AF851" s="531"/>
      <c r="AG851" s="531"/>
      <c r="AH851" s="531"/>
      <c r="AI851" s="531"/>
      <c r="AJ851" s="531"/>
      <c r="AK851" s="531"/>
      <c r="AL851" s="531"/>
      <c r="AM851" s="531"/>
      <c r="AN851" s="531"/>
    </row>
    <row r="852" customFormat="false" ht="16.5" hidden="false" customHeight="true" outlineLevel="0" collapsed="false">
      <c r="A852" s="531"/>
      <c r="B852" s="531"/>
      <c r="C852" s="531"/>
      <c r="D852" s="531"/>
      <c r="E852" s="531"/>
      <c r="F852" s="531"/>
      <c r="G852" s="531"/>
      <c r="H852" s="531"/>
      <c r="I852" s="531"/>
      <c r="J852" s="531"/>
      <c r="K852" s="531"/>
      <c r="L852" s="531"/>
      <c r="M852" s="531"/>
      <c r="N852" s="531" t="str">
        <f aca="false">IF('(1)예금승인내역'!H1478="","",'(1)예금승인내역'!H1478)</f>
        <v/>
      </c>
      <c r="O852" s="531" t="str">
        <f aca="false">IF('(1)예금승인내역'!G1478="","",'(1)예금승인내역'!G1478)</f>
        <v/>
      </c>
      <c r="P852" s="531" t="str">
        <f aca="false">IF('(1)예금승인내역'!F1478="","",'(1)예금승인내역'!F1478)</f>
        <v/>
      </c>
      <c r="Q852" s="531" t="str">
        <f aca="false">IF('(1)예금승인내역'!C1478="","",'(1)예금승인내역'!C1478)</f>
        <v/>
      </c>
      <c r="R852" s="531" t="str">
        <f aca="false">IF('(1)예금승인내역'!K1478="","",'(1)예금승인내역'!K1478)</f>
        <v/>
      </c>
      <c r="S852" s="531" t="str">
        <f aca="false">IF('(1)예금승인내역'!L1478="","",'(1)예금승인내역'!L1478)</f>
        <v/>
      </c>
      <c r="T852" s="531" t="str">
        <f aca="false">IF('(1)예금승인내역'!AG1478="","",'(1)예금승인내역'!AG1478)</f>
        <v/>
      </c>
      <c r="U852" s="531" t="str">
        <f aca="false">IF('(1)예금승인내역'!X1478="","",'(1)예금승인내역'!X1478)</f>
        <v/>
      </c>
      <c r="V852" s="531" t="str">
        <f aca="false">IF(ISNUMBER(N852),N852-$B$2,"")</f>
        <v/>
      </c>
      <c r="W852" s="531" t="str">
        <f aca="false">IF(AND(ISNUMBER(N852),N852&gt;=$B$2,N852&lt;=$B$2+10),N852*100000+ROW(),"")</f>
        <v/>
      </c>
      <c r="X852" s="531"/>
      <c r="Y852" s="531"/>
      <c r="Z852" s="531"/>
      <c r="AA852" s="531"/>
      <c r="AB852" s="531"/>
      <c r="AC852" s="531"/>
      <c r="AD852" s="531"/>
      <c r="AE852" s="531"/>
      <c r="AF852" s="531"/>
      <c r="AG852" s="531"/>
      <c r="AH852" s="531"/>
      <c r="AI852" s="531"/>
      <c r="AJ852" s="531"/>
      <c r="AK852" s="531"/>
      <c r="AL852" s="531"/>
      <c r="AM852" s="531"/>
      <c r="AN852" s="531"/>
    </row>
    <row r="853" customFormat="false" ht="16.5" hidden="false" customHeight="true" outlineLevel="0" collapsed="false">
      <c r="A853" s="531"/>
      <c r="B853" s="531"/>
      <c r="C853" s="531"/>
      <c r="D853" s="531"/>
      <c r="E853" s="531"/>
      <c r="F853" s="531"/>
      <c r="G853" s="531"/>
      <c r="H853" s="531"/>
      <c r="I853" s="531"/>
      <c r="J853" s="531"/>
      <c r="K853" s="531"/>
      <c r="L853" s="531"/>
      <c r="M853" s="531"/>
      <c r="N853" s="531" t="str">
        <f aca="false">IF('(1)예금승인내역'!H1479="","",'(1)예금승인내역'!H1479)</f>
        <v/>
      </c>
      <c r="O853" s="531" t="str">
        <f aca="false">IF('(1)예금승인내역'!G1479="","",'(1)예금승인내역'!G1479)</f>
        <v/>
      </c>
      <c r="P853" s="531" t="str">
        <f aca="false">IF('(1)예금승인내역'!F1479="","",'(1)예금승인내역'!F1479)</f>
        <v/>
      </c>
      <c r="Q853" s="531" t="str">
        <f aca="false">IF('(1)예금승인내역'!C1479="","",'(1)예금승인내역'!C1479)</f>
        <v/>
      </c>
      <c r="R853" s="531" t="str">
        <f aca="false">IF('(1)예금승인내역'!K1479="","",'(1)예금승인내역'!K1479)</f>
        <v/>
      </c>
      <c r="S853" s="531" t="str">
        <f aca="false">IF('(1)예금승인내역'!L1479="","",'(1)예금승인내역'!L1479)</f>
        <v/>
      </c>
      <c r="T853" s="531" t="str">
        <f aca="false">IF('(1)예금승인내역'!AG1479="","",'(1)예금승인내역'!AG1479)</f>
        <v/>
      </c>
      <c r="U853" s="531" t="str">
        <f aca="false">IF('(1)예금승인내역'!X1479="","",'(1)예금승인내역'!X1479)</f>
        <v/>
      </c>
      <c r="V853" s="531" t="str">
        <f aca="false">IF(ISNUMBER(N853),N853-$B$2,"")</f>
        <v/>
      </c>
      <c r="W853" s="531" t="str">
        <f aca="false">IF(AND(ISNUMBER(N853),N853&gt;=$B$2,N853&lt;=$B$2+10),N853*100000+ROW(),"")</f>
        <v/>
      </c>
      <c r="X853" s="531"/>
      <c r="Y853" s="531"/>
      <c r="Z853" s="531"/>
      <c r="AA853" s="531"/>
      <c r="AB853" s="531"/>
      <c r="AC853" s="531"/>
      <c r="AD853" s="531"/>
      <c r="AE853" s="531"/>
      <c r="AF853" s="531"/>
      <c r="AG853" s="531"/>
      <c r="AH853" s="531"/>
      <c r="AI853" s="531"/>
      <c r="AJ853" s="531"/>
      <c r="AK853" s="531"/>
      <c r="AL853" s="531"/>
      <c r="AM853" s="531"/>
      <c r="AN853" s="531"/>
    </row>
    <row r="854" customFormat="false" ht="16.5" hidden="false" customHeight="true" outlineLevel="0" collapsed="false">
      <c r="A854" s="531"/>
      <c r="B854" s="531"/>
      <c r="C854" s="531"/>
      <c r="D854" s="531"/>
      <c r="E854" s="531"/>
      <c r="F854" s="531"/>
      <c r="G854" s="531"/>
      <c r="H854" s="531"/>
      <c r="I854" s="531"/>
      <c r="J854" s="531"/>
      <c r="K854" s="531"/>
      <c r="L854" s="531"/>
      <c r="M854" s="531"/>
      <c r="N854" s="531" t="str">
        <f aca="false">IF('(1)예금승인내역'!H1480="","",'(1)예금승인내역'!H1480)</f>
        <v/>
      </c>
      <c r="O854" s="531" t="str">
        <f aca="false">IF('(1)예금승인내역'!G1480="","",'(1)예금승인내역'!G1480)</f>
        <v/>
      </c>
      <c r="P854" s="531" t="str">
        <f aca="false">IF('(1)예금승인내역'!F1480="","",'(1)예금승인내역'!F1480)</f>
        <v/>
      </c>
      <c r="Q854" s="531" t="str">
        <f aca="false">IF('(1)예금승인내역'!C1480="","",'(1)예금승인내역'!C1480)</f>
        <v/>
      </c>
      <c r="R854" s="531" t="str">
        <f aca="false">IF('(1)예금승인내역'!K1480="","",'(1)예금승인내역'!K1480)</f>
        <v/>
      </c>
      <c r="S854" s="531" t="str">
        <f aca="false">IF('(1)예금승인내역'!L1480="","",'(1)예금승인내역'!L1480)</f>
        <v/>
      </c>
      <c r="T854" s="531" t="str">
        <f aca="false">IF('(1)예금승인내역'!AG1480="","",'(1)예금승인내역'!AG1480)</f>
        <v/>
      </c>
      <c r="U854" s="531" t="str">
        <f aca="false">IF('(1)예금승인내역'!X1480="","",'(1)예금승인내역'!X1480)</f>
        <v/>
      </c>
      <c r="V854" s="531" t="str">
        <f aca="false">IF(ISNUMBER(N854),N854-$B$2,"")</f>
        <v/>
      </c>
      <c r="W854" s="531" t="str">
        <f aca="false">IF(AND(ISNUMBER(N854),N854&gt;=$B$2,N854&lt;=$B$2+10),N854*100000+ROW(),"")</f>
        <v/>
      </c>
      <c r="X854" s="531"/>
      <c r="Y854" s="531"/>
      <c r="Z854" s="531"/>
      <c r="AA854" s="531"/>
      <c r="AB854" s="531"/>
      <c r="AC854" s="531"/>
      <c r="AD854" s="531"/>
      <c r="AE854" s="531"/>
      <c r="AF854" s="531"/>
      <c r="AG854" s="531"/>
      <c r="AH854" s="531"/>
      <c r="AI854" s="531"/>
      <c r="AJ854" s="531"/>
      <c r="AK854" s="531"/>
      <c r="AL854" s="531"/>
      <c r="AM854" s="531"/>
      <c r="AN854" s="531"/>
    </row>
    <row r="855" customFormat="false" ht="16.5" hidden="false" customHeight="true" outlineLevel="0" collapsed="false">
      <c r="A855" s="531"/>
      <c r="B855" s="531"/>
      <c r="C855" s="531"/>
      <c r="D855" s="531"/>
      <c r="E855" s="531"/>
      <c r="F855" s="531"/>
      <c r="G855" s="531"/>
      <c r="H855" s="531"/>
      <c r="I855" s="531"/>
      <c r="J855" s="531"/>
      <c r="K855" s="531"/>
      <c r="L855" s="531"/>
      <c r="M855" s="531"/>
      <c r="N855" s="531" t="str">
        <f aca="false">IF('(1)예금승인내역'!H1481="","",'(1)예금승인내역'!H1481)</f>
        <v/>
      </c>
      <c r="O855" s="531" t="str">
        <f aca="false">IF('(1)예금승인내역'!G1481="","",'(1)예금승인내역'!G1481)</f>
        <v/>
      </c>
      <c r="P855" s="531" t="str">
        <f aca="false">IF('(1)예금승인내역'!F1481="","",'(1)예금승인내역'!F1481)</f>
        <v/>
      </c>
      <c r="Q855" s="531" t="str">
        <f aca="false">IF('(1)예금승인내역'!C1481="","",'(1)예금승인내역'!C1481)</f>
        <v/>
      </c>
      <c r="R855" s="531" t="str">
        <f aca="false">IF('(1)예금승인내역'!K1481="","",'(1)예금승인내역'!K1481)</f>
        <v/>
      </c>
      <c r="S855" s="531" t="str">
        <f aca="false">IF('(1)예금승인내역'!L1481="","",'(1)예금승인내역'!L1481)</f>
        <v/>
      </c>
      <c r="T855" s="531" t="str">
        <f aca="false">IF('(1)예금승인내역'!AG1481="","",'(1)예금승인내역'!AG1481)</f>
        <v/>
      </c>
      <c r="U855" s="531" t="str">
        <f aca="false">IF('(1)예금승인내역'!X1481="","",'(1)예금승인내역'!X1481)</f>
        <v/>
      </c>
      <c r="V855" s="531" t="str">
        <f aca="false">IF(ISNUMBER(N855),N855-$B$2,"")</f>
        <v/>
      </c>
      <c r="W855" s="531" t="str">
        <f aca="false">IF(AND(ISNUMBER(N855),N855&gt;=$B$2,N855&lt;=$B$2+10),N855*100000+ROW(),"")</f>
        <v/>
      </c>
      <c r="X855" s="531"/>
      <c r="Y855" s="531"/>
      <c r="Z855" s="531"/>
      <c r="AA855" s="531"/>
      <c r="AB855" s="531"/>
      <c r="AC855" s="531"/>
      <c r="AD855" s="531"/>
      <c r="AE855" s="531"/>
      <c r="AF855" s="531"/>
      <c r="AG855" s="531"/>
      <c r="AH855" s="531"/>
      <c r="AI855" s="531"/>
      <c r="AJ855" s="531"/>
      <c r="AK855" s="531"/>
      <c r="AL855" s="531"/>
      <c r="AM855" s="531"/>
      <c r="AN855" s="531"/>
    </row>
    <row r="856" customFormat="false" ht="16.5" hidden="false" customHeight="true" outlineLevel="0" collapsed="false">
      <c r="A856" s="531"/>
      <c r="B856" s="531"/>
      <c r="C856" s="531"/>
      <c r="D856" s="531"/>
      <c r="E856" s="531"/>
      <c r="F856" s="531"/>
      <c r="G856" s="531"/>
      <c r="H856" s="531"/>
      <c r="I856" s="531"/>
      <c r="J856" s="531"/>
      <c r="K856" s="531"/>
      <c r="L856" s="531"/>
      <c r="M856" s="531"/>
      <c r="N856" s="531" t="str">
        <f aca="false">IF('(1)예금승인내역'!H1482="","",'(1)예금승인내역'!H1482)</f>
        <v/>
      </c>
      <c r="O856" s="531" t="str">
        <f aca="false">IF('(1)예금승인내역'!G1482="","",'(1)예금승인내역'!G1482)</f>
        <v/>
      </c>
      <c r="P856" s="531" t="str">
        <f aca="false">IF('(1)예금승인내역'!F1482="","",'(1)예금승인내역'!F1482)</f>
        <v/>
      </c>
      <c r="Q856" s="531" t="str">
        <f aca="false">IF('(1)예금승인내역'!C1482="","",'(1)예금승인내역'!C1482)</f>
        <v/>
      </c>
      <c r="R856" s="531" t="str">
        <f aca="false">IF('(1)예금승인내역'!K1482="","",'(1)예금승인내역'!K1482)</f>
        <v/>
      </c>
      <c r="S856" s="531" t="str">
        <f aca="false">IF('(1)예금승인내역'!L1482="","",'(1)예금승인내역'!L1482)</f>
        <v/>
      </c>
      <c r="T856" s="531" t="str">
        <f aca="false">IF('(1)예금승인내역'!AG1482="","",'(1)예금승인내역'!AG1482)</f>
        <v/>
      </c>
      <c r="U856" s="531" t="str">
        <f aca="false">IF('(1)예금승인내역'!X1482="","",'(1)예금승인내역'!X1482)</f>
        <v/>
      </c>
      <c r="V856" s="531" t="str">
        <f aca="false">IF(ISNUMBER(N856),N856-$B$2,"")</f>
        <v/>
      </c>
      <c r="W856" s="531" t="str">
        <f aca="false">IF(AND(ISNUMBER(N856),N856&gt;=$B$2,N856&lt;=$B$2+10),N856*100000+ROW(),"")</f>
        <v/>
      </c>
      <c r="X856" s="531"/>
      <c r="Y856" s="531"/>
      <c r="Z856" s="531"/>
      <c r="AA856" s="531"/>
      <c r="AB856" s="531"/>
      <c r="AC856" s="531"/>
      <c r="AD856" s="531"/>
      <c r="AE856" s="531"/>
      <c r="AF856" s="531"/>
      <c r="AG856" s="531"/>
      <c r="AH856" s="531"/>
      <c r="AI856" s="531"/>
      <c r="AJ856" s="531"/>
      <c r="AK856" s="531"/>
      <c r="AL856" s="531"/>
      <c r="AM856" s="531"/>
      <c r="AN856" s="531"/>
    </row>
    <row r="857" customFormat="false" ht="16.5" hidden="false" customHeight="true" outlineLevel="0" collapsed="false">
      <c r="A857" s="531"/>
      <c r="B857" s="531"/>
      <c r="C857" s="531"/>
      <c r="D857" s="531"/>
      <c r="E857" s="531"/>
      <c r="F857" s="531"/>
      <c r="G857" s="531"/>
      <c r="H857" s="531"/>
      <c r="I857" s="531"/>
      <c r="J857" s="531"/>
      <c r="K857" s="531"/>
      <c r="L857" s="531"/>
      <c r="M857" s="531"/>
      <c r="N857" s="531" t="str">
        <f aca="false">IF('(1)예금승인내역'!H1483="","",'(1)예금승인내역'!H1483)</f>
        <v/>
      </c>
      <c r="O857" s="531" t="str">
        <f aca="false">IF('(1)예금승인내역'!G1483="","",'(1)예금승인내역'!G1483)</f>
        <v/>
      </c>
      <c r="P857" s="531" t="str">
        <f aca="false">IF('(1)예금승인내역'!F1483="","",'(1)예금승인내역'!F1483)</f>
        <v/>
      </c>
      <c r="Q857" s="531" t="str">
        <f aca="false">IF('(1)예금승인내역'!C1483="","",'(1)예금승인내역'!C1483)</f>
        <v/>
      </c>
      <c r="R857" s="531" t="str">
        <f aca="false">IF('(1)예금승인내역'!K1483="","",'(1)예금승인내역'!K1483)</f>
        <v/>
      </c>
      <c r="S857" s="531" t="str">
        <f aca="false">IF('(1)예금승인내역'!L1483="","",'(1)예금승인내역'!L1483)</f>
        <v/>
      </c>
      <c r="T857" s="531" t="str">
        <f aca="false">IF('(1)예금승인내역'!AG1483="","",'(1)예금승인내역'!AG1483)</f>
        <v/>
      </c>
      <c r="U857" s="531" t="str">
        <f aca="false">IF('(1)예금승인내역'!X1483="","",'(1)예금승인내역'!X1483)</f>
        <v/>
      </c>
      <c r="V857" s="531" t="str">
        <f aca="false">IF(ISNUMBER(N857),N857-$B$2,"")</f>
        <v/>
      </c>
      <c r="W857" s="531" t="str">
        <f aca="false">IF(AND(ISNUMBER(N857),N857&gt;=$B$2,N857&lt;=$B$2+10),N857*100000+ROW(),"")</f>
        <v/>
      </c>
      <c r="X857" s="531"/>
      <c r="Y857" s="531"/>
      <c r="Z857" s="531"/>
      <c r="AA857" s="531"/>
      <c r="AB857" s="531"/>
      <c r="AC857" s="531"/>
      <c r="AD857" s="531"/>
      <c r="AE857" s="531"/>
      <c r="AF857" s="531"/>
      <c r="AG857" s="531"/>
      <c r="AH857" s="531"/>
      <c r="AI857" s="531"/>
      <c r="AJ857" s="531"/>
      <c r="AK857" s="531"/>
      <c r="AL857" s="531"/>
      <c r="AM857" s="531"/>
      <c r="AN857" s="531"/>
    </row>
    <row r="858" customFormat="false" ht="16.5" hidden="false" customHeight="true" outlineLevel="0" collapsed="false">
      <c r="A858" s="531"/>
      <c r="B858" s="531"/>
      <c r="C858" s="531"/>
      <c r="D858" s="531"/>
      <c r="E858" s="531"/>
      <c r="F858" s="531"/>
      <c r="G858" s="531"/>
      <c r="H858" s="531"/>
      <c r="I858" s="531"/>
      <c r="J858" s="531"/>
      <c r="K858" s="531"/>
      <c r="L858" s="531"/>
      <c r="M858" s="531"/>
      <c r="N858" s="531" t="str">
        <f aca="false">IF('(1)예금승인내역'!H1484="","",'(1)예금승인내역'!H1484)</f>
        <v/>
      </c>
      <c r="O858" s="531" t="str">
        <f aca="false">IF('(1)예금승인내역'!G1484="","",'(1)예금승인내역'!G1484)</f>
        <v/>
      </c>
      <c r="P858" s="531" t="str">
        <f aca="false">IF('(1)예금승인내역'!F1484="","",'(1)예금승인내역'!F1484)</f>
        <v/>
      </c>
      <c r="Q858" s="531" t="str">
        <f aca="false">IF('(1)예금승인내역'!C1484="","",'(1)예금승인내역'!C1484)</f>
        <v/>
      </c>
      <c r="R858" s="531" t="str">
        <f aca="false">IF('(1)예금승인내역'!K1484="","",'(1)예금승인내역'!K1484)</f>
        <v/>
      </c>
      <c r="S858" s="531" t="str">
        <f aca="false">IF('(1)예금승인내역'!L1484="","",'(1)예금승인내역'!L1484)</f>
        <v/>
      </c>
      <c r="T858" s="531" t="str">
        <f aca="false">IF('(1)예금승인내역'!AG1484="","",'(1)예금승인내역'!AG1484)</f>
        <v/>
      </c>
      <c r="U858" s="531" t="str">
        <f aca="false">IF('(1)예금승인내역'!X1484="","",'(1)예금승인내역'!X1484)</f>
        <v/>
      </c>
      <c r="V858" s="531" t="str">
        <f aca="false">IF(ISNUMBER(N858),N858-$B$2,"")</f>
        <v/>
      </c>
      <c r="W858" s="531" t="str">
        <f aca="false">IF(AND(ISNUMBER(N858),N858&gt;=$B$2,N858&lt;=$B$2+10),N858*100000+ROW(),"")</f>
        <v/>
      </c>
      <c r="X858" s="531"/>
      <c r="Y858" s="531"/>
      <c r="Z858" s="531"/>
      <c r="AA858" s="531"/>
      <c r="AB858" s="531"/>
      <c r="AC858" s="531"/>
      <c r="AD858" s="531"/>
      <c r="AE858" s="531"/>
      <c r="AF858" s="531"/>
      <c r="AG858" s="531"/>
      <c r="AH858" s="531"/>
      <c r="AI858" s="531"/>
      <c r="AJ858" s="531"/>
      <c r="AK858" s="531"/>
      <c r="AL858" s="531"/>
      <c r="AM858" s="531"/>
      <c r="AN858" s="531"/>
    </row>
    <row r="859" customFormat="false" ht="16.5" hidden="false" customHeight="true" outlineLevel="0" collapsed="false">
      <c r="A859" s="531"/>
      <c r="B859" s="531"/>
      <c r="C859" s="531"/>
      <c r="D859" s="531"/>
      <c r="E859" s="531"/>
      <c r="F859" s="531"/>
      <c r="G859" s="531"/>
      <c r="H859" s="531"/>
      <c r="I859" s="531"/>
      <c r="J859" s="531"/>
      <c r="K859" s="531"/>
      <c r="L859" s="531"/>
      <c r="M859" s="531"/>
      <c r="N859" s="531" t="str">
        <f aca="false">IF('(1)예금승인내역'!H1485="","",'(1)예금승인내역'!H1485)</f>
        <v/>
      </c>
      <c r="O859" s="531" t="str">
        <f aca="false">IF('(1)예금승인내역'!G1485="","",'(1)예금승인내역'!G1485)</f>
        <v/>
      </c>
      <c r="P859" s="531" t="str">
        <f aca="false">IF('(1)예금승인내역'!F1485="","",'(1)예금승인내역'!F1485)</f>
        <v/>
      </c>
      <c r="Q859" s="531" t="str">
        <f aca="false">IF('(1)예금승인내역'!C1485="","",'(1)예금승인내역'!C1485)</f>
        <v/>
      </c>
      <c r="R859" s="531" t="str">
        <f aca="false">IF('(1)예금승인내역'!K1485="","",'(1)예금승인내역'!K1485)</f>
        <v/>
      </c>
      <c r="S859" s="531" t="str">
        <f aca="false">IF('(1)예금승인내역'!L1485="","",'(1)예금승인내역'!L1485)</f>
        <v/>
      </c>
      <c r="T859" s="531" t="str">
        <f aca="false">IF('(1)예금승인내역'!AG1485="","",'(1)예금승인내역'!AG1485)</f>
        <v/>
      </c>
      <c r="U859" s="531" t="str">
        <f aca="false">IF('(1)예금승인내역'!X1485="","",'(1)예금승인내역'!X1485)</f>
        <v/>
      </c>
      <c r="V859" s="531" t="str">
        <f aca="false">IF(ISNUMBER(N859),N859-$B$2,"")</f>
        <v/>
      </c>
      <c r="W859" s="531" t="str">
        <f aca="false">IF(AND(ISNUMBER(N859),N859&gt;=$B$2,N859&lt;=$B$2+10),N859*100000+ROW(),"")</f>
        <v/>
      </c>
      <c r="X859" s="531"/>
      <c r="Y859" s="531"/>
      <c r="Z859" s="531"/>
      <c r="AA859" s="531"/>
      <c r="AB859" s="531"/>
      <c r="AC859" s="531"/>
      <c r="AD859" s="531"/>
      <c r="AE859" s="531"/>
      <c r="AF859" s="531"/>
      <c r="AG859" s="531"/>
      <c r="AH859" s="531"/>
      <c r="AI859" s="531"/>
      <c r="AJ859" s="531"/>
      <c r="AK859" s="531"/>
      <c r="AL859" s="531"/>
      <c r="AM859" s="531"/>
      <c r="AN859" s="531"/>
    </row>
    <row r="860" customFormat="false" ht="16.5" hidden="false" customHeight="true" outlineLevel="0" collapsed="false">
      <c r="A860" s="531"/>
      <c r="B860" s="531"/>
      <c r="C860" s="531"/>
      <c r="D860" s="531"/>
      <c r="E860" s="531"/>
      <c r="F860" s="531"/>
      <c r="G860" s="531"/>
      <c r="H860" s="531"/>
      <c r="I860" s="531"/>
      <c r="J860" s="531"/>
      <c r="K860" s="531"/>
      <c r="L860" s="531"/>
      <c r="M860" s="531"/>
      <c r="N860" s="531" t="str">
        <f aca="false">IF('(1)예금승인내역'!H1486="","",'(1)예금승인내역'!H1486)</f>
        <v/>
      </c>
      <c r="O860" s="531" t="str">
        <f aca="false">IF('(1)예금승인내역'!G1486="","",'(1)예금승인내역'!G1486)</f>
        <v/>
      </c>
      <c r="P860" s="531" t="str">
        <f aca="false">IF('(1)예금승인내역'!F1486="","",'(1)예금승인내역'!F1486)</f>
        <v/>
      </c>
      <c r="Q860" s="531" t="str">
        <f aca="false">IF('(1)예금승인내역'!C1486="","",'(1)예금승인내역'!C1486)</f>
        <v/>
      </c>
      <c r="R860" s="531" t="str">
        <f aca="false">IF('(1)예금승인내역'!K1486="","",'(1)예금승인내역'!K1486)</f>
        <v/>
      </c>
      <c r="S860" s="531" t="str">
        <f aca="false">IF('(1)예금승인내역'!L1486="","",'(1)예금승인내역'!L1486)</f>
        <v/>
      </c>
      <c r="T860" s="531" t="str">
        <f aca="false">IF('(1)예금승인내역'!AG1486="","",'(1)예금승인내역'!AG1486)</f>
        <v/>
      </c>
      <c r="U860" s="531" t="str">
        <f aca="false">IF('(1)예금승인내역'!X1486="","",'(1)예금승인내역'!X1486)</f>
        <v/>
      </c>
      <c r="V860" s="531" t="str">
        <f aca="false">IF(ISNUMBER(N860),N860-$B$2,"")</f>
        <v/>
      </c>
      <c r="W860" s="531" t="str">
        <f aca="false">IF(AND(ISNUMBER(N860),N860&gt;=$B$2,N860&lt;=$B$2+10),N860*100000+ROW(),"")</f>
        <v/>
      </c>
      <c r="X860" s="531"/>
      <c r="Y860" s="531"/>
      <c r="Z860" s="531"/>
      <c r="AA860" s="531"/>
      <c r="AB860" s="531"/>
      <c r="AC860" s="531"/>
      <c r="AD860" s="531"/>
      <c r="AE860" s="531"/>
      <c r="AF860" s="531"/>
      <c r="AG860" s="531"/>
      <c r="AH860" s="531"/>
      <c r="AI860" s="531"/>
      <c r="AJ860" s="531"/>
      <c r="AK860" s="531"/>
      <c r="AL860" s="531"/>
      <c r="AM860" s="531"/>
      <c r="AN860" s="531"/>
    </row>
    <row r="861" customFormat="false" ht="16.5" hidden="false" customHeight="true" outlineLevel="0" collapsed="false">
      <c r="A861" s="531"/>
      <c r="B861" s="531"/>
      <c r="C861" s="531"/>
      <c r="D861" s="531"/>
      <c r="E861" s="531"/>
      <c r="F861" s="531"/>
      <c r="G861" s="531"/>
      <c r="H861" s="531"/>
      <c r="I861" s="531"/>
      <c r="J861" s="531"/>
      <c r="K861" s="531"/>
      <c r="L861" s="531"/>
      <c r="M861" s="531"/>
      <c r="N861" s="531" t="str">
        <f aca="false">IF('(1)예금승인내역'!H1487="","",'(1)예금승인내역'!H1487)</f>
        <v/>
      </c>
      <c r="O861" s="531" t="str">
        <f aca="false">IF('(1)예금승인내역'!G1487="","",'(1)예금승인내역'!G1487)</f>
        <v/>
      </c>
      <c r="P861" s="531" t="str">
        <f aca="false">IF('(1)예금승인내역'!F1487="","",'(1)예금승인내역'!F1487)</f>
        <v/>
      </c>
      <c r="Q861" s="531" t="str">
        <f aca="false">IF('(1)예금승인내역'!C1487="","",'(1)예금승인내역'!C1487)</f>
        <v/>
      </c>
      <c r="R861" s="531" t="str">
        <f aca="false">IF('(1)예금승인내역'!K1487="","",'(1)예금승인내역'!K1487)</f>
        <v/>
      </c>
      <c r="S861" s="531" t="str">
        <f aca="false">IF('(1)예금승인내역'!L1487="","",'(1)예금승인내역'!L1487)</f>
        <v/>
      </c>
      <c r="T861" s="531" t="str">
        <f aca="false">IF('(1)예금승인내역'!AG1487="","",'(1)예금승인내역'!AG1487)</f>
        <v/>
      </c>
      <c r="U861" s="531" t="str">
        <f aca="false">IF('(1)예금승인내역'!X1487="","",'(1)예금승인내역'!X1487)</f>
        <v/>
      </c>
      <c r="V861" s="531" t="str">
        <f aca="false">IF(ISNUMBER(N861),N861-$B$2,"")</f>
        <v/>
      </c>
      <c r="W861" s="531" t="str">
        <f aca="false">IF(AND(ISNUMBER(N861),N861&gt;=$B$2,N861&lt;=$B$2+10),N861*100000+ROW(),"")</f>
        <v/>
      </c>
      <c r="X861" s="531"/>
      <c r="Y861" s="531"/>
      <c r="Z861" s="531"/>
      <c r="AA861" s="531"/>
      <c r="AB861" s="531"/>
      <c r="AC861" s="531"/>
      <c r="AD861" s="531"/>
      <c r="AE861" s="531"/>
      <c r="AF861" s="531"/>
      <c r="AG861" s="531"/>
      <c r="AH861" s="531"/>
      <c r="AI861" s="531"/>
      <c r="AJ861" s="531"/>
      <c r="AK861" s="531"/>
      <c r="AL861" s="531"/>
      <c r="AM861" s="531"/>
      <c r="AN861" s="531"/>
    </row>
    <row r="862" customFormat="false" ht="16.5" hidden="false" customHeight="true" outlineLevel="0" collapsed="false">
      <c r="A862" s="531"/>
      <c r="B862" s="531"/>
      <c r="C862" s="531"/>
      <c r="D862" s="531"/>
      <c r="E862" s="531"/>
      <c r="F862" s="531"/>
      <c r="G862" s="531"/>
      <c r="H862" s="531"/>
      <c r="I862" s="531"/>
      <c r="J862" s="531"/>
      <c r="K862" s="531"/>
      <c r="L862" s="531"/>
      <c r="M862" s="531"/>
      <c r="N862" s="531" t="str">
        <f aca="false">IF('(1)예금승인내역'!H1488="","",'(1)예금승인내역'!H1488)</f>
        <v/>
      </c>
      <c r="O862" s="531" t="str">
        <f aca="false">IF('(1)예금승인내역'!G1488="","",'(1)예금승인내역'!G1488)</f>
        <v/>
      </c>
      <c r="P862" s="531" t="str">
        <f aca="false">IF('(1)예금승인내역'!F1488="","",'(1)예금승인내역'!F1488)</f>
        <v/>
      </c>
      <c r="Q862" s="531" t="str">
        <f aca="false">IF('(1)예금승인내역'!C1488="","",'(1)예금승인내역'!C1488)</f>
        <v/>
      </c>
      <c r="R862" s="531" t="str">
        <f aca="false">IF('(1)예금승인내역'!K1488="","",'(1)예금승인내역'!K1488)</f>
        <v/>
      </c>
      <c r="S862" s="531" t="str">
        <f aca="false">IF('(1)예금승인내역'!L1488="","",'(1)예금승인내역'!L1488)</f>
        <v/>
      </c>
      <c r="T862" s="531" t="str">
        <f aca="false">IF('(1)예금승인내역'!AG1488="","",'(1)예금승인내역'!AG1488)</f>
        <v/>
      </c>
      <c r="U862" s="531" t="str">
        <f aca="false">IF('(1)예금승인내역'!X1488="","",'(1)예금승인내역'!X1488)</f>
        <v/>
      </c>
      <c r="V862" s="531" t="str">
        <f aca="false">IF(ISNUMBER(N862),N862-$B$2,"")</f>
        <v/>
      </c>
      <c r="W862" s="531" t="str">
        <f aca="false">IF(AND(ISNUMBER(N862),N862&gt;=$B$2,N862&lt;=$B$2+10),N862*100000+ROW(),"")</f>
        <v/>
      </c>
      <c r="X862" s="531"/>
      <c r="Y862" s="531"/>
      <c r="Z862" s="531"/>
      <c r="AA862" s="531"/>
      <c r="AB862" s="531"/>
      <c r="AC862" s="531"/>
      <c r="AD862" s="531"/>
      <c r="AE862" s="531"/>
      <c r="AF862" s="531"/>
      <c r="AG862" s="531"/>
      <c r="AH862" s="531"/>
      <c r="AI862" s="531"/>
      <c r="AJ862" s="531"/>
      <c r="AK862" s="531"/>
      <c r="AL862" s="531"/>
      <c r="AM862" s="531"/>
      <c r="AN862" s="531"/>
    </row>
    <row r="863" customFormat="false" ht="16.5" hidden="false" customHeight="true" outlineLevel="0" collapsed="false">
      <c r="A863" s="531"/>
      <c r="B863" s="531"/>
      <c r="C863" s="531"/>
      <c r="D863" s="531"/>
      <c r="E863" s="531"/>
      <c r="F863" s="531"/>
      <c r="G863" s="531"/>
      <c r="H863" s="531"/>
      <c r="I863" s="531"/>
      <c r="J863" s="531"/>
      <c r="K863" s="531"/>
      <c r="L863" s="531"/>
      <c r="M863" s="531"/>
      <c r="N863" s="531" t="str">
        <f aca="false">IF('(1)예금승인내역'!H1489="","",'(1)예금승인내역'!H1489)</f>
        <v/>
      </c>
      <c r="O863" s="531" t="str">
        <f aca="false">IF('(1)예금승인내역'!G1489="","",'(1)예금승인내역'!G1489)</f>
        <v/>
      </c>
      <c r="P863" s="531" t="str">
        <f aca="false">IF('(1)예금승인내역'!F1489="","",'(1)예금승인내역'!F1489)</f>
        <v/>
      </c>
      <c r="Q863" s="531" t="str">
        <f aca="false">IF('(1)예금승인내역'!C1489="","",'(1)예금승인내역'!C1489)</f>
        <v/>
      </c>
      <c r="R863" s="531" t="str">
        <f aca="false">IF('(1)예금승인내역'!K1489="","",'(1)예금승인내역'!K1489)</f>
        <v/>
      </c>
      <c r="S863" s="531" t="str">
        <f aca="false">IF('(1)예금승인내역'!L1489="","",'(1)예금승인내역'!L1489)</f>
        <v/>
      </c>
      <c r="T863" s="531" t="str">
        <f aca="false">IF('(1)예금승인내역'!AG1489="","",'(1)예금승인내역'!AG1489)</f>
        <v/>
      </c>
      <c r="U863" s="531" t="str">
        <f aca="false">IF('(1)예금승인내역'!X1489="","",'(1)예금승인내역'!X1489)</f>
        <v/>
      </c>
      <c r="V863" s="531" t="str">
        <f aca="false">IF(ISNUMBER(N863),N863-$B$2,"")</f>
        <v/>
      </c>
      <c r="W863" s="531" t="str">
        <f aca="false">IF(AND(ISNUMBER(N863),N863&gt;=$B$2,N863&lt;=$B$2+10),N863*100000+ROW(),"")</f>
        <v/>
      </c>
      <c r="X863" s="531"/>
      <c r="Y863" s="531"/>
      <c r="Z863" s="531"/>
      <c r="AA863" s="531"/>
      <c r="AB863" s="531"/>
      <c r="AC863" s="531"/>
      <c r="AD863" s="531"/>
      <c r="AE863" s="531"/>
      <c r="AF863" s="531"/>
      <c r="AG863" s="531"/>
      <c r="AH863" s="531"/>
      <c r="AI863" s="531"/>
      <c r="AJ863" s="531"/>
      <c r="AK863" s="531"/>
      <c r="AL863" s="531"/>
      <c r="AM863" s="531"/>
      <c r="AN863" s="531"/>
    </row>
    <row r="864" customFormat="false" ht="16.5" hidden="false" customHeight="true" outlineLevel="0" collapsed="false">
      <c r="A864" s="531"/>
      <c r="B864" s="531"/>
      <c r="C864" s="531"/>
      <c r="D864" s="531"/>
      <c r="E864" s="531"/>
      <c r="F864" s="531"/>
      <c r="G864" s="531"/>
      <c r="H864" s="531"/>
      <c r="I864" s="531"/>
      <c r="J864" s="531"/>
      <c r="K864" s="531"/>
      <c r="L864" s="531"/>
      <c r="M864" s="531"/>
      <c r="N864" s="531" t="str">
        <f aca="false">IF('(1)예금승인내역'!H1490="","",'(1)예금승인내역'!H1490)</f>
        <v/>
      </c>
      <c r="O864" s="531" t="str">
        <f aca="false">IF('(1)예금승인내역'!G1490="","",'(1)예금승인내역'!G1490)</f>
        <v/>
      </c>
      <c r="P864" s="531" t="str">
        <f aca="false">IF('(1)예금승인내역'!F1490="","",'(1)예금승인내역'!F1490)</f>
        <v/>
      </c>
      <c r="Q864" s="531" t="str">
        <f aca="false">IF('(1)예금승인내역'!C1490="","",'(1)예금승인내역'!C1490)</f>
        <v/>
      </c>
      <c r="R864" s="531" t="str">
        <f aca="false">IF('(1)예금승인내역'!K1490="","",'(1)예금승인내역'!K1490)</f>
        <v/>
      </c>
      <c r="S864" s="531" t="str">
        <f aca="false">IF('(1)예금승인내역'!L1490="","",'(1)예금승인내역'!L1490)</f>
        <v/>
      </c>
      <c r="T864" s="531" t="str">
        <f aca="false">IF('(1)예금승인내역'!AG1490="","",'(1)예금승인내역'!AG1490)</f>
        <v/>
      </c>
      <c r="U864" s="531" t="str">
        <f aca="false">IF('(1)예금승인내역'!X1490="","",'(1)예금승인내역'!X1490)</f>
        <v/>
      </c>
      <c r="V864" s="531" t="str">
        <f aca="false">IF(ISNUMBER(N864),N864-$B$2,"")</f>
        <v/>
      </c>
      <c r="W864" s="531" t="str">
        <f aca="false">IF(AND(ISNUMBER(N864),N864&gt;=$B$2,N864&lt;=$B$2+10),N864*100000+ROW(),"")</f>
        <v/>
      </c>
      <c r="X864" s="531"/>
      <c r="Y864" s="531"/>
      <c r="Z864" s="531"/>
      <c r="AA864" s="531"/>
      <c r="AB864" s="531"/>
      <c r="AC864" s="531"/>
      <c r="AD864" s="531"/>
      <c r="AE864" s="531"/>
      <c r="AF864" s="531"/>
      <c r="AG864" s="531"/>
      <c r="AH864" s="531"/>
      <c r="AI864" s="531"/>
      <c r="AJ864" s="531"/>
      <c r="AK864" s="531"/>
      <c r="AL864" s="531"/>
      <c r="AM864" s="531"/>
      <c r="AN864" s="531"/>
    </row>
    <row r="865" customFormat="false" ht="16.5" hidden="false" customHeight="true" outlineLevel="0" collapsed="false">
      <c r="A865" s="531"/>
      <c r="B865" s="531"/>
      <c r="C865" s="531"/>
      <c r="D865" s="531"/>
      <c r="E865" s="531"/>
      <c r="F865" s="531"/>
      <c r="G865" s="531"/>
      <c r="H865" s="531"/>
      <c r="I865" s="531"/>
      <c r="J865" s="531"/>
      <c r="K865" s="531"/>
      <c r="L865" s="531"/>
      <c r="M865" s="531"/>
      <c r="N865" s="531" t="str">
        <f aca="false">IF('(1)예금승인내역'!H1491="","",'(1)예금승인내역'!H1491)</f>
        <v/>
      </c>
      <c r="O865" s="531" t="str">
        <f aca="false">IF('(1)예금승인내역'!G1491="","",'(1)예금승인내역'!G1491)</f>
        <v/>
      </c>
      <c r="P865" s="531" t="str">
        <f aca="false">IF('(1)예금승인내역'!F1491="","",'(1)예금승인내역'!F1491)</f>
        <v/>
      </c>
      <c r="Q865" s="531" t="str">
        <f aca="false">IF('(1)예금승인내역'!C1491="","",'(1)예금승인내역'!C1491)</f>
        <v/>
      </c>
      <c r="R865" s="531" t="str">
        <f aca="false">IF('(1)예금승인내역'!K1491="","",'(1)예금승인내역'!K1491)</f>
        <v/>
      </c>
      <c r="S865" s="531" t="str">
        <f aca="false">IF('(1)예금승인내역'!L1491="","",'(1)예금승인내역'!L1491)</f>
        <v/>
      </c>
      <c r="T865" s="531" t="str">
        <f aca="false">IF('(1)예금승인내역'!AG1491="","",'(1)예금승인내역'!AG1491)</f>
        <v/>
      </c>
      <c r="U865" s="531" t="str">
        <f aca="false">IF('(1)예금승인내역'!X1491="","",'(1)예금승인내역'!X1491)</f>
        <v/>
      </c>
      <c r="V865" s="531" t="str">
        <f aca="false">IF(ISNUMBER(N865),N865-$B$2,"")</f>
        <v/>
      </c>
      <c r="W865" s="531" t="str">
        <f aca="false">IF(AND(ISNUMBER(N865),N865&gt;=$B$2,N865&lt;=$B$2+10),N865*100000+ROW(),"")</f>
        <v/>
      </c>
      <c r="X865" s="531"/>
      <c r="Y865" s="531"/>
      <c r="Z865" s="531"/>
      <c r="AA865" s="531"/>
      <c r="AB865" s="531"/>
      <c r="AC865" s="531"/>
      <c r="AD865" s="531"/>
      <c r="AE865" s="531"/>
      <c r="AF865" s="531"/>
      <c r="AG865" s="531"/>
      <c r="AH865" s="531"/>
      <c r="AI865" s="531"/>
      <c r="AJ865" s="531"/>
      <c r="AK865" s="531"/>
      <c r="AL865" s="531"/>
      <c r="AM865" s="531"/>
      <c r="AN865" s="531"/>
    </row>
    <row r="866" customFormat="false" ht="16.5" hidden="false" customHeight="true" outlineLevel="0" collapsed="false">
      <c r="A866" s="531"/>
      <c r="B866" s="531"/>
      <c r="C866" s="531"/>
      <c r="D866" s="531"/>
      <c r="E866" s="531"/>
      <c r="F866" s="531"/>
      <c r="G866" s="531"/>
      <c r="H866" s="531"/>
      <c r="I866" s="531"/>
      <c r="J866" s="531"/>
      <c r="K866" s="531"/>
      <c r="L866" s="531"/>
      <c r="M866" s="531"/>
      <c r="N866" s="531" t="str">
        <f aca="false">IF('(1)예금승인내역'!H1492="","",'(1)예금승인내역'!H1492)</f>
        <v/>
      </c>
      <c r="O866" s="531" t="str">
        <f aca="false">IF('(1)예금승인내역'!G1492="","",'(1)예금승인내역'!G1492)</f>
        <v/>
      </c>
      <c r="P866" s="531" t="str">
        <f aca="false">IF('(1)예금승인내역'!F1492="","",'(1)예금승인내역'!F1492)</f>
        <v/>
      </c>
      <c r="Q866" s="531" t="str">
        <f aca="false">IF('(1)예금승인내역'!C1492="","",'(1)예금승인내역'!C1492)</f>
        <v/>
      </c>
      <c r="R866" s="531" t="str">
        <f aca="false">IF('(1)예금승인내역'!K1492="","",'(1)예금승인내역'!K1492)</f>
        <v/>
      </c>
      <c r="S866" s="531" t="str">
        <f aca="false">IF('(1)예금승인내역'!L1492="","",'(1)예금승인내역'!L1492)</f>
        <v/>
      </c>
      <c r="T866" s="531" t="str">
        <f aca="false">IF('(1)예금승인내역'!AG1492="","",'(1)예금승인내역'!AG1492)</f>
        <v/>
      </c>
      <c r="U866" s="531" t="str">
        <f aca="false">IF('(1)예금승인내역'!X1492="","",'(1)예금승인내역'!X1492)</f>
        <v/>
      </c>
      <c r="V866" s="531" t="str">
        <f aca="false">IF(ISNUMBER(N866),N866-$B$2,"")</f>
        <v/>
      </c>
      <c r="W866" s="531" t="str">
        <f aca="false">IF(AND(ISNUMBER(N866),N866&gt;=$B$2,N866&lt;=$B$2+10),N866*100000+ROW(),"")</f>
        <v/>
      </c>
      <c r="X866" s="531"/>
      <c r="Y866" s="531"/>
      <c r="Z866" s="531"/>
      <c r="AA866" s="531"/>
      <c r="AB866" s="531"/>
      <c r="AC866" s="531"/>
      <c r="AD866" s="531"/>
      <c r="AE866" s="531"/>
      <c r="AF866" s="531"/>
      <c r="AG866" s="531"/>
      <c r="AH866" s="531"/>
      <c r="AI866" s="531"/>
      <c r="AJ866" s="531"/>
      <c r="AK866" s="531"/>
      <c r="AL866" s="531"/>
      <c r="AM866" s="531"/>
      <c r="AN866" s="531"/>
    </row>
    <row r="867" customFormat="false" ht="16.5" hidden="false" customHeight="true" outlineLevel="0" collapsed="false">
      <c r="A867" s="531"/>
      <c r="B867" s="531"/>
      <c r="C867" s="531"/>
      <c r="D867" s="531"/>
      <c r="E867" s="531"/>
      <c r="F867" s="531"/>
      <c r="G867" s="531"/>
      <c r="H867" s="531"/>
      <c r="I867" s="531"/>
      <c r="J867" s="531"/>
      <c r="K867" s="531"/>
      <c r="L867" s="531"/>
      <c r="M867" s="531"/>
      <c r="N867" s="531" t="str">
        <f aca="false">IF('(1)예금승인내역'!H1493="","",'(1)예금승인내역'!H1493)</f>
        <v/>
      </c>
      <c r="O867" s="531" t="str">
        <f aca="false">IF('(1)예금승인내역'!G1493="","",'(1)예금승인내역'!G1493)</f>
        <v/>
      </c>
      <c r="P867" s="531" t="str">
        <f aca="false">IF('(1)예금승인내역'!F1493="","",'(1)예금승인내역'!F1493)</f>
        <v/>
      </c>
      <c r="Q867" s="531" t="str">
        <f aca="false">IF('(1)예금승인내역'!C1493="","",'(1)예금승인내역'!C1493)</f>
        <v/>
      </c>
      <c r="R867" s="531" t="str">
        <f aca="false">IF('(1)예금승인내역'!K1493="","",'(1)예금승인내역'!K1493)</f>
        <v/>
      </c>
      <c r="S867" s="531" t="str">
        <f aca="false">IF('(1)예금승인내역'!L1493="","",'(1)예금승인내역'!L1493)</f>
        <v/>
      </c>
      <c r="T867" s="531" t="str">
        <f aca="false">IF('(1)예금승인내역'!AG1493="","",'(1)예금승인내역'!AG1493)</f>
        <v/>
      </c>
      <c r="U867" s="531" t="str">
        <f aca="false">IF('(1)예금승인내역'!X1493="","",'(1)예금승인내역'!X1493)</f>
        <v/>
      </c>
      <c r="V867" s="531" t="str">
        <f aca="false">IF(ISNUMBER(N867),N867-$B$2,"")</f>
        <v/>
      </c>
      <c r="W867" s="531" t="str">
        <f aca="false">IF(AND(ISNUMBER(N867),N867&gt;=$B$2,N867&lt;=$B$2+10),N867*100000+ROW(),"")</f>
        <v/>
      </c>
      <c r="X867" s="531"/>
      <c r="Y867" s="531"/>
      <c r="Z867" s="531"/>
      <c r="AA867" s="531"/>
      <c r="AB867" s="531"/>
      <c r="AC867" s="531"/>
      <c r="AD867" s="531"/>
      <c r="AE867" s="531"/>
      <c r="AF867" s="531"/>
      <c r="AG867" s="531"/>
      <c r="AH867" s="531"/>
      <c r="AI867" s="531"/>
      <c r="AJ867" s="531"/>
      <c r="AK867" s="531"/>
      <c r="AL867" s="531"/>
      <c r="AM867" s="531"/>
      <c r="AN867" s="531"/>
    </row>
    <row r="868" customFormat="false" ht="16.5" hidden="false" customHeight="true" outlineLevel="0" collapsed="false">
      <c r="A868" s="531"/>
      <c r="B868" s="531"/>
      <c r="C868" s="531"/>
      <c r="D868" s="531"/>
      <c r="E868" s="531"/>
      <c r="F868" s="531"/>
      <c r="G868" s="531"/>
      <c r="H868" s="531"/>
      <c r="I868" s="531"/>
      <c r="J868" s="531"/>
      <c r="K868" s="531"/>
      <c r="L868" s="531"/>
      <c r="M868" s="531"/>
      <c r="N868" s="531" t="str">
        <f aca="false">IF('(1)예금승인내역'!H1494="","",'(1)예금승인내역'!H1494)</f>
        <v/>
      </c>
      <c r="O868" s="531" t="str">
        <f aca="false">IF('(1)예금승인내역'!G1494="","",'(1)예금승인내역'!G1494)</f>
        <v/>
      </c>
      <c r="P868" s="531" t="str">
        <f aca="false">IF('(1)예금승인내역'!F1494="","",'(1)예금승인내역'!F1494)</f>
        <v/>
      </c>
      <c r="Q868" s="531" t="str">
        <f aca="false">IF('(1)예금승인내역'!C1494="","",'(1)예금승인내역'!C1494)</f>
        <v/>
      </c>
      <c r="R868" s="531" t="str">
        <f aca="false">IF('(1)예금승인내역'!K1494="","",'(1)예금승인내역'!K1494)</f>
        <v/>
      </c>
      <c r="S868" s="531" t="str">
        <f aca="false">IF('(1)예금승인내역'!L1494="","",'(1)예금승인내역'!L1494)</f>
        <v/>
      </c>
      <c r="T868" s="531" t="str">
        <f aca="false">IF('(1)예금승인내역'!AG1494="","",'(1)예금승인내역'!AG1494)</f>
        <v/>
      </c>
      <c r="U868" s="531" t="str">
        <f aca="false">IF('(1)예금승인내역'!X1494="","",'(1)예금승인내역'!X1494)</f>
        <v/>
      </c>
      <c r="V868" s="531" t="str">
        <f aca="false">IF(ISNUMBER(N868),N868-$B$2,"")</f>
        <v/>
      </c>
      <c r="W868" s="531" t="str">
        <f aca="false">IF(AND(ISNUMBER(N868),N868&gt;=$B$2,N868&lt;=$B$2+10),N868*100000+ROW(),"")</f>
        <v/>
      </c>
      <c r="X868" s="531"/>
      <c r="Y868" s="531"/>
      <c r="Z868" s="531"/>
      <c r="AA868" s="531"/>
      <c r="AB868" s="531"/>
      <c r="AC868" s="531"/>
      <c r="AD868" s="531"/>
      <c r="AE868" s="531"/>
      <c r="AF868" s="531"/>
      <c r="AG868" s="531"/>
      <c r="AH868" s="531"/>
      <c r="AI868" s="531"/>
      <c r="AJ868" s="531"/>
      <c r="AK868" s="531"/>
      <c r="AL868" s="531"/>
      <c r="AM868" s="531"/>
      <c r="AN868" s="531"/>
    </row>
    <row r="869" customFormat="false" ht="16.5" hidden="false" customHeight="true" outlineLevel="0" collapsed="false">
      <c r="A869" s="531"/>
      <c r="B869" s="531"/>
      <c r="C869" s="531"/>
      <c r="D869" s="531"/>
      <c r="E869" s="531"/>
      <c r="F869" s="531"/>
      <c r="G869" s="531"/>
      <c r="H869" s="531"/>
      <c r="I869" s="531"/>
      <c r="J869" s="531"/>
      <c r="K869" s="531"/>
      <c r="L869" s="531"/>
      <c r="M869" s="531"/>
      <c r="N869" s="531" t="str">
        <f aca="false">IF('(1)예금승인내역'!H1495="","",'(1)예금승인내역'!H1495)</f>
        <v/>
      </c>
      <c r="O869" s="531" t="str">
        <f aca="false">IF('(1)예금승인내역'!G1495="","",'(1)예금승인내역'!G1495)</f>
        <v/>
      </c>
      <c r="P869" s="531" t="str">
        <f aca="false">IF('(1)예금승인내역'!F1495="","",'(1)예금승인내역'!F1495)</f>
        <v/>
      </c>
      <c r="Q869" s="531" t="str">
        <f aca="false">IF('(1)예금승인내역'!C1495="","",'(1)예금승인내역'!C1495)</f>
        <v/>
      </c>
      <c r="R869" s="531" t="str">
        <f aca="false">IF('(1)예금승인내역'!K1495="","",'(1)예금승인내역'!K1495)</f>
        <v/>
      </c>
      <c r="S869" s="531" t="str">
        <f aca="false">IF('(1)예금승인내역'!L1495="","",'(1)예금승인내역'!L1495)</f>
        <v/>
      </c>
      <c r="T869" s="531" t="str">
        <f aca="false">IF('(1)예금승인내역'!AG1495="","",'(1)예금승인내역'!AG1495)</f>
        <v/>
      </c>
      <c r="U869" s="531" t="str">
        <f aca="false">IF('(1)예금승인내역'!X1495="","",'(1)예금승인내역'!X1495)</f>
        <v/>
      </c>
      <c r="V869" s="531" t="str">
        <f aca="false">IF(ISNUMBER(N869),N869-$B$2,"")</f>
        <v/>
      </c>
      <c r="W869" s="531" t="str">
        <f aca="false">IF(AND(ISNUMBER(N869),N869&gt;=$B$2,N869&lt;=$B$2+10),N869*100000+ROW(),"")</f>
        <v/>
      </c>
      <c r="X869" s="531"/>
      <c r="Y869" s="531"/>
      <c r="Z869" s="531"/>
      <c r="AA869" s="531"/>
      <c r="AB869" s="531"/>
      <c r="AC869" s="531"/>
      <c r="AD869" s="531"/>
      <c r="AE869" s="531"/>
      <c r="AF869" s="531"/>
      <c r="AG869" s="531"/>
      <c r="AH869" s="531"/>
      <c r="AI869" s="531"/>
      <c r="AJ869" s="531"/>
      <c r="AK869" s="531"/>
      <c r="AL869" s="531"/>
      <c r="AM869" s="531"/>
      <c r="AN869" s="531"/>
    </row>
    <row r="870" customFormat="false" ht="16.5" hidden="false" customHeight="true" outlineLevel="0" collapsed="false">
      <c r="A870" s="531"/>
      <c r="B870" s="531"/>
      <c r="C870" s="531"/>
      <c r="D870" s="531"/>
      <c r="E870" s="531"/>
      <c r="F870" s="531"/>
      <c r="G870" s="531"/>
      <c r="H870" s="531"/>
      <c r="I870" s="531"/>
      <c r="J870" s="531"/>
      <c r="K870" s="531"/>
      <c r="L870" s="531"/>
      <c r="M870" s="531"/>
      <c r="N870" s="531" t="str">
        <f aca="false">IF('(1)예금승인내역'!H1496="","",'(1)예금승인내역'!H1496)</f>
        <v/>
      </c>
      <c r="O870" s="531" t="str">
        <f aca="false">IF('(1)예금승인내역'!G1496="","",'(1)예금승인내역'!G1496)</f>
        <v/>
      </c>
      <c r="P870" s="531" t="str">
        <f aca="false">IF('(1)예금승인내역'!F1496="","",'(1)예금승인내역'!F1496)</f>
        <v/>
      </c>
      <c r="Q870" s="531" t="str">
        <f aca="false">IF('(1)예금승인내역'!C1496="","",'(1)예금승인내역'!C1496)</f>
        <v/>
      </c>
      <c r="R870" s="531" t="str">
        <f aca="false">IF('(1)예금승인내역'!K1496="","",'(1)예금승인내역'!K1496)</f>
        <v/>
      </c>
      <c r="S870" s="531" t="str">
        <f aca="false">IF('(1)예금승인내역'!L1496="","",'(1)예금승인내역'!L1496)</f>
        <v/>
      </c>
      <c r="T870" s="531" t="str">
        <f aca="false">IF('(1)예금승인내역'!AG1496="","",'(1)예금승인내역'!AG1496)</f>
        <v/>
      </c>
      <c r="U870" s="531" t="str">
        <f aca="false">IF('(1)예금승인내역'!X1496="","",'(1)예금승인내역'!X1496)</f>
        <v/>
      </c>
      <c r="V870" s="531" t="str">
        <f aca="false">IF(ISNUMBER(N870),N870-$B$2,"")</f>
        <v/>
      </c>
      <c r="W870" s="531" t="str">
        <f aca="false">IF(AND(ISNUMBER(N870),N870&gt;=$B$2,N870&lt;=$B$2+10),N870*100000+ROW(),"")</f>
        <v/>
      </c>
      <c r="X870" s="531"/>
      <c r="Y870" s="531"/>
      <c r="Z870" s="531"/>
      <c r="AA870" s="531"/>
      <c r="AB870" s="531"/>
      <c r="AC870" s="531"/>
      <c r="AD870" s="531"/>
      <c r="AE870" s="531"/>
      <c r="AF870" s="531"/>
      <c r="AG870" s="531"/>
      <c r="AH870" s="531"/>
      <c r="AI870" s="531"/>
      <c r="AJ870" s="531"/>
      <c r="AK870" s="531"/>
      <c r="AL870" s="531"/>
      <c r="AM870" s="531"/>
      <c r="AN870" s="531"/>
    </row>
    <row r="871" customFormat="false" ht="16.5" hidden="false" customHeight="true" outlineLevel="0" collapsed="false">
      <c r="A871" s="531"/>
      <c r="B871" s="531"/>
      <c r="C871" s="531"/>
      <c r="D871" s="531"/>
      <c r="E871" s="531"/>
      <c r="F871" s="531"/>
      <c r="G871" s="531"/>
      <c r="H871" s="531"/>
      <c r="I871" s="531"/>
      <c r="J871" s="531"/>
      <c r="K871" s="531"/>
      <c r="L871" s="531"/>
      <c r="M871" s="531"/>
      <c r="N871" s="531" t="str">
        <f aca="false">IF('(1)예금승인내역'!H1497="","",'(1)예금승인내역'!H1497)</f>
        <v/>
      </c>
      <c r="O871" s="531" t="str">
        <f aca="false">IF('(1)예금승인내역'!G1497="","",'(1)예금승인내역'!G1497)</f>
        <v/>
      </c>
      <c r="P871" s="531" t="str">
        <f aca="false">IF('(1)예금승인내역'!F1497="","",'(1)예금승인내역'!F1497)</f>
        <v/>
      </c>
      <c r="Q871" s="531" t="str">
        <f aca="false">IF('(1)예금승인내역'!C1497="","",'(1)예금승인내역'!C1497)</f>
        <v/>
      </c>
      <c r="R871" s="531" t="str">
        <f aca="false">IF('(1)예금승인내역'!K1497="","",'(1)예금승인내역'!K1497)</f>
        <v/>
      </c>
      <c r="S871" s="531" t="str">
        <f aca="false">IF('(1)예금승인내역'!L1497="","",'(1)예금승인내역'!L1497)</f>
        <v/>
      </c>
      <c r="T871" s="531" t="str">
        <f aca="false">IF('(1)예금승인내역'!AG1497="","",'(1)예금승인내역'!AG1497)</f>
        <v/>
      </c>
      <c r="U871" s="531" t="str">
        <f aca="false">IF('(1)예금승인내역'!X1497="","",'(1)예금승인내역'!X1497)</f>
        <v/>
      </c>
      <c r="V871" s="531" t="str">
        <f aca="false">IF(ISNUMBER(N871),N871-$B$2,"")</f>
        <v/>
      </c>
      <c r="W871" s="531" t="str">
        <f aca="false">IF(AND(ISNUMBER(N871),N871&gt;=$B$2,N871&lt;=$B$2+10),N871*100000+ROW(),"")</f>
        <v/>
      </c>
      <c r="X871" s="531"/>
      <c r="Y871" s="531"/>
      <c r="Z871" s="531"/>
      <c r="AA871" s="531"/>
      <c r="AB871" s="531"/>
      <c r="AC871" s="531"/>
      <c r="AD871" s="531"/>
      <c r="AE871" s="531"/>
      <c r="AF871" s="531"/>
      <c r="AG871" s="531"/>
      <c r="AH871" s="531"/>
      <c r="AI871" s="531"/>
      <c r="AJ871" s="531"/>
      <c r="AK871" s="531"/>
      <c r="AL871" s="531"/>
      <c r="AM871" s="531"/>
      <c r="AN871" s="531"/>
    </row>
    <row r="872" customFormat="false" ht="16.5" hidden="false" customHeight="true" outlineLevel="0" collapsed="false">
      <c r="A872" s="531"/>
      <c r="B872" s="531"/>
      <c r="C872" s="531"/>
      <c r="D872" s="531"/>
      <c r="E872" s="531"/>
      <c r="F872" s="531"/>
      <c r="G872" s="531"/>
      <c r="H872" s="531"/>
      <c r="I872" s="531"/>
      <c r="J872" s="531"/>
      <c r="K872" s="531"/>
      <c r="L872" s="531"/>
      <c r="M872" s="531"/>
      <c r="N872" s="531" t="str">
        <f aca="false">IF('(1)예금승인내역'!H1498="","",'(1)예금승인내역'!H1498)</f>
        <v/>
      </c>
      <c r="O872" s="531" t="str">
        <f aca="false">IF('(1)예금승인내역'!G1498="","",'(1)예금승인내역'!G1498)</f>
        <v/>
      </c>
      <c r="P872" s="531" t="str">
        <f aca="false">IF('(1)예금승인내역'!F1498="","",'(1)예금승인내역'!F1498)</f>
        <v/>
      </c>
      <c r="Q872" s="531" t="str">
        <f aca="false">IF('(1)예금승인내역'!C1498="","",'(1)예금승인내역'!C1498)</f>
        <v/>
      </c>
      <c r="R872" s="531" t="str">
        <f aca="false">IF('(1)예금승인내역'!K1498="","",'(1)예금승인내역'!K1498)</f>
        <v/>
      </c>
      <c r="S872" s="531" t="str">
        <f aca="false">IF('(1)예금승인내역'!L1498="","",'(1)예금승인내역'!L1498)</f>
        <v/>
      </c>
      <c r="T872" s="531" t="str">
        <f aca="false">IF('(1)예금승인내역'!AG1498="","",'(1)예금승인내역'!AG1498)</f>
        <v/>
      </c>
      <c r="U872" s="531" t="str">
        <f aca="false">IF('(1)예금승인내역'!X1498="","",'(1)예금승인내역'!X1498)</f>
        <v/>
      </c>
      <c r="V872" s="531" t="str">
        <f aca="false">IF(ISNUMBER(N872),N872-$B$2,"")</f>
        <v/>
      </c>
      <c r="W872" s="531" t="str">
        <f aca="false">IF(AND(ISNUMBER(N872),N872&gt;=$B$2,N872&lt;=$B$2+10),N872*100000+ROW(),"")</f>
        <v/>
      </c>
      <c r="X872" s="531"/>
      <c r="Y872" s="531"/>
      <c r="Z872" s="531"/>
      <c r="AA872" s="531"/>
      <c r="AB872" s="531"/>
      <c r="AC872" s="531"/>
      <c r="AD872" s="531"/>
      <c r="AE872" s="531"/>
      <c r="AF872" s="531"/>
      <c r="AG872" s="531"/>
      <c r="AH872" s="531"/>
      <c r="AI872" s="531"/>
      <c r="AJ872" s="531"/>
      <c r="AK872" s="531"/>
      <c r="AL872" s="531"/>
      <c r="AM872" s="531"/>
      <c r="AN872" s="531"/>
    </row>
    <row r="873" customFormat="false" ht="16.5" hidden="false" customHeight="true" outlineLevel="0" collapsed="false">
      <c r="A873" s="531"/>
      <c r="B873" s="531"/>
      <c r="C873" s="531"/>
      <c r="D873" s="531"/>
      <c r="E873" s="531"/>
      <c r="F873" s="531"/>
      <c r="G873" s="531"/>
      <c r="H873" s="531"/>
      <c r="I873" s="531"/>
      <c r="J873" s="531"/>
      <c r="K873" s="531"/>
      <c r="L873" s="531"/>
      <c r="M873" s="531"/>
      <c r="N873" s="531" t="str">
        <f aca="false">IF('(1)예금승인내역'!H1499="","",'(1)예금승인내역'!H1499)</f>
        <v/>
      </c>
      <c r="O873" s="531" t="str">
        <f aca="false">IF('(1)예금승인내역'!G1499="","",'(1)예금승인내역'!G1499)</f>
        <v/>
      </c>
      <c r="P873" s="531" t="str">
        <f aca="false">IF('(1)예금승인내역'!F1499="","",'(1)예금승인내역'!F1499)</f>
        <v/>
      </c>
      <c r="Q873" s="531" t="str">
        <f aca="false">IF('(1)예금승인내역'!C1499="","",'(1)예금승인내역'!C1499)</f>
        <v/>
      </c>
      <c r="R873" s="531" t="str">
        <f aca="false">IF('(1)예금승인내역'!K1499="","",'(1)예금승인내역'!K1499)</f>
        <v/>
      </c>
      <c r="S873" s="531" t="str">
        <f aca="false">IF('(1)예금승인내역'!L1499="","",'(1)예금승인내역'!L1499)</f>
        <v/>
      </c>
      <c r="T873" s="531" t="str">
        <f aca="false">IF('(1)예금승인내역'!AG1499="","",'(1)예금승인내역'!AG1499)</f>
        <v/>
      </c>
      <c r="U873" s="531" t="str">
        <f aca="false">IF('(1)예금승인내역'!X1499="","",'(1)예금승인내역'!X1499)</f>
        <v/>
      </c>
      <c r="V873" s="531" t="str">
        <f aca="false">IF(ISNUMBER(N873),N873-$B$2,"")</f>
        <v/>
      </c>
      <c r="W873" s="531" t="str">
        <f aca="false">IF(AND(ISNUMBER(N873),N873&gt;=$B$2,N873&lt;=$B$2+10),N873*100000+ROW(),"")</f>
        <v/>
      </c>
      <c r="X873" s="531"/>
      <c r="Y873" s="531"/>
      <c r="Z873" s="531"/>
      <c r="AA873" s="531"/>
      <c r="AB873" s="531"/>
      <c r="AC873" s="531"/>
      <c r="AD873" s="531"/>
      <c r="AE873" s="531"/>
      <c r="AF873" s="531"/>
      <c r="AG873" s="531"/>
      <c r="AH873" s="531"/>
      <c r="AI873" s="531"/>
      <c r="AJ873" s="531"/>
      <c r="AK873" s="531"/>
      <c r="AL873" s="531"/>
      <c r="AM873" s="531"/>
      <c r="AN873" s="531"/>
    </row>
    <row r="874" customFormat="false" ht="16.5" hidden="false" customHeight="true" outlineLevel="0" collapsed="false">
      <c r="A874" s="531"/>
      <c r="B874" s="531"/>
      <c r="C874" s="531"/>
      <c r="D874" s="531"/>
      <c r="E874" s="531"/>
      <c r="F874" s="531"/>
      <c r="G874" s="531"/>
      <c r="H874" s="531"/>
      <c r="I874" s="531"/>
      <c r="J874" s="531"/>
      <c r="K874" s="531"/>
      <c r="L874" s="531"/>
      <c r="M874" s="531"/>
      <c r="N874" s="531" t="str">
        <f aca="false">IF('(1)예금승인내역'!H1500="","",'(1)예금승인내역'!H1500)</f>
        <v/>
      </c>
      <c r="O874" s="531" t="str">
        <f aca="false">IF('(1)예금승인내역'!G1500="","",'(1)예금승인내역'!G1500)</f>
        <v/>
      </c>
      <c r="P874" s="531" t="str">
        <f aca="false">IF('(1)예금승인내역'!F1500="","",'(1)예금승인내역'!F1500)</f>
        <v/>
      </c>
      <c r="Q874" s="531" t="str">
        <f aca="false">IF('(1)예금승인내역'!C1500="","",'(1)예금승인내역'!C1500)</f>
        <v/>
      </c>
      <c r="R874" s="531" t="str">
        <f aca="false">IF('(1)예금승인내역'!K1500="","",'(1)예금승인내역'!K1500)</f>
        <v/>
      </c>
      <c r="S874" s="531" t="str">
        <f aca="false">IF('(1)예금승인내역'!L1500="","",'(1)예금승인내역'!L1500)</f>
        <v/>
      </c>
      <c r="T874" s="531" t="str">
        <f aca="false">IF('(1)예금승인내역'!AG1500="","",'(1)예금승인내역'!AG1500)</f>
        <v/>
      </c>
      <c r="U874" s="531" t="str">
        <f aca="false">IF('(1)예금승인내역'!X1500="","",'(1)예금승인내역'!X1500)</f>
        <v/>
      </c>
      <c r="V874" s="531" t="str">
        <f aca="false">IF(ISNUMBER(N874),N874-$B$2,"")</f>
        <v/>
      </c>
      <c r="W874" s="531" t="str">
        <f aca="false">IF(AND(ISNUMBER(N874),N874&gt;=$B$2,N874&lt;=$B$2+10),N874*100000+ROW(),"")</f>
        <v/>
      </c>
      <c r="X874" s="531"/>
      <c r="Y874" s="531"/>
      <c r="Z874" s="531"/>
      <c r="AA874" s="531"/>
      <c r="AB874" s="531"/>
      <c r="AC874" s="531"/>
      <c r="AD874" s="531"/>
      <c r="AE874" s="531"/>
      <c r="AF874" s="531"/>
      <c r="AG874" s="531"/>
      <c r="AH874" s="531"/>
      <c r="AI874" s="531"/>
      <c r="AJ874" s="531"/>
      <c r="AK874" s="531"/>
      <c r="AL874" s="531"/>
      <c r="AM874" s="531"/>
      <c r="AN874" s="531"/>
    </row>
    <row r="875" customFormat="false" ht="16.5" hidden="false" customHeight="true" outlineLevel="0" collapsed="false">
      <c r="A875" s="531"/>
      <c r="B875" s="531"/>
      <c r="C875" s="531"/>
      <c r="D875" s="531"/>
      <c r="E875" s="531"/>
      <c r="F875" s="531"/>
      <c r="G875" s="531"/>
      <c r="H875" s="531"/>
      <c r="I875" s="531"/>
      <c r="J875" s="531"/>
      <c r="K875" s="531"/>
      <c r="L875" s="531"/>
      <c r="M875" s="531"/>
      <c r="N875" s="531" t="str">
        <f aca="false">IF('(1)예금승인내역'!H1501="","",'(1)예금승인내역'!H1501)</f>
        <v/>
      </c>
      <c r="O875" s="531" t="str">
        <f aca="false">IF('(1)예금승인내역'!G1501="","",'(1)예금승인내역'!G1501)</f>
        <v/>
      </c>
      <c r="P875" s="531" t="str">
        <f aca="false">IF('(1)예금승인내역'!F1501="","",'(1)예금승인내역'!F1501)</f>
        <v/>
      </c>
      <c r="Q875" s="531" t="str">
        <f aca="false">IF('(1)예금승인내역'!C1501="","",'(1)예금승인내역'!C1501)</f>
        <v/>
      </c>
      <c r="R875" s="531" t="str">
        <f aca="false">IF('(1)예금승인내역'!K1501="","",'(1)예금승인내역'!K1501)</f>
        <v/>
      </c>
      <c r="S875" s="531" t="str">
        <f aca="false">IF('(1)예금승인내역'!L1501="","",'(1)예금승인내역'!L1501)</f>
        <v/>
      </c>
      <c r="T875" s="531" t="str">
        <f aca="false">IF('(1)예금승인내역'!AG1501="","",'(1)예금승인내역'!AG1501)</f>
        <v/>
      </c>
      <c r="U875" s="531" t="str">
        <f aca="false">IF('(1)예금승인내역'!X1501="","",'(1)예금승인내역'!X1501)</f>
        <v/>
      </c>
      <c r="V875" s="531" t="str">
        <f aca="false">IF(ISNUMBER(N875),N875-$B$2,"")</f>
        <v/>
      </c>
      <c r="W875" s="531" t="str">
        <f aca="false">IF(AND(ISNUMBER(N875),N875&gt;=$B$2,N875&lt;=$B$2+10),N875*100000+ROW(),"")</f>
        <v/>
      </c>
      <c r="X875" s="531"/>
      <c r="Y875" s="531"/>
      <c r="Z875" s="531"/>
      <c r="AA875" s="531"/>
      <c r="AB875" s="531"/>
      <c r="AC875" s="531"/>
      <c r="AD875" s="531"/>
      <c r="AE875" s="531"/>
      <c r="AF875" s="531"/>
      <c r="AG875" s="531"/>
      <c r="AH875" s="531"/>
      <c r="AI875" s="531"/>
      <c r="AJ875" s="531"/>
      <c r="AK875" s="531"/>
      <c r="AL875" s="531"/>
      <c r="AM875" s="531"/>
      <c r="AN875" s="531"/>
    </row>
    <row r="876" customFormat="false" ht="16.5" hidden="false" customHeight="true" outlineLevel="0" collapsed="false">
      <c r="A876" s="531"/>
      <c r="B876" s="531"/>
      <c r="C876" s="531"/>
      <c r="D876" s="531"/>
      <c r="E876" s="531"/>
      <c r="F876" s="531"/>
      <c r="G876" s="531"/>
      <c r="H876" s="531"/>
      <c r="I876" s="531"/>
      <c r="J876" s="531"/>
      <c r="K876" s="531"/>
      <c r="L876" s="531"/>
      <c r="M876" s="531"/>
      <c r="N876" s="531" t="str">
        <f aca="false">IF('(1)예금승인내역'!H1502="","",'(1)예금승인내역'!H1502)</f>
        <v/>
      </c>
      <c r="O876" s="531" t="str">
        <f aca="false">IF('(1)예금승인내역'!G1502="","",'(1)예금승인내역'!G1502)</f>
        <v/>
      </c>
      <c r="P876" s="531" t="str">
        <f aca="false">IF('(1)예금승인내역'!F1502="","",'(1)예금승인내역'!F1502)</f>
        <v/>
      </c>
      <c r="Q876" s="531" t="str">
        <f aca="false">IF('(1)예금승인내역'!C1502="","",'(1)예금승인내역'!C1502)</f>
        <v/>
      </c>
      <c r="R876" s="531" t="str">
        <f aca="false">IF('(1)예금승인내역'!K1502="","",'(1)예금승인내역'!K1502)</f>
        <v/>
      </c>
      <c r="S876" s="531" t="str">
        <f aca="false">IF('(1)예금승인내역'!L1502="","",'(1)예금승인내역'!L1502)</f>
        <v/>
      </c>
      <c r="T876" s="531" t="str">
        <f aca="false">IF('(1)예금승인내역'!AG1502="","",'(1)예금승인내역'!AG1502)</f>
        <v/>
      </c>
      <c r="U876" s="531" t="str">
        <f aca="false">IF('(1)예금승인내역'!X1502="","",'(1)예금승인내역'!X1502)</f>
        <v/>
      </c>
      <c r="V876" s="531" t="str">
        <f aca="false">IF(ISNUMBER(N876),N876-$B$2,"")</f>
        <v/>
      </c>
      <c r="W876" s="531" t="str">
        <f aca="false">IF(AND(ISNUMBER(N876),N876&gt;=$B$2,N876&lt;=$B$2+10),N876*100000+ROW(),"")</f>
        <v/>
      </c>
      <c r="X876" s="531"/>
      <c r="Y876" s="531"/>
      <c r="Z876" s="531"/>
      <c r="AA876" s="531"/>
      <c r="AB876" s="531"/>
      <c r="AC876" s="531"/>
      <c r="AD876" s="531"/>
      <c r="AE876" s="531"/>
      <c r="AF876" s="531"/>
      <c r="AG876" s="531"/>
      <c r="AH876" s="531"/>
      <c r="AI876" s="531"/>
      <c r="AJ876" s="531"/>
      <c r="AK876" s="531"/>
      <c r="AL876" s="531"/>
      <c r="AM876" s="531"/>
      <c r="AN876" s="531"/>
    </row>
    <row r="877" customFormat="false" ht="16.5" hidden="false" customHeight="true" outlineLevel="0" collapsed="false">
      <c r="A877" s="531"/>
      <c r="B877" s="531"/>
      <c r="C877" s="531"/>
      <c r="D877" s="531"/>
      <c r="E877" s="531"/>
      <c r="F877" s="531"/>
      <c r="G877" s="531"/>
      <c r="H877" s="531"/>
      <c r="I877" s="531"/>
      <c r="J877" s="531"/>
      <c r="K877" s="531"/>
      <c r="L877" s="531"/>
      <c r="M877" s="531"/>
      <c r="N877" s="531" t="str">
        <f aca="false">IF('(1)예금승인내역'!H1503="","",'(1)예금승인내역'!H1503)</f>
        <v/>
      </c>
      <c r="O877" s="531" t="str">
        <f aca="false">IF('(1)예금승인내역'!G1503="","",'(1)예금승인내역'!G1503)</f>
        <v/>
      </c>
      <c r="P877" s="531" t="str">
        <f aca="false">IF('(1)예금승인내역'!F1503="","",'(1)예금승인내역'!F1503)</f>
        <v/>
      </c>
      <c r="Q877" s="531" t="str">
        <f aca="false">IF('(1)예금승인내역'!C1503="","",'(1)예금승인내역'!C1503)</f>
        <v/>
      </c>
      <c r="R877" s="531" t="str">
        <f aca="false">IF('(1)예금승인내역'!K1503="","",'(1)예금승인내역'!K1503)</f>
        <v/>
      </c>
      <c r="S877" s="531" t="str">
        <f aca="false">IF('(1)예금승인내역'!L1503="","",'(1)예금승인내역'!L1503)</f>
        <v/>
      </c>
      <c r="T877" s="531" t="str">
        <f aca="false">IF('(1)예금승인내역'!AG1503="","",'(1)예금승인내역'!AG1503)</f>
        <v/>
      </c>
      <c r="U877" s="531" t="str">
        <f aca="false">IF('(1)예금승인내역'!X1503="","",'(1)예금승인내역'!X1503)</f>
        <v/>
      </c>
      <c r="V877" s="531" t="str">
        <f aca="false">IF(ISNUMBER(N877),N877-$B$2,"")</f>
        <v/>
      </c>
      <c r="W877" s="531" t="str">
        <f aca="false">IF(AND(ISNUMBER(N877),N877&gt;=$B$2,N877&lt;=$B$2+10),N877*100000+ROW(),"")</f>
        <v/>
      </c>
      <c r="X877" s="531"/>
      <c r="Y877" s="531"/>
      <c r="Z877" s="531"/>
      <c r="AA877" s="531"/>
      <c r="AB877" s="531"/>
      <c r="AC877" s="531"/>
      <c r="AD877" s="531"/>
      <c r="AE877" s="531"/>
      <c r="AF877" s="531"/>
      <c r="AG877" s="531"/>
      <c r="AH877" s="531"/>
      <c r="AI877" s="531"/>
      <c r="AJ877" s="531"/>
      <c r="AK877" s="531"/>
      <c r="AL877" s="531"/>
      <c r="AM877" s="531"/>
      <c r="AN877" s="531"/>
    </row>
    <row r="878" customFormat="false" ht="16.5" hidden="false" customHeight="true" outlineLevel="0" collapsed="false">
      <c r="A878" s="531"/>
      <c r="B878" s="531"/>
      <c r="C878" s="531"/>
      <c r="D878" s="531"/>
      <c r="E878" s="531"/>
      <c r="F878" s="531"/>
      <c r="G878" s="531"/>
      <c r="H878" s="531"/>
      <c r="I878" s="531"/>
      <c r="J878" s="531"/>
      <c r="K878" s="531"/>
      <c r="L878" s="531"/>
      <c r="M878" s="531"/>
      <c r="N878" s="531" t="str">
        <f aca="false">IF('(1)예금승인내역'!H1504="","",'(1)예금승인내역'!H1504)</f>
        <v/>
      </c>
      <c r="O878" s="531" t="str">
        <f aca="false">IF('(1)예금승인내역'!G1504="","",'(1)예금승인내역'!G1504)</f>
        <v/>
      </c>
      <c r="P878" s="531" t="str">
        <f aca="false">IF('(1)예금승인내역'!F1504="","",'(1)예금승인내역'!F1504)</f>
        <v/>
      </c>
      <c r="Q878" s="531" t="str">
        <f aca="false">IF('(1)예금승인내역'!C1504="","",'(1)예금승인내역'!C1504)</f>
        <v/>
      </c>
      <c r="R878" s="531" t="str">
        <f aca="false">IF('(1)예금승인내역'!K1504="","",'(1)예금승인내역'!K1504)</f>
        <v/>
      </c>
      <c r="S878" s="531" t="str">
        <f aca="false">IF('(1)예금승인내역'!L1504="","",'(1)예금승인내역'!L1504)</f>
        <v/>
      </c>
      <c r="T878" s="531" t="str">
        <f aca="false">IF('(1)예금승인내역'!AG1504="","",'(1)예금승인내역'!AG1504)</f>
        <v/>
      </c>
      <c r="U878" s="531" t="str">
        <f aca="false">IF('(1)예금승인내역'!X1504="","",'(1)예금승인내역'!X1504)</f>
        <v/>
      </c>
      <c r="V878" s="531" t="str">
        <f aca="false">IF(ISNUMBER(N878),N878-$B$2,"")</f>
        <v/>
      </c>
      <c r="W878" s="531" t="str">
        <f aca="false">IF(AND(ISNUMBER(N878),N878&gt;=$B$2,N878&lt;=$B$2+10),N878*100000+ROW(),"")</f>
        <v/>
      </c>
      <c r="X878" s="531"/>
      <c r="Y878" s="531"/>
      <c r="Z878" s="531"/>
      <c r="AA878" s="531"/>
      <c r="AB878" s="531"/>
      <c r="AC878" s="531"/>
      <c r="AD878" s="531"/>
      <c r="AE878" s="531"/>
      <c r="AF878" s="531"/>
      <c r="AG878" s="531"/>
      <c r="AH878" s="531"/>
      <c r="AI878" s="531"/>
      <c r="AJ878" s="531"/>
      <c r="AK878" s="531"/>
      <c r="AL878" s="531"/>
      <c r="AM878" s="531"/>
      <c r="AN878" s="531"/>
    </row>
    <row r="879" customFormat="false" ht="16.5" hidden="false" customHeight="true" outlineLevel="0" collapsed="false">
      <c r="A879" s="531"/>
      <c r="B879" s="531"/>
      <c r="C879" s="531"/>
      <c r="D879" s="531"/>
      <c r="E879" s="531"/>
      <c r="F879" s="531"/>
      <c r="G879" s="531"/>
      <c r="H879" s="531"/>
      <c r="I879" s="531"/>
      <c r="J879" s="531"/>
      <c r="K879" s="531"/>
      <c r="L879" s="531"/>
      <c r="M879" s="531"/>
      <c r="N879" s="531" t="str">
        <f aca="false">IF('(1)예금승인내역'!H1505="","",'(1)예금승인내역'!H1505)</f>
        <v/>
      </c>
      <c r="O879" s="531" t="str">
        <f aca="false">IF('(1)예금승인내역'!G1505="","",'(1)예금승인내역'!G1505)</f>
        <v/>
      </c>
      <c r="P879" s="531" t="str">
        <f aca="false">IF('(1)예금승인내역'!F1505="","",'(1)예금승인내역'!F1505)</f>
        <v/>
      </c>
      <c r="Q879" s="531" t="str">
        <f aca="false">IF('(1)예금승인내역'!C1505="","",'(1)예금승인내역'!C1505)</f>
        <v/>
      </c>
      <c r="R879" s="531" t="str">
        <f aca="false">IF('(1)예금승인내역'!K1505="","",'(1)예금승인내역'!K1505)</f>
        <v/>
      </c>
      <c r="S879" s="531" t="str">
        <f aca="false">IF('(1)예금승인내역'!L1505="","",'(1)예금승인내역'!L1505)</f>
        <v/>
      </c>
      <c r="T879" s="531" t="str">
        <f aca="false">IF('(1)예금승인내역'!AG1505="","",'(1)예금승인내역'!AG1505)</f>
        <v/>
      </c>
      <c r="U879" s="531" t="str">
        <f aca="false">IF('(1)예금승인내역'!X1505="","",'(1)예금승인내역'!X1505)</f>
        <v/>
      </c>
      <c r="V879" s="531" t="str">
        <f aca="false">IF(ISNUMBER(N879),N879-$B$2,"")</f>
        <v/>
      </c>
      <c r="W879" s="531" t="str">
        <f aca="false">IF(AND(ISNUMBER(N879),N879&gt;=$B$2,N879&lt;=$B$2+10),N879*100000+ROW(),"")</f>
        <v/>
      </c>
      <c r="X879" s="531"/>
      <c r="Y879" s="531"/>
      <c r="Z879" s="531"/>
      <c r="AA879" s="531"/>
      <c r="AB879" s="531"/>
      <c r="AC879" s="531"/>
      <c r="AD879" s="531"/>
      <c r="AE879" s="531"/>
      <c r="AF879" s="531"/>
      <c r="AG879" s="531"/>
      <c r="AH879" s="531"/>
      <c r="AI879" s="531"/>
      <c r="AJ879" s="531"/>
      <c r="AK879" s="531"/>
      <c r="AL879" s="531"/>
      <c r="AM879" s="531"/>
      <c r="AN879" s="531"/>
    </row>
    <row r="880" customFormat="false" ht="16.5" hidden="false" customHeight="true" outlineLevel="0" collapsed="false">
      <c r="A880" s="531"/>
      <c r="B880" s="531"/>
      <c r="C880" s="531"/>
      <c r="D880" s="531"/>
      <c r="E880" s="531"/>
      <c r="F880" s="531"/>
      <c r="G880" s="531"/>
      <c r="H880" s="531"/>
      <c r="I880" s="531"/>
      <c r="J880" s="531"/>
      <c r="K880" s="531"/>
      <c r="L880" s="531"/>
      <c r="M880" s="531"/>
      <c r="N880" s="531" t="str">
        <f aca="false">IF('(1)예금승인내역'!H1506="","",'(1)예금승인내역'!H1506)</f>
        <v/>
      </c>
      <c r="O880" s="531" t="str">
        <f aca="false">IF('(1)예금승인내역'!G1506="","",'(1)예금승인내역'!G1506)</f>
        <v/>
      </c>
      <c r="P880" s="531" t="str">
        <f aca="false">IF('(1)예금승인내역'!F1506="","",'(1)예금승인내역'!F1506)</f>
        <v/>
      </c>
      <c r="Q880" s="531" t="str">
        <f aca="false">IF('(1)예금승인내역'!C1506="","",'(1)예금승인내역'!C1506)</f>
        <v/>
      </c>
      <c r="R880" s="531" t="str">
        <f aca="false">IF('(1)예금승인내역'!K1506="","",'(1)예금승인내역'!K1506)</f>
        <v/>
      </c>
      <c r="S880" s="531" t="str">
        <f aca="false">IF('(1)예금승인내역'!L1506="","",'(1)예금승인내역'!L1506)</f>
        <v/>
      </c>
      <c r="T880" s="531" t="str">
        <f aca="false">IF('(1)예금승인내역'!AG1506="","",'(1)예금승인내역'!AG1506)</f>
        <v/>
      </c>
      <c r="U880" s="531" t="str">
        <f aca="false">IF('(1)예금승인내역'!X1506="","",'(1)예금승인내역'!X1506)</f>
        <v/>
      </c>
      <c r="V880" s="531" t="str">
        <f aca="false">IF(ISNUMBER(N880),N880-$B$2,"")</f>
        <v/>
      </c>
      <c r="W880" s="531" t="str">
        <f aca="false">IF(AND(ISNUMBER(N880),N880&gt;=$B$2,N880&lt;=$B$2+10),N880*100000+ROW(),"")</f>
        <v/>
      </c>
      <c r="X880" s="531"/>
      <c r="Y880" s="531"/>
      <c r="Z880" s="531"/>
      <c r="AA880" s="531"/>
      <c r="AB880" s="531"/>
      <c r="AC880" s="531"/>
      <c r="AD880" s="531"/>
      <c r="AE880" s="531"/>
      <c r="AF880" s="531"/>
      <c r="AG880" s="531"/>
      <c r="AH880" s="531"/>
      <c r="AI880" s="531"/>
      <c r="AJ880" s="531"/>
      <c r="AK880" s="531"/>
      <c r="AL880" s="531"/>
      <c r="AM880" s="531"/>
      <c r="AN880" s="531"/>
    </row>
    <row r="881" customFormat="false" ht="16.5" hidden="false" customHeight="true" outlineLevel="0" collapsed="false">
      <c r="A881" s="531"/>
      <c r="B881" s="531"/>
      <c r="C881" s="531"/>
      <c r="D881" s="531"/>
      <c r="E881" s="531"/>
      <c r="F881" s="531"/>
      <c r="G881" s="531"/>
      <c r="H881" s="531"/>
      <c r="I881" s="531"/>
      <c r="J881" s="531"/>
      <c r="K881" s="531"/>
      <c r="L881" s="531"/>
      <c r="M881" s="531"/>
      <c r="N881" s="531" t="str">
        <f aca="false">IF('(1)예금승인내역'!H1507="","",'(1)예금승인내역'!H1507)</f>
        <v/>
      </c>
      <c r="O881" s="531" t="str">
        <f aca="false">IF('(1)예금승인내역'!G1507="","",'(1)예금승인내역'!G1507)</f>
        <v/>
      </c>
      <c r="P881" s="531" t="str">
        <f aca="false">IF('(1)예금승인내역'!F1507="","",'(1)예금승인내역'!F1507)</f>
        <v/>
      </c>
      <c r="Q881" s="531" t="str">
        <f aca="false">IF('(1)예금승인내역'!C1507="","",'(1)예금승인내역'!C1507)</f>
        <v/>
      </c>
      <c r="R881" s="531" t="str">
        <f aca="false">IF('(1)예금승인내역'!K1507="","",'(1)예금승인내역'!K1507)</f>
        <v/>
      </c>
      <c r="S881" s="531" t="str">
        <f aca="false">IF('(1)예금승인내역'!L1507="","",'(1)예금승인내역'!L1507)</f>
        <v/>
      </c>
      <c r="T881" s="531" t="str">
        <f aca="false">IF('(1)예금승인내역'!AG1507="","",'(1)예금승인내역'!AG1507)</f>
        <v/>
      </c>
      <c r="U881" s="531" t="str">
        <f aca="false">IF('(1)예금승인내역'!X1507="","",'(1)예금승인내역'!X1507)</f>
        <v/>
      </c>
      <c r="V881" s="531" t="str">
        <f aca="false">IF(ISNUMBER(N881),N881-$B$2,"")</f>
        <v/>
      </c>
      <c r="W881" s="531" t="str">
        <f aca="false">IF(AND(ISNUMBER(N881),N881&gt;=$B$2,N881&lt;=$B$2+10),N881*100000+ROW(),"")</f>
        <v/>
      </c>
      <c r="X881" s="531"/>
      <c r="Y881" s="531"/>
      <c r="Z881" s="531"/>
      <c r="AA881" s="531"/>
      <c r="AB881" s="531"/>
      <c r="AC881" s="531"/>
      <c r="AD881" s="531"/>
      <c r="AE881" s="531"/>
      <c r="AF881" s="531"/>
      <c r="AG881" s="531"/>
      <c r="AH881" s="531"/>
      <c r="AI881" s="531"/>
      <c r="AJ881" s="531"/>
      <c r="AK881" s="531"/>
      <c r="AL881" s="531"/>
      <c r="AM881" s="531"/>
      <c r="AN881" s="531"/>
    </row>
    <row r="882" customFormat="false" ht="16.5" hidden="false" customHeight="true" outlineLevel="0" collapsed="false">
      <c r="A882" s="531"/>
      <c r="B882" s="531"/>
      <c r="C882" s="531"/>
      <c r="D882" s="531"/>
      <c r="E882" s="531"/>
      <c r="F882" s="531"/>
      <c r="G882" s="531"/>
      <c r="H882" s="531"/>
      <c r="I882" s="531"/>
      <c r="J882" s="531"/>
      <c r="K882" s="531"/>
      <c r="L882" s="531"/>
      <c r="M882" s="531"/>
      <c r="N882" s="531" t="str">
        <f aca="false">IF('(1)예금승인내역'!H1508="","",'(1)예금승인내역'!H1508)</f>
        <v/>
      </c>
      <c r="O882" s="531" t="str">
        <f aca="false">IF('(1)예금승인내역'!G1508="","",'(1)예금승인내역'!G1508)</f>
        <v/>
      </c>
      <c r="P882" s="531" t="str">
        <f aca="false">IF('(1)예금승인내역'!F1508="","",'(1)예금승인내역'!F1508)</f>
        <v/>
      </c>
      <c r="Q882" s="531" t="str">
        <f aca="false">IF('(1)예금승인내역'!C1508="","",'(1)예금승인내역'!C1508)</f>
        <v/>
      </c>
      <c r="R882" s="531" t="str">
        <f aca="false">IF('(1)예금승인내역'!K1508="","",'(1)예금승인내역'!K1508)</f>
        <v/>
      </c>
      <c r="S882" s="531" t="str">
        <f aca="false">IF('(1)예금승인내역'!L1508="","",'(1)예금승인내역'!L1508)</f>
        <v/>
      </c>
      <c r="T882" s="531" t="str">
        <f aca="false">IF('(1)예금승인내역'!AG1508="","",'(1)예금승인내역'!AG1508)</f>
        <v/>
      </c>
      <c r="U882" s="531" t="str">
        <f aca="false">IF('(1)예금승인내역'!X1508="","",'(1)예금승인내역'!X1508)</f>
        <v/>
      </c>
      <c r="V882" s="531" t="str">
        <f aca="false">IF(ISNUMBER(N882),N882-$B$2,"")</f>
        <v/>
      </c>
      <c r="W882" s="531" t="str">
        <f aca="false">IF(AND(ISNUMBER(N882),N882&gt;=$B$2,N882&lt;=$B$2+10),N882*100000+ROW(),"")</f>
        <v/>
      </c>
      <c r="X882" s="531"/>
      <c r="Y882" s="531"/>
      <c r="Z882" s="531"/>
      <c r="AA882" s="531"/>
      <c r="AB882" s="531"/>
      <c r="AC882" s="531"/>
      <c r="AD882" s="531"/>
      <c r="AE882" s="531"/>
      <c r="AF882" s="531"/>
      <c r="AG882" s="531"/>
      <c r="AH882" s="531"/>
      <c r="AI882" s="531"/>
      <c r="AJ882" s="531"/>
      <c r="AK882" s="531"/>
      <c r="AL882" s="531"/>
      <c r="AM882" s="531"/>
      <c r="AN882" s="531"/>
    </row>
    <row r="883" customFormat="false" ht="16.5" hidden="false" customHeight="true" outlineLevel="0" collapsed="false">
      <c r="A883" s="531"/>
      <c r="B883" s="531"/>
      <c r="C883" s="531"/>
      <c r="D883" s="531"/>
      <c r="E883" s="531"/>
      <c r="F883" s="531"/>
      <c r="G883" s="531"/>
      <c r="H883" s="531"/>
      <c r="I883" s="531"/>
      <c r="J883" s="531"/>
      <c r="K883" s="531"/>
      <c r="L883" s="531"/>
      <c r="M883" s="531"/>
      <c r="N883" s="531" t="str">
        <f aca="false">IF('(1)예금승인내역'!H1509="","",'(1)예금승인내역'!H1509)</f>
        <v/>
      </c>
      <c r="O883" s="531" t="str">
        <f aca="false">IF('(1)예금승인내역'!G1509="","",'(1)예금승인내역'!G1509)</f>
        <v/>
      </c>
      <c r="P883" s="531" t="str">
        <f aca="false">IF('(1)예금승인내역'!F1509="","",'(1)예금승인내역'!F1509)</f>
        <v/>
      </c>
      <c r="Q883" s="531" t="str">
        <f aca="false">IF('(1)예금승인내역'!C1509="","",'(1)예금승인내역'!C1509)</f>
        <v/>
      </c>
      <c r="R883" s="531" t="str">
        <f aca="false">IF('(1)예금승인내역'!K1509="","",'(1)예금승인내역'!K1509)</f>
        <v/>
      </c>
      <c r="S883" s="531" t="str">
        <f aca="false">IF('(1)예금승인내역'!L1509="","",'(1)예금승인내역'!L1509)</f>
        <v/>
      </c>
      <c r="T883" s="531" t="str">
        <f aca="false">IF('(1)예금승인내역'!AG1509="","",'(1)예금승인내역'!AG1509)</f>
        <v/>
      </c>
      <c r="U883" s="531" t="str">
        <f aca="false">IF('(1)예금승인내역'!X1509="","",'(1)예금승인내역'!X1509)</f>
        <v/>
      </c>
      <c r="V883" s="531" t="str">
        <f aca="false">IF(ISNUMBER(N883),N883-$B$2,"")</f>
        <v/>
      </c>
      <c r="W883" s="531" t="str">
        <f aca="false">IF(AND(ISNUMBER(N883),N883&gt;=$B$2,N883&lt;=$B$2+10),N883*100000+ROW(),"")</f>
        <v/>
      </c>
      <c r="X883" s="531"/>
      <c r="Y883" s="531"/>
      <c r="Z883" s="531"/>
      <c r="AA883" s="531"/>
      <c r="AB883" s="531"/>
      <c r="AC883" s="531"/>
      <c r="AD883" s="531"/>
      <c r="AE883" s="531"/>
      <c r="AF883" s="531"/>
      <c r="AG883" s="531"/>
      <c r="AH883" s="531"/>
      <c r="AI883" s="531"/>
      <c r="AJ883" s="531"/>
      <c r="AK883" s="531"/>
      <c r="AL883" s="531"/>
      <c r="AM883" s="531"/>
      <c r="AN883" s="531"/>
    </row>
    <row r="884" customFormat="false" ht="16.5" hidden="false" customHeight="true" outlineLevel="0" collapsed="false">
      <c r="A884" s="531"/>
      <c r="B884" s="531"/>
      <c r="C884" s="531"/>
      <c r="D884" s="531"/>
      <c r="E884" s="531"/>
      <c r="F884" s="531"/>
      <c r="G884" s="531"/>
      <c r="H884" s="531"/>
      <c r="I884" s="531"/>
      <c r="J884" s="531"/>
      <c r="K884" s="531"/>
      <c r="L884" s="531"/>
      <c r="M884" s="531"/>
      <c r="N884" s="531" t="str">
        <f aca="false">IF('(1)예금승인내역'!H1510="","",'(1)예금승인내역'!H1510)</f>
        <v/>
      </c>
      <c r="O884" s="531" t="str">
        <f aca="false">IF('(1)예금승인내역'!G1510="","",'(1)예금승인내역'!G1510)</f>
        <v/>
      </c>
      <c r="P884" s="531" t="str">
        <f aca="false">IF('(1)예금승인내역'!F1510="","",'(1)예금승인내역'!F1510)</f>
        <v/>
      </c>
      <c r="Q884" s="531" t="str">
        <f aca="false">IF('(1)예금승인내역'!C1510="","",'(1)예금승인내역'!C1510)</f>
        <v/>
      </c>
      <c r="R884" s="531" t="str">
        <f aca="false">IF('(1)예금승인내역'!K1510="","",'(1)예금승인내역'!K1510)</f>
        <v/>
      </c>
      <c r="S884" s="531" t="str">
        <f aca="false">IF('(1)예금승인내역'!L1510="","",'(1)예금승인내역'!L1510)</f>
        <v/>
      </c>
      <c r="T884" s="531" t="str">
        <f aca="false">IF('(1)예금승인내역'!AG1510="","",'(1)예금승인내역'!AG1510)</f>
        <v/>
      </c>
      <c r="U884" s="531" t="str">
        <f aca="false">IF('(1)예금승인내역'!X1510="","",'(1)예금승인내역'!X1510)</f>
        <v/>
      </c>
      <c r="V884" s="531" t="str">
        <f aca="false">IF(ISNUMBER(N884),N884-$B$2,"")</f>
        <v/>
      </c>
      <c r="W884" s="531" t="str">
        <f aca="false">IF(AND(ISNUMBER(N884),N884&gt;=$B$2,N884&lt;=$B$2+10),N884*100000+ROW(),"")</f>
        <v/>
      </c>
      <c r="X884" s="531"/>
      <c r="Y884" s="531"/>
      <c r="Z884" s="531"/>
      <c r="AA884" s="531"/>
      <c r="AB884" s="531"/>
      <c r="AC884" s="531"/>
      <c r="AD884" s="531"/>
      <c r="AE884" s="531"/>
      <c r="AF884" s="531"/>
      <c r="AG884" s="531"/>
      <c r="AH884" s="531"/>
      <c r="AI884" s="531"/>
      <c r="AJ884" s="531"/>
      <c r="AK884" s="531"/>
      <c r="AL884" s="531"/>
      <c r="AM884" s="531"/>
      <c r="AN884" s="531"/>
    </row>
    <row r="885" customFormat="false" ht="16.5" hidden="false" customHeight="true" outlineLevel="0" collapsed="false">
      <c r="A885" s="531"/>
      <c r="B885" s="531"/>
      <c r="C885" s="531"/>
      <c r="D885" s="531"/>
      <c r="E885" s="531"/>
      <c r="F885" s="531"/>
      <c r="G885" s="531"/>
      <c r="H885" s="531"/>
      <c r="I885" s="531"/>
      <c r="J885" s="531"/>
      <c r="K885" s="531"/>
      <c r="L885" s="531"/>
      <c r="M885" s="531"/>
      <c r="N885" s="531" t="str">
        <f aca="false">IF('(1)예금승인내역'!H1511="","",'(1)예금승인내역'!H1511)</f>
        <v/>
      </c>
      <c r="O885" s="531" t="str">
        <f aca="false">IF('(1)예금승인내역'!G1511="","",'(1)예금승인내역'!G1511)</f>
        <v/>
      </c>
      <c r="P885" s="531" t="str">
        <f aca="false">IF('(1)예금승인내역'!F1511="","",'(1)예금승인내역'!F1511)</f>
        <v/>
      </c>
      <c r="Q885" s="531" t="str">
        <f aca="false">IF('(1)예금승인내역'!C1511="","",'(1)예금승인내역'!C1511)</f>
        <v/>
      </c>
      <c r="R885" s="531" t="str">
        <f aca="false">IF('(1)예금승인내역'!K1511="","",'(1)예금승인내역'!K1511)</f>
        <v/>
      </c>
      <c r="S885" s="531" t="str">
        <f aca="false">IF('(1)예금승인내역'!L1511="","",'(1)예금승인내역'!L1511)</f>
        <v/>
      </c>
      <c r="T885" s="531" t="str">
        <f aca="false">IF('(1)예금승인내역'!AG1511="","",'(1)예금승인내역'!AG1511)</f>
        <v/>
      </c>
      <c r="U885" s="531" t="str">
        <f aca="false">IF('(1)예금승인내역'!X1511="","",'(1)예금승인내역'!X1511)</f>
        <v/>
      </c>
      <c r="V885" s="531" t="str">
        <f aca="false">IF(ISNUMBER(N885),N885-$B$2,"")</f>
        <v/>
      </c>
      <c r="W885" s="531" t="str">
        <f aca="false">IF(AND(ISNUMBER(N885),N885&gt;=$B$2,N885&lt;=$B$2+10),N885*100000+ROW(),"")</f>
        <v/>
      </c>
      <c r="X885" s="531"/>
      <c r="Y885" s="531"/>
      <c r="Z885" s="531"/>
      <c r="AA885" s="531"/>
      <c r="AB885" s="531"/>
      <c r="AC885" s="531"/>
      <c r="AD885" s="531"/>
      <c r="AE885" s="531"/>
      <c r="AF885" s="531"/>
      <c r="AG885" s="531"/>
      <c r="AH885" s="531"/>
      <c r="AI885" s="531"/>
      <c r="AJ885" s="531"/>
      <c r="AK885" s="531"/>
      <c r="AL885" s="531"/>
      <c r="AM885" s="531"/>
      <c r="AN885" s="531"/>
    </row>
    <row r="886" customFormat="false" ht="16.5" hidden="false" customHeight="true" outlineLevel="0" collapsed="false">
      <c r="A886" s="531"/>
      <c r="B886" s="531"/>
      <c r="C886" s="531"/>
      <c r="D886" s="531"/>
      <c r="E886" s="531"/>
      <c r="F886" s="531"/>
      <c r="G886" s="531"/>
      <c r="H886" s="531"/>
      <c r="I886" s="531"/>
      <c r="J886" s="531"/>
      <c r="K886" s="531"/>
      <c r="L886" s="531"/>
      <c r="M886" s="531"/>
      <c r="N886" s="531" t="str">
        <f aca="false">IF('(1)예금승인내역'!H1512="","",'(1)예금승인내역'!H1512)</f>
        <v/>
      </c>
      <c r="O886" s="531" t="str">
        <f aca="false">IF('(1)예금승인내역'!G1512="","",'(1)예금승인내역'!G1512)</f>
        <v/>
      </c>
      <c r="P886" s="531" t="str">
        <f aca="false">IF('(1)예금승인내역'!F1512="","",'(1)예금승인내역'!F1512)</f>
        <v/>
      </c>
      <c r="Q886" s="531" t="str">
        <f aca="false">IF('(1)예금승인내역'!C1512="","",'(1)예금승인내역'!C1512)</f>
        <v/>
      </c>
      <c r="R886" s="531" t="str">
        <f aca="false">IF('(1)예금승인내역'!K1512="","",'(1)예금승인내역'!K1512)</f>
        <v/>
      </c>
      <c r="S886" s="531" t="str">
        <f aca="false">IF('(1)예금승인내역'!L1512="","",'(1)예금승인내역'!L1512)</f>
        <v/>
      </c>
      <c r="T886" s="531" t="str">
        <f aca="false">IF('(1)예금승인내역'!AG1512="","",'(1)예금승인내역'!AG1512)</f>
        <v/>
      </c>
      <c r="U886" s="531" t="str">
        <f aca="false">IF('(1)예금승인내역'!X1512="","",'(1)예금승인내역'!X1512)</f>
        <v/>
      </c>
      <c r="V886" s="531" t="str">
        <f aca="false">IF(ISNUMBER(N886),N886-$B$2,"")</f>
        <v/>
      </c>
      <c r="W886" s="531" t="str">
        <f aca="false">IF(AND(ISNUMBER(N886),N886&gt;=$B$2,N886&lt;=$B$2+10),N886*100000+ROW(),"")</f>
        <v/>
      </c>
      <c r="X886" s="531"/>
      <c r="Y886" s="531"/>
      <c r="Z886" s="531"/>
      <c r="AA886" s="531"/>
      <c r="AB886" s="531"/>
      <c r="AC886" s="531"/>
      <c r="AD886" s="531"/>
      <c r="AE886" s="531"/>
      <c r="AF886" s="531"/>
      <c r="AG886" s="531"/>
      <c r="AH886" s="531"/>
      <c r="AI886" s="531"/>
      <c r="AJ886" s="531"/>
      <c r="AK886" s="531"/>
      <c r="AL886" s="531"/>
      <c r="AM886" s="531"/>
      <c r="AN886" s="531"/>
    </row>
    <row r="887" customFormat="false" ht="16.5" hidden="false" customHeight="true" outlineLevel="0" collapsed="false">
      <c r="A887" s="531"/>
      <c r="B887" s="531"/>
      <c r="C887" s="531"/>
      <c r="D887" s="531"/>
      <c r="E887" s="531"/>
      <c r="F887" s="531"/>
      <c r="G887" s="531"/>
      <c r="H887" s="531"/>
      <c r="I887" s="531"/>
      <c r="J887" s="531"/>
      <c r="K887" s="531"/>
      <c r="L887" s="531"/>
      <c r="M887" s="531"/>
      <c r="N887" s="531" t="str">
        <f aca="false">IF('(1)예금승인내역'!H1513="","",'(1)예금승인내역'!H1513)</f>
        <v/>
      </c>
      <c r="O887" s="531" t="str">
        <f aca="false">IF('(1)예금승인내역'!G1513="","",'(1)예금승인내역'!G1513)</f>
        <v/>
      </c>
      <c r="P887" s="531" t="str">
        <f aca="false">IF('(1)예금승인내역'!F1513="","",'(1)예금승인내역'!F1513)</f>
        <v/>
      </c>
      <c r="Q887" s="531" t="str">
        <f aca="false">IF('(1)예금승인내역'!C1513="","",'(1)예금승인내역'!C1513)</f>
        <v/>
      </c>
      <c r="R887" s="531" t="str">
        <f aca="false">IF('(1)예금승인내역'!K1513="","",'(1)예금승인내역'!K1513)</f>
        <v/>
      </c>
      <c r="S887" s="531" t="str">
        <f aca="false">IF('(1)예금승인내역'!L1513="","",'(1)예금승인내역'!L1513)</f>
        <v/>
      </c>
      <c r="T887" s="531" t="str">
        <f aca="false">IF('(1)예금승인내역'!AG1513="","",'(1)예금승인내역'!AG1513)</f>
        <v/>
      </c>
      <c r="U887" s="531" t="str">
        <f aca="false">IF('(1)예금승인내역'!X1513="","",'(1)예금승인내역'!X1513)</f>
        <v/>
      </c>
      <c r="V887" s="531" t="str">
        <f aca="false">IF(ISNUMBER(N887),N887-$B$2,"")</f>
        <v/>
      </c>
      <c r="W887" s="531" t="str">
        <f aca="false">IF(AND(ISNUMBER(N887),N887&gt;=$B$2,N887&lt;=$B$2+10),N887*100000+ROW(),"")</f>
        <v/>
      </c>
      <c r="X887" s="531"/>
      <c r="Y887" s="531"/>
      <c r="Z887" s="531"/>
      <c r="AA887" s="531"/>
      <c r="AB887" s="531"/>
      <c r="AC887" s="531"/>
      <c r="AD887" s="531"/>
      <c r="AE887" s="531"/>
      <c r="AF887" s="531"/>
      <c r="AG887" s="531"/>
      <c r="AH887" s="531"/>
      <c r="AI887" s="531"/>
      <c r="AJ887" s="531"/>
      <c r="AK887" s="531"/>
      <c r="AL887" s="531"/>
      <c r="AM887" s="531"/>
      <c r="AN887" s="531"/>
    </row>
    <row r="888" customFormat="false" ht="16.5" hidden="false" customHeight="true" outlineLevel="0" collapsed="false">
      <c r="A888" s="531"/>
      <c r="B888" s="531"/>
      <c r="C888" s="531"/>
      <c r="D888" s="531"/>
      <c r="E888" s="531"/>
      <c r="F888" s="531"/>
      <c r="G888" s="531"/>
      <c r="H888" s="531"/>
      <c r="I888" s="531"/>
      <c r="J888" s="531"/>
      <c r="K888" s="531"/>
      <c r="L888" s="531"/>
      <c r="M888" s="531"/>
      <c r="N888" s="531" t="str">
        <f aca="false">IF('(1)예금승인내역'!H1514="","",'(1)예금승인내역'!H1514)</f>
        <v/>
      </c>
      <c r="O888" s="531" t="str">
        <f aca="false">IF('(1)예금승인내역'!G1514="","",'(1)예금승인내역'!G1514)</f>
        <v/>
      </c>
      <c r="P888" s="531" t="str">
        <f aca="false">IF('(1)예금승인내역'!F1514="","",'(1)예금승인내역'!F1514)</f>
        <v/>
      </c>
      <c r="Q888" s="531" t="str">
        <f aca="false">IF('(1)예금승인내역'!C1514="","",'(1)예금승인내역'!C1514)</f>
        <v/>
      </c>
      <c r="R888" s="531" t="str">
        <f aca="false">IF('(1)예금승인내역'!K1514="","",'(1)예금승인내역'!K1514)</f>
        <v/>
      </c>
      <c r="S888" s="531" t="str">
        <f aca="false">IF('(1)예금승인내역'!L1514="","",'(1)예금승인내역'!L1514)</f>
        <v/>
      </c>
      <c r="T888" s="531" t="str">
        <f aca="false">IF('(1)예금승인내역'!AG1514="","",'(1)예금승인내역'!AG1514)</f>
        <v/>
      </c>
      <c r="U888" s="531" t="str">
        <f aca="false">IF('(1)예금승인내역'!X1514="","",'(1)예금승인내역'!X1514)</f>
        <v/>
      </c>
      <c r="V888" s="531" t="str">
        <f aca="false">IF(ISNUMBER(N888),N888-$B$2,"")</f>
        <v/>
      </c>
      <c r="W888" s="531" t="str">
        <f aca="false">IF(AND(ISNUMBER(N888),N888&gt;=$B$2,N888&lt;=$B$2+10),N888*100000+ROW(),"")</f>
        <v/>
      </c>
      <c r="X888" s="531"/>
      <c r="Y888" s="531"/>
      <c r="Z888" s="531"/>
      <c r="AA888" s="531"/>
      <c r="AB888" s="531"/>
      <c r="AC888" s="531"/>
      <c r="AD888" s="531"/>
      <c r="AE888" s="531"/>
      <c r="AF888" s="531"/>
      <c r="AG888" s="531"/>
      <c r="AH888" s="531"/>
      <c r="AI888" s="531"/>
      <c r="AJ888" s="531"/>
      <c r="AK888" s="531"/>
      <c r="AL888" s="531"/>
      <c r="AM888" s="531"/>
      <c r="AN888" s="531"/>
    </row>
    <row r="889" customFormat="false" ht="16.5" hidden="false" customHeight="true" outlineLevel="0" collapsed="false">
      <c r="A889" s="531"/>
      <c r="B889" s="531"/>
      <c r="C889" s="531"/>
      <c r="D889" s="531"/>
      <c r="E889" s="531"/>
      <c r="F889" s="531"/>
      <c r="G889" s="531"/>
      <c r="H889" s="531"/>
      <c r="I889" s="531"/>
      <c r="J889" s="531"/>
      <c r="K889" s="531"/>
      <c r="L889" s="531"/>
      <c r="M889" s="531"/>
      <c r="N889" s="531" t="str">
        <f aca="false">IF('(1)예금승인내역'!H1515="","",'(1)예금승인내역'!H1515)</f>
        <v/>
      </c>
      <c r="O889" s="531" t="str">
        <f aca="false">IF('(1)예금승인내역'!G1515="","",'(1)예금승인내역'!G1515)</f>
        <v/>
      </c>
      <c r="P889" s="531" t="str">
        <f aca="false">IF('(1)예금승인내역'!F1515="","",'(1)예금승인내역'!F1515)</f>
        <v/>
      </c>
      <c r="Q889" s="531" t="str">
        <f aca="false">IF('(1)예금승인내역'!C1515="","",'(1)예금승인내역'!C1515)</f>
        <v/>
      </c>
      <c r="R889" s="531" t="str">
        <f aca="false">IF('(1)예금승인내역'!K1515="","",'(1)예금승인내역'!K1515)</f>
        <v/>
      </c>
      <c r="S889" s="531" t="str">
        <f aca="false">IF('(1)예금승인내역'!L1515="","",'(1)예금승인내역'!L1515)</f>
        <v/>
      </c>
      <c r="T889" s="531" t="str">
        <f aca="false">IF('(1)예금승인내역'!AG1515="","",'(1)예금승인내역'!AG1515)</f>
        <v/>
      </c>
      <c r="U889" s="531" t="str">
        <f aca="false">IF('(1)예금승인내역'!X1515="","",'(1)예금승인내역'!X1515)</f>
        <v/>
      </c>
      <c r="V889" s="531" t="str">
        <f aca="false">IF(ISNUMBER(N889),N889-$B$2,"")</f>
        <v/>
      </c>
      <c r="W889" s="531" t="str">
        <f aca="false">IF(AND(ISNUMBER(N889),N889&gt;=$B$2,N889&lt;=$B$2+10),N889*100000+ROW(),"")</f>
        <v/>
      </c>
      <c r="X889" s="531"/>
      <c r="Y889" s="531"/>
      <c r="Z889" s="531"/>
      <c r="AA889" s="531"/>
      <c r="AB889" s="531"/>
      <c r="AC889" s="531"/>
      <c r="AD889" s="531"/>
      <c r="AE889" s="531"/>
      <c r="AF889" s="531"/>
      <c r="AG889" s="531"/>
      <c r="AH889" s="531"/>
      <c r="AI889" s="531"/>
      <c r="AJ889" s="531"/>
      <c r="AK889" s="531"/>
      <c r="AL889" s="531"/>
      <c r="AM889" s="531"/>
      <c r="AN889" s="531"/>
    </row>
    <row r="890" customFormat="false" ht="16.5" hidden="false" customHeight="true" outlineLevel="0" collapsed="false">
      <c r="A890" s="531"/>
      <c r="B890" s="531"/>
      <c r="C890" s="531"/>
      <c r="D890" s="531"/>
      <c r="E890" s="531"/>
      <c r="F890" s="531"/>
      <c r="G890" s="531"/>
      <c r="H890" s="531"/>
      <c r="I890" s="531"/>
      <c r="J890" s="531"/>
      <c r="K890" s="531"/>
      <c r="L890" s="531"/>
      <c r="M890" s="531"/>
      <c r="N890" s="531" t="str">
        <f aca="false">IF('(1)예금승인내역'!H1516="","",'(1)예금승인내역'!H1516)</f>
        <v/>
      </c>
      <c r="O890" s="531" t="str">
        <f aca="false">IF('(1)예금승인내역'!G1516="","",'(1)예금승인내역'!G1516)</f>
        <v/>
      </c>
      <c r="P890" s="531" t="str">
        <f aca="false">IF('(1)예금승인내역'!F1516="","",'(1)예금승인내역'!F1516)</f>
        <v/>
      </c>
      <c r="Q890" s="531" t="str">
        <f aca="false">IF('(1)예금승인내역'!C1516="","",'(1)예금승인내역'!C1516)</f>
        <v/>
      </c>
      <c r="R890" s="531" t="str">
        <f aca="false">IF('(1)예금승인내역'!K1516="","",'(1)예금승인내역'!K1516)</f>
        <v/>
      </c>
      <c r="S890" s="531" t="str">
        <f aca="false">IF('(1)예금승인내역'!L1516="","",'(1)예금승인내역'!L1516)</f>
        <v/>
      </c>
      <c r="T890" s="531" t="str">
        <f aca="false">IF('(1)예금승인내역'!AG1516="","",'(1)예금승인내역'!AG1516)</f>
        <v/>
      </c>
      <c r="U890" s="531" t="str">
        <f aca="false">IF('(1)예금승인내역'!X1516="","",'(1)예금승인내역'!X1516)</f>
        <v/>
      </c>
      <c r="V890" s="531" t="str">
        <f aca="false">IF(ISNUMBER(N890),N890-$B$2,"")</f>
        <v/>
      </c>
      <c r="W890" s="531" t="str">
        <f aca="false">IF(AND(ISNUMBER(N890),N890&gt;=$B$2,N890&lt;=$B$2+10),N890*100000+ROW(),"")</f>
        <v/>
      </c>
      <c r="X890" s="531"/>
      <c r="Y890" s="531"/>
      <c r="Z890" s="531"/>
      <c r="AA890" s="531"/>
      <c r="AB890" s="531"/>
      <c r="AC890" s="531"/>
      <c r="AD890" s="531"/>
      <c r="AE890" s="531"/>
      <c r="AF890" s="531"/>
      <c r="AG890" s="531"/>
      <c r="AH890" s="531"/>
      <c r="AI890" s="531"/>
      <c r="AJ890" s="531"/>
      <c r="AK890" s="531"/>
      <c r="AL890" s="531"/>
      <c r="AM890" s="531"/>
      <c r="AN890" s="531"/>
    </row>
    <row r="891" customFormat="false" ht="16.5" hidden="false" customHeight="true" outlineLevel="0" collapsed="false">
      <c r="A891" s="531"/>
      <c r="B891" s="531"/>
      <c r="C891" s="531"/>
      <c r="D891" s="531"/>
      <c r="E891" s="531"/>
      <c r="F891" s="531"/>
      <c r="G891" s="531"/>
      <c r="H891" s="531"/>
      <c r="I891" s="531"/>
      <c r="J891" s="531"/>
      <c r="K891" s="531"/>
      <c r="L891" s="531"/>
      <c r="M891" s="531"/>
      <c r="N891" s="531" t="str">
        <f aca="false">IF('(1)예금승인내역'!H1517="","",'(1)예금승인내역'!H1517)</f>
        <v/>
      </c>
      <c r="O891" s="531" t="str">
        <f aca="false">IF('(1)예금승인내역'!G1517="","",'(1)예금승인내역'!G1517)</f>
        <v/>
      </c>
      <c r="P891" s="531" t="str">
        <f aca="false">IF('(1)예금승인내역'!F1517="","",'(1)예금승인내역'!F1517)</f>
        <v/>
      </c>
      <c r="Q891" s="531" t="str">
        <f aca="false">IF('(1)예금승인내역'!C1517="","",'(1)예금승인내역'!C1517)</f>
        <v/>
      </c>
      <c r="R891" s="531" t="str">
        <f aca="false">IF('(1)예금승인내역'!K1517="","",'(1)예금승인내역'!K1517)</f>
        <v/>
      </c>
      <c r="S891" s="531" t="str">
        <f aca="false">IF('(1)예금승인내역'!L1517="","",'(1)예금승인내역'!L1517)</f>
        <v/>
      </c>
      <c r="T891" s="531" t="str">
        <f aca="false">IF('(1)예금승인내역'!AG1517="","",'(1)예금승인내역'!AG1517)</f>
        <v/>
      </c>
      <c r="U891" s="531" t="str">
        <f aca="false">IF('(1)예금승인내역'!X1517="","",'(1)예금승인내역'!X1517)</f>
        <v/>
      </c>
      <c r="V891" s="531" t="str">
        <f aca="false">IF(ISNUMBER(N891),N891-$B$2,"")</f>
        <v/>
      </c>
      <c r="W891" s="531" t="str">
        <f aca="false">IF(AND(ISNUMBER(N891),N891&gt;=$B$2,N891&lt;=$B$2+10),N891*100000+ROW(),"")</f>
        <v/>
      </c>
      <c r="X891" s="531"/>
      <c r="Y891" s="531"/>
      <c r="Z891" s="531"/>
      <c r="AA891" s="531"/>
      <c r="AB891" s="531"/>
      <c r="AC891" s="531"/>
      <c r="AD891" s="531"/>
      <c r="AE891" s="531"/>
      <c r="AF891" s="531"/>
      <c r="AG891" s="531"/>
      <c r="AH891" s="531"/>
      <c r="AI891" s="531"/>
      <c r="AJ891" s="531"/>
      <c r="AK891" s="531"/>
      <c r="AL891" s="531"/>
      <c r="AM891" s="531"/>
      <c r="AN891" s="531"/>
    </row>
    <row r="892" customFormat="false" ht="16.5" hidden="false" customHeight="true" outlineLevel="0" collapsed="false">
      <c r="A892" s="531"/>
      <c r="B892" s="531"/>
      <c r="C892" s="531"/>
      <c r="D892" s="531"/>
      <c r="E892" s="531"/>
      <c r="F892" s="531"/>
      <c r="G892" s="531"/>
      <c r="H892" s="531"/>
      <c r="I892" s="531"/>
      <c r="J892" s="531"/>
      <c r="K892" s="531"/>
      <c r="L892" s="531"/>
      <c r="M892" s="531"/>
      <c r="N892" s="531" t="str">
        <f aca="false">IF('(1)예금승인내역'!H1518="","",'(1)예금승인내역'!H1518)</f>
        <v/>
      </c>
      <c r="O892" s="531" t="str">
        <f aca="false">IF('(1)예금승인내역'!G1518="","",'(1)예금승인내역'!G1518)</f>
        <v/>
      </c>
      <c r="P892" s="531" t="str">
        <f aca="false">IF('(1)예금승인내역'!F1518="","",'(1)예금승인내역'!F1518)</f>
        <v/>
      </c>
      <c r="Q892" s="531" t="str">
        <f aca="false">IF('(1)예금승인내역'!C1518="","",'(1)예금승인내역'!C1518)</f>
        <v/>
      </c>
      <c r="R892" s="531" t="str">
        <f aca="false">IF('(1)예금승인내역'!K1518="","",'(1)예금승인내역'!K1518)</f>
        <v/>
      </c>
      <c r="S892" s="531" t="str">
        <f aca="false">IF('(1)예금승인내역'!L1518="","",'(1)예금승인내역'!L1518)</f>
        <v/>
      </c>
      <c r="T892" s="531" t="str">
        <f aca="false">IF('(1)예금승인내역'!AG1518="","",'(1)예금승인내역'!AG1518)</f>
        <v/>
      </c>
      <c r="U892" s="531" t="str">
        <f aca="false">IF('(1)예금승인내역'!X1518="","",'(1)예금승인내역'!X1518)</f>
        <v/>
      </c>
      <c r="V892" s="531" t="str">
        <f aca="false">IF(ISNUMBER(N892),N892-$B$2,"")</f>
        <v/>
      </c>
      <c r="W892" s="531" t="str">
        <f aca="false">IF(AND(ISNUMBER(N892),N892&gt;=$B$2,N892&lt;=$B$2+10),N892*100000+ROW(),"")</f>
        <v/>
      </c>
      <c r="X892" s="531"/>
      <c r="Y892" s="531"/>
      <c r="Z892" s="531"/>
      <c r="AA892" s="531"/>
      <c r="AB892" s="531"/>
      <c r="AC892" s="531"/>
      <c r="AD892" s="531"/>
      <c r="AE892" s="531"/>
      <c r="AF892" s="531"/>
      <c r="AG892" s="531"/>
      <c r="AH892" s="531"/>
      <c r="AI892" s="531"/>
      <c r="AJ892" s="531"/>
      <c r="AK892" s="531"/>
      <c r="AL892" s="531"/>
      <c r="AM892" s="531"/>
      <c r="AN892" s="531"/>
    </row>
    <row r="893" customFormat="false" ht="16.5" hidden="false" customHeight="true" outlineLevel="0" collapsed="false">
      <c r="A893" s="531"/>
      <c r="B893" s="531"/>
      <c r="C893" s="531"/>
      <c r="D893" s="531"/>
      <c r="E893" s="531"/>
      <c r="F893" s="531"/>
      <c r="G893" s="531"/>
      <c r="H893" s="531"/>
      <c r="I893" s="531"/>
      <c r="J893" s="531"/>
      <c r="K893" s="531"/>
      <c r="L893" s="531"/>
      <c r="M893" s="531"/>
      <c r="N893" s="531" t="str">
        <f aca="false">IF('(1)예금승인내역'!H1519="","",'(1)예금승인내역'!H1519)</f>
        <v/>
      </c>
      <c r="O893" s="531" t="str">
        <f aca="false">IF('(1)예금승인내역'!G1519="","",'(1)예금승인내역'!G1519)</f>
        <v/>
      </c>
      <c r="P893" s="531" t="str">
        <f aca="false">IF('(1)예금승인내역'!F1519="","",'(1)예금승인내역'!F1519)</f>
        <v/>
      </c>
      <c r="Q893" s="531" t="str">
        <f aca="false">IF('(1)예금승인내역'!C1519="","",'(1)예금승인내역'!C1519)</f>
        <v/>
      </c>
      <c r="R893" s="531" t="str">
        <f aca="false">IF('(1)예금승인내역'!K1519="","",'(1)예금승인내역'!K1519)</f>
        <v/>
      </c>
      <c r="S893" s="531" t="str">
        <f aca="false">IF('(1)예금승인내역'!L1519="","",'(1)예금승인내역'!L1519)</f>
        <v/>
      </c>
      <c r="T893" s="531" t="str">
        <f aca="false">IF('(1)예금승인내역'!AG1519="","",'(1)예금승인내역'!AG1519)</f>
        <v/>
      </c>
      <c r="U893" s="531" t="str">
        <f aca="false">IF('(1)예금승인내역'!X1519="","",'(1)예금승인내역'!X1519)</f>
        <v/>
      </c>
      <c r="V893" s="531" t="str">
        <f aca="false">IF(ISNUMBER(N893),N893-$B$2,"")</f>
        <v/>
      </c>
      <c r="W893" s="531" t="str">
        <f aca="false">IF(AND(ISNUMBER(N893),N893&gt;=$B$2,N893&lt;=$B$2+10),N893*100000+ROW(),"")</f>
        <v/>
      </c>
      <c r="X893" s="531"/>
      <c r="Y893" s="531"/>
      <c r="Z893" s="531"/>
      <c r="AA893" s="531"/>
      <c r="AB893" s="531"/>
      <c r="AC893" s="531"/>
      <c r="AD893" s="531"/>
      <c r="AE893" s="531"/>
      <c r="AF893" s="531"/>
      <c r="AG893" s="531"/>
      <c r="AH893" s="531"/>
      <c r="AI893" s="531"/>
      <c r="AJ893" s="531"/>
      <c r="AK893" s="531"/>
      <c r="AL893" s="531"/>
      <c r="AM893" s="531"/>
      <c r="AN893" s="531"/>
    </row>
    <row r="894" customFormat="false" ht="16.5" hidden="false" customHeight="true" outlineLevel="0" collapsed="false">
      <c r="A894" s="531"/>
      <c r="B894" s="531"/>
      <c r="C894" s="531"/>
      <c r="D894" s="531"/>
      <c r="E894" s="531"/>
      <c r="F894" s="531"/>
      <c r="G894" s="531"/>
      <c r="H894" s="531"/>
      <c r="I894" s="531"/>
      <c r="J894" s="531"/>
      <c r="K894" s="531"/>
      <c r="L894" s="531"/>
      <c r="M894" s="531"/>
      <c r="N894" s="531" t="str">
        <f aca="false">IF('(1)예금승인내역'!H1520="","",'(1)예금승인내역'!H1520)</f>
        <v/>
      </c>
      <c r="O894" s="531" t="str">
        <f aca="false">IF('(1)예금승인내역'!G1520="","",'(1)예금승인내역'!G1520)</f>
        <v/>
      </c>
      <c r="P894" s="531" t="str">
        <f aca="false">IF('(1)예금승인내역'!F1520="","",'(1)예금승인내역'!F1520)</f>
        <v/>
      </c>
      <c r="Q894" s="531" t="str">
        <f aca="false">IF('(1)예금승인내역'!C1520="","",'(1)예금승인내역'!C1520)</f>
        <v/>
      </c>
      <c r="R894" s="531" t="str">
        <f aca="false">IF('(1)예금승인내역'!K1520="","",'(1)예금승인내역'!K1520)</f>
        <v/>
      </c>
      <c r="S894" s="531" t="str">
        <f aca="false">IF('(1)예금승인내역'!L1520="","",'(1)예금승인내역'!L1520)</f>
        <v/>
      </c>
      <c r="T894" s="531" t="str">
        <f aca="false">IF('(1)예금승인내역'!AG1520="","",'(1)예금승인내역'!AG1520)</f>
        <v/>
      </c>
      <c r="U894" s="531" t="str">
        <f aca="false">IF('(1)예금승인내역'!X1520="","",'(1)예금승인내역'!X1520)</f>
        <v/>
      </c>
      <c r="V894" s="531" t="str">
        <f aca="false">IF(ISNUMBER(N894),N894-$B$2,"")</f>
        <v/>
      </c>
      <c r="W894" s="531" t="str">
        <f aca="false">IF(AND(ISNUMBER(N894),N894&gt;=$B$2,N894&lt;=$B$2+10),N894*100000+ROW(),"")</f>
        <v/>
      </c>
      <c r="X894" s="531"/>
      <c r="Y894" s="531"/>
      <c r="Z894" s="531"/>
      <c r="AA894" s="531"/>
      <c r="AB894" s="531"/>
      <c r="AC894" s="531"/>
      <c r="AD894" s="531"/>
      <c r="AE894" s="531"/>
      <c r="AF894" s="531"/>
      <c r="AG894" s="531"/>
      <c r="AH894" s="531"/>
      <c r="AI894" s="531"/>
      <c r="AJ894" s="531"/>
      <c r="AK894" s="531"/>
      <c r="AL894" s="531"/>
      <c r="AM894" s="531"/>
      <c r="AN894" s="531"/>
    </row>
    <row r="895" customFormat="false" ht="16.5" hidden="false" customHeight="true" outlineLevel="0" collapsed="false">
      <c r="A895" s="531"/>
      <c r="B895" s="531"/>
      <c r="C895" s="531"/>
      <c r="D895" s="531"/>
      <c r="E895" s="531"/>
      <c r="F895" s="531"/>
      <c r="G895" s="531"/>
      <c r="H895" s="531"/>
      <c r="I895" s="531"/>
      <c r="J895" s="531"/>
      <c r="K895" s="531"/>
      <c r="L895" s="531"/>
      <c r="M895" s="531"/>
      <c r="N895" s="531" t="str">
        <f aca="false">IF('(1)예금승인내역'!H1521="","",'(1)예금승인내역'!H1521)</f>
        <v/>
      </c>
      <c r="O895" s="531" t="str">
        <f aca="false">IF('(1)예금승인내역'!G1521="","",'(1)예금승인내역'!G1521)</f>
        <v/>
      </c>
      <c r="P895" s="531" t="str">
        <f aca="false">IF('(1)예금승인내역'!F1521="","",'(1)예금승인내역'!F1521)</f>
        <v/>
      </c>
      <c r="Q895" s="531" t="str">
        <f aca="false">IF('(1)예금승인내역'!C1521="","",'(1)예금승인내역'!C1521)</f>
        <v/>
      </c>
      <c r="R895" s="531" t="str">
        <f aca="false">IF('(1)예금승인내역'!K1521="","",'(1)예금승인내역'!K1521)</f>
        <v/>
      </c>
      <c r="S895" s="531" t="str">
        <f aca="false">IF('(1)예금승인내역'!L1521="","",'(1)예금승인내역'!L1521)</f>
        <v/>
      </c>
      <c r="T895" s="531" t="str">
        <f aca="false">IF('(1)예금승인내역'!AG1521="","",'(1)예금승인내역'!AG1521)</f>
        <v/>
      </c>
      <c r="U895" s="531" t="str">
        <f aca="false">IF('(1)예금승인내역'!X1521="","",'(1)예금승인내역'!X1521)</f>
        <v/>
      </c>
      <c r="V895" s="531" t="str">
        <f aca="false">IF(ISNUMBER(N895),N895-$B$2,"")</f>
        <v/>
      </c>
      <c r="W895" s="531" t="str">
        <f aca="false">IF(AND(ISNUMBER(N895),N895&gt;=$B$2,N895&lt;=$B$2+10),N895*100000+ROW(),"")</f>
        <v/>
      </c>
      <c r="X895" s="531"/>
      <c r="Y895" s="531"/>
      <c r="Z895" s="531"/>
      <c r="AA895" s="531"/>
      <c r="AB895" s="531"/>
      <c r="AC895" s="531"/>
      <c r="AD895" s="531"/>
      <c r="AE895" s="531"/>
      <c r="AF895" s="531"/>
      <c r="AG895" s="531"/>
      <c r="AH895" s="531"/>
      <c r="AI895" s="531"/>
      <c r="AJ895" s="531"/>
      <c r="AK895" s="531"/>
      <c r="AL895" s="531"/>
      <c r="AM895" s="531"/>
      <c r="AN895" s="531"/>
    </row>
    <row r="896" customFormat="false" ht="16.5" hidden="false" customHeight="true" outlineLevel="0" collapsed="false">
      <c r="A896" s="531"/>
      <c r="B896" s="531"/>
      <c r="C896" s="531"/>
      <c r="D896" s="531"/>
      <c r="E896" s="531"/>
      <c r="F896" s="531"/>
      <c r="G896" s="531"/>
      <c r="H896" s="531"/>
      <c r="I896" s="531"/>
      <c r="J896" s="531"/>
      <c r="K896" s="531"/>
      <c r="L896" s="531"/>
      <c r="M896" s="531"/>
      <c r="N896" s="531" t="str">
        <f aca="false">IF('(1)예금승인내역'!H1522="","",'(1)예금승인내역'!H1522)</f>
        <v/>
      </c>
      <c r="O896" s="531" t="str">
        <f aca="false">IF('(1)예금승인내역'!G1522="","",'(1)예금승인내역'!G1522)</f>
        <v/>
      </c>
      <c r="P896" s="531" t="str">
        <f aca="false">IF('(1)예금승인내역'!F1522="","",'(1)예금승인내역'!F1522)</f>
        <v/>
      </c>
      <c r="Q896" s="531" t="str">
        <f aca="false">IF('(1)예금승인내역'!C1522="","",'(1)예금승인내역'!C1522)</f>
        <v/>
      </c>
      <c r="R896" s="531" t="str">
        <f aca="false">IF('(1)예금승인내역'!K1522="","",'(1)예금승인내역'!K1522)</f>
        <v/>
      </c>
      <c r="S896" s="531" t="str">
        <f aca="false">IF('(1)예금승인내역'!L1522="","",'(1)예금승인내역'!L1522)</f>
        <v/>
      </c>
      <c r="T896" s="531" t="str">
        <f aca="false">IF('(1)예금승인내역'!AG1522="","",'(1)예금승인내역'!AG1522)</f>
        <v/>
      </c>
      <c r="U896" s="531" t="str">
        <f aca="false">IF('(1)예금승인내역'!X1522="","",'(1)예금승인내역'!X1522)</f>
        <v/>
      </c>
      <c r="V896" s="531" t="str">
        <f aca="false">IF(ISNUMBER(N896),N896-$B$2,"")</f>
        <v/>
      </c>
      <c r="W896" s="531" t="str">
        <f aca="false">IF(AND(ISNUMBER(N896),N896&gt;=$B$2,N896&lt;=$B$2+10),N896*100000+ROW(),"")</f>
        <v/>
      </c>
      <c r="X896" s="531"/>
      <c r="Y896" s="531"/>
      <c r="Z896" s="531"/>
      <c r="AA896" s="531"/>
      <c r="AB896" s="531"/>
      <c r="AC896" s="531"/>
      <c r="AD896" s="531"/>
      <c r="AE896" s="531"/>
      <c r="AF896" s="531"/>
      <c r="AG896" s="531"/>
      <c r="AH896" s="531"/>
      <c r="AI896" s="531"/>
      <c r="AJ896" s="531"/>
      <c r="AK896" s="531"/>
      <c r="AL896" s="531"/>
      <c r="AM896" s="531"/>
      <c r="AN896" s="531"/>
    </row>
    <row r="897" customFormat="false" ht="16.5" hidden="false" customHeight="true" outlineLevel="0" collapsed="false">
      <c r="A897" s="531"/>
      <c r="B897" s="531"/>
      <c r="C897" s="531"/>
      <c r="D897" s="531"/>
      <c r="E897" s="531"/>
      <c r="F897" s="531"/>
      <c r="G897" s="531"/>
      <c r="H897" s="531"/>
      <c r="I897" s="531"/>
      <c r="J897" s="531"/>
      <c r="K897" s="531"/>
      <c r="L897" s="531"/>
      <c r="M897" s="531"/>
      <c r="N897" s="531" t="str">
        <f aca="false">IF('(1)예금승인내역'!H1523="","",'(1)예금승인내역'!H1523)</f>
        <v/>
      </c>
      <c r="O897" s="531" t="str">
        <f aca="false">IF('(1)예금승인내역'!G1523="","",'(1)예금승인내역'!G1523)</f>
        <v/>
      </c>
      <c r="P897" s="531" t="str">
        <f aca="false">IF('(1)예금승인내역'!F1523="","",'(1)예금승인내역'!F1523)</f>
        <v/>
      </c>
      <c r="Q897" s="531" t="str">
        <f aca="false">IF('(1)예금승인내역'!C1523="","",'(1)예금승인내역'!C1523)</f>
        <v/>
      </c>
      <c r="R897" s="531" t="str">
        <f aca="false">IF('(1)예금승인내역'!K1523="","",'(1)예금승인내역'!K1523)</f>
        <v/>
      </c>
      <c r="S897" s="531" t="str">
        <f aca="false">IF('(1)예금승인내역'!L1523="","",'(1)예금승인내역'!L1523)</f>
        <v/>
      </c>
      <c r="T897" s="531" t="str">
        <f aca="false">IF('(1)예금승인내역'!AG1523="","",'(1)예금승인내역'!AG1523)</f>
        <v/>
      </c>
      <c r="U897" s="531" t="str">
        <f aca="false">IF('(1)예금승인내역'!X1523="","",'(1)예금승인내역'!X1523)</f>
        <v/>
      </c>
      <c r="V897" s="531" t="str">
        <f aca="false">IF(ISNUMBER(N897),N897-$B$2,"")</f>
        <v/>
      </c>
      <c r="W897" s="531" t="str">
        <f aca="false">IF(AND(ISNUMBER(N897),N897&gt;=$B$2,N897&lt;=$B$2+10),N897*100000+ROW(),"")</f>
        <v/>
      </c>
      <c r="X897" s="531"/>
      <c r="Y897" s="531"/>
      <c r="Z897" s="531"/>
      <c r="AA897" s="531"/>
      <c r="AB897" s="531"/>
      <c r="AC897" s="531"/>
      <c r="AD897" s="531"/>
      <c r="AE897" s="531"/>
      <c r="AF897" s="531"/>
      <c r="AG897" s="531"/>
      <c r="AH897" s="531"/>
      <c r="AI897" s="531"/>
      <c r="AJ897" s="531"/>
      <c r="AK897" s="531"/>
      <c r="AL897" s="531"/>
      <c r="AM897" s="531"/>
      <c r="AN897" s="531"/>
    </row>
    <row r="898" customFormat="false" ht="16.5" hidden="false" customHeight="true" outlineLevel="0" collapsed="false">
      <c r="A898" s="531"/>
      <c r="B898" s="531"/>
      <c r="C898" s="531"/>
      <c r="D898" s="531"/>
      <c r="E898" s="531"/>
      <c r="F898" s="531"/>
      <c r="G898" s="531"/>
      <c r="H898" s="531"/>
      <c r="I898" s="531"/>
      <c r="J898" s="531"/>
      <c r="K898" s="531"/>
      <c r="L898" s="531"/>
      <c r="M898" s="531"/>
      <c r="N898" s="531" t="str">
        <f aca="false">IF('(1)예금승인내역'!H1524="","",'(1)예금승인내역'!H1524)</f>
        <v/>
      </c>
      <c r="O898" s="531" t="str">
        <f aca="false">IF('(1)예금승인내역'!G1524="","",'(1)예금승인내역'!G1524)</f>
        <v/>
      </c>
      <c r="P898" s="531" t="str">
        <f aca="false">IF('(1)예금승인내역'!F1524="","",'(1)예금승인내역'!F1524)</f>
        <v/>
      </c>
      <c r="Q898" s="531" t="str">
        <f aca="false">IF('(1)예금승인내역'!C1524="","",'(1)예금승인내역'!C1524)</f>
        <v/>
      </c>
      <c r="R898" s="531" t="str">
        <f aca="false">IF('(1)예금승인내역'!K1524="","",'(1)예금승인내역'!K1524)</f>
        <v/>
      </c>
      <c r="S898" s="531" t="str">
        <f aca="false">IF('(1)예금승인내역'!L1524="","",'(1)예금승인내역'!L1524)</f>
        <v/>
      </c>
      <c r="T898" s="531" t="str">
        <f aca="false">IF('(1)예금승인내역'!AG1524="","",'(1)예금승인내역'!AG1524)</f>
        <v/>
      </c>
      <c r="U898" s="531" t="str">
        <f aca="false">IF('(1)예금승인내역'!X1524="","",'(1)예금승인내역'!X1524)</f>
        <v/>
      </c>
      <c r="V898" s="531" t="str">
        <f aca="false">IF(ISNUMBER(N898),N898-$B$2,"")</f>
        <v/>
      </c>
      <c r="W898" s="531" t="str">
        <f aca="false">IF(AND(ISNUMBER(N898),N898&gt;=$B$2,N898&lt;=$B$2+10),N898*100000+ROW(),"")</f>
        <v/>
      </c>
      <c r="X898" s="531"/>
      <c r="Y898" s="531"/>
      <c r="Z898" s="531"/>
      <c r="AA898" s="531"/>
      <c r="AB898" s="531"/>
      <c r="AC898" s="531"/>
      <c r="AD898" s="531"/>
      <c r="AE898" s="531"/>
      <c r="AF898" s="531"/>
      <c r="AG898" s="531"/>
      <c r="AH898" s="531"/>
      <c r="AI898" s="531"/>
      <c r="AJ898" s="531"/>
      <c r="AK898" s="531"/>
      <c r="AL898" s="531"/>
      <c r="AM898" s="531"/>
      <c r="AN898" s="531"/>
    </row>
    <row r="899" customFormat="false" ht="16.5" hidden="false" customHeight="true" outlineLevel="0" collapsed="false">
      <c r="A899" s="531"/>
      <c r="B899" s="531"/>
      <c r="C899" s="531"/>
      <c r="D899" s="531"/>
      <c r="E899" s="531"/>
      <c r="F899" s="531"/>
      <c r="G899" s="531"/>
      <c r="H899" s="531"/>
      <c r="I899" s="531"/>
      <c r="J899" s="531"/>
      <c r="K899" s="531"/>
      <c r="L899" s="531"/>
      <c r="M899" s="531"/>
      <c r="N899" s="531" t="str">
        <f aca="false">IF('(1)예금승인내역'!H1525="","",'(1)예금승인내역'!H1525)</f>
        <v/>
      </c>
      <c r="O899" s="531" t="str">
        <f aca="false">IF('(1)예금승인내역'!G1525="","",'(1)예금승인내역'!G1525)</f>
        <v/>
      </c>
      <c r="P899" s="531" t="str">
        <f aca="false">IF('(1)예금승인내역'!F1525="","",'(1)예금승인내역'!F1525)</f>
        <v/>
      </c>
      <c r="Q899" s="531" t="str">
        <f aca="false">IF('(1)예금승인내역'!C1525="","",'(1)예금승인내역'!C1525)</f>
        <v/>
      </c>
      <c r="R899" s="531" t="str">
        <f aca="false">IF('(1)예금승인내역'!K1525="","",'(1)예금승인내역'!K1525)</f>
        <v/>
      </c>
      <c r="S899" s="531" t="str">
        <f aca="false">IF('(1)예금승인내역'!L1525="","",'(1)예금승인내역'!L1525)</f>
        <v/>
      </c>
      <c r="T899" s="531" t="str">
        <f aca="false">IF('(1)예금승인내역'!AG1525="","",'(1)예금승인내역'!AG1525)</f>
        <v/>
      </c>
      <c r="U899" s="531" t="str">
        <f aca="false">IF('(1)예금승인내역'!X1525="","",'(1)예금승인내역'!X1525)</f>
        <v/>
      </c>
      <c r="V899" s="531" t="str">
        <f aca="false">IF(ISNUMBER(N899),N899-$B$2,"")</f>
        <v/>
      </c>
      <c r="W899" s="531" t="str">
        <f aca="false">IF(AND(ISNUMBER(N899),N899&gt;=$B$2,N899&lt;=$B$2+10),N899*100000+ROW(),"")</f>
        <v/>
      </c>
      <c r="X899" s="531"/>
      <c r="Y899" s="531"/>
      <c r="Z899" s="531"/>
      <c r="AA899" s="531"/>
      <c r="AB899" s="531"/>
      <c r="AC899" s="531"/>
      <c r="AD899" s="531"/>
      <c r="AE899" s="531"/>
      <c r="AF899" s="531"/>
      <c r="AG899" s="531"/>
      <c r="AH899" s="531"/>
      <c r="AI899" s="531"/>
      <c r="AJ899" s="531"/>
      <c r="AK899" s="531"/>
      <c r="AL899" s="531"/>
      <c r="AM899" s="531"/>
      <c r="AN899" s="531"/>
    </row>
    <row r="900" customFormat="false" ht="16.5" hidden="false" customHeight="true" outlineLevel="0" collapsed="false">
      <c r="A900" s="531"/>
      <c r="B900" s="531"/>
      <c r="C900" s="531"/>
      <c r="D900" s="531"/>
      <c r="E900" s="531"/>
      <c r="F900" s="531"/>
      <c r="G900" s="531"/>
      <c r="H900" s="531"/>
      <c r="I900" s="531"/>
      <c r="J900" s="531"/>
      <c r="K900" s="531"/>
      <c r="L900" s="531"/>
      <c r="M900" s="531"/>
      <c r="N900" s="531" t="str">
        <f aca="false">IF('(1)예금승인내역'!H1526="","",'(1)예금승인내역'!H1526)</f>
        <v/>
      </c>
      <c r="O900" s="531" t="str">
        <f aca="false">IF('(1)예금승인내역'!G1526="","",'(1)예금승인내역'!G1526)</f>
        <v/>
      </c>
      <c r="P900" s="531" t="str">
        <f aca="false">IF('(1)예금승인내역'!F1526="","",'(1)예금승인내역'!F1526)</f>
        <v/>
      </c>
      <c r="Q900" s="531" t="str">
        <f aca="false">IF('(1)예금승인내역'!C1526="","",'(1)예금승인내역'!C1526)</f>
        <v/>
      </c>
      <c r="R900" s="531" t="str">
        <f aca="false">IF('(1)예금승인내역'!K1526="","",'(1)예금승인내역'!K1526)</f>
        <v/>
      </c>
      <c r="S900" s="531" t="str">
        <f aca="false">IF('(1)예금승인내역'!L1526="","",'(1)예금승인내역'!L1526)</f>
        <v/>
      </c>
      <c r="T900" s="531" t="str">
        <f aca="false">IF('(1)예금승인내역'!AG1526="","",'(1)예금승인내역'!AG1526)</f>
        <v/>
      </c>
      <c r="U900" s="531" t="str">
        <f aca="false">IF('(1)예금승인내역'!X1526="","",'(1)예금승인내역'!X1526)</f>
        <v/>
      </c>
      <c r="V900" s="531" t="str">
        <f aca="false">IF(ISNUMBER(N900),N900-$B$2,"")</f>
        <v/>
      </c>
      <c r="W900" s="531" t="str">
        <f aca="false">IF(AND(ISNUMBER(N900),N900&gt;=$B$2,N900&lt;=$B$2+10),N900*100000+ROW(),"")</f>
        <v/>
      </c>
      <c r="X900" s="531"/>
      <c r="Y900" s="531"/>
      <c r="Z900" s="531"/>
      <c r="AA900" s="531"/>
      <c r="AB900" s="531"/>
      <c r="AC900" s="531"/>
      <c r="AD900" s="531"/>
      <c r="AE900" s="531"/>
      <c r="AF900" s="531"/>
      <c r="AG900" s="531"/>
      <c r="AH900" s="531"/>
      <c r="AI900" s="531"/>
      <c r="AJ900" s="531"/>
      <c r="AK900" s="531"/>
      <c r="AL900" s="531"/>
      <c r="AM900" s="531"/>
      <c r="AN900" s="531"/>
    </row>
    <row r="901" customFormat="false" ht="16.5" hidden="false" customHeight="true" outlineLevel="0" collapsed="false">
      <c r="A901" s="531"/>
      <c r="B901" s="531"/>
      <c r="C901" s="531"/>
      <c r="D901" s="531"/>
      <c r="E901" s="531"/>
      <c r="F901" s="531"/>
      <c r="G901" s="531"/>
      <c r="H901" s="531"/>
      <c r="I901" s="531"/>
      <c r="J901" s="531"/>
      <c r="K901" s="531"/>
      <c r="L901" s="531"/>
      <c r="M901" s="531"/>
      <c r="N901" s="531" t="str">
        <f aca="false">IF('(1)예금승인내역'!H1527="","",'(1)예금승인내역'!H1527)</f>
        <v/>
      </c>
      <c r="O901" s="531" t="str">
        <f aca="false">IF('(1)예금승인내역'!G1527="","",'(1)예금승인내역'!G1527)</f>
        <v/>
      </c>
      <c r="P901" s="531" t="str">
        <f aca="false">IF('(1)예금승인내역'!F1527="","",'(1)예금승인내역'!F1527)</f>
        <v/>
      </c>
      <c r="Q901" s="531" t="str">
        <f aca="false">IF('(1)예금승인내역'!C1527="","",'(1)예금승인내역'!C1527)</f>
        <v/>
      </c>
      <c r="R901" s="531" t="str">
        <f aca="false">IF('(1)예금승인내역'!K1527="","",'(1)예금승인내역'!K1527)</f>
        <v/>
      </c>
      <c r="S901" s="531" t="str">
        <f aca="false">IF('(1)예금승인내역'!L1527="","",'(1)예금승인내역'!L1527)</f>
        <v/>
      </c>
      <c r="T901" s="531" t="str">
        <f aca="false">IF('(1)예금승인내역'!AG1527="","",'(1)예금승인내역'!AG1527)</f>
        <v/>
      </c>
      <c r="U901" s="531" t="str">
        <f aca="false">IF('(1)예금승인내역'!X1527="","",'(1)예금승인내역'!X1527)</f>
        <v/>
      </c>
      <c r="V901" s="531" t="str">
        <f aca="false">IF(ISNUMBER(N901),N901-$B$2,"")</f>
        <v/>
      </c>
      <c r="W901" s="531" t="str">
        <f aca="false">IF(AND(ISNUMBER(N901),N901&gt;=$B$2,N901&lt;=$B$2+10),N901*100000+ROW(),"")</f>
        <v/>
      </c>
      <c r="X901" s="531"/>
      <c r="Y901" s="531"/>
      <c r="Z901" s="531"/>
      <c r="AA901" s="531"/>
      <c r="AB901" s="531"/>
      <c r="AC901" s="531"/>
      <c r="AD901" s="531"/>
      <c r="AE901" s="531"/>
      <c r="AF901" s="531"/>
      <c r="AG901" s="531"/>
      <c r="AH901" s="531"/>
      <c r="AI901" s="531"/>
      <c r="AJ901" s="531"/>
      <c r="AK901" s="531"/>
      <c r="AL901" s="531"/>
      <c r="AM901" s="531"/>
      <c r="AN901" s="531"/>
    </row>
    <row r="902" customFormat="false" ht="16.5" hidden="false" customHeight="true" outlineLevel="0" collapsed="false">
      <c r="A902" s="531"/>
      <c r="B902" s="531"/>
      <c r="C902" s="531"/>
      <c r="D902" s="531"/>
      <c r="E902" s="531"/>
      <c r="F902" s="531"/>
      <c r="G902" s="531"/>
      <c r="H902" s="531"/>
      <c r="I902" s="531"/>
      <c r="J902" s="531"/>
      <c r="K902" s="531"/>
      <c r="L902" s="531"/>
      <c r="M902" s="531"/>
      <c r="N902" s="531" t="str">
        <f aca="false">IF('(1)예금승인내역'!H1528="","",'(1)예금승인내역'!H1528)</f>
        <v/>
      </c>
      <c r="O902" s="531" t="str">
        <f aca="false">IF('(1)예금승인내역'!G1528="","",'(1)예금승인내역'!G1528)</f>
        <v/>
      </c>
      <c r="P902" s="531" t="str">
        <f aca="false">IF('(1)예금승인내역'!F1528="","",'(1)예금승인내역'!F1528)</f>
        <v/>
      </c>
      <c r="Q902" s="531" t="str">
        <f aca="false">IF('(1)예금승인내역'!C1528="","",'(1)예금승인내역'!C1528)</f>
        <v/>
      </c>
      <c r="R902" s="531" t="str">
        <f aca="false">IF('(1)예금승인내역'!K1528="","",'(1)예금승인내역'!K1528)</f>
        <v/>
      </c>
      <c r="S902" s="531" t="str">
        <f aca="false">IF('(1)예금승인내역'!L1528="","",'(1)예금승인내역'!L1528)</f>
        <v/>
      </c>
      <c r="T902" s="531" t="str">
        <f aca="false">IF('(1)예금승인내역'!AG1528="","",'(1)예금승인내역'!AG1528)</f>
        <v/>
      </c>
      <c r="U902" s="531" t="str">
        <f aca="false">IF('(1)예금승인내역'!X1528="","",'(1)예금승인내역'!X1528)</f>
        <v/>
      </c>
      <c r="V902" s="531" t="str">
        <f aca="false">IF(ISNUMBER(N902),N902-$B$2,"")</f>
        <v/>
      </c>
      <c r="W902" s="531" t="str">
        <f aca="false">IF(AND(ISNUMBER(N902),N902&gt;=$B$2,N902&lt;=$B$2+10),N902*100000+ROW(),"")</f>
        <v/>
      </c>
      <c r="X902" s="531"/>
      <c r="Y902" s="531"/>
      <c r="Z902" s="531"/>
      <c r="AA902" s="531"/>
      <c r="AB902" s="531"/>
      <c r="AC902" s="531"/>
      <c r="AD902" s="531"/>
      <c r="AE902" s="531"/>
      <c r="AF902" s="531"/>
      <c r="AG902" s="531"/>
      <c r="AH902" s="531"/>
      <c r="AI902" s="531"/>
      <c r="AJ902" s="531"/>
      <c r="AK902" s="531"/>
      <c r="AL902" s="531"/>
      <c r="AM902" s="531"/>
      <c r="AN902" s="531"/>
    </row>
    <row r="903" customFormat="false" ht="16.5" hidden="false" customHeight="true" outlineLevel="0" collapsed="false">
      <c r="A903" s="531"/>
      <c r="B903" s="531"/>
      <c r="C903" s="531"/>
      <c r="D903" s="531"/>
      <c r="E903" s="531"/>
      <c r="F903" s="531"/>
      <c r="G903" s="531"/>
      <c r="H903" s="531"/>
      <c r="I903" s="531"/>
      <c r="J903" s="531"/>
      <c r="K903" s="531"/>
      <c r="L903" s="531"/>
      <c r="M903" s="531"/>
      <c r="N903" s="531" t="str">
        <f aca="false">IF('(1)예금승인내역'!H1529="","",'(1)예금승인내역'!H1529)</f>
        <v/>
      </c>
      <c r="O903" s="531" t="str">
        <f aca="false">IF('(1)예금승인내역'!G1529="","",'(1)예금승인내역'!G1529)</f>
        <v/>
      </c>
      <c r="P903" s="531" t="str">
        <f aca="false">IF('(1)예금승인내역'!F1529="","",'(1)예금승인내역'!F1529)</f>
        <v/>
      </c>
      <c r="Q903" s="531" t="str">
        <f aca="false">IF('(1)예금승인내역'!C1529="","",'(1)예금승인내역'!C1529)</f>
        <v/>
      </c>
      <c r="R903" s="531" t="str">
        <f aca="false">IF('(1)예금승인내역'!K1529="","",'(1)예금승인내역'!K1529)</f>
        <v/>
      </c>
      <c r="S903" s="531" t="str">
        <f aca="false">IF('(1)예금승인내역'!L1529="","",'(1)예금승인내역'!L1529)</f>
        <v/>
      </c>
      <c r="T903" s="531" t="str">
        <f aca="false">IF('(1)예금승인내역'!AG1529="","",'(1)예금승인내역'!AG1529)</f>
        <v/>
      </c>
      <c r="U903" s="531" t="str">
        <f aca="false">IF('(1)예금승인내역'!X1529="","",'(1)예금승인내역'!X1529)</f>
        <v/>
      </c>
      <c r="V903" s="531" t="str">
        <f aca="false">IF(ISNUMBER(N903),N903-$B$2,"")</f>
        <v/>
      </c>
      <c r="W903" s="531" t="str">
        <f aca="false">IF(AND(ISNUMBER(N903),N903&gt;=$B$2,N903&lt;=$B$2+10),N903*100000+ROW(),"")</f>
        <v/>
      </c>
      <c r="X903" s="531"/>
      <c r="Y903" s="531"/>
      <c r="Z903" s="531"/>
      <c r="AA903" s="531"/>
      <c r="AB903" s="531"/>
      <c r="AC903" s="531"/>
      <c r="AD903" s="531"/>
      <c r="AE903" s="531"/>
      <c r="AF903" s="531"/>
      <c r="AG903" s="531"/>
      <c r="AH903" s="531"/>
      <c r="AI903" s="531"/>
      <c r="AJ903" s="531"/>
      <c r="AK903" s="531"/>
      <c r="AL903" s="531"/>
      <c r="AM903" s="531"/>
      <c r="AN903" s="531"/>
    </row>
    <row r="904" customFormat="false" ht="16.5" hidden="false" customHeight="true" outlineLevel="0" collapsed="false">
      <c r="A904" s="531"/>
      <c r="B904" s="531"/>
      <c r="C904" s="531"/>
      <c r="D904" s="531"/>
      <c r="E904" s="531"/>
      <c r="F904" s="531"/>
      <c r="G904" s="531"/>
      <c r="H904" s="531"/>
      <c r="I904" s="531"/>
      <c r="J904" s="531"/>
      <c r="K904" s="531"/>
      <c r="L904" s="531"/>
      <c r="M904" s="531"/>
      <c r="N904" s="531" t="str">
        <f aca="false">IF('(1)예금승인내역'!H1530="","",'(1)예금승인내역'!H1530)</f>
        <v/>
      </c>
      <c r="O904" s="531" t="str">
        <f aca="false">IF('(1)예금승인내역'!G1530="","",'(1)예금승인내역'!G1530)</f>
        <v/>
      </c>
      <c r="P904" s="531" t="str">
        <f aca="false">IF('(1)예금승인내역'!F1530="","",'(1)예금승인내역'!F1530)</f>
        <v/>
      </c>
      <c r="Q904" s="531" t="str">
        <f aca="false">IF('(1)예금승인내역'!C1530="","",'(1)예금승인내역'!C1530)</f>
        <v/>
      </c>
      <c r="R904" s="531" t="str">
        <f aca="false">IF('(1)예금승인내역'!K1530="","",'(1)예금승인내역'!K1530)</f>
        <v/>
      </c>
      <c r="S904" s="531" t="str">
        <f aca="false">IF('(1)예금승인내역'!L1530="","",'(1)예금승인내역'!L1530)</f>
        <v/>
      </c>
      <c r="T904" s="531" t="str">
        <f aca="false">IF('(1)예금승인내역'!AG1530="","",'(1)예금승인내역'!AG1530)</f>
        <v/>
      </c>
      <c r="U904" s="531" t="str">
        <f aca="false">IF('(1)예금승인내역'!X1530="","",'(1)예금승인내역'!X1530)</f>
        <v/>
      </c>
      <c r="V904" s="531" t="str">
        <f aca="false">IF(ISNUMBER(N904),N904-$B$2,"")</f>
        <v/>
      </c>
      <c r="W904" s="531" t="str">
        <f aca="false">IF(AND(ISNUMBER(N904),N904&gt;=$B$2,N904&lt;=$B$2+10),N904*100000+ROW(),"")</f>
        <v/>
      </c>
      <c r="X904" s="531"/>
      <c r="Y904" s="531"/>
      <c r="Z904" s="531"/>
      <c r="AA904" s="531"/>
      <c r="AB904" s="531"/>
      <c r="AC904" s="531"/>
      <c r="AD904" s="531"/>
      <c r="AE904" s="531"/>
      <c r="AF904" s="531"/>
      <c r="AG904" s="531"/>
      <c r="AH904" s="531"/>
      <c r="AI904" s="531"/>
      <c r="AJ904" s="531"/>
      <c r="AK904" s="531"/>
      <c r="AL904" s="531"/>
      <c r="AM904" s="531"/>
      <c r="AN904" s="531"/>
    </row>
    <row r="905" customFormat="false" ht="16.5" hidden="false" customHeight="true" outlineLevel="0" collapsed="false">
      <c r="A905" s="531"/>
      <c r="B905" s="531"/>
      <c r="C905" s="531"/>
      <c r="D905" s="531"/>
      <c r="E905" s="531"/>
      <c r="F905" s="531"/>
      <c r="G905" s="531"/>
      <c r="H905" s="531"/>
      <c r="I905" s="531"/>
      <c r="J905" s="531"/>
      <c r="K905" s="531"/>
      <c r="L905" s="531"/>
      <c r="M905" s="531"/>
      <c r="N905" s="531" t="str">
        <f aca="false">IF('(1)예금승인내역'!H1531="","",'(1)예금승인내역'!H1531)</f>
        <v/>
      </c>
      <c r="O905" s="531" t="str">
        <f aca="false">IF('(1)예금승인내역'!G1531="","",'(1)예금승인내역'!G1531)</f>
        <v/>
      </c>
      <c r="P905" s="531" t="str">
        <f aca="false">IF('(1)예금승인내역'!F1531="","",'(1)예금승인내역'!F1531)</f>
        <v/>
      </c>
      <c r="Q905" s="531" t="str">
        <f aca="false">IF('(1)예금승인내역'!C1531="","",'(1)예금승인내역'!C1531)</f>
        <v/>
      </c>
      <c r="R905" s="531" t="str">
        <f aca="false">IF('(1)예금승인내역'!K1531="","",'(1)예금승인내역'!K1531)</f>
        <v/>
      </c>
      <c r="S905" s="531" t="str">
        <f aca="false">IF('(1)예금승인내역'!L1531="","",'(1)예금승인내역'!L1531)</f>
        <v/>
      </c>
      <c r="T905" s="531" t="str">
        <f aca="false">IF('(1)예금승인내역'!AG1531="","",'(1)예금승인내역'!AG1531)</f>
        <v/>
      </c>
      <c r="U905" s="531" t="str">
        <f aca="false">IF('(1)예금승인내역'!X1531="","",'(1)예금승인내역'!X1531)</f>
        <v/>
      </c>
      <c r="V905" s="531" t="str">
        <f aca="false">IF(ISNUMBER(N905),N905-$B$2,"")</f>
        <v/>
      </c>
      <c r="W905" s="531" t="str">
        <f aca="false">IF(AND(ISNUMBER(N905),N905&gt;=$B$2,N905&lt;=$B$2+10),N905*100000+ROW(),"")</f>
        <v/>
      </c>
      <c r="X905" s="531"/>
      <c r="Y905" s="531"/>
      <c r="Z905" s="531"/>
      <c r="AA905" s="531"/>
      <c r="AB905" s="531"/>
      <c r="AC905" s="531"/>
      <c r="AD905" s="531"/>
      <c r="AE905" s="531"/>
      <c r="AF905" s="531"/>
      <c r="AG905" s="531"/>
      <c r="AH905" s="531"/>
      <c r="AI905" s="531"/>
      <c r="AJ905" s="531"/>
      <c r="AK905" s="531"/>
      <c r="AL905" s="531"/>
      <c r="AM905" s="531"/>
      <c r="AN905" s="531"/>
    </row>
    <row r="906" customFormat="false" ht="16.5" hidden="false" customHeight="true" outlineLevel="0" collapsed="false">
      <c r="A906" s="531"/>
      <c r="B906" s="531"/>
      <c r="C906" s="531"/>
      <c r="D906" s="531"/>
      <c r="E906" s="531"/>
      <c r="F906" s="531"/>
      <c r="G906" s="531"/>
      <c r="H906" s="531"/>
      <c r="I906" s="531"/>
      <c r="J906" s="531"/>
      <c r="K906" s="531"/>
      <c r="L906" s="531"/>
      <c r="M906" s="531"/>
      <c r="N906" s="531" t="str">
        <f aca="false">IF('(1)예금승인내역'!H1532="","",'(1)예금승인내역'!H1532)</f>
        <v/>
      </c>
      <c r="O906" s="531" t="str">
        <f aca="false">IF('(1)예금승인내역'!G1532="","",'(1)예금승인내역'!G1532)</f>
        <v/>
      </c>
      <c r="P906" s="531" t="str">
        <f aca="false">IF('(1)예금승인내역'!F1532="","",'(1)예금승인내역'!F1532)</f>
        <v/>
      </c>
      <c r="Q906" s="531" t="str">
        <f aca="false">IF('(1)예금승인내역'!C1532="","",'(1)예금승인내역'!C1532)</f>
        <v/>
      </c>
      <c r="R906" s="531" t="str">
        <f aca="false">IF('(1)예금승인내역'!K1532="","",'(1)예금승인내역'!K1532)</f>
        <v/>
      </c>
      <c r="S906" s="531" t="str">
        <f aca="false">IF('(1)예금승인내역'!L1532="","",'(1)예금승인내역'!L1532)</f>
        <v/>
      </c>
      <c r="T906" s="531" t="str">
        <f aca="false">IF('(1)예금승인내역'!AG1532="","",'(1)예금승인내역'!AG1532)</f>
        <v/>
      </c>
      <c r="U906" s="531" t="str">
        <f aca="false">IF('(1)예금승인내역'!X1532="","",'(1)예금승인내역'!X1532)</f>
        <v/>
      </c>
      <c r="V906" s="531" t="str">
        <f aca="false">IF(ISNUMBER(N906),N906-$B$2,"")</f>
        <v/>
      </c>
      <c r="W906" s="531" t="str">
        <f aca="false">IF(AND(ISNUMBER(N906),N906&gt;=$B$2,N906&lt;=$B$2+10),N906*100000+ROW(),"")</f>
        <v/>
      </c>
      <c r="X906" s="531"/>
      <c r="Y906" s="531"/>
      <c r="Z906" s="531"/>
      <c r="AA906" s="531"/>
      <c r="AB906" s="531"/>
      <c r="AC906" s="531"/>
      <c r="AD906" s="531"/>
      <c r="AE906" s="531"/>
      <c r="AF906" s="531"/>
      <c r="AG906" s="531"/>
      <c r="AH906" s="531"/>
      <c r="AI906" s="531"/>
      <c r="AJ906" s="531"/>
      <c r="AK906" s="531"/>
      <c r="AL906" s="531"/>
      <c r="AM906" s="531"/>
      <c r="AN906" s="531"/>
    </row>
    <row r="907" customFormat="false" ht="16.5" hidden="false" customHeight="true" outlineLevel="0" collapsed="false">
      <c r="A907" s="531"/>
      <c r="B907" s="531"/>
      <c r="C907" s="531"/>
      <c r="D907" s="531"/>
      <c r="E907" s="531"/>
      <c r="F907" s="531"/>
      <c r="G907" s="531"/>
      <c r="H907" s="531"/>
      <c r="I907" s="531"/>
      <c r="J907" s="531"/>
      <c r="K907" s="531"/>
      <c r="L907" s="531"/>
      <c r="M907" s="531"/>
      <c r="N907" s="531" t="str">
        <f aca="false">IF('(1)예금승인내역'!H1533="","",'(1)예금승인내역'!H1533)</f>
        <v/>
      </c>
      <c r="O907" s="531" t="str">
        <f aca="false">IF('(1)예금승인내역'!G1533="","",'(1)예금승인내역'!G1533)</f>
        <v/>
      </c>
      <c r="P907" s="531" t="str">
        <f aca="false">IF('(1)예금승인내역'!F1533="","",'(1)예금승인내역'!F1533)</f>
        <v/>
      </c>
      <c r="Q907" s="531" t="str">
        <f aca="false">IF('(1)예금승인내역'!C1533="","",'(1)예금승인내역'!C1533)</f>
        <v/>
      </c>
      <c r="R907" s="531" t="str">
        <f aca="false">IF('(1)예금승인내역'!K1533="","",'(1)예금승인내역'!K1533)</f>
        <v/>
      </c>
      <c r="S907" s="531" t="str">
        <f aca="false">IF('(1)예금승인내역'!L1533="","",'(1)예금승인내역'!L1533)</f>
        <v/>
      </c>
      <c r="T907" s="531" t="str">
        <f aca="false">IF('(1)예금승인내역'!AG1533="","",'(1)예금승인내역'!AG1533)</f>
        <v/>
      </c>
      <c r="U907" s="531" t="str">
        <f aca="false">IF('(1)예금승인내역'!X1533="","",'(1)예금승인내역'!X1533)</f>
        <v/>
      </c>
      <c r="V907" s="531" t="str">
        <f aca="false">IF(ISNUMBER(N907),N907-$B$2,"")</f>
        <v/>
      </c>
      <c r="W907" s="531" t="str">
        <f aca="false">IF(AND(ISNUMBER(N907),N907&gt;=$B$2,N907&lt;=$B$2+10),N907*100000+ROW(),"")</f>
        <v/>
      </c>
      <c r="X907" s="531"/>
      <c r="Y907" s="531"/>
      <c r="Z907" s="531"/>
      <c r="AA907" s="531"/>
      <c r="AB907" s="531"/>
      <c r="AC907" s="531"/>
      <c r="AD907" s="531"/>
      <c r="AE907" s="531"/>
      <c r="AF907" s="531"/>
      <c r="AG907" s="531"/>
      <c r="AH907" s="531"/>
      <c r="AI907" s="531"/>
      <c r="AJ907" s="531"/>
      <c r="AK907" s="531"/>
      <c r="AL907" s="531"/>
      <c r="AM907" s="531"/>
      <c r="AN907" s="531"/>
    </row>
    <row r="908" customFormat="false" ht="16.5" hidden="false" customHeight="true" outlineLevel="0" collapsed="false">
      <c r="A908" s="531"/>
      <c r="B908" s="531"/>
      <c r="C908" s="531"/>
      <c r="D908" s="531"/>
      <c r="E908" s="531"/>
      <c r="F908" s="531"/>
      <c r="G908" s="531"/>
      <c r="H908" s="531"/>
      <c r="I908" s="531"/>
      <c r="J908" s="531"/>
      <c r="K908" s="531"/>
      <c r="L908" s="531"/>
      <c r="M908" s="531"/>
      <c r="N908" s="531" t="str">
        <f aca="false">IF('(1)예금승인내역'!H1534="","",'(1)예금승인내역'!H1534)</f>
        <v/>
      </c>
      <c r="O908" s="531" t="str">
        <f aca="false">IF('(1)예금승인내역'!G1534="","",'(1)예금승인내역'!G1534)</f>
        <v/>
      </c>
      <c r="P908" s="531" t="str">
        <f aca="false">IF('(1)예금승인내역'!F1534="","",'(1)예금승인내역'!F1534)</f>
        <v/>
      </c>
      <c r="Q908" s="531" t="str">
        <f aca="false">IF('(1)예금승인내역'!C1534="","",'(1)예금승인내역'!C1534)</f>
        <v/>
      </c>
      <c r="R908" s="531" t="str">
        <f aca="false">IF('(1)예금승인내역'!K1534="","",'(1)예금승인내역'!K1534)</f>
        <v/>
      </c>
      <c r="S908" s="531" t="str">
        <f aca="false">IF('(1)예금승인내역'!L1534="","",'(1)예금승인내역'!L1534)</f>
        <v/>
      </c>
      <c r="T908" s="531" t="str">
        <f aca="false">IF('(1)예금승인내역'!AG1534="","",'(1)예금승인내역'!AG1534)</f>
        <v/>
      </c>
      <c r="U908" s="531" t="str">
        <f aca="false">IF('(1)예금승인내역'!X1534="","",'(1)예금승인내역'!X1534)</f>
        <v/>
      </c>
      <c r="V908" s="531" t="str">
        <f aca="false">IF(ISNUMBER(N908),N908-$B$2,"")</f>
        <v/>
      </c>
      <c r="W908" s="531" t="str">
        <f aca="false">IF(AND(ISNUMBER(N908),N908&gt;=$B$2,N908&lt;=$B$2+10),N908*100000+ROW(),"")</f>
        <v/>
      </c>
      <c r="X908" s="531"/>
      <c r="Y908" s="531"/>
      <c r="Z908" s="531"/>
      <c r="AA908" s="531"/>
      <c r="AB908" s="531"/>
      <c r="AC908" s="531"/>
      <c r="AD908" s="531"/>
      <c r="AE908" s="531"/>
      <c r="AF908" s="531"/>
      <c r="AG908" s="531"/>
      <c r="AH908" s="531"/>
      <c r="AI908" s="531"/>
      <c r="AJ908" s="531"/>
      <c r="AK908" s="531"/>
      <c r="AL908" s="531"/>
      <c r="AM908" s="531"/>
      <c r="AN908" s="531"/>
    </row>
    <row r="909" customFormat="false" ht="16.5" hidden="false" customHeight="true" outlineLevel="0" collapsed="false">
      <c r="A909" s="531"/>
      <c r="B909" s="531"/>
      <c r="C909" s="531"/>
      <c r="D909" s="531"/>
      <c r="E909" s="531"/>
      <c r="F909" s="531"/>
      <c r="G909" s="531"/>
      <c r="H909" s="531"/>
      <c r="I909" s="531"/>
      <c r="J909" s="531"/>
      <c r="K909" s="531"/>
      <c r="L909" s="531"/>
      <c r="M909" s="531"/>
      <c r="N909" s="531" t="str">
        <f aca="false">IF('(1)예금승인내역'!H1535="","",'(1)예금승인내역'!H1535)</f>
        <v/>
      </c>
      <c r="O909" s="531" t="str">
        <f aca="false">IF('(1)예금승인내역'!G1535="","",'(1)예금승인내역'!G1535)</f>
        <v/>
      </c>
      <c r="P909" s="531" t="str">
        <f aca="false">IF('(1)예금승인내역'!F1535="","",'(1)예금승인내역'!F1535)</f>
        <v/>
      </c>
      <c r="Q909" s="531" t="str">
        <f aca="false">IF('(1)예금승인내역'!C1535="","",'(1)예금승인내역'!C1535)</f>
        <v/>
      </c>
      <c r="R909" s="531" t="str">
        <f aca="false">IF('(1)예금승인내역'!K1535="","",'(1)예금승인내역'!K1535)</f>
        <v/>
      </c>
      <c r="S909" s="531" t="str">
        <f aca="false">IF('(1)예금승인내역'!L1535="","",'(1)예금승인내역'!L1535)</f>
        <v/>
      </c>
      <c r="T909" s="531" t="str">
        <f aca="false">IF('(1)예금승인내역'!AG1535="","",'(1)예금승인내역'!AG1535)</f>
        <v/>
      </c>
      <c r="U909" s="531" t="str">
        <f aca="false">IF('(1)예금승인내역'!X1535="","",'(1)예금승인내역'!X1535)</f>
        <v/>
      </c>
      <c r="V909" s="531" t="str">
        <f aca="false">IF(ISNUMBER(N909),N909-$B$2,"")</f>
        <v/>
      </c>
      <c r="W909" s="531" t="str">
        <f aca="false">IF(AND(ISNUMBER(N909),N909&gt;=$B$2,N909&lt;=$B$2+10),N909*100000+ROW(),"")</f>
        <v/>
      </c>
      <c r="X909" s="531"/>
      <c r="Y909" s="531"/>
      <c r="Z909" s="531"/>
      <c r="AA909" s="531"/>
      <c r="AB909" s="531"/>
      <c r="AC909" s="531"/>
      <c r="AD909" s="531"/>
      <c r="AE909" s="531"/>
      <c r="AF909" s="531"/>
      <c r="AG909" s="531"/>
      <c r="AH909" s="531"/>
      <c r="AI909" s="531"/>
      <c r="AJ909" s="531"/>
      <c r="AK909" s="531"/>
      <c r="AL909" s="531"/>
      <c r="AM909" s="531"/>
      <c r="AN909" s="531"/>
    </row>
    <row r="910" customFormat="false" ht="16.5" hidden="false" customHeight="true" outlineLevel="0" collapsed="false">
      <c r="A910" s="531"/>
      <c r="B910" s="531"/>
      <c r="C910" s="531"/>
      <c r="D910" s="531"/>
      <c r="E910" s="531"/>
      <c r="F910" s="531"/>
      <c r="G910" s="531"/>
      <c r="H910" s="531"/>
      <c r="I910" s="531"/>
      <c r="J910" s="531"/>
      <c r="K910" s="531"/>
      <c r="L910" s="531"/>
      <c r="M910" s="531"/>
      <c r="N910" s="531" t="str">
        <f aca="false">IF('(1)예금승인내역'!H1536="","",'(1)예금승인내역'!H1536)</f>
        <v/>
      </c>
      <c r="O910" s="531" t="str">
        <f aca="false">IF('(1)예금승인내역'!G1536="","",'(1)예금승인내역'!G1536)</f>
        <v/>
      </c>
      <c r="P910" s="531" t="str">
        <f aca="false">IF('(1)예금승인내역'!F1536="","",'(1)예금승인내역'!F1536)</f>
        <v/>
      </c>
      <c r="Q910" s="531" t="str">
        <f aca="false">IF('(1)예금승인내역'!C1536="","",'(1)예금승인내역'!C1536)</f>
        <v/>
      </c>
      <c r="R910" s="531" t="str">
        <f aca="false">IF('(1)예금승인내역'!K1536="","",'(1)예금승인내역'!K1536)</f>
        <v/>
      </c>
      <c r="S910" s="531" t="str">
        <f aca="false">IF('(1)예금승인내역'!L1536="","",'(1)예금승인내역'!L1536)</f>
        <v/>
      </c>
      <c r="T910" s="531" t="str">
        <f aca="false">IF('(1)예금승인내역'!AG1536="","",'(1)예금승인내역'!AG1536)</f>
        <v/>
      </c>
      <c r="U910" s="531" t="str">
        <f aca="false">IF('(1)예금승인내역'!X1536="","",'(1)예금승인내역'!X1536)</f>
        <v/>
      </c>
      <c r="V910" s="531" t="str">
        <f aca="false">IF(ISNUMBER(N910),N910-$B$2,"")</f>
        <v/>
      </c>
      <c r="W910" s="531" t="str">
        <f aca="false">IF(AND(ISNUMBER(N910),N910&gt;=$B$2,N910&lt;=$B$2+10),N910*100000+ROW(),"")</f>
        <v/>
      </c>
      <c r="X910" s="531"/>
      <c r="Y910" s="531"/>
      <c r="Z910" s="531"/>
      <c r="AA910" s="531"/>
      <c r="AB910" s="531"/>
      <c r="AC910" s="531"/>
      <c r="AD910" s="531"/>
      <c r="AE910" s="531"/>
      <c r="AF910" s="531"/>
      <c r="AG910" s="531"/>
      <c r="AH910" s="531"/>
      <c r="AI910" s="531"/>
      <c r="AJ910" s="531"/>
      <c r="AK910" s="531"/>
      <c r="AL910" s="531"/>
      <c r="AM910" s="531"/>
      <c r="AN910" s="531"/>
    </row>
    <row r="911" customFormat="false" ht="16.5" hidden="false" customHeight="true" outlineLevel="0" collapsed="false">
      <c r="A911" s="531"/>
      <c r="B911" s="531"/>
      <c r="C911" s="531"/>
      <c r="D911" s="531"/>
      <c r="E911" s="531"/>
      <c r="F911" s="531"/>
      <c r="G911" s="531"/>
      <c r="H911" s="531"/>
      <c r="I911" s="531"/>
      <c r="J911" s="531"/>
      <c r="K911" s="531"/>
      <c r="L911" s="531"/>
      <c r="M911" s="531"/>
      <c r="N911" s="531" t="str">
        <f aca="false">IF('(1)예금승인내역'!H1537="","",'(1)예금승인내역'!H1537)</f>
        <v/>
      </c>
      <c r="O911" s="531" t="str">
        <f aca="false">IF('(1)예금승인내역'!G1537="","",'(1)예금승인내역'!G1537)</f>
        <v/>
      </c>
      <c r="P911" s="531" t="str">
        <f aca="false">IF('(1)예금승인내역'!F1537="","",'(1)예금승인내역'!F1537)</f>
        <v/>
      </c>
      <c r="Q911" s="531" t="str">
        <f aca="false">IF('(1)예금승인내역'!C1537="","",'(1)예금승인내역'!C1537)</f>
        <v/>
      </c>
      <c r="R911" s="531" t="str">
        <f aca="false">IF('(1)예금승인내역'!K1537="","",'(1)예금승인내역'!K1537)</f>
        <v/>
      </c>
      <c r="S911" s="531" t="str">
        <f aca="false">IF('(1)예금승인내역'!L1537="","",'(1)예금승인내역'!L1537)</f>
        <v/>
      </c>
      <c r="T911" s="531" t="str">
        <f aca="false">IF('(1)예금승인내역'!AG1537="","",'(1)예금승인내역'!AG1537)</f>
        <v/>
      </c>
      <c r="U911" s="531" t="str">
        <f aca="false">IF('(1)예금승인내역'!X1537="","",'(1)예금승인내역'!X1537)</f>
        <v/>
      </c>
      <c r="V911" s="531" t="str">
        <f aca="false">IF(ISNUMBER(N911),N911-$B$2,"")</f>
        <v/>
      </c>
      <c r="W911" s="531" t="str">
        <f aca="false">IF(AND(ISNUMBER(N911),N911&gt;=$B$2,N911&lt;=$B$2+10),N911*100000+ROW(),"")</f>
        <v/>
      </c>
      <c r="X911" s="531"/>
      <c r="Y911" s="531"/>
      <c r="Z911" s="531"/>
      <c r="AA911" s="531"/>
      <c r="AB911" s="531"/>
      <c r="AC911" s="531"/>
      <c r="AD911" s="531"/>
      <c r="AE911" s="531"/>
      <c r="AF911" s="531"/>
      <c r="AG911" s="531"/>
      <c r="AH911" s="531"/>
      <c r="AI911" s="531"/>
      <c r="AJ911" s="531"/>
      <c r="AK911" s="531"/>
      <c r="AL911" s="531"/>
      <c r="AM911" s="531"/>
      <c r="AN911" s="531"/>
    </row>
    <row r="912" customFormat="false" ht="16.5" hidden="false" customHeight="true" outlineLevel="0" collapsed="false">
      <c r="A912" s="531"/>
      <c r="B912" s="531"/>
      <c r="C912" s="531"/>
      <c r="D912" s="531"/>
      <c r="E912" s="531"/>
      <c r="F912" s="531"/>
      <c r="G912" s="531"/>
      <c r="H912" s="531"/>
      <c r="I912" s="531"/>
      <c r="J912" s="531"/>
      <c r="K912" s="531"/>
      <c r="L912" s="531"/>
      <c r="M912" s="531"/>
      <c r="N912" s="531" t="str">
        <f aca="false">IF('(1)예금승인내역'!H1538="","",'(1)예금승인내역'!H1538)</f>
        <v/>
      </c>
      <c r="O912" s="531" t="str">
        <f aca="false">IF('(1)예금승인내역'!G1538="","",'(1)예금승인내역'!G1538)</f>
        <v/>
      </c>
      <c r="P912" s="531" t="str">
        <f aca="false">IF('(1)예금승인내역'!F1538="","",'(1)예금승인내역'!F1538)</f>
        <v/>
      </c>
      <c r="Q912" s="531" t="str">
        <f aca="false">IF('(1)예금승인내역'!C1538="","",'(1)예금승인내역'!C1538)</f>
        <v/>
      </c>
      <c r="R912" s="531" t="str">
        <f aca="false">IF('(1)예금승인내역'!K1538="","",'(1)예금승인내역'!K1538)</f>
        <v/>
      </c>
      <c r="S912" s="531" t="str">
        <f aca="false">IF('(1)예금승인내역'!L1538="","",'(1)예금승인내역'!L1538)</f>
        <v/>
      </c>
      <c r="T912" s="531" t="str">
        <f aca="false">IF('(1)예금승인내역'!AG1538="","",'(1)예금승인내역'!AG1538)</f>
        <v/>
      </c>
      <c r="U912" s="531" t="str">
        <f aca="false">IF('(1)예금승인내역'!X1538="","",'(1)예금승인내역'!X1538)</f>
        <v/>
      </c>
      <c r="V912" s="531" t="str">
        <f aca="false">IF(ISNUMBER(N912),N912-$B$2,"")</f>
        <v/>
      </c>
      <c r="W912" s="531" t="str">
        <f aca="false">IF(AND(ISNUMBER(N912),N912&gt;=$B$2,N912&lt;=$B$2+10),N912*100000+ROW(),"")</f>
        <v/>
      </c>
      <c r="X912" s="531"/>
      <c r="Y912" s="531"/>
      <c r="Z912" s="531"/>
      <c r="AA912" s="531"/>
      <c r="AB912" s="531"/>
      <c r="AC912" s="531"/>
      <c r="AD912" s="531"/>
      <c r="AE912" s="531"/>
      <c r="AF912" s="531"/>
      <c r="AG912" s="531"/>
      <c r="AH912" s="531"/>
      <c r="AI912" s="531"/>
      <c r="AJ912" s="531"/>
      <c r="AK912" s="531"/>
      <c r="AL912" s="531"/>
      <c r="AM912" s="531"/>
      <c r="AN912" s="531"/>
    </row>
    <row r="913" customFormat="false" ht="16.5" hidden="false" customHeight="true" outlineLevel="0" collapsed="false">
      <c r="A913" s="531"/>
      <c r="B913" s="531"/>
      <c r="C913" s="531"/>
      <c r="D913" s="531"/>
      <c r="E913" s="531"/>
      <c r="F913" s="531"/>
      <c r="G913" s="531"/>
      <c r="H913" s="531"/>
      <c r="I913" s="531"/>
      <c r="J913" s="531"/>
      <c r="K913" s="531"/>
      <c r="L913" s="531"/>
      <c r="M913" s="531"/>
      <c r="N913" s="531" t="str">
        <f aca="false">IF('(1)예금승인내역'!H1539="","",'(1)예금승인내역'!H1539)</f>
        <v/>
      </c>
      <c r="O913" s="531" t="str">
        <f aca="false">IF('(1)예금승인내역'!G1539="","",'(1)예금승인내역'!G1539)</f>
        <v/>
      </c>
      <c r="P913" s="531" t="str">
        <f aca="false">IF('(1)예금승인내역'!F1539="","",'(1)예금승인내역'!F1539)</f>
        <v/>
      </c>
      <c r="Q913" s="531" t="str">
        <f aca="false">IF('(1)예금승인내역'!C1539="","",'(1)예금승인내역'!C1539)</f>
        <v/>
      </c>
      <c r="R913" s="531" t="str">
        <f aca="false">IF('(1)예금승인내역'!K1539="","",'(1)예금승인내역'!K1539)</f>
        <v/>
      </c>
      <c r="S913" s="531" t="str">
        <f aca="false">IF('(1)예금승인내역'!L1539="","",'(1)예금승인내역'!L1539)</f>
        <v/>
      </c>
      <c r="T913" s="531" t="str">
        <f aca="false">IF('(1)예금승인내역'!AG1539="","",'(1)예금승인내역'!AG1539)</f>
        <v/>
      </c>
      <c r="U913" s="531" t="str">
        <f aca="false">IF('(1)예금승인내역'!X1539="","",'(1)예금승인내역'!X1539)</f>
        <v/>
      </c>
      <c r="V913" s="531" t="str">
        <f aca="false">IF(ISNUMBER(N913),N913-$B$2,"")</f>
        <v/>
      </c>
      <c r="W913" s="531" t="str">
        <f aca="false">IF(AND(ISNUMBER(N913),N913&gt;=$B$2,N913&lt;=$B$2+10),N913*100000+ROW(),"")</f>
        <v/>
      </c>
      <c r="X913" s="531"/>
      <c r="Y913" s="531"/>
      <c r="Z913" s="531"/>
      <c r="AA913" s="531"/>
      <c r="AB913" s="531"/>
      <c r="AC913" s="531"/>
      <c r="AD913" s="531"/>
      <c r="AE913" s="531"/>
      <c r="AF913" s="531"/>
      <c r="AG913" s="531"/>
      <c r="AH913" s="531"/>
      <c r="AI913" s="531"/>
      <c r="AJ913" s="531"/>
      <c r="AK913" s="531"/>
      <c r="AL913" s="531"/>
      <c r="AM913" s="531"/>
      <c r="AN913" s="531"/>
    </row>
    <row r="914" customFormat="false" ht="16.5" hidden="false" customHeight="true" outlineLevel="0" collapsed="false">
      <c r="A914" s="531"/>
      <c r="B914" s="531"/>
      <c r="C914" s="531"/>
      <c r="D914" s="531"/>
      <c r="E914" s="531"/>
      <c r="F914" s="531"/>
      <c r="G914" s="531"/>
      <c r="H914" s="531"/>
      <c r="I914" s="531"/>
      <c r="J914" s="531"/>
      <c r="K914" s="531"/>
      <c r="L914" s="531"/>
      <c r="M914" s="531"/>
      <c r="N914" s="531" t="str">
        <f aca="false">IF('(1)예금승인내역'!H1540="","",'(1)예금승인내역'!H1540)</f>
        <v/>
      </c>
      <c r="O914" s="531" t="str">
        <f aca="false">IF('(1)예금승인내역'!G1540="","",'(1)예금승인내역'!G1540)</f>
        <v/>
      </c>
      <c r="P914" s="531" t="str">
        <f aca="false">IF('(1)예금승인내역'!F1540="","",'(1)예금승인내역'!F1540)</f>
        <v/>
      </c>
      <c r="Q914" s="531" t="str">
        <f aca="false">IF('(1)예금승인내역'!C1540="","",'(1)예금승인내역'!C1540)</f>
        <v/>
      </c>
      <c r="R914" s="531" t="str">
        <f aca="false">IF('(1)예금승인내역'!K1540="","",'(1)예금승인내역'!K1540)</f>
        <v/>
      </c>
      <c r="S914" s="531" t="str">
        <f aca="false">IF('(1)예금승인내역'!L1540="","",'(1)예금승인내역'!L1540)</f>
        <v/>
      </c>
      <c r="T914" s="531" t="str">
        <f aca="false">IF('(1)예금승인내역'!AG1540="","",'(1)예금승인내역'!AG1540)</f>
        <v/>
      </c>
      <c r="U914" s="531" t="str">
        <f aca="false">IF('(1)예금승인내역'!X1540="","",'(1)예금승인내역'!X1540)</f>
        <v/>
      </c>
      <c r="V914" s="531" t="str">
        <f aca="false">IF(ISNUMBER(N914),N914-$B$2,"")</f>
        <v/>
      </c>
      <c r="W914" s="531" t="str">
        <f aca="false">IF(AND(ISNUMBER(N914),N914&gt;=$B$2,N914&lt;=$B$2+10),N914*100000+ROW(),"")</f>
        <v/>
      </c>
      <c r="X914" s="531"/>
      <c r="Y914" s="531"/>
      <c r="Z914" s="531"/>
      <c r="AA914" s="531"/>
      <c r="AB914" s="531"/>
      <c r="AC914" s="531"/>
      <c r="AD914" s="531"/>
      <c r="AE914" s="531"/>
      <c r="AF914" s="531"/>
      <c r="AG914" s="531"/>
      <c r="AH914" s="531"/>
      <c r="AI914" s="531"/>
      <c r="AJ914" s="531"/>
      <c r="AK914" s="531"/>
      <c r="AL914" s="531"/>
      <c r="AM914" s="531"/>
      <c r="AN914" s="531"/>
    </row>
    <row r="915" customFormat="false" ht="16.5" hidden="false" customHeight="true" outlineLevel="0" collapsed="false">
      <c r="A915" s="531"/>
      <c r="B915" s="531"/>
      <c r="C915" s="531"/>
      <c r="D915" s="531"/>
      <c r="E915" s="531"/>
      <c r="F915" s="531"/>
      <c r="G915" s="531"/>
      <c r="H915" s="531"/>
      <c r="I915" s="531"/>
      <c r="J915" s="531"/>
      <c r="K915" s="531"/>
      <c r="L915" s="531"/>
      <c r="M915" s="531"/>
      <c r="N915" s="531" t="str">
        <f aca="false">IF('(1)예금승인내역'!H1541="","",'(1)예금승인내역'!H1541)</f>
        <v/>
      </c>
      <c r="O915" s="531" t="str">
        <f aca="false">IF('(1)예금승인내역'!G1541="","",'(1)예금승인내역'!G1541)</f>
        <v/>
      </c>
      <c r="P915" s="531" t="str">
        <f aca="false">IF('(1)예금승인내역'!F1541="","",'(1)예금승인내역'!F1541)</f>
        <v/>
      </c>
      <c r="Q915" s="531" t="str">
        <f aca="false">IF('(1)예금승인내역'!C1541="","",'(1)예금승인내역'!C1541)</f>
        <v/>
      </c>
      <c r="R915" s="531" t="str">
        <f aca="false">IF('(1)예금승인내역'!K1541="","",'(1)예금승인내역'!K1541)</f>
        <v/>
      </c>
      <c r="S915" s="531" t="str">
        <f aca="false">IF('(1)예금승인내역'!L1541="","",'(1)예금승인내역'!L1541)</f>
        <v/>
      </c>
      <c r="T915" s="531" t="str">
        <f aca="false">IF('(1)예금승인내역'!AG1541="","",'(1)예금승인내역'!AG1541)</f>
        <v/>
      </c>
      <c r="U915" s="531" t="str">
        <f aca="false">IF('(1)예금승인내역'!X1541="","",'(1)예금승인내역'!X1541)</f>
        <v/>
      </c>
      <c r="V915" s="531" t="str">
        <f aca="false">IF(ISNUMBER(N915),N915-$B$2,"")</f>
        <v/>
      </c>
      <c r="W915" s="531" t="str">
        <f aca="false">IF(AND(ISNUMBER(N915),N915&gt;=$B$2,N915&lt;=$B$2+10),N915*100000+ROW(),"")</f>
        <v/>
      </c>
      <c r="X915" s="531"/>
      <c r="Y915" s="531"/>
      <c r="Z915" s="531"/>
      <c r="AA915" s="531"/>
      <c r="AB915" s="531"/>
      <c r="AC915" s="531"/>
      <c r="AD915" s="531"/>
      <c r="AE915" s="531"/>
      <c r="AF915" s="531"/>
      <c r="AG915" s="531"/>
      <c r="AH915" s="531"/>
      <c r="AI915" s="531"/>
      <c r="AJ915" s="531"/>
      <c r="AK915" s="531"/>
      <c r="AL915" s="531"/>
      <c r="AM915" s="531"/>
      <c r="AN915" s="531"/>
    </row>
    <row r="916" customFormat="false" ht="16.5" hidden="false" customHeight="true" outlineLevel="0" collapsed="false">
      <c r="A916" s="531"/>
      <c r="B916" s="531"/>
      <c r="C916" s="531"/>
      <c r="D916" s="531"/>
      <c r="E916" s="531"/>
      <c r="F916" s="531"/>
      <c r="G916" s="531"/>
      <c r="H916" s="531"/>
      <c r="I916" s="531"/>
      <c r="J916" s="531"/>
      <c r="K916" s="531"/>
      <c r="L916" s="531"/>
      <c r="M916" s="531"/>
      <c r="N916" s="531" t="str">
        <f aca="false">IF('(1)예금승인내역'!H1542="","",'(1)예금승인내역'!H1542)</f>
        <v/>
      </c>
      <c r="O916" s="531" t="str">
        <f aca="false">IF('(1)예금승인내역'!G1542="","",'(1)예금승인내역'!G1542)</f>
        <v/>
      </c>
      <c r="P916" s="531" t="str">
        <f aca="false">IF('(1)예금승인내역'!F1542="","",'(1)예금승인내역'!F1542)</f>
        <v/>
      </c>
      <c r="Q916" s="531" t="str">
        <f aca="false">IF('(1)예금승인내역'!C1542="","",'(1)예금승인내역'!C1542)</f>
        <v/>
      </c>
      <c r="R916" s="531" t="str">
        <f aca="false">IF('(1)예금승인내역'!K1542="","",'(1)예금승인내역'!K1542)</f>
        <v/>
      </c>
      <c r="S916" s="531" t="str">
        <f aca="false">IF('(1)예금승인내역'!L1542="","",'(1)예금승인내역'!L1542)</f>
        <v/>
      </c>
      <c r="T916" s="531" t="str">
        <f aca="false">IF('(1)예금승인내역'!AG1542="","",'(1)예금승인내역'!AG1542)</f>
        <v/>
      </c>
      <c r="U916" s="531" t="str">
        <f aca="false">IF('(1)예금승인내역'!X1542="","",'(1)예금승인내역'!X1542)</f>
        <v/>
      </c>
      <c r="V916" s="531" t="str">
        <f aca="false">IF(ISNUMBER(N916),N916-$B$2,"")</f>
        <v/>
      </c>
      <c r="W916" s="531" t="str">
        <f aca="false">IF(AND(ISNUMBER(N916),N916&gt;=$B$2,N916&lt;=$B$2+10),N916*100000+ROW(),"")</f>
        <v/>
      </c>
      <c r="X916" s="531"/>
      <c r="Y916" s="531"/>
      <c r="Z916" s="531"/>
      <c r="AA916" s="531"/>
      <c r="AB916" s="531"/>
      <c r="AC916" s="531"/>
      <c r="AD916" s="531"/>
      <c r="AE916" s="531"/>
      <c r="AF916" s="531"/>
      <c r="AG916" s="531"/>
      <c r="AH916" s="531"/>
      <c r="AI916" s="531"/>
      <c r="AJ916" s="531"/>
      <c r="AK916" s="531"/>
      <c r="AL916" s="531"/>
      <c r="AM916" s="531"/>
      <c r="AN916" s="531"/>
    </row>
    <row r="917" customFormat="false" ht="16.5" hidden="false" customHeight="true" outlineLevel="0" collapsed="false">
      <c r="A917" s="531"/>
      <c r="B917" s="531"/>
      <c r="C917" s="531"/>
      <c r="D917" s="531"/>
      <c r="E917" s="531"/>
      <c r="F917" s="531"/>
      <c r="G917" s="531"/>
      <c r="H917" s="531"/>
      <c r="I917" s="531"/>
      <c r="J917" s="531"/>
      <c r="K917" s="531"/>
      <c r="L917" s="531"/>
      <c r="M917" s="531"/>
      <c r="N917" s="531" t="str">
        <f aca="false">IF('(1)예금승인내역'!H1543="","",'(1)예금승인내역'!H1543)</f>
        <v/>
      </c>
      <c r="O917" s="531" t="str">
        <f aca="false">IF('(1)예금승인내역'!G1543="","",'(1)예금승인내역'!G1543)</f>
        <v/>
      </c>
      <c r="P917" s="531" t="str">
        <f aca="false">IF('(1)예금승인내역'!F1543="","",'(1)예금승인내역'!F1543)</f>
        <v/>
      </c>
      <c r="Q917" s="531" t="str">
        <f aca="false">IF('(1)예금승인내역'!C1543="","",'(1)예금승인내역'!C1543)</f>
        <v/>
      </c>
      <c r="R917" s="531" t="str">
        <f aca="false">IF('(1)예금승인내역'!K1543="","",'(1)예금승인내역'!K1543)</f>
        <v/>
      </c>
      <c r="S917" s="531" t="str">
        <f aca="false">IF('(1)예금승인내역'!L1543="","",'(1)예금승인내역'!L1543)</f>
        <v/>
      </c>
      <c r="T917" s="531" t="str">
        <f aca="false">IF('(1)예금승인내역'!AG1543="","",'(1)예금승인내역'!AG1543)</f>
        <v/>
      </c>
      <c r="U917" s="531" t="str">
        <f aca="false">IF('(1)예금승인내역'!X1543="","",'(1)예금승인내역'!X1543)</f>
        <v/>
      </c>
      <c r="V917" s="531" t="str">
        <f aca="false">IF(ISNUMBER(N917),N917-$B$2,"")</f>
        <v/>
      </c>
      <c r="W917" s="531" t="str">
        <f aca="false">IF(AND(ISNUMBER(N917),N917&gt;=$B$2,N917&lt;=$B$2+10),N917*100000+ROW(),"")</f>
        <v/>
      </c>
      <c r="X917" s="531"/>
      <c r="Y917" s="531"/>
      <c r="Z917" s="531"/>
      <c r="AA917" s="531"/>
      <c r="AB917" s="531"/>
      <c r="AC917" s="531"/>
      <c r="AD917" s="531"/>
      <c r="AE917" s="531"/>
      <c r="AF917" s="531"/>
      <c r="AG917" s="531"/>
      <c r="AH917" s="531"/>
      <c r="AI917" s="531"/>
      <c r="AJ917" s="531"/>
      <c r="AK917" s="531"/>
      <c r="AL917" s="531"/>
      <c r="AM917" s="531"/>
      <c r="AN917" s="531"/>
    </row>
    <row r="918" customFormat="false" ht="16.5" hidden="false" customHeight="true" outlineLevel="0" collapsed="false">
      <c r="A918" s="531"/>
      <c r="B918" s="531"/>
      <c r="C918" s="531"/>
      <c r="D918" s="531"/>
      <c r="E918" s="531"/>
      <c r="F918" s="531"/>
      <c r="G918" s="531"/>
      <c r="H918" s="531"/>
      <c r="I918" s="531"/>
      <c r="J918" s="531"/>
      <c r="K918" s="531"/>
      <c r="L918" s="531"/>
      <c r="M918" s="531"/>
      <c r="N918" s="531" t="str">
        <f aca="false">IF('(1)예금승인내역'!H1544="","",'(1)예금승인내역'!H1544)</f>
        <v/>
      </c>
      <c r="O918" s="531" t="str">
        <f aca="false">IF('(1)예금승인내역'!G1544="","",'(1)예금승인내역'!G1544)</f>
        <v/>
      </c>
      <c r="P918" s="531" t="str">
        <f aca="false">IF('(1)예금승인내역'!F1544="","",'(1)예금승인내역'!F1544)</f>
        <v/>
      </c>
      <c r="Q918" s="531" t="str">
        <f aca="false">IF('(1)예금승인내역'!C1544="","",'(1)예금승인내역'!C1544)</f>
        <v/>
      </c>
      <c r="R918" s="531" t="str">
        <f aca="false">IF('(1)예금승인내역'!K1544="","",'(1)예금승인내역'!K1544)</f>
        <v/>
      </c>
      <c r="S918" s="531" t="str">
        <f aca="false">IF('(1)예금승인내역'!L1544="","",'(1)예금승인내역'!L1544)</f>
        <v/>
      </c>
      <c r="T918" s="531" t="str">
        <f aca="false">IF('(1)예금승인내역'!AG1544="","",'(1)예금승인내역'!AG1544)</f>
        <v/>
      </c>
      <c r="U918" s="531" t="str">
        <f aca="false">IF('(1)예금승인내역'!X1544="","",'(1)예금승인내역'!X1544)</f>
        <v/>
      </c>
      <c r="V918" s="531" t="str">
        <f aca="false">IF(ISNUMBER(N918),N918-$B$2,"")</f>
        <v/>
      </c>
      <c r="W918" s="531" t="str">
        <f aca="false">IF(AND(ISNUMBER(N918),N918&gt;=$B$2,N918&lt;=$B$2+10),N918*100000+ROW(),"")</f>
        <v/>
      </c>
      <c r="X918" s="531"/>
      <c r="Y918" s="531"/>
      <c r="Z918" s="531"/>
      <c r="AA918" s="531"/>
      <c r="AB918" s="531"/>
      <c r="AC918" s="531"/>
      <c r="AD918" s="531"/>
      <c r="AE918" s="531"/>
      <c r="AF918" s="531"/>
      <c r="AG918" s="531"/>
      <c r="AH918" s="531"/>
      <c r="AI918" s="531"/>
      <c r="AJ918" s="531"/>
      <c r="AK918" s="531"/>
      <c r="AL918" s="531"/>
      <c r="AM918" s="531"/>
      <c r="AN918" s="531"/>
    </row>
    <row r="919" customFormat="false" ht="16.5" hidden="false" customHeight="true" outlineLevel="0" collapsed="false">
      <c r="A919" s="531"/>
      <c r="B919" s="531"/>
      <c r="C919" s="531"/>
      <c r="D919" s="531"/>
      <c r="E919" s="531"/>
      <c r="F919" s="531"/>
      <c r="G919" s="531"/>
      <c r="H919" s="531"/>
      <c r="I919" s="531"/>
      <c r="J919" s="531"/>
      <c r="K919" s="531"/>
      <c r="L919" s="531"/>
      <c r="M919" s="531"/>
      <c r="N919" s="531" t="str">
        <f aca="false">IF('(1)예금승인내역'!H1545="","",'(1)예금승인내역'!H1545)</f>
        <v/>
      </c>
      <c r="O919" s="531" t="str">
        <f aca="false">IF('(1)예금승인내역'!G1545="","",'(1)예금승인내역'!G1545)</f>
        <v/>
      </c>
      <c r="P919" s="531" t="str">
        <f aca="false">IF('(1)예금승인내역'!F1545="","",'(1)예금승인내역'!F1545)</f>
        <v/>
      </c>
      <c r="Q919" s="531" t="str">
        <f aca="false">IF('(1)예금승인내역'!C1545="","",'(1)예금승인내역'!C1545)</f>
        <v/>
      </c>
      <c r="R919" s="531" t="str">
        <f aca="false">IF('(1)예금승인내역'!K1545="","",'(1)예금승인내역'!K1545)</f>
        <v/>
      </c>
      <c r="S919" s="531" t="str">
        <f aca="false">IF('(1)예금승인내역'!L1545="","",'(1)예금승인내역'!L1545)</f>
        <v/>
      </c>
      <c r="T919" s="531" t="str">
        <f aca="false">IF('(1)예금승인내역'!AG1545="","",'(1)예금승인내역'!AG1545)</f>
        <v/>
      </c>
      <c r="U919" s="531" t="str">
        <f aca="false">IF('(1)예금승인내역'!X1545="","",'(1)예금승인내역'!X1545)</f>
        <v/>
      </c>
      <c r="V919" s="531" t="str">
        <f aca="false">IF(ISNUMBER(N919),N919-$B$2,"")</f>
        <v/>
      </c>
      <c r="W919" s="531" t="str">
        <f aca="false">IF(AND(ISNUMBER(N919),N919&gt;=$B$2,N919&lt;=$B$2+10),N919*100000+ROW(),"")</f>
        <v/>
      </c>
      <c r="X919" s="531"/>
      <c r="Y919" s="531"/>
      <c r="Z919" s="531"/>
      <c r="AA919" s="531"/>
      <c r="AB919" s="531"/>
      <c r="AC919" s="531"/>
      <c r="AD919" s="531"/>
      <c r="AE919" s="531"/>
      <c r="AF919" s="531"/>
      <c r="AG919" s="531"/>
      <c r="AH919" s="531"/>
      <c r="AI919" s="531"/>
      <c r="AJ919" s="531"/>
      <c r="AK919" s="531"/>
      <c r="AL919" s="531"/>
      <c r="AM919" s="531"/>
      <c r="AN919" s="531"/>
    </row>
    <row r="920" customFormat="false" ht="16.5" hidden="false" customHeight="true" outlineLevel="0" collapsed="false">
      <c r="A920" s="531"/>
      <c r="B920" s="531"/>
      <c r="C920" s="531"/>
      <c r="D920" s="531"/>
      <c r="E920" s="531"/>
      <c r="F920" s="531"/>
      <c r="G920" s="531"/>
      <c r="H920" s="531"/>
      <c r="I920" s="531"/>
      <c r="J920" s="531"/>
      <c r="K920" s="531"/>
      <c r="L920" s="531"/>
      <c r="M920" s="531"/>
      <c r="N920" s="531" t="str">
        <f aca="false">IF('(1)예금승인내역'!H1546="","",'(1)예금승인내역'!H1546)</f>
        <v/>
      </c>
      <c r="O920" s="531" t="str">
        <f aca="false">IF('(1)예금승인내역'!G1546="","",'(1)예금승인내역'!G1546)</f>
        <v/>
      </c>
      <c r="P920" s="531" t="str">
        <f aca="false">IF('(1)예금승인내역'!F1546="","",'(1)예금승인내역'!F1546)</f>
        <v/>
      </c>
      <c r="Q920" s="531" t="str">
        <f aca="false">IF('(1)예금승인내역'!C1546="","",'(1)예금승인내역'!C1546)</f>
        <v/>
      </c>
      <c r="R920" s="531" t="str">
        <f aca="false">IF('(1)예금승인내역'!K1546="","",'(1)예금승인내역'!K1546)</f>
        <v/>
      </c>
      <c r="S920" s="531" t="str">
        <f aca="false">IF('(1)예금승인내역'!L1546="","",'(1)예금승인내역'!L1546)</f>
        <v/>
      </c>
      <c r="T920" s="531" t="str">
        <f aca="false">IF('(1)예금승인내역'!AG1546="","",'(1)예금승인내역'!AG1546)</f>
        <v/>
      </c>
      <c r="U920" s="531" t="str">
        <f aca="false">IF('(1)예금승인내역'!X1546="","",'(1)예금승인내역'!X1546)</f>
        <v/>
      </c>
      <c r="V920" s="531" t="str">
        <f aca="false">IF(ISNUMBER(N920),N920-$B$2,"")</f>
        <v/>
      </c>
      <c r="W920" s="531" t="str">
        <f aca="false">IF(AND(ISNUMBER(N920),N920&gt;=$B$2,N920&lt;=$B$2+10),N920*100000+ROW(),"")</f>
        <v/>
      </c>
      <c r="X920" s="531"/>
      <c r="Y920" s="531"/>
      <c r="Z920" s="531"/>
      <c r="AA920" s="531"/>
      <c r="AB920" s="531"/>
      <c r="AC920" s="531"/>
      <c r="AD920" s="531"/>
      <c r="AE920" s="531"/>
      <c r="AF920" s="531"/>
      <c r="AG920" s="531"/>
      <c r="AH920" s="531"/>
      <c r="AI920" s="531"/>
      <c r="AJ920" s="531"/>
      <c r="AK920" s="531"/>
      <c r="AL920" s="531"/>
      <c r="AM920" s="531"/>
      <c r="AN920" s="531"/>
    </row>
    <row r="921" customFormat="false" ht="16.5" hidden="false" customHeight="true" outlineLevel="0" collapsed="false">
      <c r="A921" s="531"/>
      <c r="B921" s="531"/>
      <c r="C921" s="531"/>
      <c r="D921" s="531"/>
      <c r="E921" s="531"/>
      <c r="F921" s="531"/>
      <c r="G921" s="531"/>
      <c r="H921" s="531"/>
      <c r="I921" s="531"/>
      <c r="J921" s="531"/>
      <c r="K921" s="531"/>
      <c r="L921" s="531"/>
      <c r="M921" s="531"/>
      <c r="N921" s="531" t="str">
        <f aca="false">IF('(1)예금승인내역'!H1547="","",'(1)예금승인내역'!H1547)</f>
        <v/>
      </c>
      <c r="O921" s="531" t="str">
        <f aca="false">IF('(1)예금승인내역'!G1547="","",'(1)예금승인내역'!G1547)</f>
        <v/>
      </c>
      <c r="P921" s="531" t="str">
        <f aca="false">IF('(1)예금승인내역'!F1547="","",'(1)예금승인내역'!F1547)</f>
        <v/>
      </c>
      <c r="Q921" s="531" t="str">
        <f aca="false">IF('(1)예금승인내역'!C1547="","",'(1)예금승인내역'!C1547)</f>
        <v/>
      </c>
      <c r="R921" s="531" t="str">
        <f aca="false">IF('(1)예금승인내역'!K1547="","",'(1)예금승인내역'!K1547)</f>
        <v/>
      </c>
      <c r="S921" s="531" t="str">
        <f aca="false">IF('(1)예금승인내역'!L1547="","",'(1)예금승인내역'!L1547)</f>
        <v/>
      </c>
      <c r="T921" s="531" t="str">
        <f aca="false">IF('(1)예금승인내역'!AG1547="","",'(1)예금승인내역'!AG1547)</f>
        <v/>
      </c>
      <c r="U921" s="531" t="str">
        <f aca="false">IF('(1)예금승인내역'!X1547="","",'(1)예금승인내역'!X1547)</f>
        <v/>
      </c>
      <c r="V921" s="531" t="str">
        <f aca="false">IF(ISNUMBER(N921),N921-$B$2,"")</f>
        <v/>
      </c>
      <c r="W921" s="531" t="str">
        <f aca="false">IF(AND(ISNUMBER(N921),N921&gt;=$B$2,N921&lt;=$B$2+10),N921*100000+ROW(),"")</f>
        <v/>
      </c>
      <c r="X921" s="531"/>
      <c r="Y921" s="531"/>
      <c r="Z921" s="531"/>
      <c r="AA921" s="531"/>
      <c r="AB921" s="531"/>
      <c r="AC921" s="531"/>
      <c r="AD921" s="531"/>
      <c r="AE921" s="531"/>
      <c r="AF921" s="531"/>
      <c r="AG921" s="531"/>
      <c r="AH921" s="531"/>
      <c r="AI921" s="531"/>
      <c r="AJ921" s="531"/>
      <c r="AK921" s="531"/>
      <c r="AL921" s="531"/>
      <c r="AM921" s="531"/>
      <c r="AN921" s="531"/>
    </row>
    <row r="922" customFormat="false" ht="16.5" hidden="false" customHeight="true" outlineLevel="0" collapsed="false">
      <c r="A922" s="531"/>
      <c r="B922" s="531"/>
      <c r="C922" s="531"/>
      <c r="D922" s="531"/>
      <c r="E922" s="531"/>
      <c r="F922" s="531"/>
      <c r="G922" s="531"/>
      <c r="H922" s="531"/>
      <c r="I922" s="531"/>
      <c r="J922" s="531"/>
      <c r="K922" s="531"/>
      <c r="L922" s="531"/>
      <c r="M922" s="531"/>
      <c r="N922" s="531" t="str">
        <f aca="false">IF('(1)예금승인내역'!H1548="","",'(1)예금승인내역'!H1548)</f>
        <v/>
      </c>
      <c r="O922" s="531" t="str">
        <f aca="false">IF('(1)예금승인내역'!G1548="","",'(1)예금승인내역'!G1548)</f>
        <v/>
      </c>
      <c r="P922" s="531" t="str">
        <f aca="false">IF('(1)예금승인내역'!F1548="","",'(1)예금승인내역'!F1548)</f>
        <v/>
      </c>
      <c r="Q922" s="531" t="str">
        <f aca="false">IF('(1)예금승인내역'!C1548="","",'(1)예금승인내역'!C1548)</f>
        <v/>
      </c>
      <c r="R922" s="531" t="str">
        <f aca="false">IF('(1)예금승인내역'!K1548="","",'(1)예금승인내역'!K1548)</f>
        <v/>
      </c>
      <c r="S922" s="531" t="str">
        <f aca="false">IF('(1)예금승인내역'!L1548="","",'(1)예금승인내역'!L1548)</f>
        <v/>
      </c>
      <c r="T922" s="531" t="str">
        <f aca="false">IF('(1)예금승인내역'!AG1548="","",'(1)예금승인내역'!AG1548)</f>
        <v/>
      </c>
      <c r="U922" s="531" t="str">
        <f aca="false">IF('(1)예금승인내역'!X1548="","",'(1)예금승인내역'!X1548)</f>
        <v/>
      </c>
      <c r="V922" s="531" t="str">
        <f aca="false">IF(ISNUMBER(N922),N922-$B$2,"")</f>
        <v/>
      </c>
      <c r="W922" s="531" t="str">
        <f aca="false">IF(AND(ISNUMBER(N922),N922&gt;=$B$2,N922&lt;=$B$2+10),N922*100000+ROW(),"")</f>
        <v/>
      </c>
      <c r="X922" s="531"/>
      <c r="Y922" s="531"/>
      <c r="Z922" s="531"/>
      <c r="AA922" s="531"/>
      <c r="AB922" s="531"/>
      <c r="AC922" s="531"/>
      <c r="AD922" s="531"/>
      <c r="AE922" s="531"/>
      <c r="AF922" s="531"/>
      <c r="AG922" s="531"/>
      <c r="AH922" s="531"/>
      <c r="AI922" s="531"/>
      <c r="AJ922" s="531"/>
      <c r="AK922" s="531"/>
      <c r="AL922" s="531"/>
      <c r="AM922" s="531"/>
      <c r="AN922" s="531"/>
    </row>
    <row r="923" customFormat="false" ht="16.5" hidden="false" customHeight="true" outlineLevel="0" collapsed="false">
      <c r="A923" s="531"/>
      <c r="B923" s="531"/>
      <c r="C923" s="531"/>
      <c r="D923" s="531"/>
      <c r="E923" s="531"/>
      <c r="F923" s="531"/>
      <c r="G923" s="531"/>
      <c r="H923" s="531"/>
      <c r="I923" s="531"/>
      <c r="J923" s="531"/>
      <c r="K923" s="531"/>
      <c r="L923" s="531"/>
      <c r="M923" s="531"/>
      <c r="N923" s="531" t="str">
        <f aca="false">IF('(1)예금승인내역'!H1549="","",'(1)예금승인내역'!H1549)</f>
        <v/>
      </c>
      <c r="O923" s="531" t="str">
        <f aca="false">IF('(1)예금승인내역'!G1549="","",'(1)예금승인내역'!G1549)</f>
        <v/>
      </c>
      <c r="P923" s="531" t="str">
        <f aca="false">IF('(1)예금승인내역'!F1549="","",'(1)예금승인내역'!F1549)</f>
        <v/>
      </c>
      <c r="Q923" s="531" t="str">
        <f aca="false">IF('(1)예금승인내역'!C1549="","",'(1)예금승인내역'!C1549)</f>
        <v/>
      </c>
      <c r="R923" s="531" t="str">
        <f aca="false">IF('(1)예금승인내역'!K1549="","",'(1)예금승인내역'!K1549)</f>
        <v/>
      </c>
      <c r="S923" s="531" t="str">
        <f aca="false">IF('(1)예금승인내역'!L1549="","",'(1)예금승인내역'!L1549)</f>
        <v/>
      </c>
      <c r="T923" s="531" t="str">
        <f aca="false">IF('(1)예금승인내역'!AG1549="","",'(1)예금승인내역'!AG1549)</f>
        <v/>
      </c>
      <c r="U923" s="531" t="str">
        <f aca="false">IF('(1)예금승인내역'!X1549="","",'(1)예금승인내역'!X1549)</f>
        <v/>
      </c>
      <c r="V923" s="531" t="str">
        <f aca="false">IF(ISNUMBER(N923),N923-$B$2,"")</f>
        <v/>
      </c>
      <c r="W923" s="531" t="str">
        <f aca="false">IF(AND(ISNUMBER(N923),N923&gt;=$B$2,N923&lt;=$B$2+10),N923*100000+ROW(),"")</f>
        <v/>
      </c>
      <c r="X923" s="531"/>
      <c r="Y923" s="531"/>
      <c r="Z923" s="531"/>
      <c r="AA923" s="531"/>
      <c r="AB923" s="531"/>
      <c r="AC923" s="531"/>
      <c r="AD923" s="531"/>
      <c r="AE923" s="531"/>
      <c r="AF923" s="531"/>
      <c r="AG923" s="531"/>
      <c r="AH923" s="531"/>
      <c r="AI923" s="531"/>
      <c r="AJ923" s="531"/>
      <c r="AK923" s="531"/>
      <c r="AL923" s="531"/>
      <c r="AM923" s="531"/>
      <c r="AN923" s="531"/>
    </row>
    <row r="924" customFormat="false" ht="16.5" hidden="false" customHeight="true" outlineLevel="0" collapsed="false">
      <c r="A924" s="531"/>
      <c r="B924" s="531"/>
      <c r="C924" s="531"/>
      <c r="D924" s="531"/>
      <c r="E924" s="531"/>
      <c r="F924" s="531"/>
      <c r="G924" s="531"/>
      <c r="H924" s="531"/>
      <c r="I924" s="531"/>
      <c r="J924" s="531"/>
      <c r="K924" s="531"/>
      <c r="L924" s="531"/>
      <c r="M924" s="531"/>
      <c r="N924" s="531" t="str">
        <f aca="false">IF('(1)예금승인내역'!H1550="","",'(1)예금승인내역'!H1550)</f>
        <v/>
      </c>
      <c r="O924" s="531" t="str">
        <f aca="false">IF('(1)예금승인내역'!G1550="","",'(1)예금승인내역'!G1550)</f>
        <v/>
      </c>
      <c r="P924" s="531" t="str">
        <f aca="false">IF('(1)예금승인내역'!F1550="","",'(1)예금승인내역'!F1550)</f>
        <v/>
      </c>
      <c r="Q924" s="531" t="str">
        <f aca="false">IF('(1)예금승인내역'!C1550="","",'(1)예금승인내역'!C1550)</f>
        <v/>
      </c>
      <c r="R924" s="531" t="str">
        <f aca="false">IF('(1)예금승인내역'!K1550="","",'(1)예금승인내역'!K1550)</f>
        <v/>
      </c>
      <c r="S924" s="531" t="str">
        <f aca="false">IF('(1)예금승인내역'!L1550="","",'(1)예금승인내역'!L1550)</f>
        <v/>
      </c>
      <c r="T924" s="531" t="str">
        <f aca="false">IF('(1)예금승인내역'!AG1550="","",'(1)예금승인내역'!AG1550)</f>
        <v/>
      </c>
      <c r="U924" s="531" t="str">
        <f aca="false">IF('(1)예금승인내역'!X1550="","",'(1)예금승인내역'!X1550)</f>
        <v/>
      </c>
      <c r="V924" s="531" t="str">
        <f aca="false">IF(ISNUMBER(N924),N924-$B$2,"")</f>
        <v/>
      </c>
      <c r="W924" s="531" t="str">
        <f aca="false">IF(AND(ISNUMBER(N924),N924&gt;=$B$2,N924&lt;=$B$2+10),N924*100000+ROW(),"")</f>
        <v/>
      </c>
      <c r="X924" s="531"/>
      <c r="Y924" s="531"/>
      <c r="Z924" s="531"/>
      <c r="AA924" s="531"/>
      <c r="AB924" s="531"/>
      <c r="AC924" s="531"/>
      <c r="AD924" s="531"/>
      <c r="AE924" s="531"/>
      <c r="AF924" s="531"/>
      <c r="AG924" s="531"/>
      <c r="AH924" s="531"/>
      <c r="AI924" s="531"/>
      <c r="AJ924" s="531"/>
      <c r="AK924" s="531"/>
      <c r="AL924" s="531"/>
      <c r="AM924" s="531"/>
      <c r="AN924" s="531"/>
    </row>
    <row r="925" customFormat="false" ht="16.5" hidden="false" customHeight="true" outlineLevel="0" collapsed="false">
      <c r="A925" s="531"/>
      <c r="B925" s="531"/>
      <c r="C925" s="531"/>
      <c r="D925" s="531"/>
      <c r="E925" s="531"/>
      <c r="F925" s="531"/>
      <c r="G925" s="531"/>
      <c r="H925" s="531"/>
      <c r="I925" s="531"/>
      <c r="J925" s="531"/>
      <c r="K925" s="531"/>
      <c r="L925" s="531"/>
      <c r="M925" s="531"/>
      <c r="N925" s="531" t="str">
        <f aca="false">IF('(1)예금승인내역'!H1551="","",'(1)예금승인내역'!H1551)</f>
        <v/>
      </c>
      <c r="O925" s="531" t="str">
        <f aca="false">IF('(1)예금승인내역'!G1551="","",'(1)예금승인내역'!G1551)</f>
        <v/>
      </c>
      <c r="P925" s="531" t="str">
        <f aca="false">IF('(1)예금승인내역'!F1551="","",'(1)예금승인내역'!F1551)</f>
        <v/>
      </c>
      <c r="Q925" s="531" t="str">
        <f aca="false">IF('(1)예금승인내역'!C1551="","",'(1)예금승인내역'!C1551)</f>
        <v/>
      </c>
      <c r="R925" s="531" t="str">
        <f aca="false">IF('(1)예금승인내역'!K1551="","",'(1)예금승인내역'!K1551)</f>
        <v/>
      </c>
      <c r="S925" s="531" t="str">
        <f aca="false">IF('(1)예금승인내역'!L1551="","",'(1)예금승인내역'!L1551)</f>
        <v/>
      </c>
      <c r="T925" s="531" t="str">
        <f aca="false">IF('(1)예금승인내역'!AG1551="","",'(1)예금승인내역'!AG1551)</f>
        <v/>
      </c>
      <c r="U925" s="531" t="str">
        <f aca="false">IF('(1)예금승인내역'!X1551="","",'(1)예금승인내역'!X1551)</f>
        <v/>
      </c>
      <c r="V925" s="531" t="str">
        <f aca="false">IF(ISNUMBER(N925),N925-$B$2,"")</f>
        <v/>
      </c>
      <c r="W925" s="531" t="str">
        <f aca="false">IF(AND(ISNUMBER(N925),N925&gt;=$B$2,N925&lt;=$B$2+10),N925*100000+ROW(),"")</f>
        <v/>
      </c>
      <c r="X925" s="531"/>
      <c r="Y925" s="531"/>
      <c r="Z925" s="531"/>
      <c r="AA925" s="531"/>
      <c r="AB925" s="531"/>
      <c r="AC925" s="531"/>
      <c r="AD925" s="531"/>
      <c r="AE925" s="531"/>
      <c r="AF925" s="531"/>
      <c r="AG925" s="531"/>
      <c r="AH925" s="531"/>
      <c r="AI925" s="531"/>
      <c r="AJ925" s="531"/>
      <c r="AK925" s="531"/>
      <c r="AL925" s="531"/>
      <c r="AM925" s="531"/>
      <c r="AN925" s="531"/>
    </row>
    <row r="926" customFormat="false" ht="16.5" hidden="false" customHeight="true" outlineLevel="0" collapsed="false">
      <c r="A926" s="531"/>
      <c r="B926" s="531"/>
      <c r="C926" s="531"/>
      <c r="D926" s="531"/>
      <c r="E926" s="531"/>
      <c r="F926" s="531"/>
      <c r="G926" s="531"/>
      <c r="H926" s="531"/>
      <c r="I926" s="531"/>
      <c r="J926" s="531"/>
      <c r="K926" s="531"/>
      <c r="L926" s="531"/>
      <c r="M926" s="531"/>
      <c r="N926" s="531" t="str">
        <f aca="false">IF('(1)예금승인내역'!H1552="","",'(1)예금승인내역'!H1552)</f>
        <v/>
      </c>
      <c r="O926" s="531" t="str">
        <f aca="false">IF('(1)예금승인내역'!G1552="","",'(1)예금승인내역'!G1552)</f>
        <v/>
      </c>
      <c r="P926" s="531" t="str">
        <f aca="false">IF('(1)예금승인내역'!F1552="","",'(1)예금승인내역'!F1552)</f>
        <v/>
      </c>
      <c r="Q926" s="531" t="str">
        <f aca="false">IF('(1)예금승인내역'!C1552="","",'(1)예금승인내역'!C1552)</f>
        <v/>
      </c>
      <c r="R926" s="531" t="str">
        <f aca="false">IF('(1)예금승인내역'!K1552="","",'(1)예금승인내역'!K1552)</f>
        <v/>
      </c>
      <c r="S926" s="531" t="str">
        <f aca="false">IF('(1)예금승인내역'!L1552="","",'(1)예금승인내역'!L1552)</f>
        <v/>
      </c>
      <c r="T926" s="531" t="str">
        <f aca="false">IF('(1)예금승인내역'!AG1552="","",'(1)예금승인내역'!AG1552)</f>
        <v/>
      </c>
      <c r="U926" s="531" t="str">
        <f aca="false">IF('(1)예금승인내역'!X1552="","",'(1)예금승인내역'!X1552)</f>
        <v/>
      </c>
      <c r="V926" s="531" t="str">
        <f aca="false">IF(ISNUMBER(N926),N926-$B$2,"")</f>
        <v/>
      </c>
      <c r="W926" s="531" t="str">
        <f aca="false">IF(AND(ISNUMBER(N926),N926&gt;=$B$2,N926&lt;=$B$2+10),N926*100000+ROW(),"")</f>
        <v/>
      </c>
      <c r="X926" s="531"/>
      <c r="Y926" s="531"/>
      <c r="Z926" s="531"/>
      <c r="AA926" s="531"/>
      <c r="AB926" s="531"/>
      <c r="AC926" s="531"/>
      <c r="AD926" s="531"/>
      <c r="AE926" s="531"/>
      <c r="AF926" s="531"/>
      <c r="AG926" s="531"/>
      <c r="AH926" s="531"/>
      <c r="AI926" s="531"/>
      <c r="AJ926" s="531"/>
      <c r="AK926" s="531"/>
      <c r="AL926" s="531"/>
      <c r="AM926" s="531"/>
      <c r="AN926" s="531"/>
    </row>
    <row r="927" customFormat="false" ht="16.5" hidden="false" customHeight="true" outlineLevel="0" collapsed="false">
      <c r="A927" s="531"/>
      <c r="B927" s="531"/>
      <c r="C927" s="531"/>
      <c r="D927" s="531"/>
      <c r="E927" s="531"/>
      <c r="F927" s="531"/>
      <c r="G927" s="531"/>
      <c r="H927" s="531"/>
      <c r="I927" s="531"/>
      <c r="J927" s="531"/>
      <c r="K927" s="531"/>
      <c r="L927" s="531"/>
      <c r="M927" s="531"/>
      <c r="N927" s="531" t="str">
        <f aca="false">IF('(1)예금승인내역'!H1553="","",'(1)예금승인내역'!H1553)</f>
        <v/>
      </c>
      <c r="O927" s="531" t="str">
        <f aca="false">IF('(1)예금승인내역'!G1553="","",'(1)예금승인내역'!G1553)</f>
        <v/>
      </c>
      <c r="P927" s="531" t="str">
        <f aca="false">IF('(1)예금승인내역'!F1553="","",'(1)예금승인내역'!F1553)</f>
        <v/>
      </c>
      <c r="Q927" s="531" t="str">
        <f aca="false">IF('(1)예금승인내역'!C1553="","",'(1)예금승인내역'!C1553)</f>
        <v/>
      </c>
      <c r="R927" s="531" t="str">
        <f aca="false">IF('(1)예금승인내역'!K1553="","",'(1)예금승인내역'!K1553)</f>
        <v/>
      </c>
      <c r="S927" s="531" t="str">
        <f aca="false">IF('(1)예금승인내역'!L1553="","",'(1)예금승인내역'!L1553)</f>
        <v/>
      </c>
      <c r="T927" s="531" t="str">
        <f aca="false">IF('(1)예금승인내역'!AG1553="","",'(1)예금승인내역'!AG1553)</f>
        <v/>
      </c>
      <c r="U927" s="531" t="str">
        <f aca="false">IF('(1)예금승인내역'!X1553="","",'(1)예금승인내역'!X1553)</f>
        <v/>
      </c>
      <c r="V927" s="531" t="str">
        <f aca="false">IF(ISNUMBER(N927),N927-$B$2,"")</f>
        <v/>
      </c>
      <c r="W927" s="531" t="str">
        <f aca="false">IF(AND(ISNUMBER(N927),N927&gt;=$B$2,N927&lt;=$B$2+10),N927*100000+ROW(),"")</f>
        <v/>
      </c>
      <c r="X927" s="531"/>
      <c r="Y927" s="531"/>
      <c r="Z927" s="531"/>
      <c r="AA927" s="531"/>
      <c r="AB927" s="531"/>
      <c r="AC927" s="531"/>
      <c r="AD927" s="531"/>
      <c r="AE927" s="531"/>
      <c r="AF927" s="531"/>
      <c r="AG927" s="531"/>
      <c r="AH927" s="531"/>
      <c r="AI927" s="531"/>
      <c r="AJ927" s="531"/>
      <c r="AK927" s="531"/>
      <c r="AL927" s="531"/>
      <c r="AM927" s="531"/>
      <c r="AN927" s="531"/>
    </row>
    <row r="928" customFormat="false" ht="16.5" hidden="false" customHeight="true" outlineLevel="0" collapsed="false">
      <c r="A928" s="531"/>
      <c r="B928" s="531"/>
      <c r="C928" s="531"/>
      <c r="D928" s="531"/>
      <c r="E928" s="531"/>
      <c r="F928" s="531"/>
      <c r="G928" s="531"/>
      <c r="H928" s="531"/>
      <c r="I928" s="531"/>
      <c r="J928" s="531"/>
      <c r="K928" s="531"/>
      <c r="L928" s="531"/>
      <c r="M928" s="531"/>
      <c r="N928" s="531" t="str">
        <f aca="false">IF('(1)예금승인내역'!H1554="","",'(1)예금승인내역'!H1554)</f>
        <v/>
      </c>
      <c r="O928" s="531" t="str">
        <f aca="false">IF('(1)예금승인내역'!G1554="","",'(1)예금승인내역'!G1554)</f>
        <v/>
      </c>
      <c r="P928" s="531" t="str">
        <f aca="false">IF('(1)예금승인내역'!F1554="","",'(1)예금승인내역'!F1554)</f>
        <v/>
      </c>
      <c r="Q928" s="531" t="str">
        <f aca="false">IF('(1)예금승인내역'!C1554="","",'(1)예금승인내역'!C1554)</f>
        <v/>
      </c>
      <c r="R928" s="531" t="str">
        <f aca="false">IF('(1)예금승인내역'!K1554="","",'(1)예금승인내역'!K1554)</f>
        <v/>
      </c>
      <c r="S928" s="531" t="str">
        <f aca="false">IF('(1)예금승인내역'!L1554="","",'(1)예금승인내역'!L1554)</f>
        <v/>
      </c>
      <c r="T928" s="531" t="str">
        <f aca="false">IF('(1)예금승인내역'!AG1554="","",'(1)예금승인내역'!AG1554)</f>
        <v/>
      </c>
      <c r="U928" s="531" t="str">
        <f aca="false">IF('(1)예금승인내역'!X1554="","",'(1)예금승인내역'!X1554)</f>
        <v/>
      </c>
      <c r="V928" s="531" t="str">
        <f aca="false">IF(ISNUMBER(N928),N928-$B$2,"")</f>
        <v/>
      </c>
      <c r="W928" s="531" t="str">
        <f aca="false">IF(AND(ISNUMBER(N928),N928&gt;=$B$2,N928&lt;=$B$2+10),N928*100000+ROW(),"")</f>
        <v/>
      </c>
      <c r="X928" s="531"/>
      <c r="Y928" s="531"/>
      <c r="Z928" s="531"/>
      <c r="AA928" s="531"/>
      <c r="AB928" s="531"/>
      <c r="AC928" s="531"/>
      <c r="AD928" s="531"/>
      <c r="AE928" s="531"/>
      <c r="AF928" s="531"/>
      <c r="AG928" s="531"/>
      <c r="AH928" s="531"/>
      <c r="AI928" s="531"/>
      <c r="AJ928" s="531"/>
      <c r="AK928" s="531"/>
      <c r="AL928" s="531"/>
      <c r="AM928" s="531"/>
      <c r="AN928" s="531"/>
    </row>
    <row r="929" customFormat="false" ht="16.5" hidden="false" customHeight="true" outlineLevel="0" collapsed="false">
      <c r="A929" s="531"/>
      <c r="B929" s="531"/>
      <c r="C929" s="531"/>
      <c r="D929" s="531"/>
      <c r="E929" s="531"/>
      <c r="F929" s="531"/>
      <c r="G929" s="531"/>
      <c r="H929" s="531"/>
      <c r="I929" s="531"/>
      <c r="J929" s="531"/>
      <c r="K929" s="531"/>
      <c r="L929" s="531"/>
      <c r="M929" s="531"/>
      <c r="N929" s="531" t="str">
        <f aca="false">IF('(1)예금승인내역'!H1555="","",'(1)예금승인내역'!H1555)</f>
        <v/>
      </c>
      <c r="O929" s="531" t="str">
        <f aca="false">IF('(1)예금승인내역'!G1555="","",'(1)예금승인내역'!G1555)</f>
        <v/>
      </c>
      <c r="P929" s="531" t="str">
        <f aca="false">IF('(1)예금승인내역'!F1555="","",'(1)예금승인내역'!F1555)</f>
        <v/>
      </c>
      <c r="Q929" s="531" t="str">
        <f aca="false">IF('(1)예금승인내역'!C1555="","",'(1)예금승인내역'!C1555)</f>
        <v/>
      </c>
      <c r="R929" s="531" t="str">
        <f aca="false">IF('(1)예금승인내역'!K1555="","",'(1)예금승인내역'!K1555)</f>
        <v/>
      </c>
      <c r="S929" s="531" t="str">
        <f aca="false">IF('(1)예금승인내역'!L1555="","",'(1)예금승인내역'!L1555)</f>
        <v/>
      </c>
      <c r="T929" s="531" t="str">
        <f aca="false">IF('(1)예금승인내역'!AG1555="","",'(1)예금승인내역'!AG1555)</f>
        <v/>
      </c>
      <c r="U929" s="531" t="str">
        <f aca="false">IF('(1)예금승인내역'!X1555="","",'(1)예금승인내역'!X1555)</f>
        <v/>
      </c>
      <c r="V929" s="531" t="str">
        <f aca="false">IF(ISNUMBER(N929),N929-$B$2,"")</f>
        <v/>
      </c>
      <c r="W929" s="531" t="str">
        <f aca="false">IF(AND(ISNUMBER(N929),N929&gt;=$B$2,N929&lt;=$B$2+10),N929*100000+ROW(),"")</f>
        <v/>
      </c>
      <c r="X929" s="531"/>
      <c r="Y929" s="531"/>
      <c r="Z929" s="531"/>
      <c r="AA929" s="531"/>
      <c r="AB929" s="531"/>
      <c r="AC929" s="531"/>
      <c r="AD929" s="531"/>
      <c r="AE929" s="531"/>
      <c r="AF929" s="531"/>
      <c r="AG929" s="531"/>
      <c r="AH929" s="531"/>
      <c r="AI929" s="531"/>
      <c r="AJ929" s="531"/>
      <c r="AK929" s="531"/>
      <c r="AL929" s="531"/>
      <c r="AM929" s="531"/>
      <c r="AN929" s="531"/>
    </row>
    <row r="930" customFormat="false" ht="16.5" hidden="false" customHeight="true" outlineLevel="0" collapsed="false">
      <c r="A930" s="531"/>
      <c r="B930" s="531"/>
      <c r="C930" s="531"/>
      <c r="D930" s="531"/>
      <c r="E930" s="531"/>
      <c r="F930" s="531"/>
      <c r="G930" s="531"/>
      <c r="H930" s="531"/>
      <c r="I930" s="531"/>
      <c r="J930" s="531"/>
      <c r="K930" s="531"/>
      <c r="L930" s="531"/>
      <c r="M930" s="531"/>
      <c r="N930" s="531" t="str">
        <f aca="false">IF('(1)예금승인내역'!H1556="","",'(1)예금승인내역'!H1556)</f>
        <v/>
      </c>
      <c r="O930" s="531" t="str">
        <f aca="false">IF('(1)예금승인내역'!G1556="","",'(1)예금승인내역'!G1556)</f>
        <v/>
      </c>
      <c r="P930" s="531" t="str">
        <f aca="false">IF('(1)예금승인내역'!F1556="","",'(1)예금승인내역'!F1556)</f>
        <v/>
      </c>
      <c r="Q930" s="531" t="str">
        <f aca="false">IF('(1)예금승인내역'!C1556="","",'(1)예금승인내역'!C1556)</f>
        <v/>
      </c>
      <c r="R930" s="531" t="str">
        <f aca="false">IF('(1)예금승인내역'!K1556="","",'(1)예금승인내역'!K1556)</f>
        <v/>
      </c>
      <c r="S930" s="531" t="str">
        <f aca="false">IF('(1)예금승인내역'!L1556="","",'(1)예금승인내역'!L1556)</f>
        <v/>
      </c>
      <c r="T930" s="531" t="str">
        <f aca="false">IF('(1)예금승인내역'!AG1556="","",'(1)예금승인내역'!AG1556)</f>
        <v/>
      </c>
      <c r="U930" s="531" t="str">
        <f aca="false">IF('(1)예금승인내역'!X1556="","",'(1)예금승인내역'!X1556)</f>
        <v/>
      </c>
      <c r="V930" s="531" t="str">
        <f aca="false">IF(ISNUMBER(N930),N930-$B$2,"")</f>
        <v/>
      </c>
      <c r="W930" s="531" t="str">
        <f aca="false">IF(AND(ISNUMBER(N930),N930&gt;=$B$2,N930&lt;=$B$2+10),N930*100000+ROW(),"")</f>
        <v/>
      </c>
      <c r="X930" s="531"/>
      <c r="Y930" s="531"/>
      <c r="Z930" s="531"/>
      <c r="AA930" s="531"/>
      <c r="AB930" s="531"/>
      <c r="AC930" s="531"/>
      <c r="AD930" s="531"/>
      <c r="AE930" s="531"/>
      <c r="AF930" s="531"/>
      <c r="AG930" s="531"/>
      <c r="AH930" s="531"/>
      <c r="AI930" s="531"/>
      <c r="AJ930" s="531"/>
      <c r="AK930" s="531"/>
      <c r="AL930" s="531"/>
      <c r="AM930" s="531"/>
      <c r="AN930" s="531"/>
    </row>
    <row r="931" customFormat="false" ht="16.5" hidden="false" customHeight="true" outlineLevel="0" collapsed="false">
      <c r="A931" s="531"/>
      <c r="B931" s="531"/>
      <c r="C931" s="531"/>
      <c r="D931" s="531"/>
      <c r="E931" s="531"/>
      <c r="F931" s="531"/>
      <c r="G931" s="531"/>
      <c r="H931" s="531"/>
      <c r="I931" s="531"/>
      <c r="J931" s="531"/>
      <c r="K931" s="531"/>
      <c r="L931" s="531"/>
      <c r="M931" s="531"/>
      <c r="N931" s="531" t="str">
        <f aca="false">IF('(1)예금승인내역'!H1557="","",'(1)예금승인내역'!H1557)</f>
        <v/>
      </c>
      <c r="O931" s="531" t="str">
        <f aca="false">IF('(1)예금승인내역'!G1557="","",'(1)예금승인내역'!G1557)</f>
        <v/>
      </c>
      <c r="P931" s="531" t="str">
        <f aca="false">IF('(1)예금승인내역'!F1557="","",'(1)예금승인내역'!F1557)</f>
        <v/>
      </c>
      <c r="Q931" s="531" t="str">
        <f aca="false">IF('(1)예금승인내역'!C1557="","",'(1)예금승인내역'!C1557)</f>
        <v/>
      </c>
      <c r="R931" s="531" t="str">
        <f aca="false">IF('(1)예금승인내역'!K1557="","",'(1)예금승인내역'!K1557)</f>
        <v/>
      </c>
      <c r="S931" s="531" t="str">
        <f aca="false">IF('(1)예금승인내역'!L1557="","",'(1)예금승인내역'!L1557)</f>
        <v/>
      </c>
      <c r="T931" s="531" t="str">
        <f aca="false">IF('(1)예금승인내역'!AG1557="","",'(1)예금승인내역'!AG1557)</f>
        <v/>
      </c>
      <c r="U931" s="531" t="str">
        <f aca="false">IF('(1)예금승인내역'!X1557="","",'(1)예금승인내역'!X1557)</f>
        <v/>
      </c>
      <c r="V931" s="531" t="str">
        <f aca="false">IF(ISNUMBER(N931),N931-$B$2,"")</f>
        <v/>
      </c>
      <c r="W931" s="531" t="str">
        <f aca="false">IF(AND(ISNUMBER(N931),N931&gt;=$B$2,N931&lt;=$B$2+10),N931*100000+ROW(),"")</f>
        <v/>
      </c>
      <c r="X931" s="531"/>
      <c r="Y931" s="531"/>
      <c r="Z931" s="531"/>
      <c r="AA931" s="531"/>
      <c r="AB931" s="531"/>
      <c r="AC931" s="531"/>
      <c r="AD931" s="531"/>
      <c r="AE931" s="531"/>
      <c r="AF931" s="531"/>
      <c r="AG931" s="531"/>
      <c r="AH931" s="531"/>
      <c r="AI931" s="531"/>
      <c r="AJ931" s="531"/>
      <c r="AK931" s="531"/>
      <c r="AL931" s="531"/>
      <c r="AM931" s="531"/>
      <c r="AN931" s="531"/>
    </row>
    <row r="932" customFormat="false" ht="16.5" hidden="false" customHeight="true" outlineLevel="0" collapsed="false">
      <c r="A932" s="531"/>
      <c r="B932" s="531"/>
      <c r="C932" s="531"/>
      <c r="D932" s="531"/>
      <c r="E932" s="531"/>
      <c r="F932" s="531"/>
      <c r="G932" s="531"/>
      <c r="H932" s="531"/>
      <c r="I932" s="531"/>
      <c r="J932" s="531"/>
      <c r="K932" s="531"/>
      <c r="L932" s="531"/>
      <c r="M932" s="531"/>
      <c r="N932" s="531" t="str">
        <f aca="false">IF('(1)예금승인내역'!H1558="","",'(1)예금승인내역'!H1558)</f>
        <v/>
      </c>
      <c r="O932" s="531" t="str">
        <f aca="false">IF('(1)예금승인내역'!G1558="","",'(1)예금승인내역'!G1558)</f>
        <v/>
      </c>
      <c r="P932" s="531" t="str">
        <f aca="false">IF('(1)예금승인내역'!F1558="","",'(1)예금승인내역'!F1558)</f>
        <v/>
      </c>
      <c r="Q932" s="531" t="str">
        <f aca="false">IF('(1)예금승인내역'!C1558="","",'(1)예금승인내역'!C1558)</f>
        <v/>
      </c>
      <c r="R932" s="531" t="str">
        <f aca="false">IF('(1)예금승인내역'!K1558="","",'(1)예금승인내역'!K1558)</f>
        <v/>
      </c>
      <c r="S932" s="531" t="str">
        <f aca="false">IF('(1)예금승인내역'!L1558="","",'(1)예금승인내역'!L1558)</f>
        <v/>
      </c>
      <c r="T932" s="531" t="str">
        <f aca="false">IF('(1)예금승인내역'!AG1558="","",'(1)예금승인내역'!AG1558)</f>
        <v/>
      </c>
      <c r="U932" s="531" t="str">
        <f aca="false">IF('(1)예금승인내역'!X1558="","",'(1)예금승인내역'!X1558)</f>
        <v/>
      </c>
      <c r="V932" s="531" t="str">
        <f aca="false">IF(ISNUMBER(N932),N932-$B$2,"")</f>
        <v/>
      </c>
      <c r="W932" s="531" t="str">
        <f aca="false">IF(AND(ISNUMBER(N932),N932&gt;=$B$2,N932&lt;=$B$2+10),N932*100000+ROW(),"")</f>
        <v/>
      </c>
      <c r="X932" s="531"/>
      <c r="Y932" s="531"/>
      <c r="Z932" s="531"/>
      <c r="AA932" s="531"/>
      <c r="AB932" s="531"/>
      <c r="AC932" s="531"/>
      <c r="AD932" s="531"/>
      <c r="AE932" s="531"/>
      <c r="AF932" s="531"/>
      <c r="AG932" s="531"/>
      <c r="AH932" s="531"/>
      <c r="AI932" s="531"/>
      <c r="AJ932" s="531"/>
      <c r="AK932" s="531"/>
      <c r="AL932" s="531"/>
      <c r="AM932" s="531"/>
      <c r="AN932" s="531"/>
    </row>
    <row r="933" customFormat="false" ht="16.5" hidden="false" customHeight="true" outlineLevel="0" collapsed="false">
      <c r="A933" s="531"/>
      <c r="B933" s="531"/>
      <c r="C933" s="531"/>
      <c r="D933" s="531"/>
      <c r="E933" s="531"/>
      <c r="F933" s="531"/>
      <c r="G933" s="531"/>
      <c r="H933" s="531"/>
      <c r="I933" s="531"/>
      <c r="J933" s="531"/>
      <c r="K933" s="531"/>
      <c r="L933" s="531"/>
      <c r="M933" s="531"/>
      <c r="N933" s="531" t="str">
        <f aca="false">IF('(1)예금승인내역'!H1559="","",'(1)예금승인내역'!H1559)</f>
        <v/>
      </c>
      <c r="O933" s="531" t="str">
        <f aca="false">IF('(1)예금승인내역'!G1559="","",'(1)예금승인내역'!G1559)</f>
        <v/>
      </c>
      <c r="P933" s="531" t="str">
        <f aca="false">IF('(1)예금승인내역'!F1559="","",'(1)예금승인내역'!F1559)</f>
        <v/>
      </c>
      <c r="Q933" s="531" t="str">
        <f aca="false">IF('(1)예금승인내역'!C1559="","",'(1)예금승인내역'!C1559)</f>
        <v/>
      </c>
      <c r="R933" s="531" t="str">
        <f aca="false">IF('(1)예금승인내역'!K1559="","",'(1)예금승인내역'!K1559)</f>
        <v/>
      </c>
      <c r="S933" s="531" t="str">
        <f aca="false">IF('(1)예금승인내역'!L1559="","",'(1)예금승인내역'!L1559)</f>
        <v/>
      </c>
      <c r="T933" s="531" t="str">
        <f aca="false">IF('(1)예금승인내역'!AG1559="","",'(1)예금승인내역'!AG1559)</f>
        <v/>
      </c>
      <c r="U933" s="531" t="str">
        <f aca="false">IF('(1)예금승인내역'!X1559="","",'(1)예금승인내역'!X1559)</f>
        <v/>
      </c>
      <c r="V933" s="531" t="str">
        <f aca="false">IF(ISNUMBER(N933),N933-$B$2,"")</f>
        <v/>
      </c>
      <c r="W933" s="531" t="str">
        <f aca="false">IF(AND(ISNUMBER(N933),N933&gt;=$B$2,N933&lt;=$B$2+10),N933*100000+ROW(),"")</f>
        <v/>
      </c>
      <c r="X933" s="531"/>
      <c r="Y933" s="531"/>
      <c r="Z933" s="531"/>
      <c r="AA933" s="531"/>
      <c r="AB933" s="531"/>
      <c r="AC933" s="531"/>
      <c r="AD933" s="531"/>
      <c r="AE933" s="531"/>
      <c r="AF933" s="531"/>
      <c r="AG933" s="531"/>
      <c r="AH933" s="531"/>
      <c r="AI933" s="531"/>
      <c r="AJ933" s="531"/>
      <c r="AK933" s="531"/>
      <c r="AL933" s="531"/>
      <c r="AM933" s="531"/>
      <c r="AN933" s="531"/>
    </row>
    <row r="934" customFormat="false" ht="16.5" hidden="false" customHeight="true" outlineLevel="0" collapsed="false">
      <c r="A934" s="531"/>
      <c r="B934" s="531"/>
      <c r="C934" s="531"/>
      <c r="D934" s="531"/>
      <c r="E934" s="531"/>
      <c r="F934" s="531"/>
      <c r="G934" s="531"/>
      <c r="H934" s="531"/>
      <c r="I934" s="531"/>
      <c r="J934" s="531"/>
      <c r="K934" s="531"/>
      <c r="L934" s="531"/>
      <c r="M934" s="531"/>
      <c r="N934" s="531" t="str">
        <f aca="false">IF('(1)예금승인내역'!H1560="","",'(1)예금승인내역'!H1560)</f>
        <v/>
      </c>
      <c r="O934" s="531" t="str">
        <f aca="false">IF('(1)예금승인내역'!G1560="","",'(1)예금승인내역'!G1560)</f>
        <v/>
      </c>
      <c r="P934" s="531" t="str">
        <f aca="false">IF('(1)예금승인내역'!F1560="","",'(1)예금승인내역'!F1560)</f>
        <v/>
      </c>
      <c r="Q934" s="531" t="str">
        <f aca="false">IF('(1)예금승인내역'!C1560="","",'(1)예금승인내역'!C1560)</f>
        <v/>
      </c>
      <c r="R934" s="531" t="str">
        <f aca="false">IF('(1)예금승인내역'!K1560="","",'(1)예금승인내역'!K1560)</f>
        <v/>
      </c>
      <c r="S934" s="531" t="str">
        <f aca="false">IF('(1)예금승인내역'!L1560="","",'(1)예금승인내역'!L1560)</f>
        <v/>
      </c>
      <c r="T934" s="531" t="str">
        <f aca="false">IF('(1)예금승인내역'!AG1560="","",'(1)예금승인내역'!AG1560)</f>
        <v/>
      </c>
      <c r="U934" s="531" t="str">
        <f aca="false">IF('(1)예금승인내역'!X1560="","",'(1)예금승인내역'!X1560)</f>
        <v/>
      </c>
      <c r="V934" s="531" t="str">
        <f aca="false">IF(ISNUMBER(N934),N934-$B$2,"")</f>
        <v/>
      </c>
      <c r="W934" s="531" t="str">
        <f aca="false">IF(AND(ISNUMBER(N934),N934&gt;=$B$2,N934&lt;=$B$2+10),N934*100000+ROW(),"")</f>
        <v/>
      </c>
      <c r="X934" s="531"/>
      <c r="Y934" s="531"/>
      <c r="Z934" s="531"/>
      <c r="AA934" s="531"/>
      <c r="AB934" s="531"/>
      <c r="AC934" s="531"/>
      <c r="AD934" s="531"/>
      <c r="AE934" s="531"/>
      <c r="AF934" s="531"/>
      <c r="AG934" s="531"/>
      <c r="AH934" s="531"/>
      <c r="AI934" s="531"/>
      <c r="AJ934" s="531"/>
      <c r="AK934" s="531"/>
      <c r="AL934" s="531"/>
      <c r="AM934" s="531"/>
      <c r="AN934" s="531"/>
    </row>
    <row r="935" customFormat="false" ht="16.5" hidden="false" customHeight="true" outlineLevel="0" collapsed="false">
      <c r="A935" s="531"/>
      <c r="B935" s="531"/>
      <c r="C935" s="531"/>
      <c r="D935" s="531"/>
      <c r="E935" s="531"/>
      <c r="F935" s="531"/>
      <c r="G935" s="531"/>
      <c r="H935" s="531"/>
      <c r="I935" s="531"/>
      <c r="J935" s="531"/>
      <c r="K935" s="531"/>
      <c r="L935" s="531"/>
      <c r="M935" s="531"/>
      <c r="N935" s="531" t="str">
        <f aca="false">IF('(1)예금승인내역'!H1561="","",'(1)예금승인내역'!H1561)</f>
        <v/>
      </c>
      <c r="O935" s="531" t="str">
        <f aca="false">IF('(1)예금승인내역'!G1561="","",'(1)예금승인내역'!G1561)</f>
        <v/>
      </c>
      <c r="P935" s="531" t="str">
        <f aca="false">IF('(1)예금승인내역'!F1561="","",'(1)예금승인내역'!F1561)</f>
        <v/>
      </c>
      <c r="Q935" s="531" t="str">
        <f aca="false">IF('(1)예금승인내역'!C1561="","",'(1)예금승인내역'!C1561)</f>
        <v/>
      </c>
      <c r="R935" s="531" t="str">
        <f aca="false">IF('(1)예금승인내역'!K1561="","",'(1)예금승인내역'!K1561)</f>
        <v/>
      </c>
      <c r="S935" s="531" t="str">
        <f aca="false">IF('(1)예금승인내역'!L1561="","",'(1)예금승인내역'!L1561)</f>
        <v/>
      </c>
      <c r="T935" s="531" t="str">
        <f aca="false">IF('(1)예금승인내역'!AG1561="","",'(1)예금승인내역'!AG1561)</f>
        <v/>
      </c>
      <c r="U935" s="531" t="str">
        <f aca="false">IF('(1)예금승인내역'!X1561="","",'(1)예금승인내역'!X1561)</f>
        <v/>
      </c>
      <c r="V935" s="531" t="str">
        <f aca="false">IF(ISNUMBER(N935),N935-$B$2,"")</f>
        <v/>
      </c>
      <c r="W935" s="531" t="str">
        <f aca="false">IF(AND(ISNUMBER(N935),N935&gt;=$B$2,N935&lt;=$B$2+10),N935*100000+ROW(),"")</f>
        <v/>
      </c>
      <c r="X935" s="531"/>
      <c r="Y935" s="531"/>
      <c r="Z935" s="531"/>
      <c r="AA935" s="531"/>
      <c r="AB935" s="531"/>
      <c r="AC935" s="531"/>
      <c r="AD935" s="531"/>
      <c r="AE935" s="531"/>
      <c r="AF935" s="531"/>
      <c r="AG935" s="531"/>
      <c r="AH935" s="531"/>
      <c r="AI935" s="531"/>
      <c r="AJ935" s="531"/>
      <c r="AK935" s="531"/>
      <c r="AL935" s="531"/>
      <c r="AM935" s="531"/>
      <c r="AN935" s="531"/>
    </row>
    <row r="936" customFormat="false" ht="16.5" hidden="false" customHeight="true" outlineLevel="0" collapsed="false">
      <c r="A936" s="531"/>
      <c r="B936" s="531"/>
      <c r="C936" s="531"/>
      <c r="D936" s="531"/>
      <c r="E936" s="531"/>
      <c r="F936" s="531"/>
      <c r="G936" s="531"/>
      <c r="H936" s="531"/>
      <c r="I936" s="531"/>
      <c r="J936" s="531"/>
      <c r="K936" s="531"/>
      <c r="L936" s="531"/>
      <c r="M936" s="531"/>
      <c r="N936" s="531" t="str">
        <f aca="false">IF('(1)예금승인내역'!H1562="","",'(1)예금승인내역'!H1562)</f>
        <v/>
      </c>
      <c r="O936" s="531" t="str">
        <f aca="false">IF('(1)예금승인내역'!G1562="","",'(1)예금승인내역'!G1562)</f>
        <v/>
      </c>
      <c r="P936" s="531" t="str">
        <f aca="false">IF('(1)예금승인내역'!F1562="","",'(1)예금승인내역'!F1562)</f>
        <v/>
      </c>
      <c r="Q936" s="531" t="str">
        <f aca="false">IF('(1)예금승인내역'!C1562="","",'(1)예금승인내역'!C1562)</f>
        <v/>
      </c>
      <c r="R936" s="531" t="str">
        <f aca="false">IF('(1)예금승인내역'!K1562="","",'(1)예금승인내역'!K1562)</f>
        <v/>
      </c>
      <c r="S936" s="531" t="str">
        <f aca="false">IF('(1)예금승인내역'!L1562="","",'(1)예금승인내역'!L1562)</f>
        <v/>
      </c>
      <c r="T936" s="531" t="str">
        <f aca="false">IF('(1)예금승인내역'!AG1562="","",'(1)예금승인내역'!AG1562)</f>
        <v/>
      </c>
      <c r="U936" s="531" t="str">
        <f aca="false">IF('(1)예금승인내역'!X1562="","",'(1)예금승인내역'!X1562)</f>
        <v/>
      </c>
      <c r="V936" s="531" t="str">
        <f aca="false">IF(ISNUMBER(N936),N936-$B$2,"")</f>
        <v/>
      </c>
      <c r="W936" s="531" t="str">
        <f aca="false">IF(AND(ISNUMBER(N936),N936&gt;=$B$2,N936&lt;=$B$2+10),N936*100000+ROW(),"")</f>
        <v/>
      </c>
      <c r="X936" s="531"/>
      <c r="Y936" s="531"/>
      <c r="Z936" s="531"/>
      <c r="AA936" s="531"/>
      <c r="AB936" s="531"/>
      <c r="AC936" s="531"/>
      <c r="AD936" s="531"/>
      <c r="AE936" s="531"/>
      <c r="AF936" s="531"/>
      <c r="AG936" s="531"/>
      <c r="AH936" s="531"/>
      <c r="AI936" s="531"/>
      <c r="AJ936" s="531"/>
      <c r="AK936" s="531"/>
      <c r="AL936" s="531"/>
      <c r="AM936" s="531"/>
      <c r="AN936" s="531"/>
    </row>
    <row r="937" customFormat="false" ht="16.5" hidden="false" customHeight="true" outlineLevel="0" collapsed="false">
      <c r="A937" s="531"/>
      <c r="B937" s="531"/>
      <c r="C937" s="531"/>
      <c r="D937" s="531"/>
      <c r="E937" s="531"/>
      <c r="F937" s="531"/>
      <c r="G937" s="531"/>
      <c r="H937" s="531"/>
      <c r="I937" s="531"/>
      <c r="J937" s="531"/>
      <c r="K937" s="531"/>
      <c r="L937" s="531"/>
      <c r="M937" s="531"/>
      <c r="N937" s="531" t="str">
        <f aca="false">IF('(1)예금승인내역'!H1563="","",'(1)예금승인내역'!H1563)</f>
        <v/>
      </c>
      <c r="O937" s="531" t="str">
        <f aca="false">IF('(1)예금승인내역'!G1563="","",'(1)예금승인내역'!G1563)</f>
        <v/>
      </c>
      <c r="P937" s="531" t="str">
        <f aca="false">IF('(1)예금승인내역'!F1563="","",'(1)예금승인내역'!F1563)</f>
        <v/>
      </c>
      <c r="Q937" s="531" t="str">
        <f aca="false">IF('(1)예금승인내역'!C1563="","",'(1)예금승인내역'!C1563)</f>
        <v/>
      </c>
      <c r="R937" s="531" t="str">
        <f aca="false">IF('(1)예금승인내역'!K1563="","",'(1)예금승인내역'!K1563)</f>
        <v/>
      </c>
      <c r="S937" s="531" t="str">
        <f aca="false">IF('(1)예금승인내역'!L1563="","",'(1)예금승인내역'!L1563)</f>
        <v/>
      </c>
      <c r="T937" s="531" t="str">
        <f aca="false">IF('(1)예금승인내역'!AG1563="","",'(1)예금승인내역'!AG1563)</f>
        <v/>
      </c>
      <c r="U937" s="531" t="str">
        <f aca="false">IF('(1)예금승인내역'!X1563="","",'(1)예금승인내역'!X1563)</f>
        <v/>
      </c>
      <c r="V937" s="531" t="str">
        <f aca="false">IF(ISNUMBER(N937),N937-$B$2,"")</f>
        <v/>
      </c>
      <c r="W937" s="531" t="str">
        <f aca="false">IF(AND(ISNUMBER(N937),N937&gt;=$B$2,N937&lt;=$B$2+10),N937*100000+ROW(),"")</f>
        <v/>
      </c>
      <c r="X937" s="531"/>
      <c r="Y937" s="531"/>
      <c r="Z937" s="531"/>
      <c r="AA937" s="531"/>
      <c r="AB937" s="531"/>
      <c r="AC937" s="531"/>
      <c r="AD937" s="531"/>
      <c r="AE937" s="531"/>
      <c r="AF937" s="531"/>
      <c r="AG937" s="531"/>
      <c r="AH937" s="531"/>
      <c r="AI937" s="531"/>
      <c r="AJ937" s="531"/>
      <c r="AK937" s="531"/>
      <c r="AL937" s="531"/>
      <c r="AM937" s="531"/>
      <c r="AN937" s="531"/>
    </row>
    <row r="938" customFormat="false" ht="16.5" hidden="false" customHeight="true" outlineLevel="0" collapsed="false">
      <c r="A938" s="531"/>
      <c r="B938" s="531"/>
      <c r="C938" s="531"/>
      <c r="D938" s="531"/>
      <c r="E938" s="531"/>
      <c r="F938" s="531"/>
      <c r="G938" s="531"/>
      <c r="H938" s="531"/>
      <c r="I938" s="531"/>
      <c r="J938" s="531"/>
      <c r="K938" s="531"/>
      <c r="L938" s="531"/>
      <c r="M938" s="531"/>
      <c r="N938" s="531" t="str">
        <f aca="false">IF('(1)예금승인내역'!H1564="","",'(1)예금승인내역'!H1564)</f>
        <v/>
      </c>
      <c r="O938" s="531" t="str">
        <f aca="false">IF('(1)예금승인내역'!G1564="","",'(1)예금승인내역'!G1564)</f>
        <v/>
      </c>
      <c r="P938" s="531" t="str">
        <f aca="false">IF('(1)예금승인내역'!F1564="","",'(1)예금승인내역'!F1564)</f>
        <v/>
      </c>
      <c r="Q938" s="531" t="str">
        <f aca="false">IF('(1)예금승인내역'!C1564="","",'(1)예금승인내역'!C1564)</f>
        <v/>
      </c>
      <c r="R938" s="531" t="str">
        <f aca="false">IF('(1)예금승인내역'!K1564="","",'(1)예금승인내역'!K1564)</f>
        <v/>
      </c>
      <c r="S938" s="531" t="str">
        <f aca="false">IF('(1)예금승인내역'!L1564="","",'(1)예금승인내역'!L1564)</f>
        <v/>
      </c>
      <c r="T938" s="531" t="str">
        <f aca="false">IF('(1)예금승인내역'!AG1564="","",'(1)예금승인내역'!AG1564)</f>
        <v/>
      </c>
      <c r="U938" s="531" t="str">
        <f aca="false">IF('(1)예금승인내역'!X1564="","",'(1)예금승인내역'!X1564)</f>
        <v/>
      </c>
      <c r="V938" s="531" t="str">
        <f aca="false">IF(ISNUMBER(N938),N938-$B$2,"")</f>
        <v/>
      </c>
      <c r="W938" s="531" t="str">
        <f aca="false">IF(AND(ISNUMBER(N938),N938&gt;=$B$2,N938&lt;=$B$2+10),N938*100000+ROW(),"")</f>
        <v/>
      </c>
      <c r="X938" s="531"/>
      <c r="Y938" s="531"/>
      <c r="Z938" s="531"/>
      <c r="AA938" s="531"/>
      <c r="AB938" s="531"/>
      <c r="AC938" s="531"/>
      <c r="AD938" s="531"/>
      <c r="AE938" s="531"/>
      <c r="AF938" s="531"/>
      <c r="AG938" s="531"/>
      <c r="AH938" s="531"/>
      <c r="AI938" s="531"/>
      <c r="AJ938" s="531"/>
      <c r="AK938" s="531"/>
      <c r="AL938" s="531"/>
      <c r="AM938" s="531"/>
      <c r="AN938" s="531"/>
    </row>
    <row r="939" customFormat="false" ht="16.5" hidden="false" customHeight="true" outlineLevel="0" collapsed="false">
      <c r="A939" s="531"/>
      <c r="B939" s="531"/>
      <c r="C939" s="531"/>
      <c r="D939" s="531"/>
      <c r="E939" s="531"/>
      <c r="F939" s="531"/>
      <c r="G939" s="531"/>
      <c r="H939" s="531"/>
      <c r="I939" s="531"/>
      <c r="J939" s="531"/>
      <c r="K939" s="531"/>
      <c r="L939" s="531"/>
      <c r="M939" s="531"/>
      <c r="N939" s="531" t="str">
        <f aca="false">IF('(1)예금승인내역'!H1565="","",'(1)예금승인내역'!H1565)</f>
        <v/>
      </c>
      <c r="O939" s="531" t="str">
        <f aca="false">IF('(1)예금승인내역'!G1565="","",'(1)예금승인내역'!G1565)</f>
        <v/>
      </c>
      <c r="P939" s="531" t="str">
        <f aca="false">IF('(1)예금승인내역'!F1565="","",'(1)예금승인내역'!F1565)</f>
        <v/>
      </c>
      <c r="Q939" s="531" t="str">
        <f aca="false">IF('(1)예금승인내역'!C1565="","",'(1)예금승인내역'!C1565)</f>
        <v/>
      </c>
      <c r="R939" s="531" t="str">
        <f aca="false">IF('(1)예금승인내역'!K1565="","",'(1)예금승인내역'!K1565)</f>
        <v/>
      </c>
      <c r="S939" s="531" t="str">
        <f aca="false">IF('(1)예금승인내역'!L1565="","",'(1)예금승인내역'!L1565)</f>
        <v/>
      </c>
      <c r="T939" s="531" t="str">
        <f aca="false">IF('(1)예금승인내역'!AG1565="","",'(1)예금승인내역'!AG1565)</f>
        <v/>
      </c>
      <c r="U939" s="531" t="str">
        <f aca="false">IF('(1)예금승인내역'!X1565="","",'(1)예금승인내역'!X1565)</f>
        <v/>
      </c>
      <c r="V939" s="531" t="str">
        <f aca="false">IF(ISNUMBER(N939),N939-$B$2,"")</f>
        <v/>
      </c>
      <c r="W939" s="531" t="str">
        <f aca="false">IF(AND(ISNUMBER(N939),N939&gt;=$B$2,N939&lt;=$B$2+10),N939*100000+ROW(),"")</f>
        <v/>
      </c>
      <c r="X939" s="531"/>
      <c r="Y939" s="531"/>
      <c r="Z939" s="531"/>
      <c r="AA939" s="531"/>
      <c r="AB939" s="531"/>
      <c r="AC939" s="531"/>
      <c r="AD939" s="531"/>
      <c r="AE939" s="531"/>
      <c r="AF939" s="531"/>
      <c r="AG939" s="531"/>
      <c r="AH939" s="531"/>
      <c r="AI939" s="531"/>
      <c r="AJ939" s="531"/>
      <c r="AK939" s="531"/>
      <c r="AL939" s="531"/>
      <c r="AM939" s="531"/>
      <c r="AN939" s="531"/>
    </row>
    <row r="940" customFormat="false" ht="16.5" hidden="false" customHeight="true" outlineLevel="0" collapsed="false">
      <c r="A940" s="531"/>
      <c r="B940" s="531"/>
      <c r="C940" s="531"/>
      <c r="D940" s="531"/>
      <c r="E940" s="531"/>
      <c r="F940" s="531"/>
      <c r="G940" s="531"/>
      <c r="H940" s="531"/>
      <c r="I940" s="531"/>
      <c r="J940" s="531"/>
      <c r="K940" s="531"/>
      <c r="L940" s="531"/>
      <c r="M940" s="531"/>
      <c r="N940" s="531" t="str">
        <f aca="false">IF('(1)예금승인내역'!H1566="","",'(1)예금승인내역'!H1566)</f>
        <v/>
      </c>
      <c r="O940" s="531" t="str">
        <f aca="false">IF('(1)예금승인내역'!G1566="","",'(1)예금승인내역'!G1566)</f>
        <v/>
      </c>
      <c r="P940" s="531" t="str">
        <f aca="false">IF('(1)예금승인내역'!F1566="","",'(1)예금승인내역'!F1566)</f>
        <v/>
      </c>
      <c r="Q940" s="531" t="str">
        <f aca="false">IF('(1)예금승인내역'!C1566="","",'(1)예금승인내역'!C1566)</f>
        <v/>
      </c>
      <c r="R940" s="531" t="str">
        <f aca="false">IF('(1)예금승인내역'!K1566="","",'(1)예금승인내역'!K1566)</f>
        <v/>
      </c>
      <c r="S940" s="531" t="str">
        <f aca="false">IF('(1)예금승인내역'!L1566="","",'(1)예금승인내역'!L1566)</f>
        <v/>
      </c>
      <c r="T940" s="531" t="str">
        <f aca="false">IF('(1)예금승인내역'!AG1566="","",'(1)예금승인내역'!AG1566)</f>
        <v/>
      </c>
      <c r="U940" s="531" t="str">
        <f aca="false">IF('(1)예금승인내역'!X1566="","",'(1)예금승인내역'!X1566)</f>
        <v/>
      </c>
      <c r="V940" s="531" t="str">
        <f aca="false">IF(ISNUMBER(N940),N940-$B$2,"")</f>
        <v/>
      </c>
      <c r="W940" s="531" t="str">
        <f aca="false">IF(AND(ISNUMBER(N940),N940&gt;=$B$2,N940&lt;=$B$2+10),N940*100000+ROW(),"")</f>
        <v/>
      </c>
      <c r="X940" s="531"/>
      <c r="Y940" s="531"/>
      <c r="Z940" s="531"/>
      <c r="AA940" s="531"/>
      <c r="AB940" s="531"/>
      <c r="AC940" s="531"/>
      <c r="AD940" s="531"/>
      <c r="AE940" s="531"/>
      <c r="AF940" s="531"/>
      <c r="AG940" s="531"/>
      <c r="AH940" s="531"/>
      <c r="AI940" s="531"/>
      <c r="AJ940" s="531"/>
      <c r="AK940" s="531"/>
      <c r="AL940" s="531"/>
      <c r="AM940" s="531"/>
      <c r="AN940" s="531"/>
    </row>
    <row r="941" customFormat="false" ht="16.5" hidden="false" customHeight="true" outlineLevel="0" collapsed="false">
      <c r="A941" s="531"/>
      <c r="B941" s="531"/>
      <c r="C941" s="531"/>
      <c r="D941" s="531"/>
      <c r="E941" s="531"/>
      <c r="F941" s="531"/>
      <c r="G941" s="531"/>
      <c r="H941" s="531"/>
      <c r="I941" s="531"/>
      <c r="J941" s="531"/>
      <c r="K941" s="531"/>
      <c r="L941" s="531"/>
      <c r="M941" s="531"/>
      <c r="N941" s="531" t="str">
        <f aca="false">IF('(1)예금승인내역'!H1567="","",'(1)예금승인내역'!H1567)</f>
        <v/>
      </c>
      <c r="O941" s="531" t="str">
        <f aca="false">IF('(1)예금승인내역'!G1567="","",'(1)예금승인내역'!G1567)</f>
        <v/>
      </c>
      <c r="P941" s="531" t="str">
        <f aca="false">IF('(1)예금승인내역'!F1567="","",'(1)예금승인내역'!F1567)</f>
        <v/>
      </c>
      <c r="Q941" s="531" t="str">
        <f aca="false">IF('(1)예금승인내역'!C1567="","",'(1)예금승인내역'!C1567)</f>
        <v/>
      </c>
      <c r="R941" s="531" t="str">
        <f aca="false">IF('(1)예금승인내역'!K1567="","",'(1)예금승인내역'!K1567)</f>
        <v/>
      </c>
      <c r="S941" s="531" t="str">
        <f aca="false">IF('(1)예금승인내역'!L1567="","",'(1)예금승인내역'!L1567)</f>
        <v/>
      </c>
      <c r="T941" s="531" t="str">
        <f aca="false">IF('(1)예금승인내역'!AG1567="","",'(1)예금승인내역'!AG1567)</f>
        <v/>
      </c>
      <c r="U941" s="531" t="str">
        <f aca="false">IF('(1)예금승인내역'!X1567="","",'(1)예금승인내역'!X1567)</f>
        <v/>
      </c>
      <c r="V941" s="531" t="str">
        <f aca="false">IF(ISNUMBER(N941),N941-$B$2,"")</f>
        <v/>
      </c>
      <c r="W941" s="531" t="str">
        <f aca="false">IF(AND(ISNUMBER(N941),N941&gt;=$B$2,N941&lt;=$B$2+10),N941*100000+ROW(),"")</f>
        <v/>
      </c>
      <c r="X941" s="531"/>
      <c r="Y941" s="531"/>
      <c r="Z941" s="531"/>
      <c r="AA941" s="531"/>
      <c r="AB941" s="531"/>
      <c r="AC941" s="531"/>
      <c r="AD941" s="531"/>
      <c r="AE941" s="531"/>
      <c r="AF941" s="531"/>
      <c r="AG941" s="531"/>
      <c r="AH941" s="531"/>
      <c r="AI941" s="531"/>
      <c r="AJ941" s="531"/>
      <c r="AK941" s="531"/>
      <c r="AL941" s="531"/>
      <c r="AM941" s="531"/>
      <c r="AN941" s="531"/>
    </row>
    <row r="942" customFormat="false" ht="16.5" hidden="false" customHeight="true" outlineLevel="0" collapsed="false">
      <c r="A942" s="531"/>
      <c r="B942" s="531"/>
      <c r="C942" s="531"/>
      <c r="D942" s="531"/>
      <c r="E942" s="531"/>
      <c r="F942" s="531"/>
      <c r="G942" s="531"/>
      <c r="H942" s="531"/>
      <c r="I942" s="531"/>
      <c r="J942" s="531"/>
      <c r="K942" s="531"/>
      <c r="L942" s="531"/>
      <c r="M942" s="531"/>
      <c r="N942" s="531" t="str">
        <f aca="false">IF('(1)예금승인내역'!H1568="","",'(1)예금승인내역'!H1568)</f>
        <v/>
      </c>
      <c r="O942" s="531" t="str">
        <f aca="false">IF('(1)예금승인내역'!G1568="","",'(1)예금승인내역'!G1568)</f>
        <v/>
      </c>
      <c r="P942" s="531" t="str">
        <f aca="false">IF('(1)예금승인내역'!F1568="","",'(1)예금승인내역'!F1568)</f>
        <v/>
      </c>
      <c r="Q942" s="531" t="str">
        <f aca="false">IF('(1)예금승인내역'!C1568="","",'(1)예금승인내역'!C1568)</f>
        <v/>
      </c>
      <c r="R942" s="531" t="str">
        <f aca="false">IF('(1)예금승인내역'!K1568="","",'(1)예금승인내역'!K1568)</f>
        <v/>
      </c>
      <c r="S942" s="531" t="str">
        <f aca="false">IF('(1)예금승인내역'!L1568="","",'(1)예금승인내역'!L1568)</f>
        <v/>
      </c>
      <c r="T942" s="531" t="str">
        <f aca="false">IF('(1)예금승인내역'!AG1568="","",'(1)예금승인내역'!AG1568)</f>
        <v/>
      </c>
      <c r="U942" s="531" t="str">
        <f aca="false">IF('(1)예금승인내역'!X1568="","",'(1)예금승인내역'!X1568)</f>
        <v/>
      </c>
      <c r="V942" s="531" t="str">
        <f aca="false">IF(ISNUMBER(N942),N942-$B$2,"")</f>
        <v/>
      </c>
      <c r="W942" s="531" t="str">
        <f aca="false">IF(AND(ISNUMBER(N942),N942&gt;=$B$2,N942&lt;=$B$2+10),N942*100000+ROW(),"")</f>
        <v/>
      </c>
      <c r="X942" s="531"/>
      <c r="Y942" s="531"/>
      <c r="Z942" s="531"/>
      <c r="AA942" s="531"/>
      <c r="AB942" s="531"/>
      <c r="AC942" s="531"/>
      <c r="AD942" s="531"/>
      <c r="AE942" s="531"/>
      <c r="AF942" s="531"/>
      <c r="AG942" s="531"/>
      <c r="AH942" s="531"/>
      <c r="AI942" s="531"/>
      <c r="AJ942" s="531"/>
      <c r="AK942" s="531"/>
      <c r="AL942" s="531"/>
      <c r="AM942" s="531"/>
      <c r="AN942" s="531"/>
    </row>
    <row r="943" customFormat="false" ht="16.5" hidden="false" customHeight="true" outlineLevel="0" collapsed="false">
      <c r="A943" s="531"/>
      <c r="B943" s="531"/>
      <c r="C943" s="531"/>
      <c r="D943" s="531"/>
      <c r="E943" s="531"/>
      <c r="F943" s="531"/>
      <c r="G943" s="531"/>
      <c r="H943" s="531"/>
      <c r="I943" s="531"/>
      <c r="J943" s="531"/>
      <c r="K943" s="531"/>
      <c r="L943" s="531"/>
      <c r="M943" s="531"/>
      <c r="N943" s="531" t="str">
        <f aca="false">IF('(1)예금승인내역'!H1569="","",'(1)예금승인내역'!H1569)</f>
        <v/>
      </c>
      <c r="O943" s="531" t="str">
        <f aca="false">IF('(1)예금승인내역'!G1569="","",'(1)예금승인내역'!G1569)</f>
        <v/>
      </c>
      <c r="P943" s="531" t="str">
        <f aca="false">IF('(1)예금승인내역'!F1569="","",'(1)예금승인내역'!F1569)</f>
        <v/>
      </c>
      <c r="Q943" s="531" t="str">
        <f aca="false">IF('(1)예금승인내역'!C1569="","",'(1)예금승인내역'!C1569)</f>
        <v/>
      </c>
      <c r="R943" s="531" t="str">
        <f aca="false">IF('(1)예금승인내역'!K1569="","",'(1)예금승인내역'!K1569)</f>
        <v/>
      </c>
      <c r="S943" s="531" t="str">
        <f aca="false">IF('(1)예금승인내역'!L1569="","",'(1)예금승인내역'!L1569)</f>
        <v/>
      </c>
      <c r="T943" s="531" t="str">
        <f aca="false">IF('(1)예금승인내역'!AG1569="","",'(1)예금승인내역'!AG1569)</f>
        <v/>
      </c>
      <c r="U943" s="531" t="str">
        <f aca="false">IF('(1)예금승인내역'!X1569="","",'(1)예금승인내역'!X1569)</f>
        <v/>
      </c>
      <c r="V943" s="531" t="str">
        <f aca="false">IF(ISNUMBER(N943),N943-$B$2,"")</f>
        <v/>
      </c>
      <c r="W943" s="531" t="str">
        <f aca="false">IF(AND(ISNUMBER(N943),N943&gt;=$B$2,N943&lt;=$B$2+10),N943*100000+ROW(),"")</f>
        <v/>
      </c>
      <c r="X943" s="531"/>
      <c r="Y943" s="531"/>
      <c r="Z943" s="531"/>
      <c r="AA943" s="531"/>
      <c r="AB943" s="531"/>
      <c r="AC943" s="531"/>
      <c r="AD943" s="531"/>
      <c r="AE943" s="531"/>
      <c r="AF943" s="531"/>
      <c r="AG943" s="531"/>
      <c r="AH943" s="531"/>
      <c r="AI943" s="531"/>
      <c r="AJ943" s="531"/>
      <c r="AK943" s="531"/>
      <c r="AL943" s="531"/>
      <c r="AM943" s="531"/>
      <c r="AN943" s="531"/>
    </row>
    <row r="944" customFormat="false" ht="16.5" hidden="false" customHeight="true" outlineLevel="0" collapsed="false">
      <c r="A944" s="531"/>
      <c r="B944" s="531"/>
      <c r="C944" s="531"/>
      <c r="D944" s="531"/>
      <c r="E944" s="531"/>
      <c r="F944" s="531"/>
      <c r="G944" s="531"/>
      <c r="H944" s="531"/>
      <c r="I944" s="531"/>
      <c r="J944" s="531"/>
      <c r="K944" s="531"/>
      <c r="L944" s="531"/>
      <c r="M944" s="531"/>
      <c r="N944" s="531" t="str">
        <f aca="false">IF('(1)예금승인내역'!H1570="","",'(1)예금승인내역'!H1570)</f>
        <v/>
      </c>
      <c r="O944" s="531" t="str">
        <f aca="false">IF('(1)예금승인내역'!G1570="","",'(1)예금승인내역'!G1570)</f>
        <v/>
      </c>
      <c r="P944" s="531" t="str">
        <f aca="false">IF('(1)예금승인내역'!F1570="","",'(1)예금승인내역'!F1570)</f>
        <v/>
      </c>
      <c r="Q944" s="531" t="str">
        <f aca="false">IF('(1)예금승인내역'!C1570="","",'(1)예금승인내역'!C1570)</f>
        <v/>
      </c>
      <c r="R944" s="531" t="str">
        <f aca="false">IF('(1)예금승인내역'!K1570="","",'(1)예금승인내역'!K1570)</f>
        <v/>
      </c>
      <c r="S944" s="531" t="str">
        <f aca="false">IF('(1)예금승인내역'!L1570="","",'(1)예금승인내역'!L1570)</f>
        <v/>
      </c>
      <c r="T944" s="531" t="str">
        <f aca="false">IF('(1)예금승인내역'!AG1570="","",'(1)예금승인내역'!AG1570)</f>
        <v/>
      </c>
      <c r="U944" s="531" t="str">
        <f aca="false">IF('(1)예금승인내역'!X1570="","",'(1)예금승인내역'!X1570)</f>
        <v/>
      </c>
      <c r="V944" s="531" t="str">
        <f aca="false">IF(ISNUMBER(N944),N944-$B$2,"")</f>
        <v/>
      </c>
      <c r="W944" s="531" t="str">
        <f aca="false">IF(AND(ISNUMBER(N944),N944&gt;=$B$2,N944&lt;=$B$2+10),N944*100000+ROW(),"")</f>
        <v/>
      </c>
      <c r="X944" s="531"/>
      <c r="Y944" s="531"/>
      <c r="Z944" s="531"/>
      <c r="AA944" s="531"/>
      <c r="AB944" s="531"/>
      <c r="AC944" s="531"/>
      <c r="AD944" s="531"/>
      <c r="AE944" s="531"/>
      <c r="AF944" s="531"/>
      <c r="AG944" s="531"/>
      <c r="AH944" s="531"/>
      <c r="AI944" s="531"/>
      <c r="AJ944" s="531"/>
      <c r="AK944" s="531"/>
      <c r="AL944" s="531"/>
      <c r="AM944" s="531"/>
      <c r="AN944" s="531"/>
    </row>
    <row r="945" customFormat="false" ht="16.5" hidden="false" customHeight="true" outlineLevel="0" collapsed="false">
      <c r="A945" s="531"/>
      <c r="B945" s="531"/>
      <c r="C945" s="531"/>
      <c r="D945" s="531"/>
      <c r="E945" s="531"/>
      <c r="F945" s="531"/>
      <c r="G945" s="531"/>
      <c r="H945" s="531"/>
      <c r="I945" s="531"/>
      <c r="J945" s="531"/>
      <c r="K945" s="531"/>
      <c r="L945" s="531"/>
      <c r="M945" s="531"/>
      <c r="N945" s="531" t="str">
        <f aca="false">IF('(1)예금승인내역'!H1571="","",'(1)예금승인내역'!H1571)</f>
        <v/>
      </c>
      <c r="O945" s="531" t="str">
        <f aca="false">IF('(1)예금승인내역'!G1571="","",'(1)예금승인내역'!G1571)</f>
        <v/>
      </c>
      <c r="P945" s="531" t="str">
        <f aca="false">IF('(1)예금승인내역'!F1571="","",'(1)예금승인내역'!F1571)</f>
        <v/>
      </c>
      <c r="Q945" s="531" t="str">
        <f aca="false">IF('(1)예금승인내역'!C1571="","",'(1)예금승인내역'!C1571)</f>
        <v/>
      </c>
      <c r="R945" s="531" t="str">
        <f aca="false">IF('(1)예금승인내역'!K1571="","",'(1)예금승인내역'!K1571)</f>
        <v/>
      </c>
      <c r="S945" s="531" t="str">
        <f aca="false">IF('(1)예금승인내역'!L1571="","",'(1)예금승인내역'!L1571)</f>
        <v/>
      </c>
      <c r="T945" s="531" t="str">
        <f aca="false">IF('(1)예금승인내역'!AG1571="","",'(1)예금승인내역'!AG1571)</f>
        <v/>
      </c>
      <c r="U945" s="531" t="str">
        <f aca="false">IF('(1)예금승인내역'!X1571="","",'(1)예금승인내역'!X1571)</f>
        <v/>
      </c>
      <c r="V945" s="531" t="str">
        <f aca="false">IF(ISNUMBER(N945),N945-$B$2,"")</f>
        <v/>
      </c>
      <c r="W945" s="531" t="str">
        <f aca="false">IF(AND(ISNUMBER(N945),N945&gt;=$B$2,N945&lt;=$B$2+10),N945*100000+ROW(),"")</f>
        <v/>
      </c>
      <c r="X945" s="531"/>
      <c r="Y945" s="531"/>
      <c r="Z945" s="531"/>
      <c r="AA945" s="531"/>
      <c r="AB945" s="531"/>
      <c r="AC945" s="531"/>
      <c r="AD945" s="531"/>
      <c r="AE945" s="531"/>
      <c r="AF945" s="531"/>
      <c r="AG945" s="531"/>
      <c r="AH945" s="531"/>
      <c r="AI945" s="531"/>
      <c r="AJ945" s="531"/>
      <c r="AK945" s="531"/>
      <c r="AL945" s="531"/>
      <c r="AM945" s="531"/>
      <c r="AN945" s="531"/>
    </row>
    <row r="946" customFormat="false" ht="16.5" hidden="false" customHeight="true" outlineLevel="0" collapsed="false">
      <c r="A946" s="531"/>
      <c r="B946" s="531"/>
      <c r="C946" s="531"/>
      <c r="D946" s="531"/>
      <c r="E946" s="531"/>
      <c r="F946" s="531"/>
      <c r="G946" s="531"/>
      <c r="H946" s="531"/>
      <c r="I946" s="531"/>
      <c r="J946" s="531"/>
      <c r="K946" s="531"/>
      <c r="L946" s="531"/>
      <c r="M946" s="531"/>
      <c r="N946" s="531" t="str">
        <f aca="false">IF('(1)예금승인내역'!H1572="","",'(1)예금승인내역'!H1572)</f>
        <v/>
      </c>
      <c r="O946" s="531" t="str">
        <f aca="false">IF('(1)예금승인내역'!G1572="","",'(1)예금승인내역'!G1572)</f>
        <v/>
      </c>
      <c r="P946" s="531" t="str">
        <f aca="false">IF('(1)예금승인내역'!F1572="","",'(1)예금승인내역'!F1572)</f>
        <v/>
      </c>
      <c r="Q946" s="531" t="str">
        <f aca="false">IF('(1)예금승인내역'!C1572="","",'(1)예금승인내역'!C1572)</f>
        <v/>
      </c>
      <c r="R946" s="531" t="str">
        <f aca="false">IF('(1)예금승인내역'!K1572="","",'(1)예금승인내역'!K1572)</f>
        <v/>
      </c>
      <c r="S946" s="531" t="str">
        <f aca="false">IF('(1)예금승인내역'!L1572="","",'(1)예금승인내역'!L1572)</f>
        <v/>
      </c>
      <c r="T946" s="531" t="str">
        <f aca="false">IF('(1)예금승인내역'!AG1572="","",'(1)예금승인내역'!AG1572)</f>
        <v/>
      </c>
      <c r="U946" s="531" t="str">
        <f aca="false">IF('(1)예금승인내역'!X1572="","",'(1)예금승인내역'!X1572)</f>
        <v/>
      </c>
      <c r="V946" s="531" t="str">
        <f aca="false">IF(ISNUMBER(N946),N946-$B$2,"")</f>
        <v/>
      </c>
      <c r="W946" s="531" t="str">
        <f aca="false">IF(AND(ISNUMBER(N946),N946&gt;=$B$2,N946&lt;=$B$2+10),N946*100000+ROW(),"")</f>
        <v/>
      </c>
      <c r="X946" s="531"/>
      <c r="Y946" s="531"/>
      <c r="Z946" s="531"/>
      <c r="AA946" s="531"/>
      <c r="AB946" s="531"/>
      <c r="AC946" s="531"/>
      <c r="AD946" s="531"/>
      <c r="AE946" s="531"/>
      <c r="AF946" s="531"/>
      <c r="AG946" s="531"/>
      <c r="AH946" s="531"/>
      <c r="AI946" s="531"/>
      <c r="AJ946" s="531"/>
      <c r="AK946" s="531"/>
      <c r="AL946" s="531"/>
      <c r="AM946" s="531"/>
      <c r="AN946" s="531"/>
    </row>
    <row r="947" customFormat="false" ht="16.5" hidden="false" customHeight="true" outlineLevel="0" collapsed="false">
      <c r="A947" s="531"/>
      <c r="B947" s="531"/>
      <c r="C947" s="531"/>
      <c r="D947" s="531"/>
      <c r="E947" s="531"/>
      <c r="F947" s="531"/>
      <c r="G947" s="531"/>
      <c r="H947" s="531"/>
      <c r="I947" s="531"/>
      <c r="J947" s="531"/>
      <c r="K947" s="531"/>
      <c r="L947" s="531"/>
      <c r="M947" s="531"/>
      <c r="N947" s="531" t="str">
        <f aca="false">IF('(1)예금승인내역'!H1573="","",'(1)예금승인내역'!H1573)</f>
        <v/>
      </c>
      <c r="O947" s="531" t="str">
        <f aca="false">IF('(1)예금승인내역'!G1573="","",'(1)예금승인내역'!G1573)</f>
        <v/>
      </c>
      <c r="P947" s="531" t="str">
        <f aca="false">IF('(1)예금승인내역'!F1573="","",'(1)예금승인내역'!F1573)</f>
        <v/>
      </c>
      <c r="Q947" s="531" t="str">
        <f aca="false">IF('(1)예금승인내역'!C1573="","",'(1)예금승인내역'!C1573)</f>
        <v/>
      </c>
      <c r="R947" s="531" t="str">
        <f aca="false">IF('(1)예금승인내역'!K1573="","",'(1)예금승인내역'!K1573)</f>
        <v/>
      </c>
      <c r="S947" s="531" t="str">
        <f aca="false">IF('(1)예금승인내역'!L1573="","",'(1)예금승인내역'!L1573)</f>
        <v/>
      </c>
      <c r="T947" s="531" t="str">
        <f aca="false">IF('(1)예금승인내역'!AG1573="","",'(1)예금승인내역'!AG1573)</f>
        <v/>
      </c>
      <c r="U947" s="531" t="str">
        <f aca="false">IF('(1)예금승인내역'!X1573="","",'(1)예금승인내역'!X1573)</f>
        <v/>
      </c>
      <c r="V947" s="531" t="str">
        <f aca="false">IF(ISNUMBER(N947),N947-$B$2,"")</f>
        <v/>
      </c>
      <c r="W947" s="531" t="str">
        <f aca="false">IF(AND(ISNUMBER(N947),N947&gt;=$B$2,N947&lt;=$B$2+10),N947*100000+ROW(),"")</f>
        <v/>
      </c>
      <c r="X947" s="531"/>
      <c r="Y947" s="531"/>
      <c r="Z947" s="531"/>
      <c r="AA947" s="531"/>
      <c r="AB947" s="531"/>
      <c r="AC947" s="531"/>
      <c r="AD947" s="531"/>
      <c r="AE947" s="531"/>
      <c r="AF947" s="531"/>
      <c r="AG947" s="531"/>
      <c r="AH947" s="531"/>
      <c r="AI947" s="531"/>
      <c r="AJ947" s="531"/>
      <c r="AK947" s="531"/>
      <c r="AL947" s="531"/>
      <c r="AM947" s="531"/>
      <c r="AN947" s="531"/>
    </row>
    <row r="948" customFormat="false" ht="16.5" hidden="false" customHeight="true" outlineLevel="0" collapsed="false">
      <c r="A948" s="531"/>
      <c r="B948" s="531"/>
      <c r="C948" s="531"/>
      <c r="D948" s="531"/>
      <c r="E948" s="531"/>
      <c r="F948" s="531"/>
      <c r="G948" s="531"/>
      <c r="H948" s="531"/>
      <c r="I948" s="531"/>
      <c r="J948" s="531"/>
      <c r="K948" s="531"/>
      <c r="L948" s="531"/>
      <c r="M948" s="531"/>
      <c r="N948" s="531" t="str">
        <f aca="false">IF('(1)예금승인내역'!H1574="","",'(1)예금승인내역'!H1574)</f>
        <v/>
      </c>
      <c r="O948" s="531" t="str">
        <f aca="false">IF('(1)예금승인내역'!G1574="","",'(1)예금승인내역'!G1574)</f>
        <v/>
      </c>
      <c r="P948" s="531" t="str">
        <f aca="false">IF('(1)예금승인내역'!F1574="","",'(1)예금승인내역'!F1574)</f>
        <v/>
      </c>
      <c r="Q948" s="531" t="str">
        <f aca="false">IF('(1)예금승인내역'!C1574="","",'(1)예금승인내역'!C1574)</f>
        <v/>
      </c>
      <c r="R948" s="531" t="str">
        <f aca="false">IF('(1)예금승인내역'!K1574="","",'(1)예금승인내역'!K1574)</f>
        <v/>
      </c>
      <c r="S948" s="531" t="str">
        <f aca="false">IF('(1)예금승인내역'!L1574="","",'(1)예금승인내역'!L1574)</f>
        <v/>
      </c>
      <c r="T948" s="531" t="str">
        <f aca="false">IF('(1)예금승인내역'!AG1574="","",'(1)예금승인내역'!AG1574)</f>
        <v/>
      </c>
      <c r="U948" s="531" t="str">
        <f aca="false">IF('(1)예금승인내역'!X1574="","",'(1)예금승인내역'!X1574)</f>
        <v/>
      </c>
      <c r="V948" s="531" t="str">
        <f aca="false">IF(ISNUMBER(N948),N948-$B$2,"")</f>
        <v/>
      </c>
      <c r="W948" s="531" t="str">
        <f aca="false">IF(AND(ISNUMBER(N948),N948&gt;=$B$2,N948&lt;=$B$2+10),N948*100000+ROW(),"")</f>
        <v/>
      </c>
      <c r="X948" s="531"/>
      <c r="Y948" s="531"/>
      <c r="Z948" s="531"/>
      <c r="AA948" s="531"/>
      <c r="AB948" s="531"/>
      <c r="AC948" s="531"/>
      <c r="AD948" s="531"/>
      <c r="AE948" s="531"/>
      <c r="AF948" s="531"/>
      <c r="AG948" s="531"/>
      <c r="AH948" s="531"/>
      <c r="AI948" s="531"/>
      <c r="AJ948" s="531"/>
      <c r="AK948" s="531"/>
      <c r="AL948" s="531"/>
      <c r="AM948" s="531"/>
      <c r="AN948" s="531"/>
    </row>
    <row r="949" customFormat="false" ht="16.5" hidden="false" customHeight="true" outlineLevel="0" collapsed="false">
      <c r="A949" s="531"/>
      <c r="B949" s="531"/>
      <c r="C949" s="531"/>
      <c r="D949" s="531"/>
      <c r="E949" s="531"/>
      <c r="F949" s="531"/>
      <c r="G949" s="531"/>
      <c r="H949" s="531"/>
      <c r="I949" s="531"/>
      <c r="J949" s="531"/>
      <c r="K949" s="531"/>
      <c r="L949" s="531"/>
      <c r="M949" s="531"/>
      <c r="N949" s="531" t="str">
        <f aca="false">IF('(1)예금승인내역'!H1575="","",'(1)예금승인내역'!H1575)</f>
        <v/>
      </c>
      <c r="O949" s="531" t="str">
        <f aca="false">IF('(1)예금승인내역'!G1575="","",'(1)예금승인내역'!G1575)</f>
        <v/>
      </c>
      <c r="P949" s="531" t="str">
        <f aca="false">IF('(1)예금승인내역'!F1575="","",'(1)예금승인내역'!F1575)</f>
        <v/>
      </c>
      <c r="Q949" s="531" t="str">
        <f aca="false">IF('(1)예금승인내역'!C1575="","",'(1)예금승인내역'!C1575)</f>
        <v/>
      </c>
      <c r="R949" s="531" t="str">
        <f aca="false">IF('(1)예금승인내역'!K1575="","",'(1)예금승인내역'!K1575)</f>
        <v/>
      </c>
      <c r="S949" s="531" t="str">
        <f aca="false">IF('(1)예금승인내역'!L1575="","",'(1)예금승인내역'!L1575)</f>
        <v/>
      </c>
      <c r="T949" s="531" t="str">
        <f aca="false">IF('(1)예금승인내역'!AG1575="","",'(1)예금승인내역'!AG1575)</f>
        <v/>
      </c>
      <c r="U949" s="531" t="str">
        <f aca="false">IF('(1)예금승인내역'!X1575="","",'(1)예금승인내역'!X1575)</f>
        <v/>
      </c>
      <c r="V949" s="531" t="str">
        <f aca="false">IF(ISNUMBER(N949),N949-$B$2,"")</f>
        <v/>
      </c>
      <c r="W949" s="531" t="str">
        <f aca="false">IF(AND(ISNUMBER(N949),N949&gt;=$B$2,N949&lt;=$B$2+10),N949*100000+ROW(),"")</f>
        <v/>
      </c>
      <c r="X949" s="531"/>
      <c r="Y949" s="531"/>
      <c r="Z949" s="531"/>
      <c r="AA949" s="531"/>
      <c r="AB949" s="531"/>
      <c r="AC949" s="531"/>
      <c r="AD949" s="531"/>
      <c r="AE949" s="531"/>
      <c r="AF949" s="531"/>
      <c r="AG949" s="531"/>
      <c r="AH949" s="531"/>
      <c r="AI949" s="531"/>
      <c r="AJ949" s="531"/>
      <c r="AK949" s="531"/>
      <c r="AL949" s="531"/>
      <c r="AM949" s="531"/>
      <c r="AN949" s="531"/>
    </row>
    <row r="950" customFormat="false" ht="16.5" hidden="false" customHeight="true" outlineLevel="0" collapsed="false">
      <c r="A950" s="531"/>
      <c r="B950" s="531"/>
      <c r="C950" s="531"/>
      <c r="D950" s="531"/>
      <c r="E950" s="531"/>
      <c r="F950" s="531"/>
      <c r="G950" s="531"/>
      <c r="H950" s="531"/>
      <c r="I950" s="531"/>
      <c r="J950" s="531"/>
      <c r="K950" s="531"/>
      <c r="L950" s="531"/>
      <c r="M950" s="531"/>
      <c r="N950" s="531" t="str">
        <f aca="false">IF('(1)예금승인내역'!H1576="","",'(1)예금승인내역'!H1576)</f>
        <v/>
      </c>
      <c r="O950" s="531" t="str">
        <f aca="false">IF('(1)예금승인내역'!G1576="","",'(1)예금승인내역'!G1576)</f>
        <v/>
      </c>
      <c r="P950" s="531" t="str">
        <f aca="false">IF('(1)예금승인내역'!F1576="","",'(1)예금승인내역'!F1576)</f>
        <v/>
      </c>
      <c r="Q950" s="531" t="str">
        <f aca="false">IF('(1)예금승인내역'!C1576="","",'(1)예금승인내역'!C1576)</f>
        <v/>
      </c>
      <c r="R950" s="531" t="str">
        <f aca="false">IF('(1)예금승인내역'!K1576="","",'(1)예금승인내역'!K1576)</f>
        <v/>
      </c>
      <c r="S950" s="531" t="str">
        <f aca="false">IF('(1)예금승인내역'!L1576="","",'(1)예금승인내역'!L1576)</f>
        <v/>
      </c>
      <c r="T950" s="531" t="str">
        <f aca="false">IF('(1)예금승인내역'!AG1576="","",'(1)예금승인내역'!AG1576)</f>
        <v/>
      </c>
      <c r="U950" s="531" t="str">
        <f aca="false">IF('(1)예금승인내역'!X1576="","",'(1)예금승인내역'!X1576)</f>
        <v/>
      </c>
      <c r="V950" s="531" t="str">
        <f aca="false">IF(ISNUMBER(N950),N950-$B$2,"")</f>
        <v/>
      </c>
      <c r="W950" s="531" t="str">
        <f aca="false">IF(AND(ISNUMBER(N950),N950&gt;=$B$2,N950&lt;=$B$2+10),N950*100000+ROW(),"")</f>
        <v/>
      </c>
      <c r="X950" s="531"/>
      <c r="Y950" s="531"/>
      <c r="Z950" s="531"/>
      <c r="AA950" s="531"/>
      <c r="AB950" s="531"/>
      <c r="AC950" s="531"/>
      <c r="AD950" s="531"/>
      <c r="AE950" s="531"/>
      <c r="AF950" s="531"/>
      <c r="AG950" s="531"/>
      <c r="AH950" s="531"/>
      <c r="AI950" s="531"/>
      <c r="AJ950" s="531"/>
      <c r="AK950" s="531"/>
      <c r="AL950" s="531"/>
      <c r="AM950" s="531"/>
      <c r="AN950" s="531"/>
    </row>
    <row r="951" customFormat="false" ht="16.5" hidden="false" customHeight="true" outlineLevel="0" collapsed="false">
      <c r="A951" s="531"/>
      <c r="B951" s="531"/>
      <c r="C951" s="531"/>
      <c r="D951" s="531"/>
      <c r="E951" s="531"/>
      <c r="F951" s="531"/>
      <c r="G951" s="531"/>
      <c r="H951" s="531"/>
      <c r="I951" s="531"/>
      <c r="J951" s="531"/>
      <c r="K951" s="531"/>
      <c r="L951" s="531"/>
      <c r="M951" s="531"/>
      <c r="N951" s="531" t="str">
        <f aca="false">IF('(1)예금승인내역'!H1577="","",'(1)예금승인내역'!H1577)</f>
        <v/>
      </c>
      <c r="O951" s="531" t="str">
        <f aca="false">IF('(1)예금승인내역'!G1577="","",'(1)예금승인내역'!G1577)</f>
        <v/>
      </c>
      <c r="P951" s="531" t="str">
        <f aca="false">IF('(1)예금승인내역'!F1577="","",'(1)예금승인내역'!F1577)</f>
        <v/>
      </c>
      <c r="Q951" s="531" t="str">
        <f aca="false">IF('(1)예금승인내역'!C1577="","",'(1)예금승인내역'!C1577)</f>
        <v/>
      </c>
      <c r="R951" s="531" t="str">
        <f aca="false">IF('(1)예금승인내역'!K1577="","",'(1)예금승인내역'!K1577)</f>
        <v/>
      </c>
      <c r="S951" s="531" t="str">
        <f aca="false">IF('(1)예금승인내역'!L1577="","",'(1)예금승인내역'!L1577)</f>
        <v/>
      </c>
      <c r="T951" s="531" t="str">
        <f aca="false">IF('(1)예금승인내역'!AG1577="","",'(1)예금승인내역'!AG1577)</f>
        <v/>
      </c>
      <c r="U951" s="531" t="str">
        <f aca="false">IF('(1)예금승인내역'!X1577="","",'(1)예금승인내역'!X1577)</f>
        <v/>
      </c>
      <c r="V951" s="531" t="str">
        <f aca="false">IF(ISNUMBER(N951),N951-$B$2,"")</f>
        <v/>
      </c>
      <c r="W951" s="531" t="str">
        <f aca="false">IF(AND(ISNUMBER(N951),N951&gt;=$B$2,N951&lt;=$B$2+10),N951*100000+ROW(),"")</f>
        <v/>
      </c>
      <c r="X951" s="531"/>
      <c r="Y951" s="531"/>
      <c r="Z951" s="531"/>
      <c r="AA951" s="531"/>
      <c r="AB951" s="531"/>
      <c r="AC951" s="531"/>
      <c r="AD951" s="531"/>
      <c r="AE951" s="531"/>
      <c r="AF951" s="531"/>
      <c r="AG951" s="531"/>
      <c r="AH951" s="531"/>
      <c r="AI951" s="531"/>
      <c r="AJ951" s="531"/>
      <c r="AK951" s="531"/>
      <c r="AL951" s="531"/>
      <c r="AM951" s="531"/>
      <c r="AN951" s="531"/>
    </row>
    <row r="952" customFormat="false" ht="16.5" hidden="false" customHeight="true" outlineLevel="0" collapsed="false">
      <c r="A952" s="531"/>
      <c r="B952" s="531"/>
      <c r="C952" s="531"/>
      <c r="D952" s="531"/>
      <c r="E952" s="531"/>
      <c r="F952" s="531"/>
      <c r="G952" s="531"/>
      <c r="H952" s="531"/>
      <c r="I952" s="531"/>
      <c r="J952" s="531"/>
      <c r="K952" s="531"/>
      <c r="L952" s="531"/>
      <c r="M952" s="531"/>
      <c r="N952" s="531" t="str">
        <f aca="false">IF('(1)예금승인내역'!H1578="","",'(1)예금승인내역'!H1578)</f>
        <v/>
      </c>
      <c r="O952" s="531" t="str">
        <f aca="false">IF('(1)예금승인내역'!G1578="","",'(1)예금승인내역'!G1578)</f>
        <v/>
      </c>
      <c r="P952" s="531" t="str">
        <f aca="false">IF('(1)예금승인내역'!F1578="","",'(1)예금승인내역'!F1578)</f>
        <v/>
      </c>
      <c r="Q952" s="531" t="str">
        <f aca="false">IF('(1)예금승인내역'!C1578="","",'(1)예금승인내역'!C1578)</f>
        <v/>
      </c>
      <c r="R952" s="531" t="str">
        <f aca="false">IF('(1)예금승인내역'!K1578="","",'(1)예금승인내역'!K1578)</f>
        <v/>
      </c>
      <c r="S952" s="531" t="str">
        <f aca="false">IF('(1)예금승인내역'!L1578="","",'(1)예금승인내역'!L1578)</f>
        <v/>
      </c>
      <c r="T952" s="531" t="str">
        <f aca="false">IF('(1)예금승인내역'!AG1578="","",'(1)예금승인내역'!AG1578)</f>
        <v/>
      </c>
      <c r="U952" s="531" t="str">
        <f aca="false">IF('(1)예금승인내역'!X1578="","",'(1)예금승인내역'!X1578)</f>
        <v/>
      </c>
      <c r="V952" s="531" t="str">
        <f aca="false">IF(ISNUMBER(N952),N952-$B$2,"")</f>
        <v/>
      </c>
      <c r="W952" s="531" t="str">
        <f aca="false">IF(AND(ISNUMBER(N952),N952&gt;=$B$2,N952&lt;=$B$2+10),N952*100000+ROW(),"")</f>
        <v/>
      </c>
      <c r="X952" s="531"/>
      <c r="Y952" s="531"/>
      <c r="Z952" s="531"/>
      <c r="AA952" s="531"/>
      <c r="AB952" s="531"/>
      <c r="AC952" s="531"/>
      <c r="AD952" s="531"/>
      <c r="AE952" s="531"/>
      <c r="AF952" s="531"/>
      <c r="AG952" s="531"/>
      <c r="AH952" s="531"/>
      <c r="AI952" s="531"/>
      <c r="AJ952" s="531"/>
      <c r="AK952" s="531"/>
      <c r="AL952" s="531"/>
      <c r="AM952" s="531"/>
      <c r="AN952" s="531"/>
    </row>
    <row r="953" customFormat="false" ht="16.5" hidden="false" customHeight="true" outlineLevel="0" collapsed="false">
      <c r="A953" s="531"/>
      <c r="B953" s="531"/>
      <c r="C953" s="531"/>
      <c r="D953" s="531"/>
      <c r="E953" s="531"/>
      <c r="F953" s="531"/>
      <c r="G953" s="531"/>
      <c r="H953" s="531"/>
      <c r="I953" s="531"/>
      <c r="J953" s="531"/>
      <c r="K953" s="531"/>
      <c r="L953" s="531"/>
      <c r="M953" s="531"/>
      <c r="N953" s="531" t="str">
        <f aca="false">IF('(1)예금승인내역'!H1579="","",'(1)예금승인내역'!H1579)</f>
        <v/>
      </c>
      <c r="O953" s="531" t="str">
        <f aca="false">IF('(1)예금승인내역'!G1579="","",'(1)예금승인내역'!G1579)</f>
        <v/>
      </c>
      <c r="P953" s="531" t="str">
        <f aca="false">IF('(1)예금승인내역'!F1579="","",'(1)예금승인내역'!F1579)</f>
        <v/>
      </c>
      <c r="Q953" s="531" t="str">
        <f aca="false">IF('(1)예금승인내역'!C1579="","",'(1)예금승인내역'!C1579)</f>
        <v/>
      </c>
      <c r="R953" s="531" t="str">
        <f aca="false">IF('(1)예금승인내역'!K1579="","",'(1)예금승인내역'!K1579)</f>
        <v/>
      </c>
      <c r="S953" s="531" t="str">
        <f aca="false">IF('(1)예금승인내역'!L1579="","",'(1)예금승인내역'!L1579)</f>
        <v/>
      </c>
      <c r="T953" s="531" t="str">
        <f aca="false">IF('(1)예금승인내역'!AG1579="","",'(1)예금승인내역'!AG1579)</f>
        <v/>
      </c>
      <c r="U953" s="531" t="str">
        <f aca="false">IF('(1)예금승인내역'!X1579="","",'(1)예금승인내역'!X1579)</f>
        <v/>
      </c>
      <c r="V953" s="531" t="str">
        <f aca="false">IF(ISNUMBER(N953),N953-$B$2,"")</f>
        <v/>
      </c>
      <c r="W953" s="531" t="str">
        <f aca="false">IF(AND(ISNUMBER(N953),N953&gt;=$B$2,N953&lt;=$B$2+10),N953*100000+ROW(),"")</f>
        <v/>
      </c>
      <c r="X953" s="531"/>
      <c r="Y953" s="531"/>
      <c r="Z953" s="531"/>
      <c r="AA953" s="531"/>
      <c r="AB953" s="531"/>
      <c r="AC953" s="531"/>
      <c r="AD953" s="531"/>
      <c r="AE953" s="531"/>
      <c r="AF953" s="531"/>
      <c r="AG953" s="531"/>
      <c r="AH953" s="531"/>
      <c r="AI953" s="531"/>
      <c r="AJ953" s="531"/>
      <c r="AK953" s="531"/>
      <c r="AL953" s="531"/>
      <c r="AM953" s="531"/>
      <c r="AN953" s="531"/>
    </row>
    <row r="954" customFormat="false" ht="16.5" hidden="false" customHeight="true" outlineLevel="0" collapsed="false">
      <c r="A954" s="531"/>
      <c r="B954" s="531"/>
      <c r="C954" s="531"/>
      <c r="D954" s="531"/>
      <c r="E954" s="531"/>
      <c r="F954" s="531"/>
      <c r="G954" s="531"/>
      <c r="H954" s="531"/>
      <c r="I954" s="531"/>
      <c r="J954" s="531"/>
      <c r="K954" s="531"/>
      <c r="L954" s="531"/>
      <c r="M954" s="531"/>
      <c r="N954" s="531" t="str">
        <f aca="false">IF('(1)예금승인내역'!H1580="","",'(1)예금승인내역'!H1580)</f>
        <v/>
      </c>
      <c r="O954" s="531" t="str">
        <f aca="false">IF('(1)예금승인내역'!G1580="","",'(1)예금승인내역'!G1580)</f>
        <v/>
      </c>
      <c r="P954" s="531" t="str">
        <f aca="false">IF('(1)예금승인내역'!F1580="","",'(1)예금승인내역'!F1580)</f>
        <v/>
      </c>
      <c r="Q954" s="531" t="str">
        <f aca="false">IF('(1)예금승인내역'!C1580="","",'(1)예금승인내역'!C1580)</f>
        <v/>
      </c>
      <c r="R954" s="531" t="str">
        <f aca="false">IF('(1)예금승인내역'!K1580="","",'(1)예금승인내역'!K1580)</f>
        <v/>
      </c>
      <c r="S954" s="531" t="str">
        <f aca="false">IF('(1)예금승인내역'!L1580="","",'(1)예금승인내역'!L1580)</f>
        <v/>
      </c>
      <c r="T954" s="531" t="str">
        <f aca="false">IF('(1)예금승인내역'!AG1580="","",'(1)예금승인내역'!AG1580)</f>
        <v/>
      </c>
      <c r="U954" s="531" t="str">
        <f aca="false">IF('(1)예금승인내역'!X1580="","",'(1)예금승인내역'!X1580)</f>
        <v/>
      </c>
      <c r="V954" s="531" t="str">
        <f aca="false">IF(ISNUMBER(N954),N954-$B$2,"")</f>
        <v/>
      </c>
      <c r="W954" s="531" t="str">
        <f aca="false">IF(AND(ISNUMBER(N954),N954&gt;=$B$2,N954&lt;=$B$2+10),N954*100000+ROW(),"")</f>
        <v/>
      </c>
      <c r="X954" s="531"/>
      <c r="Y954" s="531"/>
      <c r="Z954" s="531"/>
      <c r="AA954" s="531"/>
      <c r="AB954" s="531"/>
      <c r="AC954" s="531"/>
      <c r="AD954" s="531"/>
      <c r="AE954" s="531"/>
      <c r="AF954" s="531"/>
      <c r="AG954" s="531"/>
      <c r="AH954" s="531"/>
      <c r="AI954" s="531"/>
      <c r="AJ954" s="531"/>
      <c r="AK954" s="531"/>
      <c r="AL954" s="531"/>
      <c r="AM954" s="531"/>
      <c r="AN954" s="531"/>
    </row>
    <row r="955" customFormat="false" ht="16.5" hidden="false" customHeight="true" outlineLevel="0" collapsed="false">
      <c r="A955" s="531"/>
      <c r="B955" s="531"/>
      <c r="C955" s="531"/>
      <c r="D955" s="531"/>
      <c r="E955" s="531"/>
      <c r="F955" s="531"/>
      <c r="G955" s="531"/>
      <c r="H955" s="531"/>
      <c r="I955" s="531"/>
      <c r="J955" s="531"/>
      <c r="K955" s="531"/>
      <c r="L955" s="531"/>
      <c r="M955" s="531"/>
      <c r="N955" s="531" t="str">
        <f aca="false">IF('(1)예금승인내역'!H1581="","",'(1)예금승인내역'!H1581)</f>
        <v/>
      </c>
      <c r="O955" s="531" t="str">
        <f aca="false">IF('(1)예금승인내역'!G1581="","",'(1)예금승인내역'!G1581)</f>
        <v/>
      </c>
      <c r="P955" s="531" t="str">
        <f aca="false">IF('(1)예금승인내역'!F1581="","",'(1)예금승인내역'!F1581)</f>
        <v/>
      </c>
      <c r="Q955" s="531" t="str">
        <f aca="false">IF('(1)예금승인내역'!C1581="","",'(1)예금승인내역'!C1581)</f>
        <v/>
      </c>
      <c r="R955" s="531" t="str">
        <f aca="false">IF('(1)예금승인내역'!K1581="","",'(1)예금승인내역'!K1581)</f>
        <v/>
      </c>
      <c r="S955" s="531" t="str">
        <f aca="false">IF('(1)예금승인내역'!L1581="","",'(1)예금승인내역'!L1581)</f>
        <v/>
      </c>
      <c r="T955" s="531" t="str">
        <f aca="false">IF('(1)예금승인내역'!AG1581="","",'(1)예금승인내역'!AG1581)</f>
        <v/>
      </c>
      <c r="U955" s="531" t="str">
        <f aca="false">IF('(1)예금승인내역'!X1581="","",'(1)예금승인내역'!X1581)</f>
        <v/>
      </c>
      <c r="V955" s="531" t="str">
        <f aca="false">IF(ISNUMBER(N955),N955-$B$2,"")</f>
        <v/>
      </c>
      <c r="W955" s="531" t="str">
        <f aca="false">IF(AND(ISNUMBER(N955),N955&gt;=$B$2,N955&lt;=$B$2+10),N955*100000+ROW(),"")</f>
        <v/>
      </c>
      <c r="X955" s="531"/>
      <c r="Y955" s="531"/>
      <c r="Z955" s="531"/>
      <c r="AA955" s="531"/>
      <c r="AB955" s="531"/>
      <c r="AC955" s="531"/>
      <c r="AD955" s="531"/>
      <c r="AE955" s="531"/>
      <c r="AF955" s="531"/>
      <c r="AG955" s="531"/>
      <c r="AH955" s="531"/>
      <c r="AI955" s="531"/>
      <c r="AJ955" s="531"/>
      <c r="AK955" s="531"/>
      <c r="AL955" s="531"/>
      <c r="AM955" s="531"/>
      <c r="AN955" s="531"/>
    </row>
    <row r="956" customFormat="false" ht="16.5" hidden="false" customHeight="true" outlineLevel="0" collapsed="false">
      <c r="A956" s="531"/>
      <c r="B956" s="531"/>
      <c r="C956" s="531"/>
      <c r="D956" s="531"/>
      <c r="E956" s="531"/>
      <c r="F956" s="531"/>
      <c r="G956" s="531"/>
      <c r="H956" s="531"/>
      <c r="I956" s="531"/>
      <c r="J956" s="531"/>
      <c r="K956" s="531"/>
      <c r="L956" s="531"/>
      <c r="M956" s="531"/>
      <c r="N956" s="531" t="str">
        <f aca="false">IF('(1)예금승인내역'!H1582="","",'(1)예금승인내역'!H1582)</f>
        <v/>
      </c>
      <c r="O956" s="531" t="str">
        <f aca="false">IF('(1)예금승인내역'!G1582="","",'(1)예금승인내역'!G1582)</f>
        <v/>
      </c>
      <c r="P956" s="531" t="str">
        <f aca="false">IF('(1)예금승인내역'!F1582="","",'(1)예금승인내역'!F1582)</f>
        <v/>
      </c>
      <c r="Q956" s="531" t="str">
        <f aca="false">IF('(1)예금승인내역'!C1582="","",'(1)예금승인내역'!C1582)</f>
        <v/>
      </c>
      <c r="R956" s="531" t="str">
        <f aca="false">IF('(1)예금승인내역'!K1582="","",'(1)예금승인내역'!K1582)</f>
        <v/>
      </c>
      <c r="S956" s="531" t="str">
        <f aca="false">IF('(1)예금승인내역'!L1582="","",'(1)예금승인내역'!L1582)</f>
        <v/>
      </c>
      <c r="T956" s="531" t="str">
        <f aca="false">IF('(1)예금승인내역'!AG1582="","",'(1)예금승인내역'!AG1582)</f>
        <v/>
      </c>
      <c r="U956" s="531" t="str">
        <f aca="false">IF('(1)예금승인내역'!X1582="","",'(1)예금승인내역'!X1582)</f>
        <v/>
      </c>
      <c r="V956" s="531" t="str">
        <f aca="false">IF(ISNUMBER(N956),N956-$B$2,"")</f>
        <v/>
      </c>
      <c r="W956" s="531" t="str">
        <f aca="false">IF(AND(ISNUMBER(N956),N956&gt;=$B$2,N956&lt;=$B$2+10),N956*100000+ROW(),"")</f>
        <v/>
      </c>
      <c r="X956" s="531"/>
      <c r="Y956" s="531"/>
      <c r="Z956" s="531"/>
      <c r="AA956" s="531"/>
      <c r="AB956" s="531"/>
      <c r="AC956" s="531"/>
      <c r="AD956" s="531"/>
      <c r="AE956" s="531"/>
      <c r="AF956" s="531"/>
      <c r="AG956" s="531"/>
      <c r="AH956" s="531"/>
      <c r="AI956" s="531"/>
      <c r="AJ956" s="531"/>
      <c r="AK956" s="531"/>
      <c r="AL956" s="531"/>
      <c r="AM956" s="531"/>
      <c r="AN956" s="531"/>
    </row>
    <row r="957" customFormat="false" ht="16.5" hidden="false" customHeight="true" outlineLevel="0" collapsed="false">
      <c r="A957" s="531"/>
      <c r="B957" s="531"/>
      <c r="C957" s="531"/>
      <c r="D957" s="531"/>
      <c r="E957" s="531"/>
      <c r="F957" s="531"/>
      <c r="G957" s="531"/>
      <c r="H957" s="531"/>
      <c r="I957" s="531"/>
      <c r="J957" s="531"/>
      <c r="K957" s="531"/>
      <c r="L957" s="531"/>
      <c r="M957" s="531"/>
      <c r="N957" s="531" t="str">
        <f aca="false">IF('(1)예금승인내역'!H1583="","",'(1)예금승인내역'!H1583)</f>
        <v/>
      </c>
      <c r="O957" s="531" t="str">
        <f aca="false">IF('(1)예금승인내역'!G1583="","",'(1)예금승인내역'!G1583)</f>
        <v/>
      </c>
      <c r="P957" s="531" t="str">
        <f aca="false">IF('(1)예금승인내역'!F1583="","",'(1)예금승인내역'!F1583)</f>
        <v/>
      </c>
      <c r="Q957" s="531" t="str">
        <f aca="false">IF('(1)예금승인내역'!C1583="","",'(1)예금승인내역'!C1583)</f>
        <v/>
      </c>
      <c r="R957" s="531" t="str">
        <f aca="false">IF('(1)예금승인내역'!K1583="","",'(1)예금승인내역'!K1583)</f>
        <v/>
      </c>
      <c r="S957" s="531" t="str">
        <f aca="false">IF('(1)예금승인내역'!L1583="","",'(1)예금승인내역'!L1583)</f>
        <v/>
      </c>
      <c r="T957" s="531" t="str">
        <f aca="false">IF('(1)예금승인내역'!AG1583="","",'(1)예금승인내역'!AG1583)</f>
        <v/>
      </c>
      <c r="U957" s="531" t="str">
        <f aca="false">IF('(1)예금승인내역'!X1583="","",'(1)예금승인내역'!X1583)</f>
        <v/>
      </c>
      <c r="V957" s="531" t="str">
        <f aca="false">IF(ISNUMBER(N957),N957-$B$2,"")</f>
        <v/>
      </c>
      <c r="W957" s="531" t="str">
        <f aca="false">IF(AND(ISNUMBER(N957),N957&gt;=$B$2,N957&lt;=$B$2+10),N957*100000+ROW(),"")</f>
        <v/>
      </c>
      <c r="X957" s="531"/>
      <c r="Y957" s="531"/>
      <c r="Z957" s="531"/>
      <c r="AA957" s="531"/>
      <c r="AB957" s="531"/>
      <c r="AC957" s="531"/>
      <c r="AD957" s="531"/>
      <c r="AE957" s="531"/>
      <c r="AF957" s="531"/>
      <c r="AG957" s="531"/>
      <c r="AH957" s="531"/>
      <c r="AI957" s="531"/>
      <c r="AJ957" s="531"/>
      <c r="AK957" s="531"/>
      <c r="AL957" s="531"/>
      <c r="AM957" s="531"/>
      <c r="AN957" s="531"/>
    </row>
    <row r="958" customFormat="false" ht="16.5" hidden="false" customHeight="true" outlineLevel="0" collapsed="false">
      <c r="A958" s="531"/>
      <c r="B958" s="531"/>
      <c r="C958" s="531"/>
      <c r="D958" s="531"/>
      <c r="E958" s="531"/>
      <c r="F958" s="531"/>
      <c r="G958" s="531"/>
      <c r="H958" s="531"/>
      <c r="I958" s="531"/>
      <c r="J958" s="531"/>
      <c r="K958" s="531"/>
      <c r="L958" s="531"/>
      <c r="M958" s="531"/>
      <c r="N958" s="531" t="str">
        <f aca="false">IF('(1)예금승인내역'!H1584="","",'(1)예금승인내역'!H1584)</f>
        <v/>
      </c>
      <c r="O958" s="531" t="str">
        <f aca="false">IF('(1)예금승인내역'!G1584="","",'(1)예금승인내역'!G1584)</f>
        <v/>
      </c>
      <c r="P958" s="531" t="str">
        <f aca="false">IF('(1)예금승인내역'!F1584="","",'(1)예금승인내역'!F1584)</f>
        <v/>
      </c>
      <c r="Q958" s="531" t="str">
        <f aca="false">IF('(1)예금승인내역'!C1584="","",'(1)예금승인내역'!C1584)</f>
        <v/>
      </c>
      <c r="R958" s="531" t="str">
        <f aca="false">IF('(1)예금승인내역'!K1584="","",'(1)예금승인내역'!K1584)</f>
        <v/>
      </c>
      <c r="S958" s="531" t="str">
        <f aca="false">IF('(1)예금승인내역'!L1584="","",'(1)예금승인내역'!L1584)</f>
        <v/>
      </c>
      <c r="T958" s="531" t="str">
        <f aca="false">IF('(1)예금승인내역'!AG1584="","",'(1)예금승인내역'!AG1584)</f>
        <v/>
      </c>
      <c r="U958" s="531" t="str">
        <f aca="false">IF('(1)예금승인내역'!X1584="","",'(1)예금승인내역'!X1584)</f>
        <v/>
      </c>
      <c r="V958" s="531" t="str">
        <f aca="false">IF(ISNUMBER(N958),N958-$B$2,"")</f>
        <v/>
      </c>
      <c r="W958" s="531" t="str">
        <f aca="false">IF(AND(ISNUMBER(N958),N958&gt;=$B$2,N958&lt;=$B$2+10),N958*100000+ROW(),"")</f>
        <v/>
      </c>
      <c r="X958" s="531"/>
      <c r="Y958" s="531"/>
      <c r="Z958" s="531"/>
      <c r="AA958" s="531"/>
      <c r="AB958" s="531"/>
      <c r="AC958" s="531"/>
      <c r="AD958" s="531"/>
      <c r="AE958" s="531"/>
      <c r="AF958" s="531"/>
      <c r="AG958" s="531"/>
      <c r="AH958" s="531"/>
      <c r="AI958" s="531"/>
      <c r="AJ958" s="531"/>
      <c r="AK958" s="531"/>
      <c r="AL958" s="531"/>
      <c r="AM958" s="531"/>
      <c r="AN958" s="531"/>
    </row>
    <row r="959" customFormat="false" ht="16.5" hidden="false" customHeight="true" outlineLevel="0" collapsed="false">
      <c r="A959" s="531"/>
      <c r="B959" s="531"/>
      <c r="C959" s="531"/>
      <c r="D959" s="531"/>
      <c r="E959" s="531"/>
      <c r="F959" s="531"/>
      <c r="G959" s="531"/>
      <c r="H959" s="531"/>
      <c r="I959" s="531"/>
      <c r="J959" s="531"/>
      <c r="K959" s="531"/>
      <c r="L959" s="531"/>
      <c r="M959" s="531"/>
      <c r="N959" s="531" t="str">
        <f aca="false">IF('(1)예금승인내역'!H1585="","",'(1)예금승인내역'!H1585)</f>
        <v/>
      </c>
      <c r="O959" s="531" t="str">
        <f aca="false">IF('(1)예금승인내역'!G1585="","",'(1)예금승인내역'!G1585)</f>
        <v/>
      </c>
      <c r="P959" s="531" t="str">
        <f aca="false">IF('(1)예금승인내역'!F1585="","",'(1)예금승인내역'!F1585)</f>
        <v/>
      </c>
      <c r="Q959" s="531" t="str">
        <f aca="false">IF('(1)예금승인내역'!C1585="","",'(1)예금승인내역'!C1585)</f>
        <v/>
      </c>
      <c r="R959" s="531" t="str">
        <f aca="false">IF('(1)예금승인내역'!K1585="","",'(1)예금승인내역'!K1585)</f>
        <v/>
      </c>
      <c r="S959" s="531" t="str">
        <f aca="false">IF('(1)예금승인내역'!L1585="","",'(1)예금승인내역'!L1585)</f>
        <v/>
      </c>
      <c r="T959" s="531" t="str">
        <f aca="false">IF('(1)예금승인내역'!AG1585="","",'(1)예금승인내역'!AG1585)</f>
        <v/>
      </c>
      <c r="U959" s="531" t="str">
        <f aca="false">IF('(1)예금승인내역'!X1585="","",'(1)예금승인내역'!X1585)</f>
        <v/>
      </c>
      <c r="V959" s="531" t="str">
        <f aca="false">IF(ISNUMBER(N959),N959-$B$2,"")</f>
        <v/>
      </c>
      <c r="W959" s="531" t="str">
        <f aca="false">IF(AND(ISNUMBER(N959),N959&gt;=$B$2,N959&lt;=$B$2+10),N959*100000+ROW(),"")</f>
        <v/>
      </c>
      <c r="X959" s="531"/>
      <c r="Y959" s="531"/>
      <c r="Z959" s="531"/>
      <c r="AA959" s="531"/>
      <c r="AB959" s="531"/>
      <c r="AC959" s="531"/>
      <c r="AD959" s="531"/>
      <c r="AE959" s="531"/>
      <c r="AF959" s="531"/>
      <c r="AG959" s="531"/>
      <c r="AH959" s="531"/>
      <c r="AI959" s="531"/>
      <c r="AJ959" s="531"/>
      <c r="AK959" s="531"/>
      <c r="AL959" s="531"/>
      <c r="AM959" s="531"/>
      <c r="AN959" s="531"/>
    </row>
    <row r="960" customFormat="false" ht="16.5" hidden="false" customHeight="true" outlineLevel="0" collapsed="false">
      <c r="A960" s="531"/>
      <c r="B960" s="531"/>
      <c r="C960" s="531"/>
      <c r="D960" s="531"/>
      <c r="E960" s="531"/>
      <c r="F960" s="531"/>
      <c r="G960" s="531"/>
      <c r="H960" s="531"/>
      <c r="I960" s="531"/>
      <c r="J960" s="531"/>
      <c r="K960" s="531"/>
      <c r="L960" s="531"/>
      <c r="M960" s="531"/>
      <c r="N960" s="531" t="str">
        <f aca="false">IF('(1)예금승인내역'!H1586="","",'(1)예금승인내역'!H1586)</f>
        <v/>
      </c>
      <c r="O960" s="531" t="str">
        <f aca="false">IF('(1)예금승인내역'!G1586="","",'(1)예금승인내역'!G1586)</f>
        <v/>
      </c>
      <c r="P960" s="531" t="str">
        <f aca="false">IF('(1)예금승인내역'!F1586="","",'(1)예금승인내역'!F1586)</f>
        <v/>
      </c>
      <c r="Q960" s="531" t="str">
        <f aca="false">IF('(1)예금승인내역'!C1586="","",'(1)예금승인내역'!C1586)</f>
        <v/>
      </c>
      <c r="R960" s="531" t="str">
        <f aca="false">IF('(1)예금승인내역'!K1586="","",'(1)예금승인내역'!K1586)</f>
        <v/>
      </c>
      <c r="S960" s="531" t="str">
        <f aca="false">IF('(1)예금승인내역'!L1586="","",'(1)예금승인내역'!L1586)</f>
        <v/>
      </c>
      <c r="T960" s="531" t="str">
        <f aca="false">IF('(1)예금승인내역'!AG1586="","",'(1)예금승인내역'!AG1586)</f>
        <v/>
      </c>
      <c r="U960" s="531" t="str">
        <f aca="false">IF('(1)예금승인내역'!X1586="","",'(1)예금승인내역'!X1586)</f>
        <v/>
      </c>
      <c r="V960" s="531" t="str">
        <f aca="false">IF(ISNUMBER(N960),N960-$B$2,"")</f>
        <v/>
      </c>
      <c r="W960" s="531" t="str">
        <f aca="false">IF(AND(ISNUMBER(N960),N960&gt;=$B$2,N960&lt;=$B$2+10),N960*100000+ROW(),"")</f>
        <v/>
      </c>
      <c r="X960" s="531"/>
      <c r="Y960" s="531"/>
      <c r="Z960" s="531"/>
      <c r="AA960" s="531"/>
      <c r="AB960" s="531"/>
      <c r="AC960" s="531"/>
      <c r="AD960" s="531"/>
      <c r="AE960" s="531"/>
      <c r="AF960" s="531"/>
      <c r="AG960" s="531"/>
      <c r="AH960" s="531"/>
      <c r="AI960" s="531"/>
      <c r="AJ960" s="531"/>
      <c r="AK960" s="531"/>
      <c r="AL960" s="531"/>
      <c r="AM960" s="531"/>
      <c r="AN960" s="531"/>
    </row>
    <row r="961" customFormat="false" ht="16.5" hidden="false" customHeight="true" outlineLevel="0" collapsed="false">
      <c r="A961" s="531"/>
      <c r="B961" s="531"/>
      <c r="C961" s="531"/>
      <c r="D961" s="531"/>
      <c r="E961" s="531"/>
      <c r="F961" s="531"/>
      <c r="G961" s="531"/>
      <c r="H961" s="531"/>
      <c r="I961" s="531"/>
      <c r="J961" s="531"/>
      <c r="K961" s="531"/>
      <c r="L961" s="531"/>
      <c r="M961" s="531"/>
      <c r="N961" s="531" t="str">
        <f aca="false">IF('(1)예금승인내역'!H1587="","",'(1)예금승인내역'!H1587)</f>
        <v/>
      </c>
      <c r="O961" s="531" t="str">
        <f aca="false">IF('(1)예금승인내역'!G1587="","",'(1)예금승인내역'!G1587)</f>
        <v/>
      </c>
      <c r="P961" s="531" t="str">
        <f aca="false">IF('(1)예금승인내역'!F1587="","",'(1)예금승인내역'!F1587)</f>
        <v/>
      </c>
      <c r="Q961" s="531" t="str">
        <f aca="false">IF('(1)예금승인내역'!C1587="","",'(1)예금승인내역'!C1587)</f>
        <v/>
      </c>
      <c r="R961" s="531" t="str">
        <f aca="false">IF('(1)예금승인내역'!K1587="","",'(1)예금승인내역'!K1587)</f>
        <v/>
      </c>
      <c r="S961" s="531" t="str">
        <f aca="false">IF('(1)예금승인내역'!L1587="","",'(1)예금승인내역'!L1587)</f>
        <v/>
      </c>
      <c r="T961" s="531" t="str">
        <f aca="false">IF('(1)예금승인내역'!AG1587="","",'(1)예금승인내역'!AG1587)</f>
        <v/>
      </c>
      <c r="U961" s="531" t="str">
        <f aca="false">IF('(1)예금승인내역'!X1587="","",'(1)예금승인내역'!X1587)</f>
        <v/>
      </c>
      <c r="V961" s="531" t="str">
        <f aca="false">IF(ISNUMBER(N961),N961-$B$2,"")</f>
        <v/>
      </c>
      <c r="W961" s="531" t="str">
        <f aca="false">IF(AND(ISNUMBER(N961),N961&gt;=$B$2,N961&lt;=$B$2+10),N961*100000+ROW(),"")</f>
        <v/>
      </c>
      <c r="X961" s="531"/>
      <c r="Y961" s="531"/>
      <c r="Z961" s="531"/>
      <c r="AA961" s="531"/>
      <c r="AB961" s="531"/>
      <c r="AC961" s="531"/>
      <c r="AD961" s="531"/>
      <c r="AE961" s="531"/>
      <c r="AF961" s="531"/>
      <c r="AG961" s="531"/>
      <c r="AH961" s="531"/>
      <c r="AI961" s="531"/>
      <c r="AJ961" s="531"/>
      <c r="AK961" s="531"/>
      <c r="AL961" s="531"/>
      <c r="AM961" s="531"/>
      <c r="AN961" s="531"/>
    </row>
    <row r="962" customFormat="false" ht="16.5" hidden="false" customHeight="true" outlineLevel="0" collapsed="false">
      <c r="A962" s="531"/>
      <c r="B962" s="531"/>
      <c r="C962" s="531"/>
      <c r="D962" s="531"/>
      <c r="E962" s="531"/>
      <c r="F962" s="531"/>
      <c r="G962" s="531"/>
      <c r="H962" s="531"/>
      <c r="I962" s="531"/>
      <c r="J962" s="531"/>
      <c r="K962" s="531"/>
      <c r="L962" s="531"/>
      <c r="M962" s="531"/>
      <c r="N962" s="531" t="str">
        <f aca="false">IF('(1)예금승인내역'!H1588="","",'(1)예금승인내역'!H1588)</f>
        <v/>
      </c>
      <c r="O962" s="531" t="str">
        <f aca="false">IF('(1)예금승인내역'!G1588="","",'(1)예금승인내역'!G1588)</f>
        <v/>
      </c>
      <c r="P962" s="531" t="str">
        <f aca="false">IF('(1)예금승인내역'!F1588="","",'(1)예금승인내역'!F1588)</f>
        <v/>
      </c>
      <c r="Q962" s="531" t="str">
        <f aca="false">IF('(1)예금승인내역'!C1588="","",'(1)예금승인내역'!C1588)</f>
        <v/>
      </c>
      <c r="R962" s="531" t="str">
        <f aca="false">IF('(1)예금승인내역'!K1588="","",'(1)예금승인내역'!K1588)</f>
        <v/>
      </c>
      <c r="S962" s="531" t="str">
        <f aca="false">IF('(1)예금승인내역'!L1588="","",'(1)예금승인내역'!L1588)</f>
        <v/>
      </c>
      <c r="T962" s="531" t="str">
        <f aca="false">IF('(1)예금승인내역'!AG1588="","",'(1)예금승인내역'!AG1588)</f>
        <v/>
      </c>
      <c r="U962" s="531" t="str">
        <f aca="false">IF('(1)예금승인내역'!X1588="","",'(1)예금승인내역'!X1588)</f>
        <v/>
      </c>
      <c r="V962" s="531" t="str">
        <f aca="false">IF(ISNUMBER(N962),N962-$B$2,"")</f>
        <v/>
      </c>
      <c r="W962" s="531" t="str">
        <f aca="false">IF(AND(ISNUMBER(N962),N962&gt;=$B$2,N962&lt;=$B$2+10),N962*100000+ROW(),"")</f>
        <v/>
      </c>
      <c r="X962" s="531"/>
      <c r="Y962" s="531"/>
      <c r="Z962" s="531"/>
      <c r="AA962" s="531"/>
      <c r="AB962" s="531"/>
      <c r="AC962" s="531"/>
      <c r="AD962" s="531"/>
      <c r="AE962" s="531"/>
      <c r="AF962" s="531"/>
      <c r="AG962" s="531"/>
      <c r="AH962" s="531"/>
      <c r="AI962" s="531"/>
      <c r="AJ962" s="531"/>
      <c r="AK962" s="531"/>
      <c r="AL962" s="531"/>
      <c r="AM962" s="531"/>
      <c r="AN962" s="531"/>
    </row>
    <row r="963" customFormat="false" ht="16.5" hidden="false" customHeight="true" outlineLevel="0" collapsed="false">
      <c r="A963" s="531"/>
      <c r="B963" s="531"/>
      <c r="C963" s="531"/>
      <c r="D963" s="531"/>
      <c r="E963" s="531"/>
      <c r="F963" s="531"/>
      <c r="G963" s="531"/>
      <c r="H963" s="531"/>
      <c r="I963" s="531"/>
      <c r="J963" s="531"/>
      <c r="K963" s="531"/>
      <c r="L963" s="531"/>
      <c r="M963" s="531"/>
      <c r="N963" s="531" t="str">
        <f aca="false">IF('(1)예금승인내역'!H1589="","",'(1)예금승인내역'!H1589)</f>
        <v/>
      </c>
      <c r="O963" s="531" t="str">
        <f aca="false">IF('(1)예금승인내역'!G1589="","",'(1)예금승인내역'!G1589)</f>
        <v/>
      </c>
      <c r="P963" s="531" t="str">
        <f aca="false">IF('(1)예금승인내역'!F1589="","",'(1)예금승인내역'!F1589)</f>
        <v/>
      </c>
      <c r="Q963" s="531" t="str">
        <f aca="false">IF('(1)예금승인내역'!C1589="","",'(1)예금승인내역'!C1589)</f>
        <v/>
      </c>
      <c r="R963" s="531" t="str">
        <f aca="false">IF('(1)예금승인내역'!K1589="","",'(1)예금승인내역'!K1589)</f>
        <v/>
      </c>
      <c r="S963" s="531" t="str">
        <f aca="false">IF('(1)예금승인내역'!L1589="","",'(1)예금승인내역'!L1589)</f>
        <v/>
      </c>
      <c r="T963" s="531" t="str">
        <f aca="false">IF('(1)예금승인내역'!AG1589="","",'(1)예금승인내역'!AG1589)</f>
        <v/>
      </c>
      <c r="U963" s="531" t="str">
        <f aca="false">IF('(1)예금승인내역'!X1589="","",'(1)예금승인내역'!X1589)</f>
        <v/>
      </c>
      <c r="V963" s="531" t="str">
        <f aca="false">IF(ISNUMBER(N963),N963-$B$2,"")</f>
        <v/>
      </c>
      <c r="W963" s="531" t="str">
        <f aca="false">IF(AND(ISNUMBER(N963),N963&gt;=$B$2,N963&lt;=$B$2+10),N963*100000+ROW(),"")</f>
        <v/>
      </c>
      <c r="X963" s="531"/>
      <c r="Y963" s="531"/>
      <c r="Z963" s="531"/>
      <c r="AA963" s="531"/>
      <c r="AB963" s="531"/>
      <c r="AC963" s="531"/>
      <c r="AD963" s="531"/>
      <c r="AE963" s="531"/>
      <c r="AF963" s="531"/>
      <c r="AG963" s="531"/>
      <c r="AH963" s="531"/>
      <c r="AI963" s="531"/>
      <c r="AJ963" s="531"/>
      <c r="AK963" s="531"/>
      <c r="AL963" s="531"/>
      <c r="AM963" s="531"/>
      <c r="AN963" s="531"/>
    </row>
    <row r="964" customFormat="false" ht="16.5" hidden="false" customHeight="true" outlineLevel="0" collapsed="false">
      <c r="A964" s="531"/>
      <c r="B964" s="531"/>
      <c r="C964" s="531"/>
      <c r="D964" s="531"/>
      <c r="E964" s="531"/>
      <c r="F964" s="531"/>
      <c r="G964" s="531"/>
      <c r="H964" s="531"/>
      <c r="I964" s="531"/>
      <c r="J964" s="531"/>
      <c r="K964" s="531"/>
      <c r="L964" s="531"/>
      <c r="M964" s="531"/>
      <c r="N964" s="531" t="str">
        <f aca="false">IF('(1)예금승인내역'!H1590="","",'(1)예금승인내역'!H1590)</f>
        <v/>
      </c>
      <c r="O964" s="531" t="str">
        <f aca="false">IF('(1)예금승인내역'!G1590="","",'(1)예금승인내역'!G1590)</f>
        <v/>
      </c>
      <c r="P964" s="531" t="str">
        <f aca="false">IF('(1)예금승인내역'!F1590="","",'(1)예금승인내역'!F1590)</f>
        <v/>
      </c>
      <c r="Q964" s="531" t="str">
        <f aca="false">IF('(1)예금승인내역'!C1590="","",'(1)예금승인내역'!C1590)</f>
        <v/>
      </c>
      <c r="R964" s="531" t="str">
        <f aca="false">IF('(1)예금승인내역'!K1590="","",'(1)예금승인내역'!K1590)</f>
        <v/>
      </c>
      <c r="S964" s="531" t="str">
        <f aca="false">IF('(1)예금승인내역'!L1590="","",'(1)예금승인내역'!L1590)</f>
        <v/>
      </c>
      <c r="T964" s="531" t="str">
        <f aca="false">IF('(1)예금승인내역'!AG1590="","",'(1)예금승인내역'!AG1590)</f>
        <v/>
      </c>
      <c r="U964" s="531" t="str">
        <f aca="false">IF('(1)예금승인내역'!X1590="","",'(1)예금승인내역'!X1590)</f>
        <v/>
      </c>
      <c r="V964" s="531" t="str">
        <f aca="false">IF(ISNUMBER(N964),N964-$B$2,"")</f>
        <v/>
      </c>
      <c r="W964" s="531" t="str">
        <f aca="false">IF(AND(ISNUMBER(N964),N964&gt;=$B$2,N964&lt;=$B$2+10),N964*100000+ROW(),"")</f>
        <v/>
      </c>
      <c r="X964" s="531"/>
      <c r="Y964" s="531"/>
      <c r="Z964" s="531"/>
      <c r="AA964" s="531"/>
      <c r="AB964" s="531"/>
      <c r="AC964" s="531"/>
      <c r="AD964" s="531"/>
      <c r="AE964" s="531"/>
      <c r="AF964" s="531"/>
      <c r="AG964" s="531"/>
      <c r="AH964" s="531"/>
      <c r="AI964" s="531"/>
      <c r="AJ964" s="531"/>
      <c r="AK964" s="531"/>
      <c r="AL964" s="531"/>
      <c r="AM964" s="531"/>
      <c r="AN964" s="531"/>
    </row>
    <row r="965" customFormat="false" ht="16.5" hidden="false" customHeight="true" outlineLevel="0" collapsed="false">
      <c r="A965" s="531"/>
      <c r="B965" s="531"/>
      <c r="C965" s="531"/>
      <c r="D965" s="531"/>
      <c r="E965" s="531"/>
      <c r="F965" s="531"/>
      <c r="G965" s="531"/>
      <c r="H965" s="531"/>
      <c r="I965" s="531"/>
      <c r="J965" s="531"/>
      <c r="K965" s="531"/>
      <c r="L965" s="531"/>
      <c r="M965" s="531"/>
      <c r="N965" s="531" t="str">
        <f aca="false">IF('(1)예금승인내역'!H1591="","",'(1)예금승인내역'!H1591)</f>
        <v/>
      </c>
      <c r="O965" s="531" t="str">
        <f aca="false">IF('(1)예금승인내역'!G1591="","",'(1)예금승인내역'!G1591)</f>
        <v/>
      </c>
      <c r="P965" s="531" t="str">
        <f aca="false">IF('(1)예금승인내역'!F1591="","",'(1)예금승인내역'!F1591)</f>
        <v/>
      </c>
      <c r="Q965" s="531" t="str">
        <f aca="false">IF('(1)예금승인내역'!C1591="","",'(1)예금승인내역'!C1591)</f>
        <v/>
      </c>
      <c r="R965" s="531" t="str">
        <f aca="false">IF('(1)예금승인내역'!K1591="","",'(1)예금승인내역'!K1591)</f>
        <v/>
      </c>
      <c r="S965" s="531" t="str">
        <f aca="false">IF('(1)예금승인내역'!L1591="","",'(1)예금승인내역'!L1591)</f>
        <v/>
      </c>
      <c r="T965" s="531" t="str">
        <f aca="false">IF('(1)예금승인내역'!AG1591="","",'(1)예금승인내역'!AG1591)</f>
        <v/>
      </c>
      <c r="U965" s="531" t="str">
        <f aca="false">IF('(1)예금승인내역'!X1591="","",'(1)예금승인내역'!X1591)</f>
        <v/>
      </c>
      <c r="V965" s="531" t="str">
        <f aca="false">IF(ISNUMBER(N965),N965-$B$2,"")</f>
        <v/>
      </c>
      <c r="W965" s="531" t="str">
        <f aca="false">IF(AND(ISNUMBER(N965),N965&gt;=$B$2,N965&lt;=$B$2+10),N965*100000+ROW(),"")</f>
        <v/>
      </c>
      <c r="X965" s="531"/>
      <c r="Y965" s="531"/>
      <c r="Z965" s="531"/>
      <c r="AA965" s="531"/>
      <c r="AB965" s="531"/>
      <c r="AC965" s="531"/>
      <c r="AD965" s="531"/>
      <c r="AE965" s="531"/>
      <c r="AF965" s="531"/>
      <c r="AG965" s="531"/>
      <c r="AH965" s="531"/>
      <c r="AI965" s="531"/>
      <c r="AJ965" s="531"/>
      <c r="AK965" s="531"/>
      <c r="AL965" s="531"/>
      <c r="AM965" s="531"/>
      <c r="AN965" s="531"/>
    </row>
    <row r="966" customFormat="false" ht="16.5" hidden="false" customHeight="true" outlineLevel="0" collapsed="false">
      <c r="A966" s="531"/>
      <c r="B966" s="531"/>
      <c r="C966" s="531"/>
      <c r="D966" s="531"/>
      <c r="E966" s="531"/>
      <c r="F966" s="531"/>
      <c r="G966" s="531"/>
      <c r="H966" s="531"/>
      <c r="I966" s="531"/>
      <c r="J966" s="531"/>
      <c r="K966" s="531"/>
      <c r="L966" s="531"/>
      <c r="M966" s="531"/>
      <c r="N966" s="531" t="str">
        <f aca="false">IF('(1)예금승인내역'!H1592="","",'(1)예금승인내역'!H1592)</f>
        <v/>
      </c>
      <c r="O966" s="531" t="str">
        <f aca="false">IF('(1)예금승인내역'!G1592="","",'(1)예금승인내역'!G1592)</f>
        <v/>
      </c>
      <c r="P966" s="531" t="str">
        <f aca="false">IF('(1)예금승인내역'!F1592="","",'(1)예금승인내역'!F1592)</f>
        <v/>
      </c>
      <c r="Q966" s="531" t="str">
        <f aca="false">IF('(1)예금승인내역'!C1592="","",'(1)예금승인내역'!C1592)</f>
        <v/>
      </c>
      <c r="R966" s="531" t="str">
        <f aca="false">IF('(1)예금승인내역'!K1592="","",'(1)예금승인내역'!K1592)</f>
        <v/>
      </c>
      <c r="S966" s="531" t="str">
        <f aca="false">IF('(1)예금승인내역'!L1592="","",'(1)예금승인내역'!L1592)</f>
        <v/>
      </c>
      <c r="T966" s="531" t="str">
        <f aca="false">IF('(1)예금승인내역'!AG1592="","",'(1)예금승인내역'!AG1592)</f>
        <v/>
      </c>
      <c r="U966" s="531" t="str">
        <f aca="false">IF('(1)예금승인내역'!X1592="","",'(1)예금승인내역'!X1592)</f>
        <v/>
      </c>
      <c r="V966" s="531" t="str">
        <f aca="false">IF(ISNUMBER(N966),N966-$B$2,"")</f>
        <v/>
      </c>
      <c r="W966" s="531" t="str">
        <f aca="false">IF(AND(ISNUMBER(N966),N966&gt;=$B$2,N966&lt;=$B$2+10),N966*100000+ROW(),"")</f>
        <v/>
      </c>
      <c r="X966" s="531"/>
      <c r="Y966" s="531"/>
      <c r="Z966" s="531"/>
      <c r="AA966" s="531"/>
      <c r="AB966" s="531"/>
      <c r="AC966" s="531"/>
      <c r="AD966" s="531"/>
      <c r="AE966" s="531"/>
      <c r="AF966" s="531"/>
      <c r="AG966" s="531"/>
      <c r="AH966" s="531"/>
      <c r="AI966" s="531"/>
      <c r="AJ966" s="531"/>
      <c r="AK966" s="531"/>
      <c r="AL966" s="531"/>
      <c r="AM966" s="531"/>
      <c r="AN966" s="531"/>
    </row>
    <row r="967" customFormat="false" ht="16.5" hidden="false" customHeight="true" outlineLevel="0" collapsed="false">
      <c r="A967" s="531"/>
      <c r="B967" s="531"/>
      <c r="C967" s="531"/>
      <c r="D967" s="531"/>
      <c r="E967" s="531"/>
      <c r="F967" s="531"/>
      <c r="G967" s="531"/>
      <c r="H967" s="531"/>
      <c r="I967" s="531"/>
      <c r="J967" s="531"/>
      <c r="K967" s="531"/>
      <c r="L967" s="531"/>
      <c r="M967" s="531"/>
      <c r="N967" s="531" t="str">
        <f aca="false">IF('(1)예금승인내역'!H1593="","",'(1)예금승인내역'!H1593)</f>
        <v/>
      </c>
      <c r="O967" s="531" t="str">
        <f aca="false">IF('(1)예금승인내역'!G1593="","",'(1)예금승인내역'!G1593)</f>
        <v/>
      </c>
      <c r="P967" s="531" t="str">
        <f aca="false">IF('(1)예금승인내역'!F1593="","",'(1)예금승인내역'!F1593)</f>
        <v/>
      </c>
      <c r="Q967" s="531" t="str">
        <f aca="false">IF('(1)예금승인내역'!C1593="","",'(1)예금승인내역'!C1593)</f>
        <v/>
      </c>
      <c r="R967" s="531" t="str">
        <f aca="false">IF('(1)예금승인내역'!K1593="","",'(1)예금승인내역'!K1593)</f>
        <v/>
      </c>
      <c r="S967" s="531" t="str">
        <f aca="false">IF('(1)예금승인내역'!L1593="","",'(1)예금승인내역'!L1593)</f>
        <v/>
      </c>
      <c r="T967" s="531" t="str">
        <f aca="false">IF('(1)예금승인내역'!AG1593="","",'(1)예금승인내역'!AG1593)</f>
        <v/>
      </c>
      <c r="U967" s="531" t="str">
        <f aca="false">IF('(1)예금승인내역'!X1593="","",'(1)예금승인내역'!X1593)</f>
        <v/>
      </c>
      <c r="V967" s="531" t="str">
        <f aca="false">IF(ISNUMBER(N967),N967-$B$2,"")</f>
        <v/>
      </c>
      <c r="W967" s="531" t="str">
        <f aca="false">IF(AND(ISNUMBER(N967),N967&gt;=$B$2,N967&lt;=$B$2+10),N967*100000+ROW(),"")</f>
        <v/>
      </c>
      <c r="X967" s="531"/>
      <c r="Y967" s="531"/>
      <c r="Z967" s="531"/>
      <c r="AA967" s="531"/>
      <c r="AB967" s="531"/>
      <c r="AC967" s="531"/>
      <c r="AD967" s="531"/>
      <c r="AE967" s="531"/>
      <c r="AF967" s="531"/>
      <c r="AG967" s="531"/>
      <c r="AH967" s="531"/>
      <c r="AI967" s="531"/>
      <c r="AJ967" s="531"/>
      <c r="AK967" s="531"/>
      <c r="AL967" s="531"/>
      <c r="AM967" s="531"/>
      <c r="AN967" s="531"/>
    </row>
    <row r="968" customFormat="false" ht="16.5" hidden="false" customHeight="true" outlineLevel="0" collapsed="false">
      <c r="A968" s="531"/>
      <c r="B968" s="531"/>
      <c r="C968" s="531"/>
      <c r="D968" s="531"/>
      <c r="E968" s="531"/>
      <c r="F968" s="531"/>
      <c r="G968" s="531"/>
      <c r="H968" s="531"/>
      <c r="I968" s="531"/>
      <c r="J968" s="531"/>
      <c r="K968" s="531"/>
      <c r="L968" s="531"/>
      <c r="M968" s="531"/>
      <c r="N968" s="531" t="str">
        <f aca="false">IF('(1)예금승인내역'!H1594="","",'(1)예금승인내역'!H1594)</f>
        <v/>
      </c>
      <c r="O968" s="531" t="str">
        <f aca="false">IF('(1)예금승인내역'!G1594="","",'(1)예금승인내역'!G1594)</f>
        <v/>
      </c>
      <c r="P968" s="531" t="str">
        <f aca="false">IF('(1)예금승인내역'!F1594="","",'(1)예금승인내역'!F1594)</f>
        <v/>
      </c>
      <c r="Q968" s="531" t="str">
        <f aca="false">IF('(1)예금승인내역'!C1594="","",'(1)예금승인내역'!C1594)</f>
        <v/>
      </c>
      <c r="R968" s="531" t="str">
        <f aca="false">IF('(1)예금승인내역'!K1594="","",'(1)예금승인내역'!K1594)</f>
        <v/>
      </c>
      <c r="S968" s="531" t="str">
        <f aca="false">IF('(1)예금승인내역'!L1594="","",'(1)예금승인내역'!L1594)</f>
        <v/>
      </c>
      <c r="T968" s="531" t="str">
        <f aca="false">IF('(1)예금승인내역'!AG1594="","",'(1)예금승인내역'!AG1594)</f>
        <v/>
      </c>
      <c r="U968" s="531" t="str">
        <f aca="false">IF('(1)예금승인내역'!X1594="","",'(1)예금승인내역'!X1594)</f>
        <v/>
      </c>
      <c r="V968" s="531" t="str">
        <f aca="false">IF(ISNUMBER(N968),N968-$B$2,"")</f>
        <v/>
      </c>
      <c r="W968" s="531" t="str">
        <f aca="false">IF(AND(ISNUMBER(N968),N968&gt;=$B$2,N968&lt;=$B$2+10),N968*100000+ROW(),"")</f>
        <v/>
      </c>
      <c r="X968" s="531"/>
      <c r="Y968" s="531"/>
      <c r="Z968" s="531"/>
      <c r="AA968" s="531"/>
      <c r="AB968" s="531"/>
      <c r="AC968" s="531"/>
      <c r="AD968" s="531"/>
      <c r="AE968" s="531"/>
      <c r="AF968" s="531"/>
      <c r="AG968" s="531"/>
      <c r="AH968" s="531"/>
      <c r="AI968" s="531"/>
      <c r="AJ968" s="531"/>
      <c r="AK968" s="531"/>
      <c r="AL968" s="531"/>
      <c r="AM968" s="531"/>
      <c r="AN968" s="531"/>
    </row>
    <row r="969" customFormat="false" ht="16.5" hidden="false" customHeight="true" outlineLevel="0" collapsed="false">
      <c r="A969" s="531"/>
      <c r="B969" s="531"/>
      <c r="C969" s="531"/>
      <c r="D969" s="531"/>
      <c r="E969" s="531"/>
      <c r="F969" s="531"/>
      <c r="G969" s="531"/>
      <c r="H969" s="531"/>
      <c r="I969" s="531"/>
      <c r="J969" s="531"/>
      <c r="K969" s="531"/>
      <c r="L969" s="531"/>
      <c r="M969" s="531"/>
      <c r="N969" s="531" t="str">
        <f aca="false">IF('(1)예금승인내역'!H1595="","",'(1)예금승인내역'!H1595)</f>
        <v/>
      </c>
      <c r="O969" s="531" t="str">
        <f aca="false">IF('(1)예금승인내역'!G1595="","",'(1)예금승인내역'!G1595)</f>
        <v/>
      </c>
      <c r="P969" s="531" t="str">
        <f aca="false">IF('(1)예금승인내역'!F1595="","",'(1)예금승인내역'!F1595)</f>
        <v/>
      </c>
      <c r="Q969" s="531" t="str">
        <f aca="false">IF('(1)예금승인내역'!C1595="","",'(1)예금승인내역'!C1595)</f>
        <v/>
      </c>
      <c r="R969" s="531" t="str">
        <f aca="false">IF('(1)예금승인내역'!K1595="","",'(1)예금승인내역'!K1595)</f>
        <v/>
      </c>
      <c r="S969" s="531" t="str">
        <f aca="false">IF('(1)예금승인내역'!L1595="","",'(1)예금승인내역'!L1595)</f>
        <v/>
      </c>
      <c r="T969" s="531" t="str">
        <f aca="false">IF('(1)예금승인내역'!AG1595="","",'(1)예금승인내역'!AG1595)</f>
        <v/>
      </c>
      <c r="U969" s="531" t="str">
        <f aca="false">IF('(1)예금승인내역'!X1595="","",'(1)예금승인내역'!X1595)</f>
        <v/>
      </c>
      <c r="V969" s="531" t="str">
        <f aca="false">IF(ISNUMBER(N969),N969-$B$2,"")</f>
        <v/>
      </c>
      <c r="W969" s="531" t="str">
        <f aca="false">IF(AND(ISNUMBER(N969),N969&gt;=$B$2,N969&lt;=$B$2+10),N969*100000+ROW(),"")</f>
        <v/>
      </c>
      <c r="X969" s="531"/>
      <c r="Y969" s="531"/>
      <c r="Z969" s="531"/>
      <c r="AA969" s="531"/>
      <c r="AB969" s="531"/>
      <c r="AC969" s="531"/>
      <c r="AD969" s="531"/>
      <c r="AE969" s="531"/>
      <c r="AF969" s="531"/>
      <c r="AG969" s="531"/>
      <c r="AH969" s="531"/>
      <c r="AI969" s="531"/>
      <c r="AJ969" s="531"/>
      <c r="AK969" s="531"/>
      <c r="AL969" s="531"/>
      <c r="AM969" s="531"/>
      <c r="AN969" s="531"/>
    </row>
    <row r="970" customFormat="false" ht="16.5" hidden="false" customHeight="true" outlineLevel="0" collapsed="false">
      <c r="A970" s="531"/>
      <c r="B970" s="531"/>
      <c r="C970" s="531"/>
      <c r="D970" s="531"/>
      <c r="E970" s="531"/>
      <c r="F970" s="531"/>
      <c r="G970" s="531"/>
      <c r="H970" s="531"/>
      <c r="I970" s="531"/>
      <c r="J970" s="531"/>
      <c r="K970" s="531"/>
      <c r="L970" s="531"/>
      <c r="M970" s="531"/>
      <c r="N970" s="531" t="str">
        <f aca="false">IF('(1)예금승인내역'!H1596="","",'(1)예금승인내역'!H1596)</f>
        <v/>
      </c>
      <c r="O970" s="531" t="str">
        <f aca="false">IF('(1)예금승인내역'!G1596="","",'(1)예금승인내역'!G1596)</f>
        <v/>
      </c>
      <c r="P970" s="531" t="str">
        <f aca="false">IF('(1)예금승인내역'!F1596="","",'(1)예금승인내역'!F1596)</f>
        <v/>
      </c>
      <c r="Q970" s="531" t="str">
        <f aca="false">IF('(1)예금승인내역'!C1596="","",'(1)예금승인내역'!C1596)</f>
        <v/>
      </c>
      <c r="R970" s="531" t="str">
        <f aca="false">IF('(1)예금승인내역'!K1596="","",'(1)예금승인내역'!K1596)</f>
        <v/>
      </c>
      <c r="S970" s="531" t="str">
        <f aca="false">IF('(1)예금승인내역'!L1596="","",'(1)예금승인내역'!L1596)</f>
        <v/>
      </c>
      <c r="T970" s="531" t="str">
        <f aca="false">IF('(1)예금승인내역'!AG1596="","",'(1)예금승인내역'!AG1596)</f>
        <v/>
      </c>
      <c r="U970" s="531" t="str">
        <f aca="false">IF('(1)예금승인내역'!X1596="","",'(1)예금승인내역'!X1596)</f>
        <v/>
      </c>
      <c r="V970" s="531" t="str">
        <f aca="false">IF(ISNUMBER(N970),N970-$B$2,"")</f>
        <v/>
      </c>
      <c r="W970" s="531" t="str">
        <f aca="false">IF(AND(ISNUMBER(N970),N970&gt;=$B$2,N970&lt;=$B$2+10),N970*100000+ROW(),"")</f>
        <v/>
      </c>
      <c r="X970" s="531"/>
      <c r="Y970" s="531"/>
      <c r="Z970" s="531"/>
      <c r="AA970" s="531"/>
      <c r="AB970" s="531"/>
      <c r="AC970" s="531"/>
      <c r="AD970" s="531"/>
      <c r="AE970" s="531"/>
      <c r="AF970" s="531"/>
      <c r="AG970" s="531"/>
      <c r="AH970" s="531"/>
      <c r="AI970" s="531"/>
      <c r="AJ970" s="531"/>
      <c r="AK970" s="531"/>
      <c r="AL970" s="531"/>
      <c r="AM970" s="531"/>
      <c r="AN970" s="531"/>
    </row>
    <row r="971" customFormat="false" ht="16.5" hidden="false" customHeight="true" outlineLevel="0" collapsed="false">
      <c r="A971" s="531"/>
      <c r="B971" s="531"/>
      <c r="C971" s="531"/>
      <c r="D971" s="531"/>
      <c r="E971" s="531"/>
      <c r="F971" s="531"/>
      <c r="G971" s="531"/>
      <c r="H971" s="531"/>
      <c r="I971" s="531"/>
      <c r="J971" s="531"/>
      <c r="K971" s="531"/>
      <c r="L971" s="531"/>
      <c r="M971" s="531"/>
      <c r="N971" s="531" t="str">
        <f aca="false">IF('(1)예금승인내역'!H1597="","",'(1)예금승인내역'!H1597)</f>
        <v/>
      </c>
      <c r="O971" s="531" t="str">
        <f aca="false">IF('(1)예금승인내역'!G1597="","",'(1)예금승인내역'!G1597)</f>
        <v/>
      </c>
      <c r="P971" s="531" t="str">
        <f aca="false">IF('(1)예금승인내역'!F1597="","",'(1)예금승인내역'!F1597)</f>
        <v/>
      </c>
      <c r="Q971" s="531" t="str">
        <f aca="false">IF('(1)예금승인내역'!C1597="","",'(1)예금승인내역'!C1597)</f>
        <v/>
      </c>
      <c r="R971" s="531" t="str">
        <f aca="false">IF('(1)예금승인내역'!K1597="","",'(1)예금승인내역'!K1597)</f>
        <v/>
      </c>
      <c r="S971" s="531" t="str">
        <f aca="false">IF('(1)예금승인내역'!L1597="","",'(1)예금승인내역'!L1597)</f>
        <v/>
      </c>
      <c r="T971" s="531" t="str">
        <f aca="false">IF('(1)예금승인내역'!AG1597="","",'(1)예금승인내역'!AG1597)</f>
        <v/>
      </c>
      <c r="U971" s="531" t="str">
        <f aca="false">IF('(1)예금승인내역'!X1597="","",'(1)예금승인내역'!X1597)</f>
        <v/>
      </c>
      <c r="V971" s="531" t="str">
        <f aca="false">IF(ISNUMBER(N971),N971-$B$2,"")</f>
        <v/>
      </c>
      <c r="W971" s="531" t="str">
        <f aca="false">IF(AND(ISNUMBER(N971),N971&gt;=$B$2,N971&lt;=$B$2+10),N971*100000+ROW(),"")</f>
        <v/>
      </c>
      <c r="X971" s="531"/>
      <c r="Y971" s="531"/>
      <c r="Z971" s="531"/>
      <c r="AA971" s="531"/>
      <c r="AB971" s="531"/>
      <c r="AC971" s="531"/>
      <c r="AD971" s="531"/>
      <c r="AE971" s="531"/>
      <c r="AF971" s="531"/>
      <c r="AG971" s="531"/>
      <c r="AH971" s="531"/>
      <c r="AI971" s="531"/>
      <c r="AJ971" s="531"/>
      <c r="AK971" s="531"/>
      <c r="AL971" s="531"/>
      <c r="AM971" s="531"/>
      <c r="AN971" s="531"/>
    </row>
    <row r="972" customFormat="false" ht="16.5" hidden="false" customHeight="true" outlineLevel="0" collapsed="false">
      <c r="A972" s="531"/>
      <c r="B972" s="531"/>
      <c r="C972" s="531"/>
      <c r="D972" s="531"/>
      <c r="E972" s="531"/>
      <c r="F972" s="531"/>
      <c r="G972" s="531"/>
      <c r="H972" s="531"/>
      <c r="I972" s="531"/>
      <c r="J972" s="531"/>
      <c r="K972" s="531"/>
      <c r="L972" s="531"/>
      <c r="M972" s="531"/>
      <c r="N972" s="531" t="str">
        <f aca="false">IF('(1)예금승인내역'!H1598="","",'(1)예금승인내역'!H1598)</f>
        <v/>
      </c>
      <c r="O972" s="531" t="str">
        <f aca="false">IF('(1)예금승인내역'!G1598="","",'(1)예금승인내역'!G1598)</f>
        <v/>
      </c>
      <c r="P972" s="531" t="str">
        <f aca="false">IF('(1)예금승인내역'!F1598="","",'(1)예금승인내역'!F1598)</f>
        <v/>
      </c>
      <c r="Q972" s="531" t="str">
        <f aca="false">IF('(1)예금승인내역'!C1598="","",'(1)예금승인내역'!C1598)</f>
        <v/>
      </c>
      <c r="R972" s="531" t="str">
        <f aca="false">IF('(1)예금승인내역'!K1598="","",'(1)예금승인내역'!K1598)</f>
        <v/>
      </c>
      <c r="S972" s="531" t="str">
        <f aca="false">IF('(1)예금승인내역'!L1598="","",'(1)예금승인내역'!L1598)</f>
        <v/>
      </c>
      <c r="T972" s="531" t="str">
        <f aca="false">IF('(1)예금승인내역'!AG1598="","",'(1)예금승인내역'!AG1598)</f>
        <v/>
      </c>
      <c r="U972" s="531" t="str">
        <f aca="false">IF('(1)예금승인내역'!X1598="","",'(1)예금승인내역'!X1598)</f>
        <v/>
      </c>
      <c r="V972" s="531" t="str">
        <f aca="false">IF(ISNUMBER(N972),N972-$B$2,"")</f>
        <v/>
      </c>
      <c r="W972" s="531" t="str">
        <f aca="false">IF(AND(ISNUMBER(N972),N972&gt;=$B$2,N972&lt;=$B$2+10),N972*100000+ROW(),"")</f>
        <v/>
      </c>
      <c r="X972" s="531"/>
      <c r="Y972" s="531"/>
      <c r="Z972" s="531"/>
      <c r="AA972" s="531"/>
      <c r="AB972" s="531"/>
      <c r="AC972" s="531"/>
      <c r="AD972" s="531"/>
      <c r="AE972" s="531"/>
      <c r="AF972" s="531"/>
      <c r="AG972" s="531"/>
      <c r="AH972" s="531"/>
      <c r="AI972" s="531"/>
      <c r="AJ972" s="531"/>
      <c r="AK972" s="531"/>
      <c r="AL972" s="531"/>
      <c r="AM972" s="531"/>
      <c r="AN972" s="531"/>
    </row>
    <row r="973" customFormat="false" ht="16.5" hidden="false" customHeight="true" outlineLevel="0" collapsed="false">
      <c r="A973" s="531"/>
      <c r="B973" s="531"/>
      <c r="C973" s="531"/>
      <c r="D973" s="531"/>
      <c r="E973" s="531"/>
      <c r="F973" s="531"/>
      <c r="G973" s="531"/>
      <c r="H973" s="531"/>
      <c r="I973" s="531"/>
      <c r="J973" s="531"/>
      <c r="K973" s="531"/>
      <c r="L973" s="531"/>
      <c r="M973" s="531"/>
      <c r="N973" s="531" t="str">
        <f aca="false">IF('(1)예금승인내역'!H1599="","",'(1)예금승인내역'!H1599)</f>
        <v/>
      </c>
      <c r="O973" s="531" t="str">
        <f aca="false">IF('(1)예금승인내역'!G1599="","",'(1)예금승인내역'!G1599)</f>
        <v/>
      </c>
      <c r="P973" s="531" t="str">
        <f aca="false">IF('(1)예금승인내역'!F1599="","",'(1)예금승인내역'!F1599)</f>
        <v/>
      </c>
      <c r="Q973" s="531" t="str">
        <f aca="false">IF('(1)예금승인내역'!C1599="","",'(1)예금승인내역'!C1599)</f>
        <v/>
      </c>
      <c r="R973" s="531" t="str">
        <f aca="false">IF('(1)예금승인내역'!K1599="","",'(1)예금승인내역'!K1599)</f>
        <v/>
      </c>
      <c r="S973" s="531" t="str">
        <f aca="false">IF('(1)예금승인내역'!L1599="","",'(1)예금승인내역'!L1599)</f>
        <v/>
      </c>
      <c r="T973" s="531" t="str">
        <f aca="false">IF('(1)예금승인내역'!AG1599="","",'(1)예금승인내역'!AG1599)</f>
        <v/>
      </c>
      <c r="U973" s="531" t="str">
        <f aca="false">IF('(1)예금승인내역'!X1599="","",'(1)예금승인내역'!X1599)</f>
        <v/>
      </c>
      <c r="V973" s="531" t="str">
        <f aca="false">IF(ISNUMBER(N973),N973-$B$2,"")</f>
        <v/>
      </c>
      <c r="W973" s="531" t="str">
        <f aca="false">IF(AND(ISNUMBER(N973),N973&gt;=$B$2,N973&lt;=$B$2+10),N973*100000+ROW(),"")</f>
        <v/>
      </c>
      <c r="X973" s="531"/>
      <c r="Y973" s="531"/>
      <c r="Z973" s="531"/>
      <c r="AA973" s="531"/>
      <c r="AB973" s="531"/>
      <c r="AC973" s="531"/>
      <c r="AD973" s="531"/>
      <c r="AE973" s="531"/>
      <c r="AF973" s="531"/>
      <c r="AG973" s="531"/>
      <c r="AH973" s="531"/>
      <c r="AI973" s="531"/>
      <c r="AJ973" s="531"/>
      <c r="AK973" s="531"/>
      <c r="AL973" s="531"/>
      <c r="AM973" s="531"/>
      <c r="AN973" s="531"/>
    </row>
    <row r="974" customFormat="false" ht="16.5" hidden="false" customHeight="true" outlineLevel="0" collapsed="false">
      <c r="A974" s="531"/>
      <c r="B974" s="531"/>
      <c r="C974" s="531"/>
      <c r="D974" s="531"/>
      <c r="E974" s="531"/>
      <c r="F974" s="531"/>
      <c r="G974" s="531"/>
      <c r="H974" s="531"/>
      <c r="I974" s="531"/>
      <c r="J974" s="531"/>
      <c r="K974" s="531"/>
      <c r="L974" s="531"/>
      <c r="M974" s="531"/>
      <c r="N974" s="531" t="str">
        <f aca="false">IF('(1)예금승인내역'!H1600="","",'(1)예금승인내역'!H1600)</f>
        <v/>
      </c>
      <c r="O974" s="531" t="str">
        <f aca="false">IF('(1)예금승인내역'!G1600="","",'(1)예금승인내역'!G1600)</f>
        <v/>
      </c>
      <c r="P974" s="531" t="str">
        <f aca="false">IF('(1)예금승인내역'!F1600="","",'(1)예금승인내역'!F1600)</f>
        <v/>
      </c>
      <c r="Q974" s="531" t="str">
        <f aca="false">IF('(1)예금승인내역'!C1600="","",'(1)예금승인내역'!C1600)</f>
        <v/>
      </c>
      <c r="R974" s="531" t="str">
        <f aca="false">IF('(1)예금승인내역'!K1600="","",'(1)예금승인내역'!K1600)</f>
        <v/>
      </c>
      <c r="S974" s="531" t="str">
        <f aca="false">IF('(1)예금승인내역'!L1600="","",'(1)예금승인내역'!L1600)</f>
        <v/>
      </c>
      <c r="T974" s="531" t="str">
        <f aca="false">IF('(1)예금승인내역'!AG1600="","",'(1)예금승인내역'!AG1600)</f>
        <v/>
      </c>
      <c r="U974" s="531" t="str">
        <f aca="false">IF('(1)예금승인내역'!X1600="","",'(1)예금승인내역'!X1600)</f>
        <v/>
      </c>
      <c r="V974" s="531" t="str">
        <f aca="false">IF(ISNUMBER(N974),N974-$B$2,"")</f>
        <v/>
      </c>
      <c r="W974" s="531" t="str">
        <f aca="false">IF(AND(ISNUMBER(N974),N974&gt;=$B$2,N974&lt;=$B$2+10),N974*100000+ROW(),"")</f>
        <v/>
      </c>
      <c r="X974" s="531"/>
      <c r="Y974" s="531"/>
      <c r="Z974" s="531"/>
      <c r="AA974" s="531"/>
      <c r="AB974" s="531"/>
      <c r="AC974" s="531"/>
      <c r="AD974" s="531"/>
      <c r="AE974" s="531"/>
      <c r="AF974" s="531"/>
      <c r="AG974" s="531"/>
      <c r="AH974" s="531"/>
      <c r="AI974" s="531"/>
      <c r="AJ974" s="531"/>
      <c r="AK974" s="531"/>
      <c r="AL974" s="531"/>
      <c r="AM974" s="531"/>
      <c r="AN974" s="531"/>
    </row>
    <row r="975" customFormat="false" ht="16.5" hidden="false" customHeight="true" outlineLevel="0" collapsed="false">
      <c r="A975" s="531"/>
      <c r="B975" s="531"/>
      <c r="C975" s="531"/>
      <c r="D975" s="531"/>
      <c r="E975" s="531"/>
      <c r="F975" s="531"/>
      <c r="G975" s="531"/>
      <c r="H975" s="531"/>
      <c r="I975" s="531"/>
      <c r="J975" s="531"/>
      <c r="K975" s="531"/>
      <c r="L975" s="531"/>
      <c r="M975" s="531"/>
      <c r="N975" s="531" t="str">
        <f aca="false">IF('(1)예금승인내역'!H1601="","",'(1)예금승인내역'!H1601)</f>
        <v/>
      </c>
      <c r="O975" s="531" t="str">
        <f aca="false">IF('(1)예금승인내역'!G1601="","",'(1)예금승인내역'!G1601)</f>
        <v/>
      </c>
      <c r="P975" s="531" t="str">
        <f aca="false">IF('(1)예금승인내역'!F1601="","",'(1)예금승인내역'!F1601)</f>
        <v/>
      </c>
      <c r="Q975" s="531" t="str">
        <f aca="false">IF('(1)예금승인내역'!C1601="","",'(1)예금승인내역'!C1601)</f>
        <v/>
      </c>
      <c r="R975" s="531" t="str">
        <f aca="false">IF('(1)예금승인내역'!K1601="","",'(1)예금승인내역'!K1601)</f>
        <v/>
      </c>
      <c r="S975" s="531" t="str">
        <f aca="false">IF('(1)예금승인내역'!L1601="","",'(1)예금승인내역'!L1601)</f>
        <v/>
      </c>
      <c r="T975" s="531" t="str">
        <f aca="false">IF('(1)예금승인내역'!AG1601="","",'(1)예금승인내역'!AG1601)</f>
        <v/>
      </c>
      <c r="U975" s="531" t="str">
        <f aca="false">IF('(1)예금승인내역'!X1601="","",'(1)예금승인내역'!X1601)</f>
        <v/>
      </c>
      <c r="V975" s="531" t="str">
        <f aca="false">IF(ISNUMBER(N975),N975-$B$2,"")</f>
        <v/>
      </c>
      <c r="W975" s="531" t="str">
        <f aca="false">IF(AND(ISNUMBER(N975),N975&gt;=$B$2,N975&lt;=$B$2+10),N975*100000+ROW(),"")</f>
        <v/>
      </c>
      <c r="X975" s="531"/>
      <c r="Y975" s="531"/>
      <c r="Z975" s="531"/>
      <c r="AA975" s="531"/>
      <c r="AB975" s="531"/>
      <c r="AC975" s="531"/>
      <c r="AD975" s="531"/>
      <c r="AE975" s="531"/>
      <c r="AF975" s="531"/>
      <c r="AG975" s="531"/>
      <c r="AH975" s="531"/>
      <c r="AI975" s="531"/>
      <c r="AJ975" s="531"/>
      <c r="AK975" s="531"/>
      <c r="AL975" s="531"/>
      <c r="AM975" s="531"/>
      <c r="AN975" s="531"/>
    </row>
    <row r="976" customFormat="false" ht="16.5" hidden="false" customHeight="true" outlineLevel="0" collapsed="false">
      <c r="A976" s="531"/>
      <c r="B976" s="531"/>
      <c r="C976" s="531"/>
      <c r="D976" s="531"/>
      <c r="E976" s="531"/>
      <c r="F976" s="531"/>
      <c r="G976" s="531"/>
      <c r="H976" s="531"/>
      <c r="I976" s="531"/>
      <c r="J976" s="531"/>
      <c r="K976" s="531"/>
      <c r="L976" s="531"/>
      <c r="M976" s="531"/>
      <c r="N976" s="531" t="str">
        <f aca="false">IF('(1)예금승인내역'!H1602="","",'(1)예금승인내역'!H1602)</f>
        <v/>
      </c>
      <c r="O976" s="531" t="str">
        <f aca="false">IF('(1)예금승인내역'!G1602="","",'(1)예금승인내역'!G1602)</f>
        <v/>
      </c>
      <c r="P976" s="531" t="str">
        <f aca="false">IF('(1)예금승인내역'!F1602="","",'(1)예금승인내역'!F1602)</f>
        <v/>
      </c>
      <c r="Q976" s="531" t="str">
        <f aca="false">IF('(1)예금승인내역'!C1602="","",'(1)예금승인내역'!C1602)</f>
        <v/>
      </c>
      <c r="R976" s="531" t="str">
        <f aca="false">IF('(1)예금승인내역'!K1602="","",'(1)예금승인내역'!K1602)</f>
        <v/>
      </c>
      <c r="S976" s="531" t="str">
        <f aca="false">IF('(1)예금승인내역'!L1602="","",'(1)예금승인내역'!L1602)</f>
        <v/>
      </c>
      <c r="T976" s="531" t="str">
        <f aca="false">IF('(1)예금승인내역'!AG1602="","",'(1)예금승인내역'!AG1602)</f>
        <v/>
      </c>
      <c r="U976" s="531" t="str">
        <f aca="false">IF('(1)예금승인내역'!X1602="","",'(1)예금승인내역'!X1602)</f>
        <v/>
      </c>
      <c r="V976" s="531" t="str">
        <f aca="false">IF(ISNUMBER(N976),N976-$B$2,"")</f>
        <v/>
      </c>
      <c r="W976" s="531" t="str">
        <f aca="false">IF(AND(ISNUMBER(N976),N976&gt;=$B$2,N976&lt;=$B$2+10),N976*100000+ROW(),"")</f>
        <v/>
      </c>
      <c r="X976" s="531"/>
      <c r="Y976" s="531"/>
      <c r="Z976" s="531"/>
      <c r="AA976" s="531"/>
      <c r="AB976" s="531"/>
      <c r="AC976" s="531"/>
      <c r="AD976" s="531"/>
      <c r="AE976" s="531"/>
      <c r="AF976" s="531"/>
      <c r="AG976" s="531"/>
      <c r="AH976" s="531"/>
      <c r="AI976" s="531"/>
      <c r="AJ976" s="531"/>
      <c r="AK976" s="531"/>
      <c r="AL976" s="531"/>
      <c r="AM976" s="531"/>
      <c r="AN976" s="531"/>
    </row>
    <row r="977" customFormat="false" ht="16.5" hidden="false" customHeight="true" outlineLevel="0" collapsed="false">
      <c r="A977" s="531"/>
      <c r="B977" s="531"/>
      <c r="C977" s="531"/>
      <c r="D977" s="531"/>
      <c r="E977" s="531"/>
      <c r="F977" s="531"/>
      <c r="G977" s="531"/>
      <c r="H977" s="531"/>
      <c r="I977" s="531"/>
      <c r="J977" s="531"/>
      <c r="K977" s="531"/>
      <c r="L977" s="531"/>
      <c r="M977" s="531"/>
      <c r="N977" s="531" t="str">
        <f aca="false">IF('(1)예금승인내역'!H1603="","",'(1)예금승인내역'!H1603)</f>
        <v/>
      </c>
      <c r="O977" s="531" t="str">
        <f aca="false">IF('(1)예금승인내역'!G1603="","",'(1)예금승인내역'!G1603)</f>
        <v/>
      </c>
      <c r="P977" s="531" t="str">
        <f aca="false">IF('(1)예금승인내역'!F1603="","",'(1)예금승인내역'!F1603)</f>
        <v/>
      </c>
      <c r="Q977" s="531" t="str">
        <f aca="false">IF('(1)예금승인내역'!C1603="","",'(1)예금승인내역'!C1603)</f>
        <v/>
      </c>
      <c r="R977" s="531" t="str">
        <f aca="false">IF('(1)예금승인내역'!K1603="","",'(1)예금승인내역'!K1603)</f>
        <v/>
      </c>
      <c r="S977" s="531" t="str">
        <f aca="false">IF('(1)예금승인내역'!L1603="","",'(1)예금승인내역'!L1603)</f>
        <v/>
      </c>
      <c r="T977" s="531" t="str">
        <f aca="false">IF('(1)예금승인내역'!AG1603="","",'(1)예금승인내역'!AG1603)</f>
        <v/>
      </c>
      <c r="U977" s="531" t="str">
        <f aca="false">IF('(1)예금승인내역'!X1603="","",'(1)예금승인내역'!X1603)</f>
        <v/>
      </c>
      <c r="V977" s="531" t="str">
        <f aca="false">IF(ISNUMBER(N977),N977-$B$2,"")</f>
        <v/>
      </c>
      <c r="W977" s="531" t="str">
        <f aca="false">IF(AND(ISNUMBER(N977),N977&gt;=$B$2,N977&lt;=$B$2+10),N977*100000+ROW(),"")</f>
        <v/>
      </c>
      <c r="X977" s="531"/>
      <c r="Y977" s="531"/>
      <c r="Z977" s="531"/>
      <c r="AA977" s="531"/>
      <c r="AB977" s="531"/>
      <c r="AC977" s="531"/>
      <c r="AD977" s="531"/>
      <c r="AE977" s="531"/>
      <c r="AF977" s="531"/>
      <c r="AG977" s="531"/>
      <c r="AH977" s="531"/>
      <c r="AI977" s="531"/>
      <c r="AJ977" s="531"/>
      <c r="AK977" s="531"/>
      <c r="AL977" s="531"/>
      <c r="AM977" s="531"/>
      <c r="AN977" s="531"/>
    </row>
    <row r="978" customFormat="false" ht="16.5" hidden="false" customHeight="true" outlineLevel="0" collapsed="false">
      <c r="A978" s="531"/>
      <c r="B978" s="531"/>
      <c r="C978" s="531"/>
      <c r="D978" s="531"/>
      <c r="E978" s="531"/>
      <c r="F978" s="531"/>
      <c r="G978" s="531"/>
      <c r="H978" s="531"/>
      <c r="I978" s="531"/>
      <c r="J978" s="531"/>
      <c r="K978" s="531"/>
      <c r="L978" s="531"/>
      <c r="M978" s="531"/>
      <c r="N978" s="531" t="str">
        <f aca="false">IF('(1)예금승인내역'!H1604="","",'(1)예금승인내역'!H1604)</f>
        <v/>
      </c>
      <c r="O978" s="531" t="str">
        <f aca="false">IF('(1)예금승인내역'!G1604="","",'(1)예금승인내역'!G1604)</f>
        <v/>
      </c>
      <c r="P978" s="531" t="str">
        <f aca="false">IF('(1)예금승인내역'!F1604="","",'(1)예금승인내역'!F1604)</f>
        <v/>
      </c>
      <c r="Q978" s="531" t="str">
        <f aca="false">IF('(1)예금승인내역'!C1604="","",'(1)예금승인내역'!C1604)</f>
        <v/>
      </c>
      <c r="R978" s="531" t="str">
        <f aca="false">IF('(1)예금승인내역'!K1604="","",'(1)예금승인내역'!K1604)</f>
        <v/>
      </c>
      <c r="S978" s="531" t="str">
        <f aca="false">IF('(1)예금승인내역'!L1604="","",'(1)예금승인내역'!L1604)</f>
        <v/>
      </c>
      <c r="T978" s="531" t="str">
        <f aca="false">IF('(1)예금승인내역'!AG1604="","",'(1)예금승인내역'!AG1604)</f>
        <v/>
      </c>
      <c r="U978" s="531" t="str">
        <f aca="false">IF('(1)예금승인내역'!X1604="","",'(1)예금승인내역'!X1604)</f>
        <v/>
      </c>
      <c r="V978" s="531" t="str">
        <f aca="false">IF(ISNUMBER(N978),N978-$B$2,"")</f>
        <v/>
      </c>
      <c r="W978" s="531" t="str">
        <f aca="false">IF(AND(ISNUMBER(N978),N978&gt;=$B$2,N978&lt;=$B$2+10),N978*100000+ROW(),"")</f>
        <v/>
      </c>
      <c r="X978" s="531"/>
      <c r="Y978" s="531"/>
      <c r="Z978" s="531"/>
      <c r="AA978" s="531"/>
      <c r="AB978" s="531"/>
      <c r="AC978" s="531"/>
      <c r="AD978" s="531"/>
      <c r="AE978" s="531"/>
      <c r="AF978" s="531"/>
      <c r="AG978" s="531"/>
      <c r="AH978" s="531"/>
      <c r="AI978" s="531"/>
      <c r="AJ978" s="531"/>
      <c r="AK978" s="531"/>
      <c r="AL978" s="531"/>
      <c r="AM978" s="531"/>
      <c r="AN978" s="531"/>
    </row>
    <row r="979" customFormat="false" ht="16.5" hidden="false" customHeight="true" outlineLevel="0" collapsed="false">
      <c r="A979" s="531"/>
      <c r="B979" s="531"/>
      <c r="C979" s="531"/>
      <c r="D979" s="531"/>
      <c r="E979" s="531"/>
      <c r="F979" s="531"/>
      <c r="G979" s="531"/>
      <c r="H979" s="531"/>
      <c r="I979" s="531"/>
      <c r="J979" s="531"/>
      <c r="K979" s="531"/>
      <c r="L979" s="531"/>
      <c r="M979" s="531"/>
      <c r="N979" s="531" t="str">
        <f aca="false">IF('(1)예금승인내역'!H1605="","",'(1)예금승인내역'!H1605)</f>
        <v/>
      </c>
      <c r="O979" s="531" t="str">
        <f aca="false">IF('(1)예금승인내역'!G1605="","",'(1)예금승인내역'!G1605)</f>
        <v/>
      </c>
      <c r="P979" s="531" t="str">
        <f aca="false">IF('(1)예금승인내역'!F1605="","",'(1)예금승인내역'!F1605)</f>
        <v/>
      </c>
      <c r="Q979" s="531" t="str">
        <f aca="false">IF('(1)예금승인내역'!C1605="","",'(1)예금승인내역'!C1605)</f>
        <v/>
      </c>
      <c r="R979" s="531" t="str">
        <f aca="false">IF('(1)예금승인내역'!K1605="","",'(1)예금승인내역'!K1605)</f>
        <v/>
      </c>
      <c r="S979" s="531" t="str">
        <f aca="false">IF('(1)예금승인내역'!L1605="","",'(1)예금승인내역'!L1605)</f>
        <v/>
      </c>
      <c r="T979" s="531" t="str">
        <f aca="false">IF('(1)예금승인내역'!AG1605="","",'(1)예금승인내역'!AG1605)</f>
        <v/>
      </c>
      <c r="U979" s="531" t="str">
        <f aca="false">IF('(1)예금승인내역'!X1605="","",'(1)예금승인내역'!X1605)</f>
        <v/>
      </c>
      <c r="V979" s="531" t="str">
        <f aca="false">IF(ISNUMBER(N979),N979-$B$2,"")</f>
        <v/>
      </c>
      <c r="W979" s="531" t="str">
        <f aca="false">IF(AND(ISNUMBER(N979),N979&gt;=$B$2,N979&lt;=$B$2+10),N979*100000+ROW(),"")</f>
        <v/>
      </c>
      <c r="X979" s="531"/>
      <c r="Y979" s="531"/>
      <c r="Z979" s="531"/>
      <c r="AA979" s="531"/>
      <c r="AB979" s="531"/>
      <c r="AC979" s="531"/>
      <c r="AD979" s="531"/>
      <c r="AE979" s="531"/>
      <c r="AF979" s="531"/>
      <c r="AG979" s="531"/>
      <c r="AH979" s="531"/>
      <c r="AI979" s="531"/>
      <c r="AJ979" s="531"/>
      <c r="AK979" s="531"/>
      <c r="AL979" s="531"/>
      <c r="AM979" s="531"/>
      <c r="AN979" s="531"/>
    </row>
    <row r="980" customFormat="false" ht="16.5" hidden="false" customHeight="true" outlineLevel="0" collapsed="false">
      <c r="A980" s="531"/>
      <c r="B980" s="531"/>
      <c r="C980" s="531"/>
      <c r="D980" s="531"/>
      <c r="E980" s="531"/>
      <c r="F980" s="531"/>
      <c r="G980" s="531"/>
      <c r="H980" s="531"/>
      <c r="I980" s="531"/>
      <c r="J980" s="531"/>
      <c r="K980" s="531"/>
      <c r="L980" s="531"/>
      <c r="M980" s="531"/>
      <c r="N980" s="531" t="str">
        <f aca="false">IF('(1)예금승인내역'!H1606="","",'(1)예금승인내역'!H1606)</f>
        <v/>
      </c>
      <c r="O980" s="531" t="str">
        <f aca="false">IF('(1)예금승인내역'!G1606="","",'(1)예금승인내역'!G1606)</f>
        <v/>
      </c>
      <c r="P980" s="531" t="str">
        <f aca="false">IF('(1)예금승인내역'!F1606="","",'(1)예금승인내역'!F1606)</f>
        <v/>
      </c>
      <c r="Q980" s="531" t="str">
        <f aca="false">IF('(1)예금승인내역'!C1606="","",'(1)예금승인내역'!C1606)</f>
        <v/>
      </c>
      <c r="R980" s="531" t="str">
        <f aca="false">IF('(1)예금승인내역'!K1606="","",'(1)예금승인내역'!K1606)</f>
        <v/>
      </c>
      <c r="S980" s="531" t="str">
        <f aca="false">IF('(1)예금승인내역'!L1606="","",'(1)예금승인내역'!L1606)</f>
        <v/>
      </c>
      <c r="T980" s="531" t="str">
        <f aca="false">IF('(1)예금승인내역'!AG1606="","",'(1)예금승인내역'!AG1606)</f>
        <v/>
      </c>
      <c r="U980" s="531" t="str">
        <f aca="false">IF('(1)예금승인내역'!X1606="","",'(1)예금승인내역'!X1606)</f>
        <v/>
      </c>
      <c r="V980" s="531" t="str">
        <f aca="false">IF(ISNUMBER(N980),N980-$B$2,"")</f>
        <v/>
      </c>
      <c r="W980" s="531" t="str">
        <f aca="false">IF(AND(ISNUMBER(N980),N980&gt;=$B$2,N980&lt;=$B$2+10),N980*100000+ROW(),"")</f>
        <v/>
      </c>
      <c r="X980" s="531"/>
      <c r="Y980" s="531"/>
      <c r="Z980" s="531"/>
      <c r="AA980" s="531"/>
      <c r="AB980" s="531"/>
      <c r="AC980" s="531"/>
      <c r="AD980" s="531"/>
      <c r="AE980" s="531"/>
      <c r="AF980" s="531"/>
      <c r="AG980" s="531"/>
      <c r="AH980" s="531"/>
      <c r="AI980" s="531"/>
      <c r="AJ980" s="531"/>
      <c r="AK980" s="531"/>
      <c r="AL980" s="531"/>
      <c r="AM980" s="531"/>
      <c r="AN980" s="531"/>
    </row>
    <row r="981" customFormat="false" ht="16.5" hidden="false" customHeight="true" outlineLevel="0" collapsed="false">
      <c r="A981" s="531"/>
      <c r="B981" s="531"/>
      <c r="C981" s="531"/>
      <c r="D981" s="531"/>
      <c r="E981" s="531"/>
      <c r="F981" s="531"/>
      <c r="G981" s="531"/>
      <c r="H981" s="531"/>
      <c r="I981" s="531"/>
      <c r="J981" s="531"/>
      <c r="K981" s="531"/>
      <c r="L981" s="531"/>
      <c r="M981" s="531"/>
      <c r="N981" s="531" t="str">
        <f aca="false">IF('(1)예금승인내역'!H1607="","",'(1)예금승인내역'!H1607)</f>
        <v/>
      </c>
      <c r="O981" s="531" t="str">
        <f aca="false">IF('(1)예금승인내역'!G1607="","",'(1)예금승인내역'!G1607)</f>
        <v/>
      </c>
      <c r="P981" s="531" t="str">
        <f aca="false">IF('(1)예금승인내역'!F1607="","",'(1)예금승인내역'!F1607)</f>
        <v/>
      </c>
      <c r="Q981" s="531" t="str">
        <f aca="false">IF('(1)예금승인내역'!C1607="","",'(1)예금승인내역'!C1607)</f>
        <v/>
      </c>
      <c r="R981" s="531" t="str">
        <f aca="false">IF('(1)예금승인내역'!K1607="","",'(1)예금승인내역'!K1607)</f>
        <v/>
      </c>
      <c r="S981" s="531" t="str">
        <f aca="false">IF('(1)예금승인내역'!L1607="","",'(1)예금승인내역'!L1607)</f>
        <v/>
      </c>
      <c r="T981" s="531" t="str">
        <f aca="false">IF('(1)예금승인내역'!AG1607="","",'(1)예금승인내역'!AG1607)</f>
        <v/>
      </c>
      <c r="U981" s="531" t="str">
        <f aca="false">IF('(1)예금승인내역'!X1607="","",'(1)예금승인내역'!X1607)</f>
        <v/>
      </c>
      <c r="V981" s="531" t="str">
        <f aca="false">IF(ISNUMBER(N981),N981-$B$2,"")</f>
        <v/>
      </c>
      <c r="W981" s="531" t="str">
        <f aca="false">IF(AND(ISNUMBER(N981),N981&gt;=$B$2,N981&lt;=$B$2+10),N981*100000+ROW(),"")</f>
        <v/>
      </c>
      <c r="X981" s="531"/>
      <c r="Y981" s="531"/>
      <c r="Z981" s="531"/>
      <c r="AA981" s="531"/>
      <c r="AB981" s="531"/>
      <c r="AC981" s="531"/>
      <c r="AD981" s="531"/>
      <c r="AE981" s="531"/>
      <c r="AF981" s="531"/>
      <c r="AG981" s="531"/>
      <c r="AH981" s="531"/>
      <c r="AI981" s="531"/>
      <c r="AJ981" s="531"/>
      <c r="AK981" s="531"/>
      <c r="AL981" s="531"/>
      <c r="AM981" s="531"/>
      <c r="AN981" s="531"/>
    </row>
    <row r="982" customFormat="false" ht="16.5" hidden="false" customHeight="true" outlineLevel="0" collapsed="false">
      <c r="A982" s="531"/>
      <c r="B982" s="531"/>
      <c r="C982" s="531"/>
      <c r="D982" s="531"/>
      <c r="E982" s="531"/>
      <c r="F982" s="531"/>
      <c r="G982" s="531"/>
      <c r="H982" s="531"/>
      <c r="I982" s="531"/>
      <c r="J982" s="531"/>
      <c r="K982" s="531"/>
      <c r="L982" s="531"/>
      <c r="M982" s="531"/>
      <c r="N982" s="531" t="str">
        <f aca="false">IF('(1)예금승인내역'!H1608="","",'(1)예금승인내역'!H1608)</f>
        <v/>
      </c>
      <c r="O982" s="531" t="str">
        <f aca="false">IF('(1)예금승인내역'!G1608="","",'(1)예금승인내역'!G1608)</f>
        <v/>
      </c>
      <c r="P982" s="531" t="str">
        <f aca="false">IF('(1)예금승인내역'!F1608="","",'(1)예금승인내역'!F1608)</f>
        <v/>
      </c>
      <c r="Q982" s="531" t="str">
        <f aca="false">IF('(1)예금승인내역'!C1608="","",'(1)예금승인내역'!C1608)</f>
        <v/>
      </c>
      <c r="R982" s="531" t="str">
        <f aca="false">IF('(1)예금승인내역'!K1608="","",'(1)예금승인내역'!K1608)</f>
        <v/>
      </c>
      <c r="S982" s="531" t="str">
        <f aca="false">IF('(1)예금승인내역'!L1608="","",'(1)예금승인내역'!L1608)</f>
        <v/>
      </c>
      <c r="T982" s="531" t="str">
        <f aca="false">IF('(1)예금승인내역'!AG1608="","",'(1)예금승인내역'!AG1608)</f>
        <v/>
      </c>
      <c r="U982" s="531" t="str">
        <f aca="false">IF('(1)예금승인내역'!X1608="","",'(1)예금승인내역'!X1608)</f>
        <v/>
      </c>
      <c r="V982" s="531" t="str">
        <f aca="false">IF(ISNUMBER(N982),N982-$B$2,"")</f>
        <v/>
      </c>
      <c r="W982" s="531" t="str">
        <f aca="false">IF(AND(ISNUMBER(N982),N982&gt;=$B$2,N982&lt;=$B$2+10),N982*100000+ROW(),"")</f>
        <v/>
      </c>
      <c r="X982" s="531"/>
      <c r="Y982" s="531"/>
      <c r="Z982" s="531"/>
      <c r="AA982" s="531"/>
      <c r="AB982" s="531"/>
      <c r="AC982" s="531"/>
      <c r="AD982" s="531"/>
      <c r="AE982" s="531"/>
      <c r="AF982" s="531"/>
      <c r="AG982" s="531"/>
      <c r="AH982" s="531"/>
      <c r="AI982" s="531"/>
      <c r="AJ982" s="531"/>
      <c r="AK982" s="531"/>
      <c r="AL982" s="531"/>
      <c r="AM982" s="531"/>
      <c r="AN982" s="531"/>
    </row>
    <row r="983" customFormat="false" ht="16.5" hidden="false" customHeight="true" outlineLevel="0" collapsed="false">
      <c r="A983" s="531"/>
      <c r="B983" s="531"/>
      <c r="C983" s="531"/>
      <c r="D983" s="531"/>
      <c r="E983" s="531"/>
      <c r="F983" s="531"/>
      <c r="G983" s="531"/>
      <c r="H983" s="531"/>
      <c r="I983" s="531"/>
      <c r="J983" s="531"/>
      <c r="K983" s="531"/>
      <c r="L983" s="531"/>
      <c r="M983" s="531"/>
      <c r="N983" s="531" t="str">
        <f aca="false">IF('(1)예금승인내역'!H1609="","",'(1)예금승인내역'!H1609)</f>
        <v/>
      </c>
      <c r="O983" s="531" t="str">
        <f aca="false">IF('(1)예금승인내역'!G1609="","",'(1)예금승인내역'!G1609)</f>
        <v/>
      </c>
      <c r="P983" s="531" t="str">
        <f aca="false">IF('(1)예금승인내역'!F1609="","",'(1)예금승인내역'!F1609)</f>
        <v/>
      </c>
      <c r="Q983" s="531" t="str">
        <f aca="false">IF('(1)예금승인내역'!C1609="","",'(1)예금승인내역'!C1609)</f>
        <v/>
      </c>
      <c r="R983" s="531" t="str">
        <f aca="false">IF('(1)예금승인내역'!K1609="","",'(1)예금승인내역'!K1609)</f>
        <v/>
      </c>
      <c r="S983" s="531" t="str">
        <f aca="false">IF('(1)예금승인내역'!L1609="","",'(1)예금승인내역'!L1609)</f>
        <v/>
      </c>
      <c r="T983" s="531" t="str">
        <f aca="false">IF('(1)예금승인내역'!AG1609="","",'(1)예금승인내역'!AG1609)</f>
        <v/>
      </c>
      <c r="U983" s="531" t="str">
        <f aca="false">IF('(1)예금승인내역'!X1609="","",'(1)예금승인내역'!X1609)</f>
        <v/>
      </c>
      <c r="V983" s="531" t="str">
        <f aca="false">IF(ISNUMBER(N983),N983-$B$2,"")</f>
        <v/>
      </c>
      <c r="W983" s="531" t="str">
        <f aca="false">IF(AND(ISNUMBER(N983),N983&gt;=$B$2,N983&lt;=$B$2+10),N983*100000+ROW(),"")</f>
        <v/>
      </c>
      <c r="X983" s="531"/>
      <c r="Y983" s="531"/>
      <c r="Z983" s="531"/>
      <c r="AA983" s="531"/>
      <c r="AB983" s="531"/>
      <c r="AC983" s="531"/>
      <c r="AD983" s="531"/>
      <c r="AE983" s="531"/>
      <c r="AF983" s="531"/>
      <c r="AG983" s="531"/>
      <c r="AH983" s="531"/>
      <c r="AI983" s="531"/>
      <c r="AJ983" s="531"/>
      <c r="AK983" s="531"/>
      <c r="AL983" s="531"/>
      <c r="AM983" s="531"/>
      <c r="AN983" s="531"/>
    </row>
    <row r="984" customFormat="false" ht="16.5" hidden="false" customHeight="true" outlineLevel="0" collapsed="false">
      <c r="A984" s="531"/>
      <c r="B984" s="531"/>
      <c r="C984" s="531"/>
      <c r="D984" s="531"/>
      <c r="E984" s="531"/>
      <c r="F984" s="531"/>
      <c r="G984" s="531"/>
      <c r="H984" s="531"/>
      <c r="I984" s="531"/>
      <c r="J984" s="531"/>
      <c r="K984" s="531"/>
      <c r="L984" s="531"/>
      <c r="M984" s="531"/>
      <c r="N984" s="531" t="str">
        <f aca="false">IF('(1)예금승인내역'!H1610="","",'(1)예금승인내역'!H1610)</f>
        <v/>
      </c>
      <c r="O984" s="531" t="str">
        <f aca="false">IF('(1)예금승인내역'!G1610="","",'(1)예금승인내역'!G1610)</f>
        <v/>
      </c>
      <c r="P984" s="531" t="str">
        <f aca="false">IF('(1)예금승인내역'!F1610="","",'(1)예금승인내역'!F1610)</f>
        <v/>
      </c>
      <c r="Q984" s="531" t="str">
        <f aca="false">IF('(1)예금승인내역'!C1610="","",'(1)예금승인내역'!C1610)</f>
        <v/>
      </c>
      <c r="R984" s="531" t="str">
        <f aca="false">IF('(1)예금승인내역'!K1610="","",'(1)예금승인내역'!K1610)</f>
        <v/>
      </c>
      <c r="S984" s="531" t="str">
        <f aca="false">IF('(1)예금승인내역'!L1610="","",'(1)예금승인내역'!L1610)</f>
        <v/>
      </c>
      <c r="T984" s="531" t="str">
        <f aca="false">IF('(1)예금승인내역'!AG1610="","",'(1)예금승인내역'!AG1610)</f>
        <v/>
      </c>
      <c r="U984" s="531" t="str">
        <f aca="false">IF('(1)예금승인내역'!X1610="","",'(1)예금승인내역'!X1610)</f>
        <v/>
      </c>
      <c r="V984" s="531" t="str">
        <f aca="false">IF(ISNUMBER(N984),N984-$B$2,"")</f>
        <v/>
      </c>
      <c r="W984" s="531" t="str">
        <f aca="false">IF(AND(ISNUMBER(N984),N984&gt;=$B$2,N984&lt;=$B$2+10),N984*100000+ROW(),"")</f>
        <v/>
      </c>
      <c r="X984" s="531"/>
      <c r="Y984" s="531"/>
      <c r="Z984" s="531"/>
      <c r="AA984" s="531"/>
      <c r="AB984" s="531"/>
      <c r="AC984" s="531"/>
      <c r="AD984" s="531"/>
      <c r="AE984" s="531"/>
      <c r="AF984" s="531"/>
      <c r="AG984" s="531"/>
      <c r="AH984" s="531"/>
      <c r="AI984" s="531"/>
      <c r="AJ984" s="531"/>
      <c r="AK984" s="531"/>
      <c r="AL984" s="531"/>
      <c r="AM984" s="531"/>
      <c r="AN984" s="531"/>
    </row>
    <row r="985" customFormat="false" ht="16.5" hidden="false" customHeight="true" outlineLevel="0" collapsed="false">
      <c r="A985" s="531"/>
      <c r="B985" s="531"/>
      <c r="C985" s="531"/>
      <c r="D985" s="531"/>
      <c r="E985" s="531"/>
      <c r="F985" s="531"/>
      <c r="G985" s="531"/>
      <c r="H985" s="531"/>
      <c r="I985" s="531"/>
      <c r="J985" s="531"/>
      <c r="K985" s="531"/>
      <c r="L985" s="531"/>
      <c r="M985" s="531"/>
      <c r="N985" s="531" t="str">
        <f aca="false">IF('(1)예금승인내역'!H1611="","",'(1)예금승인내역'!H1611)</f>
        <v/>
      </c>
      <c r="O985" s="531" t="str">
        <f aca="false">IF('(1)예금승인내역'!G1611="","",'(1)예금승인내역'!G1611)</f>
        <v/>
      </c>
      <c r="P985" s="531" t="str">
        <f aca="false">IF('(1)예금승인내역'!F1611="","",'(1)예금승인내역'!F1611)</f>
        <v/>
      </c>
      <c r="Q985" s="531" t="str">
        <f aca="false">IF('(1)예금승인내역'!C1611="","",'(1)예금승인내역'!C1611)</f>
        <v/>
      </c>
      <c r="R985" s="531" t="str">
        <f aca="false">IF('(1)예금승인내역'!K1611="","",'(1)예금승인내역'!K1611)</f>
        <v/>
      </c>
      <c r="S985" s="531" t="str">
        <f aca="false">IF('(1)예금승인내역'!L1611="","",'(1)예금승인내역'!L1611)</f>
        <v/>
      </c>
      <c r="T985" s="531" t="str">
        <f aca="false">IF('(1)예금승인내역'!AG1611="","",'(1)예금승인내역'!AG1611)</f>
        <v/>
      </c>
      <c r="U985" s="531" t="str">
        <f aca="false">IF('(1)예금승인내역'!X1611="","",'(1)예금승인내역'!X1611)</f>
        <v/>
      </c>
      <c r="V985" s="531" t="str">
        <f aca="false">IF(ISNUMBER(N985),N985-$B$2,"")</f>
        <v/>
      </c>
      <c r="W985" s="531" t="str">
        <f aca="false">IF(AND(ISNUMBER(N985),N985&gt;=$B$2,N985&lt;=$B$2+10),N985*100000+ROW(),"")</f>
        <v/>
      </c>
      <c r="X985" s="531"/>
      <c r="Y985" s="531"/>
      <c r="Z985" s="531"/>
      <c r="AA985" s="531"/>
      <c r="AB985" s="531"/>
      <c r="AC985" s="531"/>
      <c r="AD985" s="531"/>
      <c r="AE985" s="531"/>
      <c r="AF985" s="531"/>
      <c r="AG985" s="531"/>
      <c r="AH985" s="531"/>
      <c r="AI985" s="531"/>
      <c r="AJ985" s="531"/>
      <c r="AK985" s="531"/>
      <c r="AL985" s="531"/>
      <c r="AM985" s="531"/>
      <c r="AN985" s="531"/>
    </row>
    <row r="986" customFormat="false" ht="16.5" hidden="false" customHeight="true" outlineLevel="0" collapsed="false">
      <c r="A986" s="531"/>
      <c r="B986" s="531"/>
      <c r="C986" s="531"/>
      <c r="D986" s="531"/>
      <c r="E986" s="531"/>
      <c r="F986" s="531"/>
      <c r="G986" s="531"/>
      <c r="H986" s="531"/>
      <c r="I986" s="531"/>
      <c r="J986" s="531"/>
      <c r="K986" s="531"/>
      <c r="L986" s="531"/>
      <c r="M986" s="531"/>
      <c r="N986" s="531" t="str">
        <f aca="false">IF('(1)예금승인내역'!H1612="","",'(1)예금승인내역'!H1612)</f>
        <v/>
      </c>
      <c r="O986" s="531" t="str">
        <f aca="false">IF('(1)예금승인내역'!G1612="","",'(1)예금승인내역'!G1612)</f>
        <v/>
      </c>
      <c r="P986" s="531" t="str">
        <f aca="false">IF('(1)예금승인내역'!F1612="","",'(1)예금승인내역'!F1612)</f>
        <v/>
      </c>
      <c r="Q986" s="531" t="str">
        <f aca="false">IF('(1)예금승인내역'!C1612="","",'(1)예금승인내역'!C1612)</f>
        <v/>
      </c>
      <c r="R986" s="531" t="str">
        <f aca="false">IF('(1)예금승인내역'!K1612="","",'(1)예금승인내역'!K1612)</f>
        <v/>
      </c>
      <c r="S986" s="531" t="str">
        <f aca="false">IF('(1)예금승인내역'!L1612="","",'(1)예금승인내역'!L1612)</f>
        <v/>
      </c>
      <c r="T986" s="531" t="str">
        <f aca="false">IF('(1)예금승인내역'!AG1612="","",'(1)예금승인내역'!AG1612)</f>
        <v/>
      </c>
      <c r="U986" s="531" t="str">
        <f aca="false">IF('(1)예금승인내역'!X1612="","",'(1)예금승인내역'!X1612)</f>
        <v/>
      </c>
      <c r="V986" s="531" t="str">
        <f aca="false">IF(ISNUMBER(N986),N986-$B$2,"")</f>
        <v/>
      </c>
      <c r="W986" s="531" t="str">
        <f aca="false">IF(AND(ISNUMBER(N986),N986&gt;=$B$2,N986&lt;=$B$2+10),N986*100000+ROW(),"")</f>
        <v/>
      </c>
      <c r="X986" s="531"/>
      <c r="Y986" s="531"/>
      <c r="Z986" s="531"/>
      <c r="AA986" s="531"/>
      <c r="AB986" s="531"/>
      <c r="AC986" s="531"/>
      <c r="AD986" s="531"/>
      <c r="AE986" s="531"/>
      <c r="AF986" s="531"/>
      <c r="AG986" s="531"/>
      <c r="AH986" s="531"/>
      <c r="AI986" s="531"/>
      <c r="AJ986" s="531"/>
      <c r="AK986" s="531"/>
      <c r="AL986" s="531"/>
      <c r="AM986" s="531"/>
      <c r="AN986" s="531"/>
    </row>
    <row r="987" customFormat="false" ht="16.5" hidden="false" customHeight="true" outlineLevel="0" collapsed="false">
      <c r="A987" s="531"/>
      <c r="B987" s="531"/>
      <c r="C987" s="531"/>
      <c r="D987" s="531"/>
      <c r="E987" s="531"/>
      <c r="F987" s="531"/>
      <c r="G987" s="531"/>
      <c r="H987" s="531"/>
      <c r="I987" s="531"/>
      <c r="J987" s="531"/>
      <c r="K987" s="531"/>
      <c r="L987" s="531"/>
      <c r="M987" s="531"/>
      <c r="N987" s="531" t="str">
        <f aca="false">IF('(1)예금승인내역'!H1613="","",'(1)예금승인내역'!H1613)</f>
        <v/>
      </c>
      <c r="O987" s="531" t="str">
        <f aca="false">IF('(1)예금승인내역'!G1613="","",'(1)예금승인내역'!G1613)</f>
        <v/>
      </c>
      <c r="P987" s="531" t="str">
        <f aca="false">IF('(1)예금승인내역'!F1613="","",'(1)예금승인내역'!F1613)</f>
        <v/>
      </c>
      <c r="Q987" s="531" t="str">
        <f aca="false">IF('(1)예금승인내역'!C1613="","",'(1)예금승인내역'!C1613)</f>
        <v/>
      </c>
      <c r="R987" s="531" t="str">
        <f aca="false">IF('(1)예금승인내역'!K1613="","",'(1)예금승인내역'!K1613)</f>
        <v/>
      </c>
      <c r="S987" s="531" t="str">
        <f aca="false">IF('(1)예금승인내역'!L1613="","",'(1)예금승인내역'!L1613)</f>
        <v/>
      </c>
      <c r="T987" s="531" t="str">
        <f aca="false">IF('(1)예금승인내역'!AG1613="","",'(1)예금승인내역'!AG1613)</f>
        <v/>
      </c>
      <c r="U987" s="531" t="str">
        <f aca="false">IF('(1)예금승인내역'!X1613="","",'(1)예금승인내역'!X1613)</f>
        <v/>
      </c>
      <c r="V987" s="531" t="str">
        <f aca="false">IF(ISNUMBER(N987),N987-$B$2,"")</f>
        <v/>
      </c>
      <c r="W987" s="531" t="str">
        <f aca="false">IF(AND(ISNUMBER(N987),N987&gt;=$B$2,N987&lt;=$B$2+10),N987*100000+ROW(),"")</f>
        <v/>
      </c>
      <c r="X987" s="531"/>
      <c r="Y987" s="531"/>
      <c r="Z987" s="531"/>
      <c r="AA987" s="531"/>
      <c r="AB987" s="531"/>
      <c r="AC987" s="531"/>
      <c r="AD987" s="531"/>
      <c r="AE987" s="531"/>
      <c r="AF987" s="531"/>
      <c r="AG987" s="531"/>
      <c r="AH987" s="531"/>
      <c r="AI987" s="531"/>
      <c r="AJ987" s="531"/>
      <c r="AK987" s="531"/>
      <c r="AL987" s="531"/>
      <c r="AM987" s="531"/>
      <c r="AN987" s="531"/>
    </row>
    <row r="988" customFormat="false" ht="16.5" hidden="false" customHeight="true" outlineLevel="0" collapsed="false">
      <c r="A988" s="531"/>
      <c r="B988" s="531"/>
      <c r="C988" s="531"/>
      <c r="D988" s="531"/>
      <c r="E988" s="531"/>
      <c r="F988" s="531"/>
      <c r="G988" s="531"/>
      <c r="H988" s="531"/>
      <c r="I988" s="531"/>
      <c r="J988" s="531"/>
      <c r="K988" s="531"/>
      <c r="L988" s="531"/>
      <c r="M988" s="531"/>
      <c r="N988" s="531" t="str">
        <f aca="false">IF('(1)예금승인내역'!H1614="","",'(1)예금승인내역'!H1614)</f>
        <v/>
      </c>
      <c r="O988" s="531" t="str">
        <f aca="false">IF('(1)예금승인내역'!G1614="","",'(1)예금승인내역'!G1614)</f>
        <v/>
      </c>
      <c r="P988" s="531" t="str">
        <f aca="false">IF('(1)예금승인내역'!F1614="","",'(1)예금승인내역'!F1614)</f>
        <v/>
      </c>
      <c r="Q988" s="531" t="str">
        <f aca="false">IF('(1)예금승인내역'!C1614="","",'(1)예금승인내역'!C1614)</f>
        <v/>
      </c>
      <c r="R988" s="531" t="str">
        <f aca="false">IF('(1)예금승인내역'!K1614="","",'(1)예금승인내역'!K1614)</f>
        <v/>
      </c>
      <c r="S988" s="531" t="str">
        <f aca="false">IF('(1)예금승인내역'!L1614="","",'(1)예금승인내역'!L1614)</f>
        <v/>
      </c>
      <c r="T988" s="531" t="str">
        <f aca="false">IF('(1)예금승인내역'!AG1614="","",'(1)예금승인내역'!AG1614)</f>
        <v/>
      </c>
      <c r="U988" s="531" t="str">
        <f aca="false">IF('(1)예금승인내역'!X1614="","",'(1)예금승인내역'!X1614)</f>
        <v/>
      </c>
      <c r="V988" s="531" t="str">
        <f aca="false">IF(ISNUMBER(N988),N988-$B$2,"")</f>
        <v/>
      </c>
      <c r="W988" s="531" t="str">
        <f aca="false">IF(AND(ISNUMBER(N988),N988&gt;=$B$2,N988&lt;=$B$2+10),N988*100000+ROW(),"")</f>
        <v/>
      </c>
      <c r="X988" s="531"/>
      <c r="Y988" s="531"/>
      <c r="Z988" s="531"/>
      <c r="AA988" s="531"/>
      <c r="AB988" s="531"/>
      <c r="AC988" s="531"/>
      <c r="AD988" s="531"/>
      <c r="AE988" s="531"/>
      <c r="AF988" s="531"/>
      <c r="AG988" s="531"/>
      <c r="AH988" s="531"/>
      <c r="AI988" s="531"/>
      <c r="AJ988" s="531"/>
      <c r="AK988" s="531"/>
      <c r="AL988" s="531"/>
      <c r="AM988" s="531"/>
      <c r="AN988" s="531"/>
    </row>
    <row r="989" customFormat="false" ht="16.5" hidden="false" customHeight="true" outlineLevel="0" collapsed="false">
      <c r="A989" s="531"/>
      <c r="B989" s="531"/>
      <c r="C989" s="531"/>
      <c r="D989" s="531"/>
      <c r="E989" s="531"/>
      <c r="F989" s="531"/>
      <c r="G989" s="531"/>
      <c r="H989" s="531"/>
      <c r="I989" s="531"/>
      <c r="J989" s="531"/>
      <c r="K989" s="531"/>
      <c r="L989" s="531"/>
      <c r="M989" s="531"/>
      <c r="N989" s="531" t="str">
        <f aca="false">IF('(1)예금승인내역'!H1615="","",'(1)예금승인내역'!H1615)</f>
        <v/>
      </c>
      <c r="O989" s="531" t="str">
        <f aca="false">IF('(1)예금승인내역'!G1615="","",'(1)예금승인내역'!G1615)</f>
        <v/>
      </c>
      <c r="P989" s="531" t="str">
        <f aca="false">IF('(1)예금승인내역'!F1615="","",'(1)예금승인내역'!F1615)</f>
        <v/>
      </c>
      <c r="Q989" s="531" t="str">
        <f aca="false">IF('(1)예금승인내역'!C1615="","",'(1)예금승인내역'!C1615)</f>
        <v/>
      </c>
      <c r="R989" s="531" t="str">
        <f aca="false">IF('(1)예금승인내역'!K1615="","",'(1)예금승인내역'!K1615)</f>
        <v/>
      </c>
      <c r="S989" s="531" t="str">
        <f aca="false">IF('(1)예금승인내역'!L1615="","",'(1)예금승인내역'!L1615)</f>
        <v/>
      </c>
      <c r="T989" s="531" t="str">
        <f aca="false">IF('(1)예금승인내역'!AG1615="","",'(1)예금승인내역'!AG1615)</f>
        <v/>
      </c>
      <c r="U989" s="531" t="str">
        <f aca="false">IF('(1)예금승인내역'!X1615="","",'(1)예금승인내역'!X1615)</f>
        <v/>
      </c>
      <c r="V989" s="531" t="str">
        <f aca="false">IF(ISNUMBER(N989),N989-$B$2,"")</f>
        <v/>
      </c>
      <c r="W989" s="531" t="str">
        <f aca="false">IF(AND(ISNUMBER(N989),N989&gt;=$B$2,N989&lt;=$B$2+10),N989*100000+ROW(),"")</f>
        <v/>
      </c>
      <c r="X989" s="531"/>
      <c r="Y989" s="531"/>
      <c r="Z989" s="531"/>
      <c r="AA989" s="531"/>
      <c r="AB989" s="531"/>
      <c r="AC989" s="531"/>
      <c r="AD989" s="531"/>
      <c r="AE989" s="531"/>
      <c r="AF989" s="531"/>
      <c r="AG989" s="531"/>
      <c r="AH989" s="531"/>
      <c r="AI989" s="531"/>
      <c r="AJ989" s="531"/>
      <c r="AK989" s="531"/>
      <c r="AL989" s="531"/>
      <c r="AM989" s="531"/>
      <c r="AN989" s="531"/>
    </row>
    <row r="990" customFormat="false" ht="16.5" hidden="false" customHeight="true" outlineLevel="0" collapsed="false">
      <c r="A990" s="531"/>
      <c r="B990" s="531"/>
      <c r="C990" s="531"/>
      <c r="D990" s="531"/>
      <c r="E990" s="531"/>
      <c r="F990" s="531"/>
      <c r="G990" s="531"/>
      <c r="H990" s="531"/>
      <c r="I990" s="531"/>
      <c r="J990" s="531"/>
      <c r="K990" s="531"/>
      <c r="L990" s="531"/>
      <c r="M990" s="531"/>
      <c r="N990" s="531" t="str">
        <f aca="false">IF('(1)예금승인내역'!H1616="","",'(1)예금승인내역'!H1616)</f>
        <v/>
      </c>
      <c r="O990" s="531" t="str">
        <f aca="false">IF('(1)예금승인내역'!G1616="","",'(1)예금승인내역'!G1616)</f>
        <v/>
      </c>
      <c r="P990" s="531" t="str">
        <f aca="false">IF('(1)예금승인내역'!F1616="","",'(1)예금승인내역'!F1616)</f>
        <v/>
      </c>
      <c r="Q990" s="531" t="str">
        <f aca="false">IF('(1)예금승인내역'!C1616="","",'(1)예금승인내역'!C1616)</f>
        <v/>
      </c>
      <c r="R990" s="531" t="str">
        <f aca="false">IF('(1)예금승인내역'!K1616="","",'(1)예금승인내역'!K1616)</f>
        <v/>
      </c>
      <c r="S990" s="531" t="str">
        <f aca="false">IF('(1)예금승인내역'!L1616="","",'(1)예금승인내역'!L1616)</f>
        <v/>
      </c>
      <c r="T990" s="531" t="str">
        <f aca="false">IF('(1)예금승인내역'!AG1616="","",'(1)예금승인내역'!AG1616)</f>
        <v/>
      </c>
      <c r="U990" s="531" t="str">
        <f aca="false">IF('(1)예금승인내역'!X1616="","",'(1)예금승인내역'!X1616)</f>
        <v/>
      </c>
      <c r="V990" s="531" t="str">
        <f aca="false">IF(ISNUMBER(N990),N990-$B$2,"")</f>
        <v/>
      </c>
      <c r="W990" s="531" t="str">
        <f aca="false">IF(AND(ISNUMBER(N990),N990&gt;=$B$2,N990&lt;=$B$2+10),N990*100000+ROW(),"")</f>
        <v/>
      </c>
      <c r="X990" s="531"/>
      <c r="Y990" s="531"/>
      <c r="Z990" s="531"/>
      <c r="AA990" s="531"/>
      <c r="AB990" s="531"/>
      <c r="AC990" s="531"/>
      <c r="AD990" s="531"/>
      <c r="AE990" s="531"/>
      <c r="AF990" s="531"/>
      <c r="AG990" s="531"/>
      <c r="AH990" s="531"/>
      <c r="AI990" s="531"/>
      <c r="AJ990" s="531"/>
      <c r="AK990" s="531"/>
      <c r="AL990" s="531"/>
      <c r="AM990" s="531"/>
      <c r="AN990" s="531"/>
    </row>
    <row r="991" customFormat="false" ht="16.5" hidden="false" customHeight="true" outlineLevel="0" collapsed="false">
      <c r="A991" s="531"/>
      <c r="B991" s="531"/>
      <c r="C991" s="531"/>
      <c r="D991" s="531"/>
      <c r="E991" s="531"/>
      <c r="F991" s="531"/>
      <c r="G991" s="531"/>
      <c r="H991" s="531"/>
      <c r="I991" s="531"/>
      <c r="J991" s="531"/>
      <c r="K991" s="531"/>
      <c r="L991" s="531"/>
      <c r="M991" s="531"/>
      <c r="N991" s="531" t="str">
        <f aca="false">IF('(1)예금승인내역'!H1617="","",'(1)예금승인내역'!H1617)</f>
        <v/>
      </c>
      <c r="O991" s="531" t="str">
        <f aca="false">IF('(1)예금승인내역'!G1617="","",'(1)예금승인내역'!G1617)</f>
        <v/>
      </c>
      <c r="P991" s="531" t="str">
        <f aca="false">IF('(1)예금승인내역'!F1617="","",'(1)예금승인내역'!F1617)</f>
        <v/>
      </c>
      <c r="Q991" s="531" t="str">
        <f aca="false">IF('(1)예금승인내역'!C1617="","",'(1)예금승인내역'!C1617)</f>
        <v/>
      </c>
      <c r="R991" s="531" t="str">
        <f aca="false">IF('(1)예금승인내역'!K1617="","",'(1)예금승인내역'!K1617)</f>
        <v/>
      </c>
      <c r="S991" s="531" t="str">
        <f aca="false">IF('(1)예금승인내역'!L1617="","",'(1)예금승인내역'!L1617)</f>
        <v/>
      </c>
      <c r="T991" s="531" t="str">
        <f aca="false">IF('(1)예금승인내역'!AG1617="","",'(1)예금승인내역'!AG1617)</f>
        <v/>
      </c>
      <c r="U991" s="531" t="str">
        <f aca="false">IF('(1)예금승인내역'!X1617="","",'(1)예금승인내역'!X1617)</f>
        <v/>
      </c>
      <c r="V991" s="531" t="str">
        <f aca="false">IF(ISNUMBER(N991),N991-$B$2,"")</f>
        <v/>
      </c>
      <c r="W991" s="531" t="str">
        <f aca="false">IF(AND(ISNUMBER(N991),N991&gt;=$B$2,N991&lt;=$B$2+10),N991*100000+ROW(),"")</f>
        <v/>
      </c>
      <c r="X991" s="531"/>
      <c r="Y991" s="531"/>
      <c r="Z991" s="531"/>
      <c r="AA991" s="531"/>
      <c r="AB991" s="531"/>
      <c r="AC991" s="531"/>
      <c r="AD991" s="531"/>
      <c r="AE991" s="531"/>
      <c r="AF991" s="531"/>
      <c r="AG991" s="531"/>
      <c r="AH991" s="531"/>
      <c r="AI991" s="531"/>
      <c r="AJ991" s="531"/>
      <c r="AK991" s="531"/>
      <c r="AL991" s="531"/>
      <c r="AM991" s="531"/>
      <c r="AN991" s="531"/>
    </row>
    <row r="992" customFormat="false" ht="16.5" hidden="false" customHeight="true" outlineLevel="0" collapsed="false">
      <c r="A992" s="531"/>
      <c r="B992" s="531"/>
      <c r="C992" s="531"/>
      <c r="D992" s="531"/>
      <c r="E992" s="531"/>
      <c r="F992" s="531"/>
      <c r="G992" s="531"/>
      <c r="H992" s="531"/>
      <c r="I992" s="531"/>
      <c r="J992" s="531"/>
      <c r="K992" s="531"/>
      <c r="L992" s="531"/>
      <c r="M992" s="531"/>
      <c r="N992" s="531" t="str">
        <f aca="false">IF('(1)예금승인내역'!H1618="","",'(1)예금승인내역'!H1618)</f>
        <v/>
      </c>
      <c r="O992" s="531" t="str">
        <f aca="false">IF('(1)예금승인내역'!G1618="","",'(1)예금승인내역'!G1618)</f>
        <v/>
      </c>
      <c r="P992" s="531" t="str">
        <f aca="false">IF('(1)예금승인내역'!F1618="","",'(1)예금승인내역'!F1618)</f>
        <v/>
      </c>
      <c r="Q992" s="531" t="str">
        <f aca="false">IF('(1)예금승인내역'!C1618="","",'(1)예금승인내역'!C1618)</f>
        <v/>
      </c>
      <c r="R992" s="531" t="str">
        <f aca="false">IF('(1)예금승인내역'!K1618="","",'(1)예금승인내역'!K1618)</f>
        <v/>
      </c>
      <c r="S992" s="531" t="str">
        <f aca="false">IF('(1)예금승인내역'!L1618="","",'(1)예금승인내역'!L1618)</f>
        <v/>
      </c>
      <c r="T992" s="531" t="str">
        <f aca="false">IF('(1)예금승인내역'!AG1618="","",'(1)예금승인내역'!AG1618)</f>
        <v/>
      </c>
      <c r="U992" s="531" t="str">
        <f aca="false">IF('(1)예금승인내역'!X1618="","",'(1)예금승인내역'!X1618)</f>
        <v/>
      </c>
      <c r="V992" s="531" t="str">
        <f aca="false">IF(ISNUMBER(N992),N992-$B$2,"")</f>
        <v/>
      </c>
      <c r="W992" s="531" t="str">
        <f aca="false">IF(AND(ISNUMBER(N992),N992&gt;=$B$2,N992&lt;=$B$2+10),N992*100000+ROW(),"")</f>
        <v/>
      </c>
      <c r="X992" s="531"/>
      <c r="Y992" s="531"/>
      <c r="Z992" s="531"/>
      <c r="AA992" s="531"/>
      <c r="AB992" s="531"/>
      <c r="AC992" s="531"/>
      <c r="AD992" s="531"/>
      <c r="AE992" s="531"/>
      <c r="AF992" s="531"/>
      <c r="AG992" s="531"/>
      <c r="AH992" s="531"/>
      <c r="AI992" s="531"/>
      <c r="AJ992" s="531"/>
      <c r="AK992" s="531"/>
      <c r="AL992" s="531"/>
      <c r="AM992" s="531"/>
      <c r="AN992" s="531"/>
    </row>
    <row r="993" customFormat="false" ht="16.5" hidden="false" customHeight="true" outlineLevel="0" collapsed="false">
      <c r="A993" s="531"/>
      <c r="B993" s="531"/>
      <c r="C993" s="531"/>
      <c r="D993" s="531"/>
      <c r="E993" s="531"/>
      <c r="F993" s="531"/>
      <c r="G993" s="531"/>
      <c r="H993" s="531"/>
      <c r="I993" s="531"/>
      <c r="J993" s="531"/>
      <c r="K993" s="531"/>
      <c r="L993" s="531"/>
      <c r="M993" s="531"/>
      <c r="N993" s="531" t="str">
        <f aca="false">IF('(1)예금승인내역'!H1619="","",'(1)예금승인내역'!H1619)</f>
        <v/>
      </c>
      <c r="O993" s="531" t="str">
        <f aca="false">IF('(1)예금승인내역'!G1619="","",'(1)예금승인내역'!G1619)</f>
        <v/>
      </c>
      <c r="P993" s="531" t="str">
        <f aca="false">IF('(1)예금승인내역'!F1619="","",'(1)예금승인내역'!F1619)</f>
        <v/>
      </c>
      <c r="Q993" s="531" t="str">
        <f aca="false">IF('(1)예금승인내역'!C1619="","",'(1)예금승인내역'!C1619)</f>
        <v/>
      </c>
      <c r="R993" s="531" t="str">
        <f aca="false">IF('(1)예금승인내역'!K1619="","",'(1)예금승인내역'!K1619)</f>
        <v/>
      </c>
      <c r="S993" s="531" t="str">
        <f aca="false">IF('(1)예금승인내역'!L1619="","",'(1)예금승인내역'!L1619)</f>
        <v/>
      </c>
      <c r="T993" s="531" t="str">
        <f aca="false">IF('(1)예금승인내역'!AG1619="","",'(1)예금승인내역'!AG1619)</f>
        <v/>
      </c>
      <c r="U993" s="531" t="str">
        <f aca="false">IF('(1)예금승인내역'!X1619="","",'(1)예금승인내역'!X1619)</f>
        <v/>
      </c>
      <c r="V993" s="531" t="str">
        <f aca="false">IF(ISNUMBER(N993),N993-$B$2,"")</f>
        <v/>
      </c>
      <c r="W993" s="531" t="str">
        <f aca="false">IF(AND(ISNUMBER(N993),N993&gt;=$B$2,N993&lt;=$B$2+10),N993*100000+ROW(),"")</f>
        <v/>
      </c>
      <c r="X993" s="531"/>
      <c r="Y993" s="531"/>
      <c r="Z993" s="531"/>
      <c r="AA993" s="531"/>
      <c r="AB993" s="531"/>
      <c r="AC993" s="531"/>
      <c r="AD993" s="531"/>
      <c r="AE993" s="531"/>
      <c r="AF993" s="531"/>
      <c r="AG993" s="531"/>
      <c r="AH993" s="531"/>
      <c r="AI993" s="531"/>
      <c r="AJ993" s="531"/>
      <c r="AK993" s="531"/>
      <c r="AL993" s="531"/>
      <c r="AM993" s="531"/>
      <c r="AN993" s="531"/>
    </row>
    <row r="994" customFormat="false" ht="16.5" hidden="false" customHeight="true" outlineLevel="0" collapsed="false">
      <c r="A994" s="531"/>
      <c r="B994" s="531"/>
      <c r="C994" s="531"/>
      <c r="D994" s="531"/>
      <c r="E994" s="531"/>
      <c r="F994" s="531"/>
      <c r="G994" s="531"/>
      <c r="H994" s="531"/>
      <c r="I994" s="531"/>
      <c r="J994" s="531"/>
      <c r="K994" s="531"/>
      <c r="L994" s="531"/>
      <c r="M994" s="531"/>
      <c r="N994" s="531" t="str">
        <f aca="false">IF('(1)예금승인내역'!H1620="","",'(1)예금승인내역'!H1620)</f>
        <v/>
      </c>
      <c r="O994" s="531" t="str">
        <f aca="false">IF('(1)예금승인내역'!G1620="","",'(1)예금승인내역'!G1620)</f>
        <v/>
      </c>
      <c r="P994" s="531" t="str">
        <f aca="false">IF('(1)예금승인내역'!F1620="","",'(1)예금승인내역'!F1620)</f>
        <v/>
      </c>
      <c r="Q994" s="531" t="str">
        <f aca="false">IF('(1)예금승인내역'!C1620="","",'(1)예금승인내역'!C1620)</f>
        <v/>
      </c>
      <c r="R994" s="531" t="str">
        <f aca="false">IF('(1)예금승인내역'!K1620="","",'(1)예금승인내역'!K1620)</f>
        <v/>
      </c>
      <c r="S994" s="531" t="str">
        <f aca="false">IF('(1)예금승인내역'!L1620="","",'(1)예금승인내역'!L1620)</f>
        <v/>
      </c>
      <c r="T994" s="531" t="str">
        <f aca="false">IF('(1)예금승인내역'!AG1620="","",'(1)예금승인내역'!AG1620)</f>
        <v/>
      </c>
      <c r="U994" s="531" t="str">
        <f aca="false">IF('(1)예금승인내역'!X1620="","",'(1)예금승인내역'!X1620)</f>
        <v/>
      </c>
      <c r="V994" s="531" t="str">
        <f aca="false">IF(ISNUMBER(N994),N994-$B$2,"")</f>
        <v/>
      </c>
      <c r="W994" s="531" t="str">
        <f aca="false">IF(AND(ISNUMBER(N994),N994&gt;=$B$2,N994&lt;=$B$2+10),N994*100000+ROW(),"")</f>
        <v/>
      </c>
      <c r="X994" s="531"/>
      <c r="Y994" s="531"/>
      <c r="Z994" s="531"/>
      <c r="AA994" s="531"/>
      <c r="AB994" s="531"/>
      <c r="AC994" s="531"/>
      <c r="AD994" s="531"/>
      <c r="AE994" s="531"/>
      <c r="AF994" s="531"/>
      <c r="AG994" s="531"/>
      <c r="AH994" s="531"/>
      <c r="AI994" s="531"/>
      <c r="AJ994" s="531"/>
      <c r="AK994" s="531"/>
      <c r="AL994" s="531"/>
      <c r="AM994" s="531"/>
      <c r="AN994" s="531"/>
    </row>
    <row r="995" customFormat="false" ht="16.5" hidden="false" customHeight="true" outlineLevel="0" collapsed="false">
      <c r="A995" s="531"/>
      <c r="B995" s="531"/>
      <c r="C995" s="531"/>
      <c r="D995" s="531"/>
      <c r="E995" s="531"/>
      <c r="F995" s="531"/>
      <c r="G995" s="531"/>
      <c r="H995" s="531"/>
      <c r="I995" s="531"/>
      <c r="J995" s="531"/>
      <c r="K995" s="531"/>
      <c r="L995" s="531"/>
      <c r="M995" s="531"/>
      <c r="N995" s="531" t="str">
        <f aca="false">IF('(1)예금승인내역'!H1621="","",'(1)예금승인내역'!H1621)</f>
        <v/>
      </c>
      <c r="O995" s="531" t="str">
        <f aca="false">IF('(1)예금승인내역'!G1621="","",'(1)예금승인내역'!G1621)</f>
        <v/>
      </c>
      <c r="P995" s="531" t="str">
        <f aca="false">IF('(1)예금승인내역'!F1621="","",'(1)예금승인내역'!F1621)</f>
        <v/>
      </c>
      <c r="Q995" s="531" t="str">
        <f aca="false">IF('(1)예금승인내역'!C1621="","",'(1)예금승인내역'!C1621)</f>
        <v/>
      </c>
      <c r="R995" s="531" t="str">
        <f aca="false">IF('(1)예금승인내역'!K1621="","",'(1)예금승인내역'!K1621)</f>
        <v/>
      </c>
      <c r="S995" s="531" t="str">
        <f aca="false">IF('(1)예금승인내역'!L1621="","",'(1)예금승인내역'!L1621)</f>
        <v/>
      </c>
      <c r="T995" s="531" t="str">
        <f aca="false">IF('(1)예금승인내역'!AG1621="","",'(1)예금승인내역'!AG1621)</f>
        <v/>
      </c>
      <c r="U995" s="531" t="str">
        <f aca="false">IF('(1)예금승인내역'!X1621="","",'(1)예금승인내역'!X1621)</f>
        <v/>
      </c>
      <c r="V995" s="531" t="str">
        <f aca="false">IF(ISNUMBER(N995),N995-$B$2,"")</f>
        <v/>
      </c>
      <c r="W995" s="531" t="str">
        <f aca="false">IF(AND(ISNUMBER(N995),N995&gt;=$B$2,N995&lt;=$B$2+10),N995*100000+ROW(),"")</f>
        <v/>
      </c>
      <c r="X995" s="531"/>
      <c r="Y995" s="531"/>
      <c r="Z995" s="531"/>
      <c r="AA995" s="531"/>
      <c r="AB995" s="531"/>
      <c r="AC995" s="531"/>
      <c r="AD995" s="531"/>
      <c r="AE995" s="531"/>
      <c r="AF995" s="531"/>
      <c r="AG995" s="531"/>
      <c r="AH995" s="531"/>
      <c r="AI995" s="531"/>
      <c r="AJ995" s="531"/>
      <c r="AK995" s="531"/>
      <c r="AL995" s="531"/>
      <c r="AM995" s="531"/>
      <c r="AN995" s="531"/>
    </row>
    <row r="996" customFormat="false" ht="16.5" hidden="false" customHeight="true" outlineLevel="0" collapsed="false">
      <c r="A996" s="531"/>
      <c r="B996" s="531"/>
      <c r="C996" s="531"/>
      <c r="D996" s="531"/>
      <c r="E996" s="531"/>
      <c r="F996" s="531"/>
      <c r="G996" s="531"/>
      <c r="H996" s="531"/>
      <c r="I996" s="531"/>
      <c r="J996" s="531"/>
      <c r="K996" s="531"/>
      <c r="L996" s="531"/>
      <c r="M996" s="531"/>
      <c r="N996" s="531" t="str">
        <f aca="false">IF('(1)예금승인내역'!H1622="","",'(1)예금승인내역'!H1622)</f>
        <v/>
      </c>
      <c r="O996" s="531" t="str">
        <f aca="false">IF('(1)예금승인내역'!G1622="","",'(1)예금승인내역'!G1622)</f>
        <v/>
      </c>
      <c r="P996" s="531" t="str">
        <f aca="false">IF('(1)예금승인내역'!F1622="","",'(1)예금승인내역'!F1622)</f>
        <v/>
      </c>
      <c r="Q996" s="531" t="str">
        <f aca="false">IF('(1)예금승인내역'!C1622="","",'(1)예금승인내역'!C1622)</f>
        <v/>
      </c>
      <c r="R996" s="531" t="str">
        <f aca="false">IF('(1)예금승인내역'!K1622="","",'(1)예금승인내역'!K1622)</f>
        <v/>
      </c>
      <c r="S996" s="531" t="str">
        <f aca="false">IF('(1)예금승인내역'!L1622="","",'(1)예금승인내역'!L1622)</f>
        <v/>
      </c>
      <c r="T996" s="531" t="str">
        <f aca="false">IF('(1)예금승인내역'!AG1622="","",'(1)예금승인내역'!AG1622)</f>
        <v/>
      </c>
      <c r="U996" s="531" t="str">
        <f aca="false">IF('(1)예금승인내역'!X1622="","",'(1)예금승인내역'!X1622)</f>
        <v/>
      </c>
      <c r="V996" s="531" t="str">
        <f aca="false">IF(ISNUMBER(N996),N996-$B$2,"")</f>
        <v/>
      </c>
      <c r="W996" s="531" t="str">
        <f aca="false">IF(AND(ISNUMBER(N996),N996&gt;=$B$2,N996&lt;=$B$2+10),N996*100000+ROW(),"")</f>
        <v/>
      </c>
      <c r="X996" s="531"/>
      <c r="Y996" s="531"/>
      <c r="Z996" s="531"/>
      <c r="AA996" s="531"/>
      <c r="AB996" s="531"/>
      <c r="AC996" s="531"/>
      <c r="AD996" s="531"/>
      <c r="AE996" s="531"/>
      <c r="AF996" s="531"/>
      <c r="AG996" s="531"/>
      <c r="AH996" s="531"/>
      <c r="AI996" s="531"/>
      <c r="AJ996" s="531"/>
      <c r="AK996" s="531"/>
      <c r="AL996" s="531"/>
      <c r="AM996" s="531"/>
      <c r="AN996" s="531"/>
    </row>
    <row r="997" customFormat="false" ht="16.5" hidden="false" customHeight="true" outlineLevel="0" collapsed="false">
      <c r="A997" s="531"/>
      <c r="B997" s="531"/>
      <c r="C997" s="531"/>
      <c r="D997" s="531"/>
      <c r="E997" s="531"/>
      <c r="F997" s="531"/>
      <c r="G997" s="531"/>
      <c r="H997" s="531"/>
      <c r="I997" s="531"/>
      <c r="J997" s="531"/>
      <c r="K997" s="531"/>
      <c r="L997" s="531"/>
      <c r="M997" s="531"/>
      <c r="N997" s="531" t="str">
        <f aca="false">IF('(1)예금승인내역'!H1623="","",'(1)예금승인내역'!H1623)</f>
        <v/>
      </c>
      <c r="O997" s="531" t="str">
        <f aca="false">IF('(1)예금승인내역'!G1623="","",'(1)예금승인내역'!G1623)</f>
        <v/>
      </c>
      <c r="P997" s="531" t="str">
        <f aca="false">IF('(1)예금승인내역'!F1623="","",'(1)예금승인내역'!F1623)</f>
        <v/>
      </c>
      <c r="Q997" s="531" t="str">
        <f aca="false">IF('(1)예금승인내역'!C1623="","",'(1)예금승인내역'!C1623)</f>
        <v/>
      </c>
      <c r="R997" s="531" t="str">
        <f aca="false">IF('(1)예금승인내역'!K1623="","",'(1)예금승인내역'!K1623)</f>
        <v/>
      </c>
      <c r="S997" s="531" t="str">
        <f aca="false">IF('(1)예금승인내역'!L1623="","",'(1)예금승인내역'!L1623)</f>
        <v/>
      </c>
      <c r="T997" s="531" t="str">
        <f aca="false">IF('(1)예금승인내역'!AG1623="","",'(1)예금승인내역'!AG1623)</f>
        <v/>
      </c>
      <c r="U997" s="531" t="str">
        <f aca="false">IF('(1)예금승인내역'!X1623="","",'(1)예금승인내역'!X1623)</f>
        <v/>
      </c>
      <c r="V997" s="531" t="str">
        <f aca="false">IF(ISNUMBER(N997),N997-$B$2,"")</f>
        <v/>
      </c>
      <c r="W997" s="531" t="str">
        <f aca="false">IF(AND(ISNUMBER(N997),N997&gt;=$B$2,N997&lt;=$B$2+10),N997*100000+ROW(),"")</f>
        <v/>
      </c>
      <c r="X997" s="531"/>
      <c r="Y997" s="531"/>
      <c r="Z997" s="531"/>
      <c r="AA997" s="531"/>
      <c r="AB997" s="531"/>
      <c r="AC997" s="531"/>
      <c r="AD997" s="531"/>
      <c r="AE997" s="531"/>
      <c r="AF997" s="531"/>
      <c r="AG997" s="531"/>
      <c r="AH997" s="531"/>
      <c r="AI997" s="531"/>
      <c r="AJ997" s="531"/>
      <c r="AK997" s="531"/>
      <c r="AL997" s="531"/>
      <c r="AM997" s="531"/>
      <c r="AN997" s="531"/>
    </row>
    <row r="998" customFormat="false" ht="16.5" hidden="false" customHeight="true" outlineLevel="0" collapsed="false">
      <c r="A998" s="531"/>
      <c r="B998" s="531"/>
      <c r="C998" s="531"/>
      <c r="D998" s="531"/>
      <c r="E998" s="531"/>
      <c r="F998" s="531"/>
      <c r="G998" s="531"/>
      <c r="H998" s="531"/>
      <c r="I998" s="531"/>
      <c r="J998" s="531"/>
      <c r="K998" s="531"/>
      <c r="L998" s="531"/>
      <c r="M998" s="531"/>
      <c r="N998" s="531" t="str">
        <f aca="false">IF('(1)예금승인내역'!H1624="","",'(1)예금승인내역'!H1624)</f>
        <v/>
      </c>
      <c r="O998" s="531" t="str">
        <f aca="false">IF('(1)예금승인내역'!G1624="","",'(1)예금승인내역'!G1624)</f>
        <v/>
      </c>
      <c r="P998" s="531" t="str">
        <f aca="false">IF('(1)예금승인내역'!F1624="","",'(1)예금승인내역'!F1624)</f>
        <v/>
      </c>
      <c r="Q998" s="531" t="str">
        <f aca="false">IF('(1)예금승인내역'!C1624="","",'(1)예금승인내역'!C1624)</f>
        <v/>
      </c>
      <c r="R998" s="531" t="str">
        <f aca="false">IF('(1)예금승인내역'!K1624="","",'(1)예금승인내역'!K1624)</f>
        <v/>
      </c>
      <c r="S998" s="531" t="str">
        <f aca="false">IF('(1)예금승인내역'!L1624="","",'(1)예금승인내역'!L1624)</f>
        <v/>
      </c>
      <c r="T998" s="531" t="str">
        <f aca="false">IF('(1)예금승인내역'!AG1624="","",'(1)예금승인내역'!AG1624)</f>
        <v/>
      </c>
      <c r="U998" s="531" t="str">
        <f aca="false">IF('(1)예금승인내역'!X1624="","",'(1)예금승인내역'!X1624)</f>
        <v/>
      </c>
      <c r="V998" s="531" t="str">
        <f aca="false">IF(ISNUMBER(N998),N998-$B$2,"")</f>
        <v/>
      </c>
      <c r="W998" s="531" t="str">
        <f aca="false">IF(AND(ISNUMBER(N998),N998&gt;=$B$2,N998&lt;=$B$2+10),N998*100000+ROW(),"")</f>
        <v/>
      </c>
      <c r="X998" s="531"/>
      <c r="Y998" s="531"/>
      <c r="Z998" s="531"/>
      <c r="AA998" s="531"/>
      <c r="AB998" s="531"/>
      <c r="AC998" s="531"/>
      <c r="AD998" s="531"/>
      <c r="AE998" s="531"/>
      <c r="AF998" s="531"/>
      <c r="AG998" s="531"/>
      <c r="AH998" s="531"/>
      <c r="AI998" s="531"/>
      <c r="AJ998" s="531"/>
      <c r="AK998" s="531"/>
      <c r="AL998" s="531"/>
      <c r="AM998" s="531"/>
      <c r="AN998" s="531"/>
    </row>
    <row r="999" customFormat="false" ht="16.5" hidden="false" customHeight="true" outlineLevel="0" collapsed="false">
      <c r="A999" s="531"/>
      <c r="B999" s="531"/>
      <c r="C999" s="531"/>
      <c r="D999" s="531"/>
      <c r="E999" s="531"/>
      <c r="F999" s="531"/>
      <c r="G999" s="531"/>
      <c r="H999" s="531"/>
      <c r="I999" s="531"/>
      <c r="J999" s="531"/>
      <c r="K999" s="531"/>
      <c r="L999" s="531"/>
      <c r="M999" s="531"/>
      <c r="N999" s="531" t="str">
        <f aca="false">IF('(1)예금승인내역'!H1625="","",'(1)예금승인내역'!H1625)</f>
        <v/>
      </c>
      <c r="O999" s="531" t="str">
        <f aca="false">IF('(1)예금승인내역'!G1625="","",'(1)예금승인내역'!G1625)</f>
        <v/>
      </c>
      <c r="P999" s="531" t="str">
        <f aca="false">IF('(1)예금승인내역'!F1625="","",'(1)예금승인내역'!F1625)</f>
        <v/>
      </c>
      <c r="Q999" s="531" t="str">
        <f aca="false">IF('(1)예금승인내역'!C1625="","",'(1)예금승인내역'!C1625)</f>
        <v/>
      </c>
      <c r="R999" s="531" t="str">
        <f aca="false">IF('(1)예금승인내역'!K1625="","",'(1)예금승인내역'!K1625)</f>
        <v/>
      </c>
      <c r="S999" s="531" t="str">
        <f aca="false">IF('(1)예금승인내역'!L1625="","",'(1)예금승인내역'!L1625)</f>
        <v/>
      </c>
      <c r="T999" s="531" t="str">
        <f aca="false">IF('(1)예금승인내역'!AG1625="","",'(1)예금승인내역'!AG1625)</f>
        <v/>
      </c>
      <c r="U999" s="531" t="str">
        <f aca="false">IF('(1)예금승인내역'!X1625="","",'(1)예금승인내역'!X1625)</f>
        <v/>
      </c>
      <c r="V999" s="531" t="str">
        <f aca="false">IF(ISNUMBER(N999),N999-$B$2,"")</f>
        <v/>
      </c>
      <c r="W999" s="531" t="str">
        <f aca="false">IF(AND(ISNUMBER(N999),N999&gt;=$B$2,N999&lt;=$B$2+10),N999*100000+ROW(),"")</f>
        <v/>
      </c>
      <c r="X999" s="531"/>
      <c r="Y999" s="531"/>
      <c r="Z999" s="531"/>
      <c r="AA999" s="531"/>
      <c r="AB999" s="531"/>
      <c r="AC999" s="531"/>
      <c r="AD999" s="531"/>
      <c r="AE999" s="531"/>
      <c r="AF999" s="531"/>
      <c r="AG999" s="531"/>
      <c r="AH999" s="531"/>
      <c r="AI999" s="531"/>
      <c r="AJ999" s="531"/>
      <c r="AK999" s="531"/>
      <c r="AL999" s="531"/>
      <c r="AM999" s="531"/>
      <c r="AN999" s="531"/>
    </row>
    <row r="1000" customFormat="false" ht="16.5" hidden="false" customHeight="true" outlineLevel="0" collapsed="false">
      <c r="A1000" s="531"/>
      <c r="B1000" s="531"/>
      <c r="C1000" s="531"/>
      <c r="D1000" s="531"/>
      <c r="E1000" s="531"/>
      <c r="F1000" s="531"/>
      <c r="G1000" s="531"/>
      <c r="H1000" s="531"/>
      <c r="I1000" s="531"/>
      <c r="J1000" s="531"/>
      <c r="K1000" s="531"/>
      <c r="L1000" s="531"/>
      <c r="M1000" s="531"/>
      <c r="N1000" s="531" t="str">
        <f aca="false">IF('(1)예금승인내역'!H1626="","",'(1)예금승인내역'!H1626)</f>
        <v/>
      </c>
      <c r="O1000" s="531" t="str">
        <f aca="false">IF('(1)예금승인내역'!G1626="","",'(1)예금승인내역'!G1626)</f>
        <v/>
      </c>
      <c r="P1000" s="531" t="str">
        <f aca="false">IF('(1)예금승인내역'!F1626="","",'(1)예금승인내역'!F1626)</f>
        <v/>
      </c>
      <c r="Q1000" s="531" t="str">
        <f aca="false">IF('(1)예금승인내역'!C1626="","",'(1)예금승인내역'!C1626)</f>
        <v/>
      </c>
      <c r="R1000" s="531" t="str">
        <f aca="false">IF('(1)예금승인내역'!K1626="","",'(1)예금승인내역'!K1626)</f>
        <v/>
      </c>
      <c r="S1000" s="531" t="str">
        <f aca="false">IF('(1)예금승인내역'!L1626="","",'(1)예금승인내역'!L1626)</f>
        <v/>
      </c>
      <c r="T1000" s="531" t="str">
        <f aca="false">IF('(1)예금승인내역'!AG1626="","",'(1)예금승인내역'!AG1626)</f>
        <v/>
      </c>
      <c r="U1000" s="531" t="str">
        <f aca="false">IF('(1)예금승인내역'!X1626="","",'(1)예금승인내역'!X1626)</f>
        <v/>
      </c>
      <c r="V1000" s="531" t="str">
        <f aca="false">IF(ISNUMBER(N1000),N1000-$B$2,"")</f>
        <v/>
      </c>
      <c r="W1000" s="531" t="str">
        <f aca="false">IF(AND(ISNUMBER(N1000),N1000&gt;=$B$2,N1000&lt;=$B$2+10),N1000*100000+ROW(),"")</f>
        <v/>
      </c>
      <c r="X1000" s="531"/>
      <c r="Y1000" s="531"/>
      <c r="Z1000" s="531"/>
      <c r="AA1000" s="531"/>
      <c r="AB1000" s="531"/>
      <c r="AC1000" s="531"/>
      <c r="AD1000" s="531"/>
      <c r="AE1000" s="531"/>
      <c r="AF1000" s="531"/>
      <c r="AG1000" s="531"/>
      <c r="AH1000" s="531"/>
      <c r="AI1000" s="531"/>
      <c r="AJ1000" s="531"/>
      <c r="AK1000" s="531"/>
      <c r="AL1000" s="531"/>
      <c r="AM1000" s="531"/>
      <c r="AN1000" s="531"/>
    </row>
    <row r="1001" customFormat="false" ht="16.5" hidden="false" customHeight="true" outlineLevel="0" collapsed="false">
      <c r="A1001" s="531"/>
      <c r="B1001" s="531"/>
      <c r="C1001" s="531"/>
      <c r="D1001" s="531"/>
      <c r="E1001" s="531"/>
      <c r="F1001" s="531"/>
      <c r="G1001" s="531"/>
      <c r="H1001" s="531"/>
      <c r="I1001" s="531"/>
      <c r="J1001" s="531"/>
      <c r="K1001" s="531"/>
      <c r="L1001" s="531"/>
      <c r="M1001" s="531"/>
      <c r="N1001" s="531" t="str">
        <f aca="false">IF('(1)예금승인내역'!H1627="","",'(1)예금승인내역'!H1627)</f>
        <v/>
      </c>
      <c r="O1001" s="531" t="str">
        <f aca="false">IF('(1)예금승인내역'!G1627="","",'(1)예금승인내역'!G1627)</f>
        <v/>
      </c>
      <c r="P1001" s="531" t="str">
        <f aca="false">IF('(1)예금승인내역'!F1627="","",'(1)예금승인내역'!F1627)</f>
        <v/>
      </c>
      <c r="Q1001" s="531" t="str">
        <f aca="false">IF('(1)예금승인내역'!C1627="","",'(1)예금승인내역'!C1627)</f>
        <v/>
      </c>
      <c r="R1001" s="531" t="str">
        <f aca="false">IF('(1)예금승인내역'!K1627="","",'(1)예금승인내역'!K1627)</f>
        <v/>
      </c>
      <c r="S1001" s="531" t="str">
        <f aca="false">IF('(1)예금승인내역'!L1627="","",'(1)예금승인내역'!L1627)</f>
        <v/>
      </c>
      <c r="T1001" s="531" t="str">
        <f aca="false">IF('(1)예금승인내역'!AG1627="","",'(1)예금승인내역'!AG1627)</f>
        <v/>
      </c>
      <c r="U1001" s="531" t="str">
        <f aca="false">IF('(1)예금승인내역'!X1627="","",'(1)예금승인내역'!X1627)</f>
        <v/>
      </c>
      <c r="V1001" s="531" t="str">
        <f aca="false">IF(ISNUMBER(N1001),N1001-$B$2,"")</f>
        <v/>
      </c>
      <c r="W1001" s="531" t="str">
        <f aca="false">IF(AND(ISNUMBER(N1001),N1001&gt;=$B$2,N1001&lt;=$B$2+10),N1001*100000+ROW(),"")</f>
        <v/>
      </c>
      <c r="X1001" s="531"/>
      <c r="Y1001" s="531"/>
      <c r="Z1001" s="531"/>
      <c r="AA1001" s="531"/>
      <c r="AB1001" s="531"/>
      <c r="AC1001" s="531"/>
      <c r="AD1001" s="531"/>
      <c r="AE1001" s="531"/>
      <c r="AF1001" s="531"/>
      <c r="AG1001" s="531"/>
      <c r="AH1001" s="531"/>
      <c r="AI1001" s="531"/>
      <c r="AJ1001" s="531"/>
      <c r="AK1001" s="531"/>
      <c r="AL1001" s="531"/>
      <c r="AM1001" s="531"/>
      <c r="AN1001" s="531"/>
    </row>
    <row r="1002" customFormat="false" ht="16.5" hidden="false" customHeight="true" outlineLevel="0" collapsed="false">
      <c r="A1002" s="531"/>
      <c r="B1002" s="531"/>
      <c r="C1002" s="531"/>
      <c r="D1002" s="531"/>
      <c r="E1002" s="531"/>
      <c r="F1002" s="531"/>
      <c r="G1002" s="531"/>
      <c r="H1002" s="531"/>
      <c r="I1002" s="531"/>
      <c r="J1002" s="531"/>
      <c r="K1002" s="531"/>
      <c r="L1002" s="531"/>
      <c r="M1002" s="531"/>
      <c r="N1002" s="531" t="str">
        <f aca="false">IF('(1)예금승인내역'!H1628="","",'(1)예금승인내역'!H1628)</f>
        <v/>
      </c>
      <c r="O1002" s="531" t="str">
        <f aca="false">IF('(1)예금승인내역'!G1628="","",'(1)예금승인내역'!G1628)</f>
        <v/>
      </c>
      <c r="P1002" s="531" t="str">
        <f aca="false">IF('(1)예금승인내역'!F1628="","",'(1)예금승인내역'!F1628)</f>
        <v/>
      </c>
      <c r="Q1002" s="531" t="str">
        <f aca="false">IF('(1)예금승인내역'!C1628="","",'(1)예금승인내역'!C1628)</f>
        <v/>
      </c>
      <c r="R1002" s="531" t="str">
        <f aca="false">IF('(1)예금승인내역'!K1628="","",'(1)예금승인내역'!K1628)</f>
        <v/>
      </c>
      <c r="S1002" s="531" t="str">
        <f aca="false">IF('(1)예금승인내역'!L1628="","",'(1)예금승인내역'!L1628)</f>
        <v/>
      </c>
      <c r="T1002" s="531" t="str">
        <f aca="false">IF('(1)예금승인내역'!AG1628="","",'(1)예금승인내역'!AG1628)</f>
        <v/>
      </c>
      <c r="U1002" s="531" t="str">
        <f aca="false">IF('(1)예금승인내역'!X1628="","",'(1)예금승인내역'!X1628)</f>
        <v/>
      </c>
      <c r="V1002" s="531" t="str">
        <f aca="false">IF(ISNUMBER(N1002),N1002-$B$2,"")</f>
        <v/>
      </c>
      <c r="W1002" s="531" t="str">
        <f aca="false">IF(AND(ISNUMBER(N1002),N1002&gt;=$B$2,N1002&lt;=$B$2+10),N1002*100000+ROW(),"")</f>
        <v/>
      </c>
      <c r="X1002" s="531"/>
      <c r="Y1002" s="531"/>
      <c r="Z1002" s="531"/>
      <c r="AA1002" s="531"/>
      <c r="AB1002" s="531"/>
      <c r="AC1002" s="531"/>
      <c r="AD1002" s="531"/>
      <c r="AE1002" s="531"/>
      <c r="AF1002" s="531"/>
      <c r="AG1002" s="531"/>
      <c r="AH1002" s="531"/>
      <c r="AI1002" s="531"/>
      <c r="AJ1002" s="531"/>
      <c r="AK1002" s="531"/>
      <c r="AL1002" s="531"/>
      <c r="AM1002" s="531"/>
      <c r="AN1002" s="531"/>
    </row>
    <row r="1003" customFormat="false" ht="16.5" hidden="false" customHeight="true" outlineLevel="0" collapsed="false">
      <c r="A1003" s="531"/>
      <c r="B1003" s="531"/>
      <c r="C1003" s="531"/>
      <c r="D1003" s="531"/>
      <c r="E1003" s="531"/>
      <c r="F1003" s="531"/>
      <c r="G1003" s="531"/>
      <c r="H1003" s="531"/>
      <c r="I1003" s="531"/>
      <c r="J1003" s="531"/>
      <c r="K1003" s="531"/>
      <c r="L1003" s="531"/>
      <c r="M1003" s="531"/>
      <c r="N1003" s="531" t="str">
        <f aca="false">IF('(1)예금승인내역'!H1629="","",'(1)예금승인내역'!H1629)</f>
        <v/>
      </c>
      <c r="O1003" s="531" t="str">
        <f aca="false">IF('(1)예금승인내역'!G1629="","",'(1)예금승인내역'!G1629)</f>
        <v/>
      </c>
      <c r="P1003" s="531" t="str">
        <f aca="false">IF('(1)예금승인내역'!F1629="","",'(1)예금승인내역'!F1629)</f>
        <v/>
      </c>
      <c r="Q1003" s="531" t="str">
        <f aca="false">IF('(1)예금승인내역'!C1629="","",'(1)예금승인내역'!C1629)</f>
        <v/>
      </c>
      <c r="R1003" s="531" t="str">
        <f aca="false">IF('(1)예금승인내역'!K1629="","",'(1)예금승인내역'!K1629)</f>
        <v/>
      </c>
      <c r="S1003" s="531" t="str">
        <f aca="false">IF('(1)예금승인내역'!L1629="","",'(1)예금승인내역'!L1629)</f>
        <v/>
      </c>
      <c r="T1003" s="531" t="str">
        <f aca="false">IF('(1)예금승인내역'!AG1629="","",'(1)예금승인내역'!AG1629)</f>
        <v/>
      </c>
      <c r="U1003" s="531" t="str">
        <f aca="false">IF('(1)예금승인내역'!X1629="","",'(1)예금승인내역'!X1629)</f>
        <v/>
      </c>
      <c r="V1003" s="531" t="str">
        <f aca="false">IF(ISNUMBER(N1003),N1003-$B$2,"")</f>
        <v/>
      </c>
      <c r="W1003" s="531" t="str">
        <f aca="false">IF(AND(ISNUMBER(N1003),N1003&gt;=$B$2,N1003&lt;=$B$2+10),N1003*100000+ROW(),"")</f>
        <v/>
      </c>
      <c r="X1003" s="531"/>
      <c r="Y1003" s="531"/>
      <c r="Z1003" s="531"/>
      <c r="AA1003" s="531"/>
      <c r="AB1003" s="531"/>
      <c r="AC1003" s="531"/>
      <c r="AD1003" s="531"/>
      <c r="AE1003" s="531"/>
      <c r="AF1003" s="531"/>
      <c r="AG1003" s="531"/>
      <c r="AH1003" s="531"/>
      <c r="AI1003" s="531"/>
      <c r="AJ1003" s="531"/>
      <c r="AK1003" s="531"/>
      <c r="AL1003" s="531"/>
      <c r="AM1003" s="531"/>
      <c r="AN1003" s="531"/>
    </row>
    <row r="1004" customFormat="false" ht="16.5" hidden="false" customHeight="true" outlineLevel="0" collapsed="false">
      <c r="A1004" s="531"/>
      <c r="B1004" s="531"/>
      <c r="C1004" s="531"/>
      <c r="D1004" s="531"/>
      <c r="E1004" s="531"/>
      <c r="F1004" s="531"/>
      <c r="G1004" s="531"/>
      <c r="H1004" s="531"/>
      <c r="I1004" s="531"/>
      <c r="J1004" s="531"/>
      <c r="K1004" s="531"/>
      <c r="L1004" s="531"/>
      <c r="M1004" s="531"/>
      <c r="N1004" s="531" t="str">
        <f aca="false">IF('(1)예금승인내역'!H1630="","",'(1)예금승인내역'!H1630)</f>
        <v/>
      </c>
      <c r="O1004" s="531" t="str">
        <f aca="false">IF('(1)예금승인내역'!G1630="","",'(1)예금승인내역'!G1630)</f>
        <v/>
      </c>
      <c r="P1004" s="531" t="str">
        <f aca="false">IF('(1)예금승인내역'!F1630="","",'(1)예금승인내역'!F1630)</f>
        <v/>
      </c>
      <c r="Q1004" s="531" t="str">
        <f aca="false">IF('(1)예금승인내역'!C1630="","",'(1)예금승인내역'!C1630)</f>
        <v/>
      </c>
      <c r="R1004" s="531" t="str">
        <f aca="false">IF('(1)예금승인내역'!K1630="","",'(1)예금승인내역'!K1630)</f>
        <v/>
      </c>
      <c r="S1004" s="531" t="str">
        <f aca="false">IF('(1)예금승인내역'!L1630="","",'(1)예금승인내역'!L1630)</f>
        <v/>
      </c>
      <c r="T1004" s="531" t="str">
        <f aca="false">IF('(1)예금승인내역'!AG1630="","",'(1)예금승인내역'!AG1630)</f>
        <v/>
      </c>
      <c r="U1004" s="531" t="str">
        <f aca="false">IF('(1)예금승인내역'!X1630="","",'(1)예금승인내역'!X1630)</f>
        <v/>
      </c>
      <c r="V1004" s="531" t="str">
        <f aca="false">IF(ISNUMBER(N1004),N1004-$B$2,"")</f>
        <v/>
      </c>
      <c r="W1004" s="531" t="str">
        <f aca="false">IF(AND(ISNUMBER(N1004),N1004&gt;=$B$2,N1004&lt;=$B$2+10),N1004*100000+ROW(),"")</f>
        <v/>
      </c>
      <c r="X1004" s="531"/>
      <c r="Y1004" s="531"/>
      <c r="Z1004" s="531"/>
      <c r="AA1004" s="531"/>
      <c r="AB1004" s="531"/>
      <c r="AC1004" s="531"/>
      <c r="AD1004" s="531"/>
      <c r="AE1004" s="531"/>
      <c r="AF1004" s="531"/>
      <c r="AG1004" s="531"/>
      <c r="AH1004" s="531"/>
      <c r="AI1004" s="531"/>
      <c r="AJ1004" s="531"/>
      <c r="AK1004" s="531"/>
      <c r="AL1004" s="531"/>
      <c r="AM1004" s="531"/>
      <c r="AN1004" s="531"/>
    </row>
    <row r="1005" customFormat="false" ht="16.5" hidden="false" customHeight="true" outlineLevel="0" collapsed="false">
      <c r="A1005" s="531"/>
      <c r="B1005" s="531"/>
      <c r="C1005" s="531"/>
      <c r="D1005" s="531"/>
      <c r="E1005" s="531"/>
      <c r="F1005" s="531"/>
      <c r="G1005" s="531"/>
      <c r="H1005" s="531"/>
      <c r="I1005" s="531"/>
      <c r="J1005" s="531"/>
      <c r="K1005" s="531"/>
      <c r="L1005" s="531"/>
      <c r="M1005" s="531"/>
      <c r="N1005" s="531" t="str">
        <f aca="false">IF('(1)예금승인내역'!H1631="","",'(1)예금승인내역'!H1631)</f>
        <v/>
      </c>
      <c r="O1005" s="531" t="str">
        <f aca="false">IF('(1)예금승인내역'!G1631="","",'(1)예금승인내역'!G1631)</f>
        <v/>
      </c>
      <c r="P1005" s="531" t="str">
        <f aca="false">IF('(1)예금승인내역'!F1631="","",'(1)예금승인내역'!F1631)</f>
        <v/>
      </c>
      <c r="Q1005" s="531" t="str">
        <f aca="false">IF('(1)예금승인내역'!C1631="","",'(1)예금승인내역'!C1631)</f>
        <v/>
      </c>
      <c r="R1005" s="531" t="str">
        <f aca="false">IF('(1)예금승인내역'!K1631="","",'(1)예금승인내역'!K1631)</f>
        <v/>
      </c>
      <c r="S1005" s="531" t="str">
        <f aca="false">IF('(1)예금승인내역'!L1631="","",'(1)예금승인내역'!L1631)</f>
        <v/>
      </c>
      <c r="T1005" s="531" t="str">
        <f aca="false">IF('(1)예금승인내역'!AG1631="","",'(1)예금승인내역'!AG1631)</f>
        <v/>
      </c>
      <c r="U1005" s="531" t="str">
        <f aca="false">IF('(1)예금승인내역'!X1631="","",'(1)예금승인내역'!X1631)</f>
        <v/>
      </c>
      <c r="V1005" s="531" t="str">
        <f aca="false">IF(ISNUMBER(N1005),N1005-$B$2,"")</f>
        <v/>
      </c>
      <c r="W1005" s="531" t="str">
        <f aca="false">IF(AND(ISNUMBER(N1005),N1005&gt;=$B$2,N1005&lt;=$B$2+10),N1005*100000+ROW(),"")</f>
        <v/>
      </c>
      <c r="X1005" s="531"/>
      <c r="Y1005" s="531"/>
      <c r="Z1005" s="531"/>
      <c r="AA1005" s="531"/>
      <c r="AB1005" s="531"/>
      <c r="AC1005" s="531"/>
      <c r="AD1005" s="531"/>
      <c r="AE1005" s="531"/>
      <c r="AF1005" s="531"/>
      <c r="AG1005" s="531"/>
      <c r="AH1005" s="531"/>
      <c r="AI1005" s="531"/>
      <c r="AJ1005" s="531"/>
      <c r="AK1005" s="531"/>
      <c r="AL1005" s="531"/>
      <c r="AM1005" s="531"/>
      <c r="AN1005" s="531"/>
    </row>
    <row r="1006" customFormat="false" ht="16.5" hidden="false" customHeight="true" outlineLevel="0" collapsed="false">
      <c r="A1006" s="531"/>
      <c r="B1006" s="531"/>
      <c r="C1006" s="531"/>
      <c r="D1006" s="531"/>
      <c r="E1006" s="531"/>
      <c r="F1006" s="531"/>
      <c r="G1006" s="531"/>
      <c r="H1006" s="531"/>
      <c r="I1006" s="531"/>
      <c r="J1006" s="531"/>
      <c r="K1006" s="531"/>
      <c r="L1006" s="531"/>
      <c r="M1006" s="531"/>
      <c r="N1006" s="531"/>
      <c r="O1006" s="531"/>
      <c r="P1006" s="531"/>
      <c r="Q1006" s="531"/>
      <c r="R1006" s="531"/>
      <c r="S1006" s="531"/>
      <c r="T1006" s="531"/>
      <c r="U1006" s="531"/>
      <c r="V1006" s="531"/>
      <c r="W1006" s="531"/>
      <c r="X1006" s="531"/>
      <c r="Y1006" s="531"/>
      <c r="Z1006" s="531"/>
      <c r="AA1006" s="531"/>
      <c r="AB1006" s="531"/>
      <c r="AC1006" s="531"/>
      <c r="AD1006" s="531"/>
      <c r="AE1006" s="531"/>
      <c r="AF1006" s="531"/>
      <c r="AG1006" s="531"/>
      <c r="AH1006" s="531"/>
      <c r="AI1006" s="531"/>
      <c r="AJ1006" s="531"/>
      <c r="AK1006" s="531"/>
      <c r="AL1006" s="531"/>
      <c r="AM1006" s="531"/>
      <c r="AN1006" s="531"/>
    </row>
    <row r="1007" customFormat="false" ht="16.5" hidden="false" customHeight="true" outlineLevel="0" collapsed="false">
      <c r="A1007" s="531"/>
      <c r="B1007" s="531"/>
      <c r="C1007" s="531"/>
      <c r="D1007" s="531"/>
      <c r="E1007" s="531"/>
      <c r="F1007" s="531"/>
      <c r="G1007" s="531"/>
      <c r="H1007" s="531"/>
      <c r="I1007" s="531"/>
      <c r="J1007" s="531"/>
      <c r="K1007" s="531"/>
      <c r="L1007" s="531"/>
      <c r="M1007" s="531"/>
      <c r="N1007" s="531"/>
      <c r="O1007" s="531"/>
      <c r="P1007" s="531"/>
      <c r="Q1007" s="531"/>
      <c r="R1007" s="531"/>
      <c r="S1007" s="531"/>
      <c r="T1007" s="531"/>
      <c r="U1007" s="531"/>
      <c r="V1007" s="531"/>
      <c r="W1007" s="531"/>
      <c r="X1007" s="531"/>
      <c r="Y1007" s="531"/>
      <c r="Z1007" s="531"/>
      <c r="AA1007" s="531"/>
      <c r="AB1007" s="531"/>
      <c r="AC1007" s="531"/>
      <c r="AD1007" s="531"/>
      <c r="AE1007" s="531"/>
      <c r="AF1007" s="531"/>
      <c r="AG1007" s="531"/>
      <c r="AH1007" s="531"/>
      <c r="AI1007" s="531"/>
      <c r="AJ1007" s="531"/>
      <c r="AK1007" s="531"/>
      <c r="AL1007" s="531"/>
      <c r="AM1007" s="531"/>
      <c r="AN1007" s="531"/>
    </row>
    <row r="1008" customFormat="false" ht="16.5" hidden="false" customHeight="true" outlineLevel="0" collapsed="false">
      <c r="A1008" s="531"/>
      <c r="B1008" s="531"/>
      <c r="C1008" s="531"/>
      <c r="D1008" s="531"/>
      <c r="E1008" s="531"/>
      <c r="F1008" s="531"/>
      <c r="G1008" s="531"/>
      <c r="H1008" s="531"/>
      <c r="I1008" s="531"/>
      <c r="J1008" s="531"/>
      <c r="K1008" s="531"/>
      <c r="L1008" s="531"/>
      <c r="M1008" s="531"/>
      <c r="N1008" s="531"/>
      <c r="O1008" s="531"/>
      <c r="P1008" s="531"/>
      <c r="Q1008" s="531"/>
      <c r="R1008" s="531"/>
      <c r="S1008" s="531"/>
      <c r="T1008" s="531"/>
      <c r="U1008" s="531"/>
      <c r="V1008" s="531"/>
      <c r="W1008" s="531"/>
      <c r="X1008" s="531"/>
      <c r="Y1008" s="531"/>
      <c r="Z1008" s="531"/>
      <c r="AA1008" s="531"/>
      <c r="AB1008" s="531"/>
      <c r="AC1008" s="531"/>
      <c r="AD1008" s="531"/>
      <c r="AE1008" s="531"/>
      <c r="AF1008" s="531"/>
      <c r="AG1008" s="531"/>
      <c r="AH1008" s="531"/>
      <c r="AI1008" s="531"/>
      <c r="AJ1008" s="531"/>
      <c r="AK1008" s="531"/>
      <c r="AL1008" s="531"/>
      <c r="AM1008" s="531"/>
      <c r="AN1008" s="531"/>
    </row>
    <row r="1009" customFormat="false" ht="16.5" hidden="false" customHeight="true" outlineLevel="0" collapsed="false">
      <c r="A1009" s="531"/>
      <c r="B1009" s="531"/>
      <c r="C1009" s="531"/>
      <c r="D1009" s="531"/>
      <c r="E1009" s="531"/>
      <c r="F1009" s="531"/>
      <c r="G1009" s="531"/>
      <c r="H1009" s="531"/>
      <c r="I1009" s="531"/>
      <c r="J1009" s="531"/>
      <c r="K1009" s="531"/>
      <c r="L1009" s="531"/>
      <c r="M1009" s="531"/>
      <c r="N1009" s="531"/>
      <c r="O1009" s="531"/>
      <c r="P1009" s="531"/>
      <c r="Q1009" s="531"/>
      <c r="R1009" s="531"/>
      <c r="S1009" s="531"/>
      <c r="T1009" s="531"/>
      <c r="U1009" s="531"/>
      <c r="V1009" s="531"/>
      <c r="W1009" s="531"/>
      <c r="X1009" s="531"/>
      <c r="Y1009" s="531"/>
      <c r="Z1009" s="531"/>
      <c r="AA1009" s="531"/>
      <c r="AB1009" s="531"/>
      <c r="AC1009" s="531"/>
      <c r="AD1009" s="531"/>
      <c r="AE1009" s="531"/>
      <c r="AF1009" s="531"/>
      <c r="AG1009" s="531"/>
      <c r="AH1009" s="531"/>
      <c r="AI1009" s="531"/>
      <c r="AJ1009" s="531"/>
      <c r="AK1009" s="531"/>
      <c r="AL1009" s="531"/>
      <c r="AM1009" s="531"/>
      <c r="AN1009" s="531"/>
    </row>
    <row r="1010" customFormat="false" ht="16.5" hidden="false" customHeight="true" outlineLevel="0" collapsed="false">
      <c r="A1010" s="531"/>
      <c r="B1010" s="531"/>
      <c r="C1010" s="531"/>
      <c r="D1010" s="531"/>
      <c r="E1010" s="531"/>
      <c r="F1010" s="531"/>
      <c r="G1010" s="531"/>
      <c r="H1010" s="531"/>
      <c r="I1010" s="531"/>
      <c r="J1010" s="531"/>
      <c r="K1010" s="531"/>
      <c r="L1010" s="531"/>
      <c r="M1010" s="531"/>
      <c r="N1010" s="531"/>
      <c r="O1010" s="531"/>
      <c r="P1010" s="531"/>
      <c r="Q1010" s="531"/>
      <c r="R1010" s="531"/>
      <c r="S1010" s="531"/>
      <c r="T1010" s="531"/>
      <c r="U1010" s="531"/>
      <c r="V1010" s="531"/>
      <c r="W1010" s="531"/>
      <c r="X1010" s="531"/>
      <c r="Y1010" s="531"/>
      <c r="Z1010" s="531"/>
      <c r="AA1010" s="531"/>
      <c r="AB1010" s="531"/>
      <c r="AC1010" s="531"/>
      <c r="AD1010" s="531"/>
      <c r="AE1010" s="531"/>
      <c r="AF1010" s="531"/>
      <c r="AG1010" s="531"/>
      <c r="AH1010" s="531"/>
      <c r="AI1010" s="531"/>
      <c r="AJ1010" s="531"/>
      <c r="AK1010" s="531"/>
      <c r="AL1010" s="531"/>
      <c r="AM1010" s="531"/>
      <c r="AN1010" s="531"/>
    </row>
    <row r="1011" customFormat="false" ht="16.5" hidden="false" customHeight="true" outlineLevel="0" collapsed="false">
      <c r="A1011" s="531"/>
      <c r="B1011" s="531"/>
      <c r="C1011" s="531"/>
      <c r="D1011" s="531"/>
      <c r="E1011" s="531"/>
      <c r="F1011" s="531"/>
      <c r="G1011" s="531"/>
      <c r="H1011" s="531"/>
      <c r="I1011" s="531"/>
      <c r="J1011" s="531"/>
      <c r="K1011" s="531"/>
      <c r="L1011" s="531"/>
      <c r="M1011" s="531"/>
      <c r="N1011" s="531"/>
      <c r="O1011" s="531"/>
      <c r="P1011" s="531"/>
      <c r="Q1011" s="531"/>
      <c r="R1011" s="531"/>
      <c r="S1011" s="531"/>
      <c r="T1011" s="531"/>
      <c r="U1011" s="531"/>
      <c r="V1011" s="531"/>
      <c r="W1011" s="531"/>
      <c r="X1011" s="531"/>
      <c r="Y1011" s="531"/>
      <c r="Z1011" s="531"/>
      <c r="AA1011" s="531"/>
      <c r="AB1011" s="531"/>
      <c r="AC1011" s="531"/>
      <c r="AD1011" s="531"/>
      <c r="AE1011" s="531"/>
      <c r="AF1011" s="531"/>
      <c r="AG1011" s="531"/>
      <c r="AH1011" s="531"/>
      <c r="AI1011" s="531"/>
      <c r="AJ1011" s="531"/>
      <c r="AK1011" s="531"/>
      <c r="AL1011" s="531"/>
      <c r="AM1011" s="531"/>
      <c r="AN1011" s="531"/>
    </row>
    <row r="1012" customFormat="false" ht="16.5" hidden="false" customHeight="true" outlineLevel="0" collapsed="false">
      <c r="A1012" s="531"/>
      <c r="B1012" s="531"/>
      <c r="C1012" s="531"/>
      <c r="D1012" s="531"/>
      <c r="E1012" s="531"/>
      <c r="F1012" s="531"/>
      <c r="G1012" s="531"/>
      <c r="H1012" s="531"/>
      <c r="I1012" s="531"/>
      <c r="J1012" s="531"/>
      <c r="K1012" s="531"/>
      <c r="L1012" s="531"/>
      <c r="M1012" s="531"/>
      <c r="N1012" s="531"/>
      <c r="O1012" s="531"/>
      <c r="P1012" s="531"/>
      <c r="Q1012" s="531"/>
      <c r="R1012" s="531"/>
      <c r="S1012" s="531"/>
      <c r="T1012" s="531"/>
      <c r="U1012" s="531"/>
      <c r="V1012" s="531"/>
      <c r="W1012" s="531"/>
      <c r="X1012" s="531"/>
      <c r="Y1012" s="531"/>
      <c r="Z1012" s="531"/>
      <c r="AA1012" s="531"/>
      <c r="AB1012" s="531"/>
      <c r="AC1012" s="531"/>
      <c r="AD1012" s="531"/>
      <c r="AE1012" s="531"/>
      <c r="AF1012" s="531"/>
      <c r="AG1012" s="531"/>
      <c r="AH1012" s="531"/>
      <c r="AI1012" s="531"/>
      <c r="AJ1012" s="531"/>
      <c r="AK1012" s="531"/>
      <c r="AL1012" s="531"/>
      <c r="AM1012" s="531"/>
      <c r="AN1012" s="531"/>
    </row>
    <row r="1013" customFormat="false" ht="16.5" hidden="false" customHeight="true" outlineLevel="0" collapsed="false">
      <c r="A1013" s="531"/>
      <c r="B1013" s="531"/>
      <c r="C1013" s="531"/>
      <c r="D1013" s="531"/>
      <c r="E1013" s="531"/>
      <c r="F1013" s="531"/>
      <c r="G1013" s="531"/>
      <c r="H1013" s="531"/>
      <c r="I1013" s="531"/>
      <c r="J1013" s="531"/>
      <c r="K1013" s="531"/>
      <c r="L1013" s="531"/>
      <c r="M1013" s="531"/>
      <c r="N1013" s="531"/>
      <c r="O1013" s="531"/>
      <c r="P1013" s="531"/>
      <c r="Q1013" s="531"/>
      <c r="R1013" s="531"/>
      <c r="S1013" s="531"/>
      <c r="T1013" s="531"/>
      <c r="U1013" s="531"/>
      <c r="V1013" s="531"/>
      <c r="W1013" s="531"/>
      <c r="X1013" s="531"/>
      <c r="Y1013" s="531"/>
      <c r="Z1013" s="531"/>
      <c r="AA1013" s="531"/>
      <c r="AB1013" s="531"/>
      <c r="AC1013" s="531"/>
      <c r="AD1013" s="531"/>
      <c r="AE1013" s="531"/>
      <c r="AF1013" s="531"/>
      <c r="AG1013" s="531"/>
      <c r="AH1013" s="531"/>
      <c r="AI1013" s="531"/>
      <c r="AJ1013" s="531"/>
      <c r="AK1013" s="531"/>
      <c r="AL1013" s="531"/>
      <c r="AM1013" s="531"/>
      <c r="AN1013" s="531"/>
    </row>
    <row r="1014" customFormat="false" ht="16.5" hidden="false" customHeight="true" outlineLevel="0" collapsed="false">
      <c r="A1014" s="531"/>
      <c r="B1014" s="531"/>
      <c r="C1014" s="531"/>
      <c r="D1014" s="531"/>
      <c r="E1014" s="531"/>
      <c r="F1014" s="531"/>
      <c r="G1014" s="531"/>
      <c r="H1014" s="531"/>
      <c r="I1014" s="531"/>
      <c r="J1014" s="531"/>
      <c r="K1014" s="531"/>
      <c r="L1014" s="531"/>
      <c r="M1014" s="531"/>
      <c r="N1014" s="531"/>
      <c r="O1014" s="531"/>
      <c r="P1014" s="531"/>
      <c r="Q1014" s="531"/>
      <c r="R1014" s="531"/>
      <c r="S1014" s="531"/>
      <c r="T1014" s="531"/>
      <c r="U1014" s="531"/>
      <c r="V1014" s="531"/>
      <c r="W1014" s="531"/>
      <c r="X1014" s="531"/>
      <c r="Y1014" s="531"/>
      <c r="Z1014" s="531"/>
      <c r="AA1014" s="531"/>
      <c r="AB1014" s="531"/>
      <c r="AC1014" s="531"/>
      <c r="AD1014" s="531"/>
      <c r="AE1014" s="531"/>
      <c r="AF1014" s="531"/>
      <c r="AG1014" s="531"/>
      <c r="AH1014" s="531"/>
      <c r="AI1014" s="531"/>
      <c r="AJ1014" s="531"/>
      <c r="AK1014" s="531"/>
      <c r="AL1014" s="531"/>
      <c r="AM1014" s="531"/>
      <c r="AN1014" s="531"/>
    </row>
    <row r="1015" customFormat="false" ht="16.5" hidden="false" customHeight="true" outlineLevel="0" collapsed="false">
      <c r="A1015" s="531"/>
      <c r="B1015" s="531"/>
      <c r="C1015" s="531"/>
      <c r="D1015" s="531"/>
      <c r="E1015" s="531"/>
      <c r="F1015" s="531"/>
      <c r="G1015" s="531"/>
      <c r="H1015" s="531"/>
      <c r="I1015" s="531"/>
      <c r="J1015" s="531"/>
      <c r="K1015" s="531"/>
      <c r="L1015" s="531"/>
      <c r="M1015" s="531"/>
      <c r="N1015" s="531"/>
      <c r="O1015" s="531"/>
      <c r="P1015" s="531"/>
      <c r="Q1015" s="531"/>
      <c r="R1015" s="531"/>
      <c r="S1015" s="531"/>
      <c r="T1015" s="531"/>
      <c r="U1015" s="531"/>
      <c r="V1015" s="531"/>
      <c r="W1015" s="531"/>
      <c r="X1015" s="531"/>
      <c r="Y1015" s="531"/>
      <c r="Z1015" s="531"/>
      <c r="AA1015" s="531"/>
      <c r="AB1015" s="531"/>
      <c r="AC1015" s="531"/>
      <c r="AD1015" s="531"/>
      <c r="AE1015" s="531"/>
      <c r="AF1015" s="531"/>
      <c r="AG1015" s="531"/>
      <c r="AH1015" s="531"/>
      <c r="AI1015" s="531"/>
      <c r="AJ1015" s="531"/>
      <c r="AK1015" s="531"/>
      <c r="AL1015" s="531"/>
      <c r="AM1015" s="531"/>
      <c r="AN1015" s="531"/>
    </row>
    <row r="1016" customFormat="false" ht="16.5" hidden="false" customHeight="true" outlineLevel="0" collapsed="false">
      <c r="A1016" s="531"/>
      <c r="B1016" s="531"/>
      <c r="C1016" s="531"/>
      <c r="D1016" s="531"/>
      <c r="E1016" s="531"/>
      <c r="F1016" s="531"/>
      <c r="G1016" s="531"/>
      <c r="H1016" s="531"/>
      <c r="I1016" s="531"/>
      <c r="J1016" s="531"/>
      <c r="K1016" s="531"/>
      <c r="L1016" s="531"/>
      <c r="M1016" s="531"/>
      <c r="N1016" s="531"/>
      <c r="O1016" s="531"/>
      <c r="P1016" s="531"/>
      <c r="Q1016" s="531"/>
      <c r="R1016" s="531"/>
      <c r="S1016" s="531"/>
      <c r="T1016" s="531"/>
      <c r="U1016" s="531"/>
      <c r="V1016" s="531"/>
      <c r="W1016" s="531"/>
      <c r="X1016" s="531"/>
      <c r="Y1016" s="531"/>
      <c r="Z1016" s="531"/>
      <c r="AA1016" s="531"/>
      <c r="AB1016" s="531"/>
      <c r="AC1016" s="531"/>
      <c r="AD1016" s="531"/>
      <c r="AE1016" s="531"/>
      <c r="AF1016" s="531"/>
      <c r="AG1016" s="531"/>
      <c r="AH1016" s="531"/>
      <c r="AI1016" s="531"/>
      <c r="AJ1016" s="531"/>
      <c r="AK1016" s="531"/>
      <c r="AL1016" s="531"/>
      <c r="AM1016" s="531"/>
      <c r="AN1016" s="531"/>
    </row>
    <row r="1017" customFormat="false" ht="16.5" hidden="false" customHeight="true" outlineLevel="0" collapsed="false">
      <c r="A1017" s="531"/>
      <c r="B1017" s="531"/>
      <c r="C1017" s="531"/>
      <c r="D1017" s="531"/>
      <c r="E1017" s="531"/>
      <c r="F1017" s="531"/>
      <c r="G1017" s="531"/>
      <c r="H1017" s="531"/>
      <c r="I1017" s="531"/>
      <c r="J1017" s="531"/>
      <c r="K1017" s="531"/>
      <c r="L1017" s="531"/>
      <c r="M1017" s="531"/>
      <c r="N1017" s="531"/>
      <c r="O1017" s="531"/>
      <c r="P1017" s="531"/>
      <c r="Q1017" s="531"/>
      <c r="R1017" s="531"/>
      <c r="S1017" s="531"/>
      <c r="T1017" s="531"/>
      <c r="U1017" s="531"/>
      <c r="V1017" s="531"/>
      <c r="W1017" s="531"/>
      <c r="X1017" s="531"/>
      <c r="Y1017" s="531"/>
      <c r="Z1017" s="531"/>
      <c r="AA1017" s="531"/>
      <c r="AB1017" s="531"/>
      <c r="AC1017" s="531"/>
      <c r="AD1017" s="531"/>
      <c r="AE1017" s="531"/>
      <c r="AF1017" s="531"/>
      <c r="AG1017" s="531"/>
      <c r="AH1017" s="531"/>
      <c r="AI1017" s="531"/>
      <c r="AJ1017" s="531"/>
      <c r="AK1017" s="531"/>
      <c r="AL1017" s="531"/>
      <c r="AM1017" s="531"/>
      <c r="AN1017" s="531"/>
    </row>
    <row r="1018" customFormat="false" ht="16.5" hidden="false" customHeight="true" outlineLevel="0" collapsed="false">
      <c r="A1018" s="531"/>
      <c r="B1018" s="531"/>
      <c r="C1018" s="531"/>
      <c r="D1018" s="531"/>
      <c r="E1018" s="531"/>
      <c r="F1018" s="531"/>
      <c r="G1018" s="531"/>
      <c r="H1018" s="531"/>
      <c r="I1018" s="531"/>
      <c r="J1018" s="531"/>
      <c r="K1018" s="531"/>
      <c r="L1018" s="531"/>
      <c r="M1018" s="531"/>
      <c r="N1018" s="531"/>
      <c r="O1018" s="531"/>
      <c r="P1018" s="531"/>
      <c r="Q1018" s="531"/>
      <c r="R1018" s="531"/>
      <c r="S1018" s="531"/>
      <c r="T1018" s="531"/>
      <c r="U1018" s="531"/>
      <c r="V1018" s="531"/>
      <c r="W1018" s="531"/>
      <c r="X1018" s="531"/>
      <c r="Y1018" s="531"/>
      <c r="Z1018" s="531"/>
      <c r="AA1018" s="531"/>
      <c r="AB1018" s="531"/>
      <c r="AC1018" s="531"/>
      <c r="AD1018" s="531"/>
      <c r="AE1018" s="531"/>
      <c r="AF1018" s="531"/>
      <c r="AG1018" s="531"/>
      <c r="AH1018" s="531"/>
      <c r="AI1018" s="531"/>
      <c r="AJ1018" s="531"/>
      <c r="AK1018" s="531"/>
      <c r="AL1018" s="531"/>
      <c r="AM1018" s="531"/>
      <c r="AN1018" s="531"/>
    </row>
    <row r="1019" customFormat="false" ht="16.5" hidden="false" customHeight="true" outlineLevel="0" collapsed="false">
      <c r="A1019" s="531"/>
      <c r="B1019" s="531"/>
      <c r="C1019" s="531"/>
      <c r="D1019" s="531"/>
      <c r="E1019" s="531"/>
      <c r="F1019" s="531"/>
      <c r="G1019" s="531"/>
      <c r="H1019" s="531"/>
      <c r="I1019" s="531"/>
      <c r="J1019" s="531"/>
      <c r="K1019" s="531"/>
      <c r="L1019" s="531"/>
      <c r="M1019" s="531"/>
      <c r="N1019" s="531"/>
      <c r="O1019" s="531"/>
      <c r="P1019" s="531"/>
      <c r="Q1019" s="531"/>
      <c r="R1019" s="531"/>
      <c r="S1019" s="531"/>
      <c r="T1019" s="531"/>
      <c r="U1019" s="531"/>
      <c r="V1019" s="531"/>
      <c r="W1019" s="531"/>
      <c r="X1019" s="531"/>
      <c r="Y1019" s="531"/>
      <c r="Z1019" s="531"/>
      <c r="AA1019" s="531"/>
      <c r="AB1019" s="531"/>
      <c r="AC1019" s="531"/>
      <c r="AD1019" s="531"/>
      <c r="AE1019" s="531"/>
      <c r="AF1019" s="531"/>
      <c r="AG1019" s="531"/>
      <c r="AH1019" s="531"/>
      <c r="AI1019" s="531"/>
      <c r="AJ1019" s="531"/>
      <c r="AK1019" s="531"/>
      <c r="AL1019" s="531"/>
      <c r="AM1019" s="531"/>
      <c r="AN1019" s="531"/>
    </row>
    <row r="1020" customFormat="false" ht="16.5" hidden="false" customHeight="true" outlineLevel="0" collapsed="false">
      <c r="A1020" s="531"/>
      <c r="B1020" s="531"/>
      <c r="C1020" s="531"/>
      <c r="D1020" s="531"/>
      <c r="E1020" s="531"/>
      <c r="F1020" s="531"/>
      <c r="G1020" s="531"/>
      <c r="H1020" s="531"/>
      <c r="I1020" s="531"/>
      <c r="J1020" s="531"/>
      <c r="K1020" s="531"/>
      <c r="L1020" s="531"/>
      <c r="M1020" s="531"/>
      <c r="N1020" s="531"/>
      <c r="O1020" s="531"/>
      <c r="P1020" s="531"/>
      <c r="Q1020" s="531"/>
      <c r="R1020" s="531"/>
      <c r="S1020" s="531"/>
      <c r="T1020" s="531"/>
      <c r="U1020" s="531"/>
      <c r="V1020" s="531"/>
      <c r="W1020" s="531"/>
      <c r="X1020" s="531"/>
      <c r="Y1020" s="531"/>
      <c r="Z1020" s="531"/>
      <c r="AA1020" s="531"/>
      <c r="AB1020" s="531"/>
      <c r="AC1020" s="531"/>
      <c r="AD1020" s="531"/>
      <c r="AE1020" s="531"/>
      <c r="AF1020" s="531"/>
      <c r="AG1020" s="531"/>
      <c r="AH1020" s="531"/>
      <c r="AI1020" s="531"/>
      <c r="AJ1020" s="531"/>
      <c r="AK1020" s="531"/>
      <c r="AL1020" s="531"/>
      <c r="AM1020" s="531"/>
      <c r="AN1020" s="531"/>
    </row>
    <row r="1021" customFormat="false" ht="16.5" hidden="false" customHeight="true" outlineLevel="0" collapsed="false">
      <c r="A1021" s="531"/>
      <c r="B1021" s="531"/>
      <c r="C1021" s="531"/>
      <c r="D1021" s="531"/>
      <c r="E1021" s="531"/>
      <c r="F1021" s="531"/>
      <c r="G1021" s="531"/>
      <c r="H1021" s="531"/>
      <c r="I1021" s="531"/>
      <c r="J1021" s="531"/>
      <c r="K1021" s="531"/>
      <c r="L1021" s="531"/>
      <c r="M1021" s="531"/>
      <c r="N1021" s="531"/>
      <c r="O1021" s="531"/>
      <c r="P1021" s="531"/>
      <c r="Q1021" s="531"/>
      <c r="R1021" s="531"/>
      <c r="S1021" s="531"/>
      <c r="T1021" s="531"/>
      <c r="U1021" s="531"/>
      <c r="V1021" s="531"/>
      <c r="W1021" s="531"/>
      <c r="X1021" s="531"/>
      <c r="Y1021" s="531"/>
      <c r="Z1021" s="531"/>
      <c r="AA1021" s="531"/>
      <c r="AB1021" s="531"/>
      <c r="AC1021" s="531"/>
      <c r="AD1021" s="531"/>
      <c r="AE1021" s="531"/>
      <c r="AF1021" s="531"/>
      <c r="AG1021" s="531"/>
      <c r="AH1021" s="531"/>
      <c r="AI1021" s="531"/>
      <c r="AJ1021" s="531"/>
      <c r="AK1021" s="531"/>
      <c r="AL1021" s="531"/>
      <c r="AM1021" s="531"/>
      <c r="AN1021" s="531"/>
    </row>
    <row r="1022" customFormat="false" ht="16.5" hidden="false" customHeight="true" outlineLevel="0" collapsed="false">
      <c r="A1022" s="531"/>
      <c r="B1022" s="531"/>
      <c r="C1022" s="531"/>
      <c r="D1022" s="531"/>
      <c r="E1022" s="531"/>
      <c r="F1022" s="531"/>
      <c r="G1022" s="531"/>
      <c r="H1022" s="531"/>
      <c r="I1022" s="531"/>
      <c r="J1022" s="531"/>
      <c r="K1022" s="531"/>
      <c r="L1022" s="531"/>
      <c r="M1022" s="531"/>
      <c r="N1022" s="531"/>
      <c r="O1022" s="531"/>
      <c r="P1022" s="531"/>
      <c r="Q1022" s="531"/>
      <c r="R1022" s="531"/>
      <c r="S1022" s="531"/>
      <c r="T1022" s="531"/>
      <c r="U1022" s="531"/>
      <c r="V1022" s="531"/>
      <c r="W1022" s="531"/>
      <c r="X1022" s="531"/>
      <c r="Y1022" s="531"/>
      <c r="Z1022" s="531"/>
      <c r="AA1022" s="531"/>
      <c r="AB1022" s="531"/>
      <c r="AC1022" s="531"/>
      <c r="AD1022" s="531"/>
      <c r="AE1022" s="531"/>
      <c r="AF1022" s="531"/>
      <c r="AG1022" s="531"/>
      <c r="AH1022" s="531"/>
      <c r="AI1022" s="531"/>
      <c r="AJ1022" s="531"/>
      <c r="AK1022" s="531"/>
      <c r="AL1022" s="531"/>
      <c r="AM1022" s="531"/>
      <c r="AN1022" s="531"/>
    </row>
    <row r="1023" customFormat="false" ht="16.5" hidden="false" customHeight="true" outlineLevel="0" collapsed="false">
      <c r="A1023" s="531"/>
      <c r="B1023" s="531"/>
      <c r="C1023" s="531"/>
      <c r="D1023" s="531"/>
      <c r="E1023" s="531"/>
      <c r="F1023" s="531"/>
      <c r="G1023" s="531"/>
      <c r="H1023" s="531"/>
      <c r="I1023" s="531"/>
      <c r="J1023" s="531"/>
      <c r="K1023" s="531"/>
      <c r="L1023" s="531"/>
      <c r="M1023" s="531"/>
      <c r="N1023" s="531"/>
      <c r="O1023" s="531"/>
      <c r="P1023" s="531"/>
      <c r="Q1023" s="531"/>
      <c r="R1023" s="531"/>
      <c r="S1023" s="531"/>
      <c r="T1023" s="531"/>
      <c r="U1023" s="531"/>
      <c r="V1023" s="531"/>
      <c r="W1023" s="531"/>
      <c r="X1023" s="531"/>
      <c r="Y1023" s="531"/>
      <c r="Z1023" s="531"/>
      <c r="AA1023" s="531"/>
      <c r="AB1023" s="531"/>
      <c r="AC1023" s="531"/>
      <c r="AD1023" s="531"/>
      <c r="AE1023" s="531"/>
      <c r="AF1023" s="531"/>
      <c r="AG1023" s="531"/>
      <c r="AH1023" s="531"/>
      <c r="AI1023" s="531"/>
      <c r="AJ1023" s="531"/>
      <c r="AK1023" s="531"/>
      <c r="AL1023" s="531"/>
      <c r="AM1023" s="531"/>
      <c r="AN1023" s="531"/>
    </row>
    <row r="1024" customFormat="false" ht="16.5" hidden="false" customHeight="true" outlineLevel="0" collapsed="false">
      <c r="A1024" s="531"/>
      <c r="B1024" s="531"/>
      <c r="C1024" s="531"/>
      <c r="D1024" s="531"/>
      <c r="E1024" s="531"/>
      <c r="F1024" s="531"/>
      <c r="G1024" s="531"/>
      <c r="H1024" s="531"/>
      <c r="I1024" s="531"/>
      <c r="J1024" s="531"/>
      <c r="K1024" s="531"/>
      <c r="L1024" s="531"/>
      <c r="M1024" s="531"/>
      <c r="N1024" s="531"/>
      <c r="O1024" s="531"/>
      <c r="P1024" s="531"/>
      <c r="Q1024" s="531"/>
      <c r="R1024" s="531"/>
      <c r="S1024" s="531"/>
      <c r="T1024" s="531"/>
      <c r="U1024" s="531"/>
      <c r="V1024" s="531"/>
      <c r="W1024" s="531"/>
      <c r="X1024" s="531"/>
      <c r="Y1024" s="531"/>
      <c r="Z1024" s="531"/>
      <c r="AA1024" s="531"/>
      <c r="AB1024" s="531"/>
      <c r="AC1024" s="531"/>
      <c r="AD1024" s="531"/>
      <c r="AE1024" s="531"/>
      <c r="AF1024" s="531"/>
      <c r="AG1024" s="531"/>
      <c r="AH1024" s="531"/>
      <c r="AI1024" s="531"/>
      <c r="AJ1024" s="531"/>
      <c r="AK1024" s="531"/>
      <c r="AL1024" s="531"/>
      <c r="AM1024" s="531"/>
      <c r="AN1024" s="531"/>
    </row>
    <row r="1025" customFormat="false" ht="16.5" hidden="false" customHeight="true" outlineLevel="0" collapsed="false">
      <c r="A1025" s="531"/>
      <c r="B1025" s="531"/>
      <c r="C1025" s="531"/>
      <c r="D1025" s="531"/>
      <c r="E1025" s="531"/>
      <c r="F1025" s="531"/>
      <c r="G1025" s="531"/>
      <c r="H1025" s="531"/>
      <c r="I1025" s="531"/>
      <c r="J1025" s="531"/>
      <c r="K1025" s="531"/>
      <c r="L1025" s="531"/>
      <c r="M1025" s="531"/>
      <c r="N1025" s="531"/>
      <c r="O1025" s="531"/>
      <c r="P1025" s="531"/>
      <c r="Q1025" s="531"/>
      <c r="R1025" s="531"/>
      <c r="S1025" s="531"/>
      <c r="T1025" s="531"/>
      <c r="U1025" s="531"/>
      <c r="V1025" s="531"/>
      <c r="W1025" s="531"/>
      <c r="X1025" s="531"/>
      <c r="Y1025" s="531"/>
      <c r="Z1025" s="531"/>
      <c r="AA1025" s="531"/>
      <c r="AB1025" s="531"/>
      <c r="AC1025" s="531"/>
      <c r="AD1025" s="531"/>
      <c r="AE1025" s="531"/>
      <c r="AF1025" s="531"/>
      <c r="AG1025" s="531"/>
      <c r="AH1025" s="531"/>
      <c r="AI1025" s="531"/>
      <c r="AJ1025" s="531"/>
      <c r="AK1025" s="531"/>
      <c r="AL1025" s="531"/>
      <c r="AM1025" s="531"/>
      <c r="AN1025" s="531"/>
    </row>
    <row r="1026" customFormat="false" ht="16.5" hidden="false" customHeight="true" outlineLevel="0" collapsed="false">
      <c r="A1026" s="531"/>
      <c r="B1026" s="531"/>
      <c r="C1026" s="531"/>
      <c r="D1026" s="531"/>
      <c r="E1026" s="531"/>
      <c r="F1026" s="531"/>
      <c r="G1026" s="531"/>
      <c r="H1026" s="531"/>
      <c r="I1026" s="531"/>
      <c r="J1026" s="531"/>
      <c r="K1026" s="531"/>
      <c r="L1026" s="531"/>
      <c r="M1026" s="531"/>
      <c r="N1026" s="531"/>
      <c r="O1026" s="531"/>
      <c r="P1026" s="531"/>
      <c r="Q1026" s="531"/>
      <c r="R1026" s="531"/>
      <c r="S1026" s="531"/>
      <c r="T1026" s="531"/>
      <c r="U1026" s="531"/>
      <c r="V1026" s="531"/>
      <c r="W1026" s="531"/>
      <c r="X1026" s="531"/>
      <c r="Y1026" s="531"/>
      <c r="Z1026" s="531"/>
      <c r="AA1026" s="531"/>
      <c r="AB1026" s="531"/>
      <c r="AC1026" s="531"/>
      <c r="AD1026" s="531"/>
      <c r="AE1026" s="531"/>
      <c r="AF1026" s="531"/>
      <c r="AG1026" s="531"/>
      <c r="AH1026" s="531"/>
      <c r="AI1026" s="531"/>
      <c r="AJ1026" s="531"/>
      <c r="AK1026" s="531"/>
      <c r="AL1026" s="531"/>
      <c r="AM1026" s="531"/>
      <c r="AN1026" s="531"/>
    </row>
    <row r="1027" customFormat="false" ht="16.5" hidden="false" customHeight="true" outlineLevel="0" collapsed="false">
      <c r="A1027" s="531"/>
      <c r="B1027" s="531"/>
      <c r="C1027" s="531"/>
      <c r="D1027" s="531"/>
      <c r="E1027" s="531"/>
      <c r="F1027" s="531"/>
      <c r="G1027" s="531"/>
      <c r="H1027" s="531"/>
      <c r="I1027" s="531"/>
      <c r="J1027" s="531"/>
      <c r="K1027" s="531"/>
      <c r="L1027" s="531"/>
      <c r="M1027" s="531"/>
      <c r="N1027" s="531"/>
      <c r="O1027" s="531"/>
      <c r="P1027" s="531"/>
      <c r="Q1027" s="531"/>
      <c r="R1027" s="531"/>
      <c r="S1027" s="531"/>
      <c r="T1027" s="531"/>
      <c r="U1027" s="531"/>
      <c r="V1027" s="531"/>
      <c r="W1027" s="531"/>
      <c r="X1027" s="531"/>
      <c r="Y1027" s="531"/>
      <c r="Z1027" s="531"/>
      <c r="AA1027" s="531"/>
      <c r="AB1027" s="531"/>
      <c r="AC1027" s="531"/>
      <c r="AD1027" s="531"/>
      <c r="AE1027" s="531"/>
      <c r="AF1027" s="531"/>
      <c r="AG1027" s="531"/>
      <c r="AH1027" s="531"/>
      <c r="AI1027" s="531"/>
      <c r="AJ1027" s="531"/>
      <c r="AK1027" s="531"/>
      <c r="AL1027" s="531"/>
      <c r="AM1027" s="531"/>
      <c r="AN1027" s="531"/>
    </row>
    <row r="1028" customFormat="false" ht="16.5" hidden="false" customHeight="true" outlineLevel="0" collapsed="false">
      <c r="A1028" s="531"/>
      <c r="B1028" s="531"/>
      <c r="C1028" s="531"/>
      <c r="D1028" s="531"/>
      <c r="E1028" s="531"/>
      <c r="F1028" s="531"/>
      <c r="G1028" s="531"/>
      <c r="H1028" s="531"/>
      <c r="I1028" s="531"/>
      <c r="J1028" s="531"/>
      <c r="K1028" s="531"/>
      <c r="L1028" s="531"/>
      <c r="M1028" s="531"/>
      <c r="N1028" s="531"/>
      <c r="O1028" s="531"/>
      <c r="P1028" s="531"/>
      <c r="Q1028" s="531"/>
      <c r="R1028" s="531"/>
      <c r="S1028" s="531"/>
      <c r="T1028" s="531"/>
      <c r="U1028" s="531"/>
      <c r="V1028" s="531"/>
      <c r="W1028" s="531"/>
      <c r="X1028" s="531"/>
      <c r="Y1028" s="531"/>
      <c r="Z1028" s="531"/>
      <c r="AA1028" s="531"/>
      <c r="AB1028" s="531"/>
      <c r="AC1028" s="531"/>
      <c r="AD1028" s="531"/>
      <c r="AE1028" s="531"/>
      <c r="AF1028" s="531"/>
      <c r="AG1028" s="531"/>
      <c r="AH1028" s="531"/>
      <c r="AI1028" s="531"/>
      <c r="AJ1028" s="531"/>
      <c r="AK1028" s="531"/>
      <c r="AL1028" s="531"/>
      <c r="AM1028" s="531"/>
      <c r="AN1028" s="531"/>
    </row>
    <row r="1029" customFormat="false" ht="16.5" hidden="false" customHeight="true" outlineLevel="0" collapsed="false">
      <c r="A1029" s="531"/>
      <c r="B1029" s="531"/>
      <c r="C1029" s="531"/>
      <c r="D1029" s="531"/>
      <c r="E1029" s="531"/>
      <c r="F1029" s="531"/>
      <c r="G1029" s="531"/>
      <c r="H1029" s="531"/>
      <c r="I1029" s="531"/>
      <c r="J1029" s="531"/>
      <c r="K1029" s="531"/>
      <c r="L1029" s="531"/>
      <c r="M1029" s="531"/>
      <c r="N1029" s="531"/>
      <c r="O1029" s="531"/>
      <c r="P1029" s="531"/>
      <c r="Q1029" s="531"/>
      <c r="R1029" s="531"/>
      <c r="S1029" s="531"/>
      <c r="T1029" s="531"/>
      <c r="U1029" s="531"/>
      <c r="V1029" s="531"/>
      <c r="W1029" s="531"/>
      <c r="X1029" s="531"/>
      <c r="Y1029" s="531"/>
      <c r="Z1029" s="531"/>
      <c r="AA1029" s="531"/>
      <c r="AB1029" s="531"/>
      <c r="AC1029" s="531"/>
      <c r="AD1029" s="531"/>
      <c r="AE1029" s="531"/>
      <c r="AF1029" s="531"/>
      <c r="AG1029" s="531"/>
      <c r="AH1029" s="531"/>
      <c r="AI1029" s="531"/>
      <c r="AJ1029" s="531"/>
      <c r="AK1029" s="531"/>
      <c r="AL1029" s="531"/>
      <c r="AM1029" s="531"/>
      <c r="AN1029" s="531"/>
    </row>
    <row r="1030" customFormat="false" ht="16.5" hidden="false" customHeight="true" outlineLevel="0" collapsed="false">
      <c r="A1030" s="531"/>
      <c r="B1030" s="531"/>
      <c r="C1030" s="531"/>
      <c r="D1030" s="531"/>
      <c r="E1030" s="531"/>
      <c r="F1030" s="531"/>
      <c r="G1030" s="531"/>
      <c r="H1030" s="531"/>
      <c r="I1030" s="531"/>
      <c r="J1030" s="531"/>
      <c r="K1030" s="531"/>
      <c r="L1030" s="531"/>
      <c r="M1030" s="531"/>
      <c r="N1030" s="531"/>
      <c r="O1030" s="531"/>
      <c r="P1030" s="531"/>
      <c r="Q1030" s="531"/>
      <c r="R1030" s="531"/>
      <c r="S1030" s="531"/>
      <c r="T1030" s="531"/>
      <c r="U1030" s="531"/>
      <c r="V1030" s="531"/>
      <c r="W1030" s="531"/>
      <c r="X1030" s="531"/>
      <c r="Y1030" s="531"/>
      <c r="Z1030" s="531"/>
      <c r="AA1030" s="531"/>
      <c r="AB1030" s="531"/>
      <c r="AC1030" s="531"/>
      <c r="AD1030" s="531"/>
      <c r="AE1030" s="531"/>
      <c r="AF1030" s="531"/>
      <c r="AG1030" s="531"/>
      <c r="AH1030" s="531"/>
      <c r="AI1030" s="531"/>
      <c r="AJ1030" s="531"/>
      <c r="AK1030" s="531"/>
      <c r="AL1030" s="531"/>
      <c r="AM1030" s="531"/>
      <c r="AN1030" s="531"/>
    </row>
    <row r="1031" customFormat="false" ht="16.5" hidden="false" customHeight="true" outlineLevel="0" collapsed="false">
      <c r="A1031" s="531"/>
      <c r="B1031" s="531"/>
      <c r="C1031" s="531"/>
      <c r="D1031" s="531"/>
      <c r="E1031" s="531"/>
      <c r="F1031" s="531"/>
      <c r="G1031" s="531"/>
      <c r="H1031" s="531"/>
      <c r="I1031" s="531"/>
      <c r="J1031" s="531"/>
      <c r="K1031" s="531"/>
      <c r="L1031" s="531"/>
      <c r="M1031" s="531"/>
      <c r="N1031" s="531"/>
      <c r="O1031" s="531"/>
      <c r="P1031" s="531"/>
      <c r="Q1031" s="531"/>
      <c r="R1031" s="531"/>
      <c r="S1031" s="531"/>
      <c r="T1031" s="531"/>
      <c r="U1031" s="531"/>
      <c r="V1031" s="531"/>
      <c r="W1031" s="531"/>
      <c r="X1031" s="531"/>
      <c r="Y1031" s="531"/>
      <c r="Z1031" s="531"/>
      <c r="AA1031" s="531"/>
      <c r="AB1031" s="531"/>
      <c r="AC1031" s="531"/>
      <c r="AD1031" s="531"/>
      <c r="AE1031" s="531"/>
      <c r="AF1031" s="531"/>
      <c r="AG1031" s="531"/>
      <c r="AH1031" s="531"/>
      <c r="AI1031" s="531"/>
      <c r="AJ1031" s="531"/>
      <c r="AK1031" s="531"/>
      <c r="AL1031" s="531"/>
      <c r="AM1031" s="531"/>
      <c r="AN1031" s="531"/>
    </row>
    <row r="1032" customFormat="false" ht="16.5" hidden="false" customHeight="true" outlineLevel="0" collapsed="false">
      <c r="A1032" s="531"/>
      <c r="B1032" s="531"/>
      <c r="C1032" s="531"/>
      <c r="D1032" s="531"/>
      <c r="E1032" s="531"/>
      <c r="F1032" s="531"/>
      <c r="G1032" s="531"/>
      <c r="H1032" s="531"/>
      <c r="I1032" s="531"/>
      <c r="J1032" s="531"/>
      <c r="K1032" s="531"/>
      <c r="L1032" s="531"/>
      <c r="M1032" s="531"/>
      <c r="N1032" s="531"/>
      <c r="O1032" s="531"/>
      <c r="P1032" s="531"/>
      <c r="Q1032" s="531"/>
      <c r="R1032" s="531"/>
      <c r="S1032" s="531"/>
      <c r="T1032" s="531"/>
      <c r="U1032" s="531"/>
      <c r="V1032" s="531"/>
      <c r="W1032" s="531"/>
      <c r="X1032" s="531"/>
      <c r="Y1032" s="531"/>
      <c r="Z1032" s="531"/>
      <c r="AA1032" s="531"/>
      <c r="AB1032" s="531"/>
      <c r="AC1032" s="531"/>
      <c r="AD1032" s="531"/>
      <c r="AE1032" s="531"/>
      <c r="AF1032" s="531"/>
      <c r="AG1032" s="531"/>
      <c r="AH1032" s="531"/>
      <c r="AI1032" s="531"/>
      <c r="AJ1032" s="531"/>
      <c r="AK1032" s="531"/>
      <c r="AL1032" s="531"/>
      <c r="AM1032" s="531"/>
      <c r="AN1032" s="531"/>
    </row>
    <row r="1033" customFormat="false" ht="16.5" hidden="false" customHeight="true" outlineLevel="0" collapsed="false">
      <c r="A1033" s="531"/>
      <c r="B1033" s="531"/>
      <c r="C1033" s="531"/>
      <c r="D1033" s="531"/>
      <c r="E1033" s="531"/>
      <c r="F1033" s="531"/>
      <c r="G1033" s="531"/>
      <c r="H1033" s="531"/>
      <c r="I1033" s="531"/>
      <c r="J1033" s="531"/>
      <c r="K1033" s="531"/>
      <c r="L1033" s="531"/>
      <c r="M1033" s="531"/>
      <c r="N1033" s="531"/>
      <c r="O1033" s="531"/>
      <c r="P1033" s="531"/>
      <c r="Q1033" s="531"/>
      <c r="R1033" s="531"/>
      <c r="S1033" s="531"/>
      <c r="T1033" s="531"/>
      <c r="U1033" s="531"/>
      <c r="V1033" s="531"/>
      <c r="W1033" s="531"/>
      <c r="X1033" s="531"/>
      <c r="Y1033" s="531"/>
      <c r="Z1033" s="531"/>
      <c r="AA1033" s="531"/>
      <c r="AB1033" s="531"/>
      <c r="AC1033" s="531"/>
      <c r="AD1033" s="531"/>
      <c r="AE1033" s="531"/>
      <c r="AF1033" s="531"/>
      <c r="AG1033" s="531"/>
      <c r="AH1033" s="531"/>
      <c r="AI1033" s="531"/>
      <c r="AJ1033" s="531"/>
      <c r="AK1033" s="531"/>
      <c r="AL1033" s="531"/>
      <c r="AM1033" s="531"/>
      <c r="AN1033" s="531"/>
    </row>
    <row r="1034" customFormat="false" ht="16.5" hidden="false" customHeight="true" outlineLevel="0" collapsed="false">
      <c r="A1034" s="531"/>
      <c r="B1034" s="531"/>
      <c r="C1034" s="531"/>
      <c r="D1034" s="531"/>
      <c r="E1034" s="531"/>
      <c r="F1034" s="531"/>
      <c r="G1034" s="531"/>
      <c r="H1034" s="531"/>
      <c r="I1034" s="531"/>
      <c r="J1034" s="531"/>
      <c r="K1034" s="531"/>
      <c r="L1034" s="531"/>
      <c r="M1034" s="531"/>
      <c r="N1034" s="531"/>
      <c r="O1034" s="531"/>
      <c r="P1034" s="531"/>
      <c r="Q1034" s="531"/>
      <c r="R1034" s="531"/>
      <c r="S1034" s="531"/>
      <c r="T1034" s="531"/>
      <c r="U1034" s="531"/>
      <c r="V1034" s="531"/>
      <c r="W1034" s="531"/>
      <c r="X1034" s="531"/>
      <c r="Y1034" s="531"/>
      <c r="Z1034" s="531"/>
      <c r="AA1034" s="531"/>
      <c r="AB1034" s="531"/>
      <c r="AC1034" s="531"/>
      <c r="AD1034" s="531"/>
      <c r="AE1034" s="531"/>
      <c r="AF1034" s="531"/>
      <c r="AG1034" s="531"/>
      <c r="AH1034" s="531"/>
      <c r="AI1034" s="531"/>
      <c r="AJ1034" s="531"/>
      <c r="AK1034" s="531"/>
      <c r="AL1034" s="531"/>
      <c r="AM1034" s="531"/>
      <c r="AN1034" s="531"/>
    </row>
    <row r="1035" customFormat="false" ht="16.5" hidden="false" customHeight="true" outlineLevel="0" collapsed="false">
      <c r="A1035" s="531"/>
      <c r="B1035" s="531"/>
      <c r="C1035" s="531"/>
      <c r="D1035" s="531"/>
      <c r="E1035" s="531"/>
      <c r="F1035" s="531"/>
      <c r="G1035" s="531"/>
      <c r="H1035" s="531"/>
      <c r="I1035" s="531"/>
      <c r="J1035" s="531"/>
      <c r="K1035" s="531"/>
      <c r="L1035" s="531"/>
      <c r="M1035" s="531"/>
      <c r="N1035" s="531"/>
      <c r="O1035" s="531"/>
      <c r="P1035" s="531"/>
      <c r="Q1035" s="531"/>
      <c r="R1035" s="531"/>
      <c r="S1035" s="531"/>
      <c r="T1035" s="531"/>
      <c r="U1035" s="531"/>
      <c r="V1035" s="531"/>
      <c r="W1035" s="531"/>
      <c r="X1035" s="531"/>
      <c r="Y1035" s="531"/>
      <c r="Z1035" s="531"/>
      <c r="AA1035" s="531"/>
      <c r="AB1035" s="531"/>
      <c r="AC1035" s="531"/>
      <c r="AD1035" s="531"/>
      <c r="AE1035" s="531"/>
      <c r="AF1035" s="531"/>
      <c r="AG1035" s="531"/>
      <c r="AH1035" s="531"/>
      <c r="AI1035" s="531"/>
      <c r="AJ1035" s="531"/>
      <c r="AK1035" s="531"/>
      <c r="AL1035" s="531"/>
      <c r="AM1035" s="531"/>
      <c r="AN1035" s="531"/>
    </row>
    <row r="1036" customFormat="false" ht="16.5" hidden="false" customHeight="true" outlineLevel="0" collapsed="false">
      <c r="A1036" s="531"/>
      <c r="B1036" s="531"/>
      <c r="C1036" s="531"/>
      <c r="D1036" s="531"/>
      <c r="E1036" s="531"/>
      <c r="F1036" s="531"/>
      <c r="G1036" s="531"/>
      <c r="H1036" s="531"/>
      <c r="I1036" s="531"/>
      <c r="J1036" s="531"/>
      <c r="K1036" s="531"/>
      <c r="L1036" s="531"/>
      <c r="M1036" s="531"/>
      <c r="N1036" s="531"/>
      <c r="O1036" s="531"/>
      <c r="P1036" s="531"/>
      <c r="Q1036" s="531"/>
      <c r="R1036" s="531"/>
      <c r="S1036" s="531"/>
      <c r="T1036" s="531"/>
      <c r="U1036" s="531"/>
      <c r="V1036" s="531"/>
      <c r="W1036" s="531"/>
      <c r="X1036" s="531"/>
      <c r="Y1036" s="531"/>
      <c r="Z1036" s="531"/>
      <c r="AA1036" s="531"/>
      <c r="AB1036" s="531"/>
      <c r="AC1036" s="531"/>
      <c r="AD1036" s="531"/>
      <c r="AE1036" s="531"/>
      <c r="AF1036" s="531"/>
      <c r="AG1036" s="531"/>
      <c r="AH1036" s="531"/>
      <c r="AI1036" s="531"/>
      <c r="AJ1036" s="531"/>
      <c r="AK1036" s="531"/>
      <c r="AL1036" s="531"/>
      <c r="AM1036" s="531"/>
      <c r="AN1036" s="531"/>
    </row>
    <row r="1037" customFormat="false" ht="16.5" hidden="false" customHeight="true" outlineLevel="0" collapsed="false">
      <c r="A1037" s="531"/>
      <c r="B1037" s="531"/>
      <c r="C1037" s="531"/>
      <c r="D1037" s="531"/>
      <c r="E1037" s="531"/>
      <c r="F1037" s="531"/>
      <c r="G1037" s="531"/>
      <c r="H1037" s="531"/>
      <c r="I1037" s="531"/>
      <c r="J1037" s="531"/>
      <c r="K1037" s="531"/>
      <c r="L1037" s="531"/>
      <c r="M1037" s="531"/>
      <c r="N1037" s="531"/>
      <c r="O1037" s="531"/>
      <c r="P1037" s="531"/>
      <c r="Q1037" s="531"/>
      <c r="R1037" s="531"/>
      <c r="S1037" s="531"/>
      <c r="T1037" s="531"/>
      <c r="U1037" s="531"/>
      <c r="V1037" s="531"/>
      <c r="W1037" s="531"/>
      <c r="X1037" s="531"/>
      <c r="Y1037" s="531"/>
      <c r="Z1037" s="531"/>
      <c r="AA1037" s="531"/>
      <c r="AB1037" s="531"/>
      <c r="AC1037" s="531"/>
      <c r="AD1037" s="531"/>
      <c r="AE1037" s="531"/>
      <c r="AF1037" s="531"/>
      <c r="AG1037" s="531"/>
      <c r="AH1037" s="531"/>
      <c r="AI1037" s="531"/>
      <c r="AJ1037" s="531"/>
      <c r="AK1037" s="531"/>
      <c r="AL1037" s="531"/>
      <c r="AM1037" s="531"/>
      <c r="AN1037" s="531"/>
    </row>
    <row r="1038" customFormat="false" ht="16.5" hidden="false" customHeight="true" outlineLevel="0" collapsed="false">
      <c r="A1038" s="531"/>
      <c r="B1038" s="531"/>
      <c r="C1038" s="531"/>
      <c r="D1038" s="531"/>
      <c r="E1038" s="531"/>
      <c r="F1038" s="531"/>
      <c r="G1038" s="531"/>
      <c r="H1038" s="531"/>
      <c r="I1038" s="531"/>
      <c r="J1038" s="531"/>
      <c r="K1038" s="531"/>
      <c r="L1038" s="531"/>
      <c r="M1038" s="531"/>
      <c r="N1038" s="531"/>
      <c r="O1038" s="531"/>
      <c r="P1038" s="531"/>
      <c r="Q1038" s="531"/>
      <c r="R1038" s="531"/>
      <c r="S1038" s="531"/>
      <c r="T1038" s="531"/>
      <c r="U1038" s="531"/>
      <c r="V1038" s="531"/>
      <c r="W1038" s="531"/>
      <c r="X1038" s="531"/>
      <c r="Y1038" s="531"/>
      <c r="Z1038" s="531"/>
      <c r="AA1038" s="531"/>
      <c r="AB1038" s="531"/>
      <c r="AC1038" s="531"/>
      <c r="AD1038" s="531"/>
      <c r="AE1038" s="531"/>
      <c r="AF1038" s="531"/>
      <c r="AG1038" s="531"/>
      <c r="AH1038" s="531"/>
      <c r="AI1038" s="531"/>
      <c r="AJ1038" s="531"/>
      <c r="AK1038" s="531"/>
      <c r="AL1038" s="531"/>
      <c r="AM1038" s="531"/>
      <c r="AN1038" s="531"/>
    </row>
    <row r="1039" customFormat="false" ht="16.5" hidden="false" customHeight="true" outlineLevel="0" collapsed="false">
      <c r="A1039" s="531"/>
      <c r="B1039" s="531"/>
      <c r="C1039" s="531"/>
      <c r="D1039" s="531"/>
      <c r="E1039" s="531"/>
      <c r="F1039" s="531"/>
      <c r="G1039" s="531"/>
      <c r="H1039" s="531"/>
      <c r="I1039" s="531"/>
      <c r="J1039" s="531"/>
      <c r="K1039" s="531"/>
      <c r="L1039" s="531"/>
      <c r="M1039" s="531"/>
      <c r="N1039" s="531"/>
      <c r="O1039" s="531"/>
      <c r="P1039" s="531"/>
      <c r="Q1039" s="531"/>
      <c r="R1039" s="531"/>
      <c r="S1039" s="531"/>
      <c r="T1039" s="531"/>
      <c r="U1039" s="531"/>
      <c r="V1039" s="531"/>
      <c r="W1039" s="531"/>
      <c r="X1039" s="531"/>
      <c r="Y1039" s="531"/>
      <c r="Z1039" s="531"/>
      <c r="AA1039" s="531"/>
      <c r="AB1039" s="531"/>
      <c r="AC1039" s="531"/>
      <c r="AD1039" s="531"/>
      <c r="AE1039" s="531"/>
      <c r="AF1039" s="531"/>
      <c r="AG1039" s="531"/>
      <c r="AH1039" s="531"/>
      <c r="AI1039" s="531"/>
      <c r="AJ1039" s="531"/>
      <c r="AK1039" s="531"/>
      <c r="AL1039" s="531"/>
      <c r="AM1039" s="531"/>
      <c r="AN1039" s="531"/>
    </row>
    <row r="1040" customFormat="false" ht="16.5" hidden="false" customHeight="true" outlineLevel="0" collapsed="false">
      <c r="A1040" s="531"/>
      <c r="B1040" s="531"/>
      <c r="C1040" s="531"/>
      <c r="D1040" s="531"/>
      <c r="E1040" s="531"/>
      <c r="F1040" s="531"/>
      <c r="G1040" s="531"/>
      <c r="H1040" s="531"/>
      <c r="I1040" s="531"/>
      <c r="J1040" s="531"/>
      <c r="K1040" s="531"/>
      <c r="L1040" s="531"/>
      <c r="M1040" s="531"/>
      <c r="N1040" s="531"/>
      <c r="O1040" s="531"/>
      <c r="P1040" s="531"/>
      <c r="Q1040" s="531"/>
      <c r="R1040" s="531"/>
      <c r="S1040" s="531"/>
      <c r="T1040" s="531"/>
      <c r="U1040" s="531"/>
      <c r="V1040" s="531"/>
      <c r="W1040" s="531"/>
      <c r="X1040" s="531"/>
      <c r="Y1040" s="531"/>
      <c r="Z1040" s="531"/>
      <c r="AA1040" s="531"/>
      <c r="AB1040" s="531"/>
      <c r="AC1040" s="531"/>
      <c r="AD1040" s="531"/>
      <c r="AE1040" s="531"/>
      <c r="AF1040" s="531"/>
      <c r="AG1040" s="531"/>
      <c r="AH1040" s="531"/>
      <c r="AI1040" s="531"/>
      <c r="AJ1040" s="531"/>
      <c r="AK1040" s="531"/>
      <c r="AL1040" s="531"/>
      <c r="AM1040" s="531"/>
      <c r="AN1040" s="531"/>
    </row>
    <row r="1041" customFormat="false" ht="16.5" hidden="false" customHeight="true" outlineLevel="0" collapsed="false">
      <c r="A1041" s="531"/>
      <c r="B1041" s="531"/>
      <c r="C1041" s="531"/>
      <c r="D1041" s="531"/>
      <c r="E1041" s="531"/>
      <c r="F1041" s="531"/>
      <c r="G1041" s="531"/>
      <c r="H1041" s="531"/>
      <c r="I1041" s="531"/>
      <c r="J1041" s="531"/>
      <c r="K1041" s="531"/>
      <c r="L1041" s="531"/>
      <c r="M1041" s="531"/>
      <c r="N1041" s="531"/>
      <c r="O1041" s="531"/>
      <c r="P1041" s="531"/>
      <c r="Q1041" s="531"/>
      <c r="R1041" s="531"/>
      <c r="S1041" s="531"/>
      <c r="T1041" s="531"/>
      <c r="U1041" s="531"/>
      <c r="V1041" s="531"/>
      <c r="W1041" s="531"/>
      <c r="X1041" s="531"/>
      <c r="Y1041" s="531"/>
      <c r="Z1041" s="531"/>
      <c r="AA1041" s="531"/>
      <c r="AB1041" s="531"/>
      <c r="AC1041" s="531"/>
      <c r="AD1041" s="531"/>
      <c r="AE1041" s="531"/>
      <c r="AF1041" s="531"/>
      <c r="AG1041" s="531"/>
      <c r="AH1041" s="531"/>
      <c r="AI1041" s="531"/>
      <c r="AJ1041" s="531"/>
      <c r="AK1041" s="531"/>
      <c r="AL1041" s="531"/>
      <c r="AM1041" s="531"/>
      <c r="AN1041" s="531"/>
    </row>
    <row r="1042" customFormat="false" ht="16.5" hidden="false" customHeight="true" outlineLevel="0" collapsed="false">
      <c r="A1042" s="531"/>
      <c r="B1042" s="531"/>
      <c r="C1042" s="531"/>
      <c r="D1042" s="531"/>
      <c r="E1042" s="531"/>
      <c r="F1042" s="531"/>
      <c r="G1042" s="531"/>
      <c r="H1042" s="531"/>
      <c r="I1042" s="531"/>
      <c r="J1042" s="531"/>
      <c r="K1042" s="531"/>
      <c r="L1042" s="531"/>
      <c r="M1042" s="531"/>
      <c r="N1042" s="531"/>
      <c r="O1042" s="531"/>
      <c r="P1042" s="531"/>
      <c r="Q1042" s="531"/>
      <c r="R1042" s="531"/>
      <c r="S1042" s="531"/>
      <c r="T1042" s="531"/>
      <c r="U1042" s="531"/>
      <c r="V1042" s="531"/>
      <c r="W1042" s="531"/>
      <c r="X1042" s="531"/>
      <c r="Y1042" s="531"/>
      <c r="Z1042" s="531"/>
      <c r="AA1042" s="531"/>
      <c r="AB1042" s="531"/>
      <c r="AC1042" s="531"/>
      <c r="AD1042" s="531"/>
      <c r="AE1042" s="531"/>
      <c r="AF1042" s="531"/>
      <c r="AG1042" s="531"/>
      <c r="AH1042" s="531"/>
      <c r="AI1042" s="531"/>
      <c r="AJ1042" s="531"/>
      <c r="AK1042" s="531"/>
      <c r="AL1042" s="531"/>
      <c r="AM1042" s="531"/>
      <c r="AN1042" s="531"/>
    </row>
    <row r="1043" customFormat="false" ht="16.5" hidden="false" customHeight="true" outlineLevel="0" collapsed="false">
      <c r="A1043" s="531"/>
      <c r="B1043" s="531"/>
      <c r="C1043" s="531"/>
      <c r="D1043" s="531"/>
      <c r="E1043" s="531"/>
      <c r="F1043" s="531"/>
      <c r="G1043" s="531"/>
      <c r="H1043" s="531"/>
      <c r="I1043" s="531"/>
      <c r="J1043" s="531"/>
      <c r="K1043" s="531"/>
      <c r="L1043" s="531"/>
      <c r="M1043" s="531"/>
      <c r="N1043" s="531"/>
      <c r="O1043" s="531"/>
      <c r="P1043" s="531"/>
      <c r="Q1043" s="531"/>
      <c r="R1043" s="531"/>
      <c r="S1043" s="531"/>
      <c r="T1043" s="531"/>
      <c r="U1043" s="531"/>
      <c r="V1043" s="531"/>
      <c r="W1043" s="531"/>
      <c r="X1043" s="531"/>
      <c r="Y1043" s="531"/>
      <c r="Z1043" s="531"/>
      <c r="AA1043" s="531"/>
      <c r="AB1043" s="531"/>
      <c r="AC1043" s="531"/>
      <c r="AD1043" s="531"/>
      <c r="AE1043" s="531"/>
      <c r="AF1043" s="531"/>
      <c r="AG1043" s="531"/>
      <c r="AH1043" s="531"/>
      <c r="AI1043" s="531"/>
      <c r="AJ1043" s="531"/>
      <c r="AK1043" s="531"/>
      <c r="AL1043" s="531"/>
      <c r="AM1043" s="531"/>
      <c r="AN1043" s="531"/>
    </row>
    <row r="1044" customFormat="false" ht="16.5" hidden="false" customHeight="true" outlineLevel="0" collapsed="false">
      <c r="A1044" s="531"/>
      <c r="B1044" s="531"/>
      <c r="C1044" s="531"/>
      <c r="D1044" s="531"/>
      <c r="E1044" s="531"/>
      <c r="F1044" s="531"/>
      <c r="G1044" s="531"/>
      <c r="H1044" s="531"/>
      <c r="I1044" s="531"/>
      <c r="J1044" s="531"/>
      <c r="K1044" s="531"/>
      <c r="L1044" s="531"/>
      <c r="M1044" s="531"/>
      <c r="N1044" s="531"/>
      <c r="O1044" s="531"/>
      <c r="P1044" s="531"/>
      <c r="Q1044" s="531"/>
      <c r="R1044" s="531"/>
      <c r="S1044" s="531"/>
      <c r="T1044" s="531"/>
      <c r="U1044" s="531"/>
      <c r="V1044" s="531"/>
      <c r="W1044" s="531"/>
      <c r="X1044" s="531"/>
      <c r="Y1044" s="531"/>
      <c r="Z1044" s="531"/>
      <c r="AA1044" s="531"/>
      <c r="AB1044" s="531"/>
      <c r="AC1044" s="531"/>
      <c r="AD1044" s="531"/>
      <c r="AE1044" s="531"/>
      <c r="AF1044" s="531"/>
      <c r="AG1044" s="531"/>
      <c r="AH1044" s="531"/>
      <c r="AI1044" s="531"/>
      <c r="AJ1044" s="531"/>
      <c r="AK1044" s="531"/>
      <c r="AL1044" s="531"/>
      <c r="AM1044" s="531"/>
      <c r="AN1044" s="531"/>
    </row>
    <row r="1045" customFormat="false" ht="16.5" hidden="false" customHeight="true" outlineLevel="0" collapsed="false">
      <c r="A1045" s="531"/>
      <c r="B1045" s="531"/>
      <c r="C1045" s="531"/>
      <c r="D1045" s="531"/>
      <c r="E1045" s="531"/>
      <c r="F1045" s="531"/>
      <c r="G1045" s="531"/>
      <c r="H1045" s="531"/>
      <c r="I1045" s="531"/>
      <c r="J1045" s="531"/>
      <c r="K1045" s="531"/>
      <c r="L1045" s="531"/>
      <c r="M1045" s="531"/>
      <c r="N1045" s="531"/>
      <c r="O1045" s="531"/>
      <c r="P1045" s="531"/>
      <c r="Q1045" s="531"/>
      <c r="R1045" s="531"/>
      <c r="S1045" s="531"/>
      <c r="T1045" s="531"/>
      <c r="U1045" s="531"/>
      <c r="V1045" s="531"/>
      <c r="W1045" s="531"/>
      <c r="X1045" s="531"/>
      <c r="Y1045" s="531"/>
      <c r="Z1045" s="531"/>
      <c r="AA1045" s="531"/>
      <c r="AB1045" s="531"/>
      <c r="AC1045" s="531"/>
      <c r="AD1045" s="531"/>
      <c r="AE1045" s="531"/>
      <c r="AF1045" s="531"/>
      <c r="AG1045" s="531"/>
      <c r="AH1045" s="531"/>
      <c r="AI1045" s="531"/>
      <c r="AJ1045" s="531"/>
      <c r="AK1045" s="531"/>
      <c r="AL1045" s="531"/>
      <c r="AM1045" s="531"/>
      <c r="AN1045" s="531"/>
    </row>
    <row r="1046" customFormat="false" ht="16.5" hidden="false" customHeight="true" outlineLevel="0" collapsed="false">
      <c r="A1046" s="531"/>
      <c r="B1046" s="531"/>
      <c r="C1046" s="531"/>
      <c r="D1046" s="531"/>
      <c r="E1046" s="531"/>
      <c r="F1046" s="531"/>
      <c r="G1046" s="531"/>
      <c r="H1046" s="531"/>
      <c r="I1046" s="531"/>
      <c r="J1046" s="531"/>
      <c r="K1046" s="531"/>
      <c r="L1046" s="531"/>
      <c r="M1046" s="531"/>
      <c r="N1046" s="531"/>
      <c r="O1046" s="531"/>
      <c r="P1046" s="531"/>
      <c r="Q1046" s="531"/>
      <c r="R1046" s="531"/>
      <c r="S1046" s="531"/>
      <c r="T1046" s="531"/>
      <c r="U1046" s="531"/>
      <c r="V1046" s="531"/>
      <c r="W1046" s="531"/>
      <c r="X1046" s="531"/>
      <c r="Y1046" s="531"/>
      <c r="Z1046" s="531"/>
      <c r="AA1046" s="531"/>
      <c r="AB1046" s="531"/>
      <c r="AC1046" s="531"/>
      <c r="AD1046" s="531"/>
      <c r="AE1046" s="531"/>
      <c r="AF1046" s="531"/>
      <c r="AG1046" s="531"/>
      <c r="AH1046" s="531"/>
      <c r="AI1046" s="531"/>
      <c r="AJ1046" s="531"/>
      <c r="AK1046" s="531"/>
      <c r="AL1046" s="531"/>
      <c r="AM1046" s="531"/>
      <c r="AN1046" s="531"/>
    </row>
    <row r="1047" customFormat="false" ht="16.5" hidden="false" customHeight="true" outlineLevel="0" collapsed="false">
      <c r="A1047" s="531"/>
      <c r="B1047" s="531"/>
      <c r="C1047" s="531"/>
      <c r="D1047" s="531"/>
      <c r="E1047" s="531"/>
      <c r="F1047" s="531"/>
      <c r="G1047" s="531"/>
      <c r="H1047" s="531"/>
      <c r="I1047" s="531"/>
      <c r="J1047" s="531"/>
      <c r="K1047" s="531"/>
      <c r="L1047" s="531"/>
      <c r="M1047" s="531"/>
      <c r="N1047" s="531"/>
      <c r="O1047" s="531"/>
      <c r="P1047" s="531"/>
      <c r="Q1047" s="531"/>
      <c r="R1047" s="531"/>
      <c r="S1047" s="531"/>
      <c r="T1047" s="531"/>
      <c r="U1047" s="531"/>
      <c r="V1047" s="531"/>
      <c r="W1047" s="531"/>
      <c r="X1047" s="531"/>
      <c r="Y1047" s="531"/>
      <c r="Z1047" s="531"/>
      <c r="AA1047" s="531"/>
      <c r="AB1047" s="531"/>
      <c r="AC1047" s="531"/>
      <c r="AD1047" s="531"/>
      <c r="AE1047" s="531"/>
      <c r="AF1047" s="531"/>
      <c r="AG1047" s="531"/>
      <c r="AH1047" s="531"/>
      <c r="AI1047" s="531"/>
      <c r="AJ1047" s="531"/>
      <c r="AK1047" s="531"/>
      <c r="AL1047" s="531"/>
      <c r="AM1047" s="531"/>
      <c r="AN1047" s="531"/>
    </row>
    <row r="1048" customFormat="false" ht="16.5" hidden="false" customHeight="true" outlineLevel="0" collapsed="false">
      <c r="A1048" s="531"/>
      <c r="B1048" s="531"/>
      <c r="C1048" s="531"/>
      <c r="D1048" s="531"/>
      <c r="E1048" s="531"/>
      <c r="F1048" s="531"/>
      <c r="G1048" s="531"/>
      <c r="H1048" s="531"/>
      <c r="I1048" s="531"/>
      <c r="J1048" s="531"/>
      <c r="K1048" s="531"/>
      <c r="L1048" s="531"/>
      <c r="M1048" s="531"/>
      <c r="N1048" s="531"/>
      <c r="O1048" s="531"/>
      <c r="P1048" s="531"/>
      <c r="Q1048" s="531"/>
      <c r="R1048" s="531"/>
      <c r="S1048" s="531"/>
      <c r="T1048" s="531"/>
      <c r="U1048" s="531"/>
      <c r="V1048" s="531"/>
      <c r="W1048" s="531"/>
      <c r="X1048" s="531"/>
      <c r="Y1048" s="531"/>
      <c r="Z1048" s="531"/>
      <c r="AA1048" s="531"/>
      <c r="AB1048" s="531"/>
      <c r="AC1048" s="531"/>
      <c r="AD1048" s="531"/>
      <c r="AE1048" s="531"/>
      <c r="AF1048" s="531"/>
      <c r="AG1048" s="531"/>
      <c r="AH1048" s="531"/>
      <c r="AI1048" s="531"/>
      <c r="AJ1048" s="531"/>
      <c r="AK1048" s="531"/>
      <c r="AL1048" s="531"/>
      <c r="AM1048" s="531"/>
      <c r="AN1048" s="531"/>
    </row>
    <row r="1049" customFormat="false" ht="16.5" hidden="false" customHeight="true" outlineLevel="0" collapsed="false">
      <c r="A1049" s="531"/>
      <c r="B1049" s="531"/>
      <c r="C1049" s="531"/>
      <c r="D1049" s="531"/>
      <c r="E1049" s="531"/>
      <c r="F1049" s="531"/>
      <c r="G1049" s="531"/>
      <c r="H1049" s="531"/>
      <c r="I1049" s="531"/>
      <c r="J1049" s="531"/>
      <c r="K1049" s="531"/>
      <c r="L1049" s="531"/>
      <c r="M1049" s="531"/>
      <c r="N1049" s="531"/>
      <c r="O1049" s="531"/>
      <c r="P1049" s="531"/>
      <c r="Q1049" s="531"/>
      <c r="R1049" s="531"/>
      <c r="S1049" s="531"/>
      <c r="T1049" s="531"/>
      <c r="U1049" s="531"/>
      <c r="V1049" s="531"/>
      <c r="W1049" s="531"/>
      <c r="X1049" s="531"/>
      <c r="Y1049" s="531"/>
      <c r="Z1049" s="531"/>
      <c r="AA1049" s="531"/>
      <c r="AB1049" s="531"/>
      <c r="AC1049" s="531"/>
      <c r="AD1049" s="531"/>
      <c r="AE1049" s="531"/>
      <c r="AF1049" s="531"/>
      <c r="AG1049" s="531"/>
      <c r="AH1049" s="531"/>
      <c r="AI1049" s="531"/>
      <c r="AJ1049" s="531"/>
      <c r="AK1049" s="531"/>
      <c r="AL1049" s="531"/>
      <c r="AM1049" s="531"/>
      <c r="AN1049" s="531"/>
    </row>
    <row r="1050" customFormat="false" ht="16.5" hidden="false" customHeight="true" outlineLevel="0" collapsed="false">
      <c r="A1050" s="531"/>
      <c r="B1050" s="531"/>
      <c r="C1050" s="531"/>
      <c r="D1050" s="531"/>
      <c r="E1050" s="531"/>
      <c r="F1050" s="531"/>
      <c r="G1050" s="531"/>
      <c r="H1050" s="531"/>
      <c r="I1050" s="531"/>
      <c r="J1050" s="531"/>
      <c r="K1050" s="531"/>
      <c r="L1050" s="531"/>
      <c r="M1050" s="531"/>
      <c r="N1050" s="531"/>
      <c r="O1050" s="531"/>
      <c r="P1050" s="531"/>
      <c r="Q1050" s="531"/>
      <c r="R1050" s="531"/>
      <c r="S1050" s="531"/>
      <c r="T1050" s="531"/>
      <c r="U1050" s="531"/>
      <c r="V1050" s="531"/>
      <c r="W1050" s="531"/>
      <c r="X1050" s="531"/>
      <c r="Y1050" s="531"/>
      <c r="Z1050" s="531"/>
      <c r="AA1050" s="531"/>
      <c r="AB1050" s="531"/>
      <c r="AC1050" s="531"/>
      <c r="AD1050" s="531"/>
      <c r="AE1050" s="531"/>
      <c r="AF1050" s="531"/>
      <c r="AG1050" s="531"/>
      <c r="AH1050" s="531"/>
      <c r="AI1050" s="531"/>
      <c r="AJ1050" s="531"/>
      <c r="AK1050" s="531"/>
      <c r="AL1050" s="531"/>
      <c r="AM1050" s="531"/>
      <c r="AN1050" s="531"/>
    </row>
    <row r="1051" customFormat="false" ht="16.5" hidden="false" customHeight="true" outlineLevel="0" collapsed="false">
      <c r="A1051" s="531"/>
      <c r="B1051" s="531"/>
      <c r="C1051" s="531"/>
      <c r="D1051" s="531"/>
      <c r="E1051" s="531"/>
      <c r="F1051" s="531"/>
      <c r="G1051" s="531"/>
      <c r="H1051" s="531"/>
      <c r="I1051" s="531"/>
      <c r="J1051" s="531"/>
      <c r="K1051" s="531"/>
      <c r="L1051" s="531"/>
      <c r="M1051" s="531"/>
      <c r="N1051" s="531"/>
      <c r="O1051" s="531"/>
      <c r="P1051" s="531"/>
      <c r="Q1051" s="531"/>
      <c r="R1051" s="531"/>
      <c r="S1051" s="531"/>
      <c r="T1051" s="531"/>
      <c r="U1051" s="531"/>
      <c r="V1051" s="531"/>
      <c r="W1051" s="531"/>
      <c r="X1051" s="531"/>
      <c r="Y1051" s="531"/>
      <c r="Z1051" s="531"/>
      <c r="AA1051" s="531"/>
      <c r="AB1051" s="531"/>
      <c r="AC1051" s="531"/>
      <c r="AD1051" s="531"/>
      <c r="AE1051" s="531"/>
      <c r="AF1051" s="531"/>
      <c r="AG1051" s="531"/>
      <c r="AH1051" s="531"/>
      <c r="AI1051" s="531"/>
      <c r="AJ1051" s="531"/>
      <c r="AK1051" s="531"/>
      <c r="AL1051" s="531"/>
      <c r="AM1051" s="531"/>
      <c r="AN1051" s="531"/>
    </row>
    <row r="1052" customFormat="false" ht="16.5" hidden="false" customHeight="true" outlineLevel="0" collapsed="false">
      <c r="A1052" s="531"/>
      <c r="B1052" s="531"/>
      <c r="C1052" s="531"/>
      <c r="D1052" s="531"/>
      <c r="E1052" s="531"/>
      <c r="F1052" s="531"/>
      <c r="G1052" s="531"/>
      <c r="H1052" s="531"/>
      <c r="I1052" s="531"/>
      <c r="J1052" s="531"/>
      <c r="K1052" s="531"/>
      <c r="L1052" s="531"/>
      <c r="M1052" s="531"/>
      <c r="N1052" s="531"/>
      <c r="O1052" s="531"/>
      <c r="P1052" s="531"/>
      <c r="Q1052" s="531"/>
      <c r="R1052" s="531"/>
      <c r="S1052" s="531"/>
      <c r="T1052" s="531"/>
      <c r="U1052" s="531"/>
      <c r="V1052" s="531"/>
      <c r="W1052" s="531"/>
      <c r="X1052" s="531"/>
      <c r="Y1052" s="531"/>
      <c r="Z1052" s="531"/>
      <c r="AA1052" s="531"/>
      <c r="AB1052" s="531"/>
      <c r="AC1052" s="531"/>
      <c r="AD1052" s="531"/>
      <c r="AE1052" s="531"/>
      <c r="AF1052" s="531"/>
      <c r="AG1052" s="531"/>
      <c r="AH1052" s="531"/>
      <c r="AI1052" s="531"/>
      <c r="AJ1052" s="531"/>
      <c r="AK1052" s="531"/>
      <c r="AL1052" s="531"/>
      <c r="AM1052" s="531"/>
      <c r="AN1052" s="531"/>
    </row>
    <row r="1053" customFormat="false" ht="16.5" hidden="false" customHeight="true" outlineLevel="0" collapsed="false">
      <c r="A1053" s="531"/>
      <c r="B1053" s="531"/>
      <c r="C1053" s="531"/>
      <c r="D1053" s="531"/>
      <c r="E1053" s="531"/>
      <c r="F1053" s="531"/>
      <c r="G1053" s="531"/>
      <c r="H1053" s="531"/>
      <c r="I1053" s="531"/>
      <c r="J1053" s="531"/>
      <c r="K1053" s="531"/>
      <c r="L1053" s="531"/>
      <c r="M1053" s="531"/>
      <c r="N1053" s="531"/>
      <c r="O1053" s="531"/>
      <c r="P1053" s="531"/>
      <c r="Q1053" s="531"/>
      <c r="R1053" s="531"/>
      <c r="S1053" s="531"/>
      <c r="T1053" s="531"/>
      <c r="U1053" s="531"/>
      <c r="V1053" s="531"/>
      <c r="W1053" s="531"/>
      <c r="X1053" s="531"/>
      <c r="Y1053" s="531"/>
      <c r="Z1053" s="531"/>
      <c r="AA1053" s="531"/>
      <c r="AB1053" s="531"/>
      <c r="AC1053" s="531"/>
      <c r="AD1053" s="531"/>
      <c r="AE1053" s="531"/>
      <c r="AF1053" s="531"/>
      <c r="AG1053" s="531"/>
      <c r="AH1053" s="531"/>
      <c r="AI1053" s="531"/>
      <c r="AJ1053" s="531"/>
      <c r="AK1053" s="531"/>
      <c r="AL1053" s="531"/>
      <c r="AM1053" s="531"/>
      <c r="AN1053" s="531"/>
    </row>
    <row r="1054" customFormat="false" ht="16.5" hidden="false" customHeight="true" outlineLevel="0" collapsed="false">
      <c r="A1054" s="531"/>
      <c r="B1054" s="531"/>
      <c r="C1054" s="531"/>
      <c r="D1054" s="531"/>
      <c r="E1054" s="531"/>
      <c r="F1054" s="531"/>
      <c r="G1054" s="531"/>
      <c r="H1054" s="531"/>
      <c r="I1054" s="531"/>
      <c r="J1054" s="531"/>
      <c r="K1054" s="531"/>
      <c r="L1054" s="531"/>
      <c r="M1054" s="531"/>
      <c r="N1054" s="531"/>
      <c r="O1054" s="531"/>
      <c r="P1054" s="531"/>
      <c r="Q1054" s="531"/>
      <c r="R1054" s="531"/>
      <c r="S1054" s="531"/>
      <c r="T1054" s="531"/>
      <c r="U1054" s="531"/>
      <c r="V1054" s="531"/>
      <c r="W1054" s="531"/>
      <c r="X1054" s="531"/>
      <c r="Y1054" s="531"/>
      <c r="Z1054" s="531"/>
      <c r="AA1054" s="531"/>
      <c r="AB1054" s="531"/>
      <c r="AC1054" s="531"/>
      <c r="AD1054" s="531"/>
      <c r="AE1054" s="531"/>
      <c r="AF1054" s="531"/>
      <c r="AG1054" s="531"/>
      <c r="AH1054" s="531"/>
      <c r="AI1054" s="531"/>
      <c r="AJ1054" s="531"/>
      <c r="AK1054" s="531"/>
      <c r="AL1054" s="531"/>
      <c r="AM1054" s="531"/>
      <c r="AN1054" s="531"/>
    </row>
    <row r="1055" customFormat="false" ht="16.5" hidden="false" customHeight="true" outlineLevel="0" collapsed="false">
      <c r="A1055" s="531"/>
      <c r="B1055" s="531"/>
      <c r="C1055" s="531"/>
      <c r="D1055" s="531"/>
      <c r="E1055" s="531"/>
      <c r="F1055" s="531"/>
      <c r="G1055" s="531"/>
      <c r="H1055" s="531"/>
      <c r="I1055" s="531"/>
      <c r="J1055" s="531"/>
      <c r="K1055" s="531"/>
      <c r="L1055" s="531"/>
      <c r="M1055" s="531"/>
      <c r="N1055" s="531"/>
      <c r="O1055" s="531"/>
      <c r="P1055" s="531"/>
      <c r="Q1055" s="531"/>
      <c r="R1055" s="531"/>
      <c r="S1055" s="531"/>
      <c r="T1055" s="531"/>
      <c r="U1055" s="531"/>
      <c r="V1055" s="531"/>
      <c r="W1055" s="531"/>
      <c r="X1055" s="531"/>
      <c r="Y1055" s="531"/>
      <c r="Z1055" s="531"/>
      <c r="AA1055" s="531"/>
      <c r="AB1055" s="531"/>
      <c r="AC1055" s="531"/>
      <c r="AD1055" s="531"/>
      <c r="AE1055" s="531"/>
      <c r="AF1055" s="531"/>
      <c r="AG1055" s="531"/>
      <c r="AH1055" s="531"/>
      <c r="AI1055" s="531"/>
      <c r="AJ1055" s="531"/>
      <c r="AK1055" s="531"/>
      <c r="AL1055" s="531"/>
      <c r="AM1055" s="531"/>
      <c r="AN1055" s="531"/>
    </row>
    <row r="1056" customFormat="false" ht="16.5" hidden="false" customHeight="true" outlineLevel="0" collapsed="false">
      <c r="A1056" s="531"/>
      <c r="B1056" s="531"/>
      <c r="C1056" s="531"/>
      <c r="D1056" s="531"/>
      <c r="E1056" s="531"/>
      <c r="F1056" s="531"/>
      <c r="G1056" s="531"/>
      <c r="H1056" s="531"/>
      <c r="I1056" s="531"/>
      <c r="J1056" s="531"/>
      <c r="K1056" s="531"/>
      <c r="L1056" s="531"/>
      <c r="M1056" s="531"/>
      <c r="N1056" s="531"/>
      <c r="O1056" s="531"/>
      <c r="P1056" s="531"/>
      <c r="Q1056" s="531"/>
      <c r="R1056" s="531"/>
      <c r="S1056" s="531"/>
      <c r="T1056" s="531"/>
      <c r="U1056" s="531"/>
      <c r="V1056" s="531"/>
      <c r="W1056" s="531"/>
      <c r="X1056" s="531"/>
      <c r="Y1056" s="531"/>
      <c r="Z1056" s="531"/>
      <c r="AA1056" s="531"/>
      <c r="AB1056" s="531"/>
      <c r="AC1056" s="531"/>
      <c r="AD1056" s="531"/>
      <c r="AE1056" s="531"/>
      <c r="AF1056" s="531"/>
      <c r="AG1056" s="531"/>
      <c r="AH1056" s="531"/>
      <c r="AI1056" s="531"/>
      <c r="AJ1056" s="531"/>
      <c r="AK1056" s="531"/>
      <c r="AL1056" s="531"/>
      <c r="AM1056" s="531"/>
      <c r="AN1056" s="531"/>
    </row>
    <row r="1057" customFormat="false" ht="16.5" hidden="false" customHeight="true" outlineLevel="0" collapsed="false">
      <c r="A1057" s="531"/>
      <c r="B1057" s="531"/>
      <c r="C1057" s="531"/>
      <c r="D1057" s="531"/>
      <c r="E1057" s="531"/>
      <c r="F1057" s="531"/>
      <c r="G1057" s="531"/>
      <c r="H1057" s="531"/>
      <c r="I1057" s="531"/>
      <c r="J1057" s="531"/>
      <c r="K1057" s="531"/>
      <c r="L1057" s="531"/>
      <c r="M1057" s="531"/>
      <c r="N1057" s="531"/>
      <c r="O1057" s="531"/>
      <c r="P1057" s="531"/>
      <c r="Q1057" s="531"/>
      <c r="R1057" s="531"/>
      <c r="S1057" s="531"/>
      <c r="T1057" s="531"/>
      <c r="U1057" s="531"/>
      <c r="V1057" s="531"/>
      <c r="W1057" s="531"/>
      <c r="X1057" s="531"/>
      <c r="Y1057" s="531"/>
      <c r="Z1057" s="531"/>
      <c r="AA1057" s="531"/>
      <c r="AB1057" s="531"/>
      <c r="AC1057" s="531"/>
      <c r="AD1057" s="531"/>
      <c r="AE1057" s="531"/>
      <c r="AF1057" s="531"/>
      <c r="AG1057" s="531"/>
      <c r="AH1057" s="531"/>
      <c r="AI1057" s="531"/>
      <c r="AJ1057" s="531"/>
      <c r="AK1057" s="531"/>
      <c r="AL1057" s="531"/>
      <c r="AM1057" s="531"/>
      <c r="AN1057" s="531"/>
    </row>
    <row r="1058" customFormat="false" ht="16.5" hidden="false" customHeight="true" outlineLevel="0" collapsed="false">
      <c r="A1058" s="531"/>
      <c r="B1058" s="531"/>
      <c r="C1058" s="531"/>
      <c r="D1058" s="531"/>
      <c r="E1058" s="531"/>
      <c r="F1058" s="531"/>
      <c r="G1058" s="531"/>
      <c r="H1058" s="531"/>
      <c r="I1058" s="531"/>
      <c r="J1058" s="531"/>
      <c r="K1058" s="531"/>
      <c r="L1058" s="531"/>
      <c r="M1058" s="531"/>
      <c r="N1058" s="531"/>
      <c r="O1058" s="531"/>
      <c r="P1058" s="531"/>
      <c r="Q1058" s="531"/>
      <c r="R1058" s="531"/>
      <c r="S1058" s="531"/>
      <c r="T1058" s="531"/>
      <c r="U1058" s="531"/>
      <c r="V1058" s="531"/>
      <c r="W1058" s="531"/>
      <c r="X1058" s="531"/>
      <c r="Y1058" s="531"/>
      <c r="Z1058" s="531"/>
      <c r="AA1058" s="531"/>
      <c r="AB1058" s="531"/>
      <c r="AC1058" s="531"/>
      <c r="AD1058" s="531"/>
      <c r="AE1058" s="531"/>
      <c r="AF1058" s="531"/>
      <c r="AG1058" s="531"/>
      <c r="AH1058" s="531"/>
      <c r="AI1058" s="531"/>
      <c r="AJ1058" s="531"/>
      <c r="AK1058" s="531"/>
      <c r="AL1058" s="531"/>
      <c r="AM1058" s="531"/>
      <c r="AN1058" s="531"/>
    </row>
    <row r="1059" customFormat="false" ht="16.5" hidden="false" customHeight="true" outlineLevel="0" collapsed="false">
      <c r="A1059" s="531"/>
      <c r="B1059" s="531"/>
      <c r="C1059" s="531"/>
      <c r="D1059" s="531"/>
      <c r="E1059" s="531"/>
      <c r="F1059" s="531"/>
      <c r="G1059" s="531"/>
      <c r="H1059" s="531"/>
      <c r="I1059" s="531"/>
      <c r="J1059" s="531"/>
      <c r="K1059" s="531"/>
      <c r="L1059" s="531"/>
      <c r="M1059" s="531"/>
      <c r="N1059" s="531"/>
      <c r="O1059" s="531"/>
      <c r="P1059" s="531"/>
      <c r="Q1059" s="531"/>
      <c r="R1059" s="531"/>
      <c r="S1059" s="531"/>
      <c r="T1059" s="531"/>
      <c r="U1059" s="531"/>
      <c r="V1059" s="531"/>
      <c r="W1059" s="531"/>
      <c r="X1059" s="531"/>
      <c r="Y1059" s="531"/>
      <c r="Z1059" s="531"/>
      <c r="AA1059" s="531"/>
      <c r="AB1059" s="531"/>
      <c r="AC1059" s="531"/>
      <c r="AD1059" s="531"/>
      <c r="AE1059" s="531"/>
      <c r="AF1059" s="531"/>
      <c r="AG1059" s="531"/>
      <c r="AH1059" s="531"/>
      <c r="AI1059" s="531"/>
      <c r="AJ1059" s="531"/>
      <c r="AK1059" s="531"/>
      <c r="AL1059" s="531"/>
      <c r="AM1059" s="531"/>
      <c r="AN1059" s="531"/>
    </row>
    <row r="1060" customFormat="false" ht="16.5" hidden="false" customHeight="true" outlineLevel="0" collapsed="false">
      <c r="A1060" s="531"/>
      <c r="B1060" s="531"/>
      <c r="C1060" s="531"/>
      <c r="D1060" s="531"/>
      <c r="E1060" s="531"/>
      <c r="F1060" s="531"/>
      <c r="G1060" s="531"/>
      <c r="H1060" s="531"/>
      <c r="I1060" s="531"/>
      <c r="J1060" s="531"/>
      <c r="K1060" s="531"/>
      <c r="L1060" s="531"/>
      <c r="M1060" s="531"/>
      <c r="N1060" s="531"/>
      <c r="O1060" s="531"/>
      <c r="P1060" s="531"/>
      <c r="Q1060" s="531"/>
      <c r="R1060" s="531"/>
      <c r="S1060" s="531"/>
      <c r="T1060" s="531"/>
      <c r="U1060" s="531"/>
      <c r="V1060" s="531"/>
      <c r="W1060" s="531"/>
      <c r="X1060" s="531"/>
      <c r="Y1060" s="531"/>
      <c r="Z1060" s="531"/>
      <c r="AA1060" s="531"/>
      <c r="AB1060" s="531"/>
      <c r="AC1060" s="531"/>
      <c r="AD1060" s="531"/>
      <c r="AE1060" s="531"/>
      <c r="AF1060" s="531"/>
      <c r="AG1060" s="531"/>
      <c r="AH1060" s="531"/>
      <c r="AI1060" s="531"/>
      <c r="AJ1060" s="531"/>
      <c r="AK1060" s="531"/>
      <c r="AL1060" s="531"/>
      <c r="AM1060" s="531"/>
      <c r="AN1060" s="531"/>
    </row>
    <row r="1061" customFormat="false" ht="16.5" hidden="false" customHeight="true" outlineLevel="0" collapsed="false">
      <c r="A1061" s="531"/>
      <c r="B1061" s="531"/>
      <c r="C1061" s="531"/>
      <c r="D1061" s="531"/>
      <c r="E1061" s="531"/>
      <c r="F1061" s="531"/>
      <c r="G1061" s="531"/>
      <c r="H1061" s="531"/>
      <c r="I1061" s="531"/>
      <c r="J1061" s="531"/>
      <c r="K1061" s="531"/>
      <c r="L1061" s="531"/>
      <c r="M1061" s="531"/>
      <c r="N1061" s="531"/>
      <c r="O1061" s="531"/>
      <c r="P1061" s="531"/>
      <c r="Q1061" s="531"/>
      <c r="R1061" s="531"/>
      <c r="S1061" s="531"/>
      <c r="T1061" s="531"/>
      <c r="U1061" s="531"/>
      <c r="V1061" s="531"/>
      <c r="W1061" s="531"/>
      <c r="X1061" s="531"/>
      <c r="Y1061" s="531"/>
      <c r="Z1061" s="531"/>
      <c r="AA1061" s="531"/>
      <c r="AB1061" s="531"/>
      <c r="AC1061" s="531"/>
      <c r="AD1061" s="531"/>
      <c r="AE1061" s="531"/>
      <c r="AF1061" s="531"/>
      <c r="AG1061" s="531"/>
      <c r="AH1061" s="531"/>
      <c r="AI1061" s="531"/>
      <c r="AJ1061" s="531"/>
      <c r="AK1061" s="531"/>
      <c r="AL1061" s="531"/>
      <c r="AM1061" s="531"/>
      <c r="AN1061" s="531"/>
    </row>
    <row r="1062" customFormat="false" ht="16.5" hidden="false" customHeight="true" outlineLevel="0" collapsed="false">
      <c r="A1062" s="531"/>
      <c r="B1062" s="531"/>
      <c r="C1062" s="531"/>
      <c r="D1062" s="531"/>
      <c r="E1062" s="531"/>
      <c r="F1062" s="531"/>
      <c r="G1062" s="531"/>
      <c r="H1062" s="531"/>
      <c r="I1062" s="531"/>
      <c r="J1062" s="531"/>
      <c r="K1062" s="531"/>
      <c r="L1062" s="531"/>
      <c r="M1062" s="531"/>
      <c r="N1062" s="531"/>
      <c r="O1062" s="531"/>
      <c r="P1062" s="531"/>
      <c r="Q1062" s="531"/>
      <c r="R1062" s="531"/>
      <c r="S1062" s="531"/>
      <c r="T1062" s="531"/>
      <c r="U1062" s="531"/>
      <c r="V1062" s="531"/>
      <c r="W1062" s="531"/>
      <c r="X1062" s="531"/>
      <c r="Y1062" s="531"/>
      <c r="Z1062" s="531"/>
      <c r="AA1062" s="531"/>
      <c r="AB1062" s="531"/>
      <c r="AC1062" s="531"/>
      <c r="AD1062" s="531"/>
      <c r="AE1062" s="531"/>
      <c r="AF1062" s="531"/>
      <c r="AG1062" s="531"/>
      <c r="AH1062" s="531"/>
      <c r="AI1062" s="531"/>
      <c r="AJ1062" s="531"/>
      <c r="AK1062" s="531"/>
      <c r="AL1062" s="531"/>
      <c r="AM1062" s="531"/>
      <c r="AN1062" s="531"/>
    </row>
    <row r="1063" customFormat="false" ht="16.5" hidden="false" customHeight="true" outlineLevel="0" collapsed="false">
      <c r="A1063" s="531"/>
      <c r="B1063" s="531"/>
      <c r="C1063" s="531"/>
      <c r="D1063" s="531"/>
      <c r="E1063" s="531"/>
      <c r="F1063" s="531"/>
      <c r="G1063" s="531"/>
      <c r="H1063" s="531"/>
      <c r="I1063" s="531"/>
      <c r="J1063" s="531"/>
      <c r="K1063" s="531"/>
      <c r="L1063" s="531"/>
      <c r="M1063" s="531"/>
      <c r="N1063" s="531"/>
      <c r="O1063" s="531"/>
      <c r="P1063" s="531"/>
      <c r="Q1063" s="531"/>
      <c r="R1063" s="531"/>
      <c r="S1063" s="531"/>
      <c r="T1063" s="531"/>
      <c r="U1063" s="531"/>
      <c r="V1063" s="531"/>
      <c r="W1063" s="531"/>
      <c r="X1063" s="531"/>
      <c r="Y1063" s="531"/>
      <c r="Z1063" s="531"/>
      <c r="AA1063" s="531"/>
      <c r="AB1063" s="531"/>
      <c r="AC1063" s="531"/>
      <c r="AD1063" s="531"/>
      <c r="AE1063" s="531"/>
      <c r="AF1063" s="531"/>
      <c r="AG1063" s="531"/>
      <c r="AH1063" s="531"/>
      <c r="AI1063" s="531"/>
      <c r="AJ1063" s="531"/>
      <c r="AK1063" s="531"/>
      <c r="AL1063" s="531"/>
      <c r="AM1063" s="531"/>
      <c r="AN1063" s="531"/>
    </row>
    <row r="1064" customFormat="false" ht="16.5" hidden="false" customHeight="true" outlineLevel="0" collapsed="false">
      <c r="A1064" s="531"/>
      <c r="B1064" s="531"/>
      <c r="C1064" s="531"/>
      <c r="D1064" s="531"/>
      <c r="E1064" s="531"/>
      <c r="F1064" s="531"/>
      <c r="G1064" s="531"/>
      <c r="H1064" s="531"/>
      <c r="I1064" s="531"/>
      <c r="J1064" s="531"/>
      <c r="K1064" s="531"/>
      <c r="L1064" s="531"/>
      <c r="M1064" s="531"/>
      <c r="N1064" s="531"/>
      <c r="O1064" s="531"/>
      <c r="P1064" s="531"/>
      <c r="Q1064" s="531"/>
      <c r="R1064" s="531"/>
      <c r="S1064" s="531"/>
      <c r="T1064" s="531"/>
      <c r="U1064" s="531"/>
      <c r="V1064" s="531"/>
      <c r="W1064" s="531"/>
      <c r="X1064" s="531"/>
      <c r="Y1064" s="531"/>
      <c r="Z1064" s="531"/>
      <c r="AA1064" s="531"/>
      <c r="AB1064" s="531"/>
      <c r="AC1064" s="531"/>
      <c r="AD1064" s="531"/>
      <c r="AE1064" s="531"/>
      <c r="AF1064" s="531"/>
      <c r="AG1064" s="531"/>
      <c r="AH1064" s="531"/>
      <c r="AI1064" s="531"/>
      <c r="AJ1064" s="531"/>
      <c r="AK1064" s="531"/>
      <c r="AL1064" s="531"/>
      <c r="AM1064" s="531"/>
      <c r="AN1064" s="531"/>
    </row>
    <row r="1065" customFormat="false" ht="16.5" hidden="false" customHeight="true" outlineLevel="0" collapsed="false">
      <c r="A1065" s="531"/>
      <c r="B1065" s="531"/>
      <c r="C1065" s="531"/>
      <c r="D1065" s="531"/>
      <c r="E1065" s="531"/>
      <c r="F1065" s="531"/>
      <c r="G1065" s="531"/>
      <c r="H1065" s="531"/>
      <c r="I1065" s="531"/>
      <c r="J1065" s="531"/>
      <c r="K1065" s="531"/>
      <c r="L1065" s="531"/>
      <c r="M1065" s="531"/>
      <c r="N1065" s="531"/>
      <c r="O1065" s="531"/>
      <c r="P1065" s="531"/>
      <c r="Q1065" s="531"/>
      <c r="R1065" s="531"/>
      <c r="S1065" s="531"/>
      <c r="T1065" s="531"/>
      <c r="U1065" s="531"/>
      <c r="V1065" s="531"/>
      <c r="W1065" s="531"/>
      <c r="X1065" s="531"/>
      <c r="Y1065" s="531"/>
      <c r="Z1065" s="531"/>
      <c r="AA1065" s="531"/>
      <c r="AB1065" s="531"/>
      <c r="AC1065" s="531"/>
      <c r="AD1065" s="531"/>
      <c r="AE1065" s="531"/>
      <c r="AF1065" s="531"/>
      <c r="AG1065" s="531"/>
      <c r="AH1065" s="531"/>
      <c r="AI1065" s="531"/>
      <c r="AJ1065" s="531"/>
      <c r="AK1065" s="531"/>
      <c r="AL1065" s="531"/>
      <c r="AM1065" s="531"/>
      <c r="AN1065" s="531"/>
    </row>
    <row r="1066" customFormat="false" ht="16.5" hidden="false" customHeight="true" outlineLevel="0" collapsed="false">
      <c r="A1066" s="531"/>
      <c r="B1066" s="531"/>
      <c r="C1066" s="531"/>
      <c r="D1066" s="531"/>
      <c r="E1066" s="531"/>
      <c r="F1066" s="531"/>
      <c r="G1066" s="531"/>
      <c r="H1066" s="531"/>
      <c r="I1066" s="531"/>
      <c r="J1066" s="531"/>
      <c r="K1066" s="531"/>
      <c r="L1066" s="531"/>
      <c r="M1066" s="531"/>
      <c r="N1066" s="531"/>
      <c r="O1066" s="531"/>
      <c r="P1066" s="531"/>
      <c r="Q1066" s="531"/>
      <c r="R1066" s="531"/>
      <c r="S1066" s="531"/>
      <c r="T1066" s="531"/>
      <c r="U1066" s="531"/>
      <c r="V1066" s="531"/>
      <c r="W1066" s="531"/>
      <c r="X1066" s="531"/>
      <c r="Y1066" s="531"/>
      <c r="Z1066" s="531"/>
      <c r="AA1066" s="531"/>
      <c r="AB1066" s="531"/>
      <c r="AC1066" s="531"/>
      <c r="AD1066" s="531"/>
      <c r="AE1066" s="531"/>
      <c r="AF1066" s="531"/>
      <c r="AG1066" s="531"/>
      <c r="AH1066" s="531"/>
      <c r="AI1066" s="531"/>
      <c r="AJ1066" s="531"/>
      <c r="AK1066" s="531"/>
      <c r="AL1066" s="531"/>
      <c r="AM1066" s="531"/>
      <c r="AN1066" s="531"/>
    </row>
    <row r="1067" customFormat="false" ht="16.5" hidden="false" customHeight="true" outlineLevel="0" collapsed="false">
      <c r="A1067" s="531"/>
      <c r="B1067" s="531"/>
      <c r="C1067" s="531"/>
      <c r="D1067" s="531"/>
      <c r="E1067" s="531"/>
      <c r="F1067" s="531"/>
      <c r="G1067" s="531"/>
      <c r="H1067" s="531"/>
      <c r="I1067" s="531"/>
      <c r="J1067" s="531"/>
      <c r="K1067" s="531"/>
      <c r="L1067" s="531"/>
      <c r="M1067" s="531"/>
      <c r="N1067" s="531"/>
      <c r="O1067" s="531"/>
      <c r="P1067" s="531"/>
      <c r="Q1067" s="531"/>
      <c r="R1067" s="531"/>
      <c r="S1067" s="531"/>
      <c r="T1067" s="531"/>
      <c r="U1067" s="531"/>
      <c r="V1067" s="531"/>
      <c r="W1067" s="531"/>
      <c r="X1067" s="531"/>
      <c r="Y1067" s="531"/>
      <c r="Z1067" s="531"/>
      <c r="AA1067" s="531"/>
      <c r="AB1067" s="531"/>
      <c r="AC1067" s="531"/>
      <c r="AD1067" s="531"/>
      <c r="AE1067" s="531"/>
      <c r="AF1067" s="531"/>
      <c r="AG1067" s="531"/>
      <c r="AH1067" s="531"/>
      <c r="AI1067" s="531"/>
      <c r="AJ1067" s="531"/>
      <c r="AK1067" s="531"/>
      <c r="AL1067" s="531"/>
      <c r="AM1067" s="531"/>
      <c r="AN1067" s="531"/>
    </row>
    <row r="1068" customFormat="false" ht="16.5" hidden="false" customHeight="true" outlineLevel="0" collapsed="false">
      <c r="A1068" s="531"/>
      <c r="B1068" s="531"/>
      <c r="C1068" s="531"/>
      <c r="D1068" s="531"/>
      <c r="E1068" s="531"/>
      <c r="F1068" s="531"/>
      <c r="G1068" s="531"/>
      <c r="H1068" s="531"/>
      <c r="I1068" s="531"/>
      <c r="J1068" s="531"/>
      <c r="K1068" s="531"/>
      <c r="L1068" s="531"/>
      <c r="M1068" s="531"/>
      <c r="N1068" s="531"/>
      <c r="O1068" s="531"/>
      <c r="P1068" s="531"/>
      <c r="Q1068" s="531"/>
      <c r="R1068" s="531"/>
      <c r="S1068" s="531"/>
      <c r="T1068" s="531"/>
      <c r="U1068" s="531"/>
      <c r="V1068" s="531"/>
      <c r="W1068" s="531"/>
      <c r="X1068" s="531"/>
      <c r="Y1068" s="531"/>
      <c r="Z1068" s="531"/>
      <c r="AA1068" s="531"/>
      <c r="AB1068" s="531"/>
      <c r="AC1068" s="531"/>
      <c r="AD1068" s="531"/>
      <c r="AE1068" s="531"/>
      <c r="AF1068" s="531"/>
      <c r="AG1068" s="531"/>
      <c r="AH1068" s="531"/>
      <c r="AI1068" s="531"/>
      <c r="AJ1068" s="531"/>
      <c r="AK1068" s="531"/>
      <c r="AL1068" s="531"/>
      <c r="AM1068" s="531"/>
      <c r="AN1068" s="531"/>
    </row>
    <row r="1069" customFormat="false" ht="16.5" hidden="false" customHeight="true" outlineLevel="0" collapsed="false">
      <c r="A1069" s="531"/>
      <c r="B1069" s="531"/>
      <c r="C1069" s="531"/>
      <c r="D1069" s="531"/>
      <c r="E1069" s="531"/>
      <c r="F1069" s="531"/>
      <c r="G1069" s="531"/>
      <c r="H1069" s="531"/>
      <c r="I1069" s="531"/>
      <c r="J1069" s="531"/>
      <c r="K1069" s="531"/>
      <c r="L1069" s="531"/>
      <c r="M1069" s="531"/>
      <c r="N1069" s="531"/>
      <c r="O1069" s="531"/>
      <c r="P1069" s="531"/>
      <c r="Q1069" s="531"/>
      <c r="R1069" s="531"/>
      <c r="S1069" s="531"/>
      <c r="T1069" s="531"/>
      <c r="U1069" s="531"/>
      <c r="V1069" s="531"/>
      <c r="W1069" s="531"/>
      <c r="X1069" s="531"/>
      <c r="Y1069" s="531"/>
      <c r="Z1069" s="531"/>
      <c r="AA1069" s="531"/>
      <c r="AB1069" s="531"/>
      <c r="AC1069" s="531"/>
      <c r="AD1069" s="531"/>
      <c r="AE1069" s="531"/>
      <c r="AF1069" s="531"/>
      <c r="AG1069" s="531"/>
      <c r="AH1069" s="531"/>
      <c r="AI1069" s="531"/>
      <c r="AJ1069" s="531"/>
      <c r="AK1069" s="531"/>
      <c r="AL1069" s="531"/>
      <c r="AM1069" s="531"/>
      <c r="AN1069" s="531"/>
    </row>
    <row r="1070" customFormat="false" ht="16.5" hidden="false" customHeight="true" outlineLevel="0" collapsed="false">
      <c r="A1070" s="531"/>
      <c r="B1070" s="531"/>
      <c r="C1070" s="531"/>
      <c r="D1070" s="531"/>
      <c r="E1070" s="531"/>
      <c r="F1070" s="531"/>
      <c r="G1070" s="531"/>
      <c r="H1070" s="531"/>
      <c r="I1070" s="531"/>
      <c r="J1070" s="531"/>
      <c r="K1070" s="531"/>
      <c r="L1070" s="531"/>
      <c r="M1070" s="531"/>
      <c r="N1070" s="531"/>
      <c r="O1070" s="531"/>
      <c r="P1070" s="531"/>
      <c r="Q1070" s="531"/>
      <c r="R1070" s="531"/>
      <c r="S1070" s="531"/>
      <c r="T1070" s="531"/>
      <c r="U1070" s="531"/>
      <c r="V1070" s="531"/>
      <c r="W1070" s="531"/>
      <c r="X1070" s="531"/>
      <c r="Y1070" s="531"/>
      <c r="Z1070" s="531"/>
      <c r="AA1070" s="531"/>
      <c r="AB1070" s="531"/>
      <c r="AC1070" s="531"/>
      <c r="AD1070" s="531"/>
      <c r="AE1070" s="531"/>
      <c r="AF1070" s="531"/>
      <c r="AG1070" s="531"/>
      <c r="AH1070" s="531"/>
      <c r="AI1070" s="531"/>
      <c r="AJ1070" s="531"/>
      <c r="AK1070" s="531"/>
      <c r="AL1070" s="531"/>
      <c r="AM1070" s="531"/>
      <c r="AN1070" s="531"/>
    </row>
    <row r="1071" customFormat="false" ht="16.5" hidden="false" customHeight="true" outlineLevel="0" collapsed="false">
      <c r="A1071" s="531"/>
      <c r="B1071" s="531"/>
      <c r="C1071" s="531"/>
      <c r="D1071" s="531"/>
      <c r="E1071" s="531"/>
      <c r="F1071" s="531"/>
      <c r="G1071" s="531"/>
      <c r="H1071" s="531"/>
      <c r="I1071" s="531"/>
      <c r="J1071" s="531"/>
      <c r="K1071" s="531"/>
      <c r="L1071" s="531"/>
      <c r="M1071" s="531"/>
      <c r="N1071" s="531"/>
      <c r="O1071" s="531"/>
      <c r="P1071" s="531"/>
      <c r="Q1071" s="531"/>
      <c r="R1071" s="531"/>
      <c r="S1071" s="531"/>
      <c r="T1071" s="531"/>
      <c r="U1071" s="531"/>
      <c r="V1071" s="531"/>
      <c r="W1071" s="531"/>
      <c r="X1071" s="531"/>
      <c r="Y1071" s="531"/>
      <c r="Z1071" s="531"/>
      <c r="AA1071" s="531"/>
      <c r="AB1071" s="531"/>
      <c r="AC1071" s="531"/>
      <c r="AD1071" s="531"/>
      <c r="AE1071" s="531"/>
      <c r="AF1071" s="531"/>
      <c r="AG1071" s="531"/>
      <c r="AH1071" s="531"/>
      <c r="AI1071" s="531"/>
      <c r="AJ1071" s="531"/>
      <c r="AK1071" s="531"/>
      <c r="AL1071" s="531"/>
      <c r="AM1071" s="531"/>
      <c r="AN1071" s="531"/>
    </row>
    <row r="1072" customFormat="false" ht="16.5" hidden="false" customHeight="true" outlineLevel="0" collapsed="false">
      <c r="A1072" s="531"/>
      <c r="B1072" s="531"/>
      <c r="C1072" s="531"/>
      <c r="D1072" s="531"/>
      <c r="E1072" s="531"/>
      <c r="F1072" s="531"/>
      <c r="G1072" s="531"/>
      <c r="H1072" s="531"/>
      <c r="I1072" s="531"/>
      <c r="J1072" s="531"/>
      <c r="K1072" s="531"/>
      <c r="L1072" s="531"/>
      <c r="M1072" s="531"/>
      <c r="N1072" s="531"/>
      <c r="O1072" s="531"/>
      <c r="P1072" s="531"/>
      <c r="Q1072" s="531"/>
      <c r="R1072" s="531"/>
      <c r="S1072" s="531"/>
      <c r="T1072" s="531"/>
      <c r="U1072" s="531"/>
      <c r="V1072" s="531"/>
      <c r="W1072" s="531"/>
      <c r="X1072" s="531"/>
      <c r="Y1072" s="531"/>
      <c r="Z1072" s="531"/>
      <c r="AA1072" s="531"/>
      <c r="AB1072" s="531"/>
      <c r="AC1072" s="531"/>
      <c r="AD1072" s="531"/>
      <c r="AE1072" s="531"/>
      <c r="AF1072" s="531"/>
      <c r="AG1072" s="531"/>
      <c r="AH1072" s="531"/>
      <c r="AI1072" s="531"/>
      <c r="AJ1072" s="531"/>
      <c r="AK1072" s="531"/>
      <c r="AL1072" s="531"/>
      <c r="AM1072" s="531"/>
      <c r="AN1072" s="531"/>
    </row>
    <row r="1073" customFormat="false" ht="16.5" hidden="false" customHeight="true" outlineLevel="0" collapsed="false">
      <c r="A1073" s="531"/>
      <c r="B1073" s="531"/>
      <c r="C1073" s="531"/>
      <c r="D1073" s="531"/>
      <c r="E1073" s="531"/>
      <c r="F1073" s="531"/>
      <c r="G1073" s="531"/>
      <c r="H1073" s="531"/>
      <c r="I1073" s="531"/>
      <c r="J1073" s="531"/>
      <c r="K1073" s="531"/>
      <c r="L1073" s="531"/>
      <c r="M1073" s="531"/>
      <c r="N1073" s="531"/>
      <c r="O1073" s="531"/>
      <c r="P1073" s="531"/>
      <c r="Q1073" s="531"/>
      <c r="R1073" s="531"/>
      <c r="S1073" s="531"/>
      <c r="T1073" s="531"/>
      <c r="U1073" s="531"/>
      <c r="V1073" s="531"/>
      <c r="W1073" s="531"/>
      <c r="X1073" s="531"/>
      <c r="Y1073" s="531"/>
      <c r="Z1073" s="531"/>
      <c r="AA1073" s="531"/>
      <c r="AB1073" s="531"/>
      <c r="AC1073" s="531"/>
      <c r="AD1073" s="531"/>
      <c r="AE1073" s="531"/>
      <c r="AF1073" s="531"/>
      <c r="AG1073" s="531"/>
      <c r="AH1073" s="531"/>
      <c r="AI1073" s="531"/>
      <c r="AJ1073" s="531"/>
      <c r="AK1073" s="531"/>
      <c r="AL1073" s="531"/>
      <c r="AM1073" s="531"/>
      <c r="AN1073" s="531"/>
    </row>
    <row r="1074" customFormat="false" ht="16.5" hidden="false" customHeight="true" outlineLevel="0" collapsed="false">
      <c r="A1074" s="531"/>
      <c r="B1074" s="531"/>
      <c r="C1074" s="531"/>
      <c r="D1074" s="531"/>
      <c r="E1074" s="531"/>
      <c r="F1074" s="531"/>
      <c r="G1074" s="531"/>
      <c r="H1074" s="531"/>
      <c r="I1074" s="531"/>
      <c r="J1074" s="531"/>
      <c r="K1074" s="531"/>
      <c r="L1074" s="531"/>
      <c r="M1074" s="531"/>
      <c r="N1074" s="531"/>
      <c r="O1074" s="531"/>
      <c r="P1074" s="531"/>
      <c r="Q1074" s="531"/>
      <c r="R1074" s="531"/>
      <c r="S1074" s="531"/>
      <c r="T1074" s="531"/>
      <c r="U1074" s="531"/>
      <c r="V1074" s="531"/>
      <c r="W1074" s="531"/>
      <c r="X1074" s="531"/>
      <c r="Y1074" s="531"/>
      <c r="Z1074" s="531"/>
      <c r="AA1074" s="531"/>
      <c r="AB1074" s="531"/>
      <c r="AC1074" s="531"/>
      <c r="AD1074" s="531"/>
      <c r="AE1074" s="531"/>
      <c r="AF1074" s="531"/>
      <c r="AG1074" s="531"/>
      <c r="AH1074" s="531"/>
      <c r="AI1074" s="531"/>
      <c r="AJ1074" s="531"/>
      <c r="AK1074" s="531"/>
      <c r="AL1074" s="531"/>
      <c r="AM1074" s="531"/>
      <c r="AN1074" s="531"/>
    </row>
    <row r="1075" customFormat="false" ht="16.5" hidden="false" customHeight="true" outlineLevel="0" collapsed="false">
      <c r="A1075" s="531"/>
      <c r="B1075" s="531"/>
      <c r="C1075" s="531"/>
      <c r="D1075" s="531"/>
      <c r="E1075" s="531"/>
      <c r="F1075" s="531"/>
      <c r="G1075" s="531"/>
      <c r="H1075" s="531"/>
      <c r="I1075" s="531"/>
      <c r="J1075" s="531"/>
      <c r="K1075" s="531"/>
      <c r="L1075" s="531"/>
      <c r="M1075" s="531"/>
      <c r="N1075" s="531"/>
      <c r="O1075" s="531"/>
      <c r="P1075" s="531"/>
      <c r="Q1075" s="531"/>
      <c r="R1075" s="531"/>
      <c r="S1075" s="531"/>
      <c r="T1075" s="531"/>
      <c r="U1075" s="531"/>
      <c r="V1075" s="531"/>
      <c r="W1075" s="531"/>
      <c r="X1075" s="531"/>
      <c r="Y1075" s="531"/>
      <c r="Z1075" s="531"/>
      <c r="AA1075" s="531"/>
      <c r="AB1075" s="531"/>
      <c r="AC1075" s="531"/>
      <c r="AD1075" s="531"/>
      <c r="AE1075" s="531"/>
      <c r="AF1075" s="531"/>
      <c r="AG1075" s="531"/>
      <c r="AH1075" s="531"/>
      <c r="AI1075" s="531"/>
      <c r="AJ1075" s="531"/>
      <c r="AK1075" s="531"/>
      <c r="AL1075" s="531"/>
      <c r="AM1075" s="531"/>
      <c r="AN1075" s="531"/>
    </row>
    <row r="1076" customFormat="false" ht="16.5" hidden="false" customHeight="true" outlineLevel="0" collapsed="false">
      <c r="A1076" s="531"/>
      <c r="B1076" s="531"/>
      <c r="C1076" s="531"/>
      <c r="D1076" s="531"/>
      <c r="E1076" s="531"/>
      <c r="F1076" s="531"/>
      <c r="G1076" s="531"/>
      <c r="H1076" s="531"/>
      <c r="I1076" s="531"/>
      <c r="J1076" s="531"/>
      <c r="K1076" s="531"/>
      <c r="L1076" s="531"/>
      <c r="M1076" s="531"/>
      <c r="N1076" s="531"/>
      <c r="O1076" s="531"/>
      <c r="P1076" s="531"/>
      <c r="Q1076" s="531"/>
      <c r="R1076" s="531"/>
      <c r="S1076" s="531"/>
      <c r="T1076" s="531"/>
      <c r="U1076" s="531"/>
      <c r="V1076" s="531"/>
      <c r="W1076" s="531"/>
      <c r="X1076" s="531"/>
      <c r="Y1076" s="531"/>
      <c r="Z1076" s="531"/>
      <c r="AA1076" s="531"/>
      <c r="AB1076" s="531"/>
      <c r="AC1076" s="531"/>
      <c r="AD1076" s="531"/>
      <c r="AE1076" s="531"/>
      <c r="AF1076" s="531"/>
      <c r="AG1076" s="531"/>
      <c r="AH1076" s="531"/>
      <c r="AI1076" s="531"/>
      <c r="AJ1076" s="531"/>
      <c r="AK1076" s="531"/>
      <c r="AL1076" s="531"/>
      <c r="AM1076" s="531"/>
      <c r="AN1076" s="531"/>
    </row>
    <row r="1077" customFormat="false" ht="16.5" hidden="false" customHeight="true" outlineLevel="0" collapsed="false">
      <c r="A1077" s="531"/>
      <c r="B1077" s="531"/>
      <c r="C1077" s="531"/>
      <c r="D1077" s="531"/>
      <c r="E1077" s="531"/>
      <c r="F1077" s="531"/>
      <c r="G1077" s="531"/>
      <c r="H1077" s="531"/>
      <c r="I1077" s="531"/>
      <c r="J1077" s="531"/>
      <c r="K1077" s="531"/>
      <c r="L1077" s="531"/>
      <c r="M1077" s="531"/>
      <c r="N1077" s="531"/>
      <c r="O1077" s="531"/>
      <c r="P1077" s="531"/>
      <c r="Q1077" s="531"/>
      <c r="R1077" s="531"/>
      <c r="S1077" s="531"/>
      <c r="T1077" s="531"/>
      <c r="U1077" s="531"/>
      <c r="V1077" s="531"/>
      <c r="W1077" s="531"/>
      <c r="X1077" s="531"/>
      <c r="Y1077" s="531"/>
      <c r="Z1077" s="531"/>
      <c r="AA1077" s="531"/>
      <c r="AB1077" s="531"/>
      <c r="AC1077" s="531"/>
      <c r="AD1077" s="531"/>
      <c r="AE1077" s="531"/>
      <c r="AF1077" s="531"/>
      <c r="AG1077" s="531"/>
      <c r="AH1077" s="531"/>
      <c r="AI1077" s="531"/>
      <c r="AJ1077" s="531"/>
      <c r="AK1077" s="531"/>
      <c r="AL1077" s="531"/>
      <c r="AM1077" s="531"/>
      <c r="AN1077" s="531"/>
    </row>
    <row r="1078" customFormat="false" ht="16.5" hidden="false" customHeight="true" outlineLevel="0" collapsed="false">
      <c r="A1078" s="531"/>
      <c r="B1078" s="531"/>
      <c r="C1078" s="531"/>
      <c r="D1078" s="531"/>
      <c r="E1078" s="531"/>
      <c r="F1078" s="531"/>
      <c r="G1078" s="531"/>
      <c r="H1078" s="531"/>
      <c r="I1078" s="531"/>
      <c r="J1078" s="531"/>
      <c r="K1078" s="531"/>
      <c r="L1078" s="531"/>
      <c r="M1078" s="531"/>
      <c r="N1078" s="531"/>
      <c r="O1078" s="531"/>
      <c r="P1078" s="531"/>
      <c r="Q1078" s="531"/>
      <c r="R1078" s="531"/>
      <c r="S1078" s="531"/>
      <c r="T1078" s="531"/>
      <c r="U1078" s="531"/>
      <c r="V1078" s="531"/>
      <c r="W1078" s="531"/>
      <c r="X1078" s="531"/>
      <c r="Y1078" s="531"/>
      <c r="Z1078" s="531"/>
      <c r="AA1078" s="531"/>
      <c r="AB1078" s="531"/>
      <c r="AC1078" s="531"/>
      <c r="AD1078" s="531"/>
      <c r="AE1078" s="531"/>
      <c r="AF1078" s="531"/>
      <c r="AG1078" s="531"/>
      <c r="AH1078" s="531"/>
      <c r="AI1078" s="531"/>
      <c r="AJ1078" s="531"/>
      <c r="AK1078" s="531"/>
      <c r="AL1078" s="531"/>
      <c r="AM1078" s="531"/>
      <c r="AN1078" s="531"/>
    </row>
    <row r="1079" customFormat="false" ht="16.5" hidden="false" customHeight="true" outlineLevel="0" collapsed="false">
      <c r="A1079" s="531"/>
      <c r="B1079" s="531"/>
      <c r="C1079" s="531"/>
      <c r="D1079" s="531"/>
      <c r="E1079" s="531"/>
      <c r="F1079" s="531"/>
      <c r="G1079" s="531"/>
      <c r="H1079" s="531"/>
      <c r="I1079" s="531"/>
      <c r="J1079" s="531"/>
      <c r="K1079" s="531"/>
      <c r="L1079" s="531"/>
      <c r="M1079" s="531"/>
      <c r="N1079" s="531"/>
      <c r="O1079" s="531"/>
      <c r="P1079" s="531"/>
      <c r="Q1079" s="531"/>
      <c r="R1079" s="531"/>
      <c r="S1079" s="531"/>
      <c r="T1079" s="531"/>
      <c r="U1079" s="531"/>
      <c r="V1079" s="531"/>
      <c r="W1079" s="531"/>
      <c r="X1079" s="531"/>
      <c r="Y1079" s="531"/>
      <c r="Z1079" s="531"/>
      <c r="AA1079" s="531"/>
      <c r="AB1079" s="531"/>
      <c r="AC1079" s="531"/>
      <c r="AD1079" s="531"/>
      <c r="AE1079" s="531"/>
      <c r="AF1079" s="531"/>
      <c r="AG1079" s="531"/>
      <c r="AH1079" s="531"/>
      <c r="AI1079" s="531"/>
      <c r="AJ1079" s="531"/>
      <c r="AK1079" s="531"/>
      <c r="AL1079" s="531"/>
      <c r="AM1079" s="531"/>
      <c r="AN1079" s="531"/>
    </row>
    <row r="1080" customFormat="false" ht="16.5" hidden="false" customHeight="true" outlineLevel="0" collapsed="false">
      <c r="A1080" s="531"/>
      <c r="B1080" s="531"/>
      <c r="C1080" s="531"/>
      <c r="D1080" s="531"/>
      <c r="E1080" s="531"/>
      <c r="F1080" s="531"/>
      <c r="G1080" s="531"/>
      <c r="H1080" s="531"/>
      <c r="I1080" s="531"/>
      <c r="J1080" s="531"/>
      <c r="K1080" s="531"/>
      <c r="L1080" s="531"/>
      <c r="M1080" s="531"/>
      <c r="N1080" s="531"/>
      <c r="O1080" s="531"/>
      <c r="P1080" s="531"/>
      <c r="Q1080" s="531"/>
      <c r="R1080" s="531"/>
      <c r="S1080" s="531"/>
      <c r="T1080" s="531"/>
      <c r="U1080" s="531"/>
      <c r="V1080" s="531"/>
      <c r="W1080" s="531"/>
      <c r="X1080" s="531"/>
      <c r="Y1080" s="531"/>
      <c r="Z1080" s="531"/>
      <c r="AA1080" s="531"/>
      <c r="AB1080" s="531"/>
      <c r="AC1080" s="531"/>
      <c r="AD1080" s="531"/>
      <c r="AE1080" s="531"/>
      <c r="AF1080" s="531"/>
      <c r="AG1080" s="531"/>
      <c r="AH1080" s="531"/>
      <c r="AI1080" s="531"/>
      <c r="AJ1080" s="531"/>
      <c r="AK1080" s="531"/>
      <c r="AL1080" s="531"/>
      <c r="AM1080" s="531"/>
      <c r="AN1080" s="531"/>
    </row>
    <row r="1081" customFormat="false" ht="16.5" hidden="false" customHeight="true" outlineLevel="0" collapsed="false">
      <c r="A1081" s="531"/>
      <c r="B1081" s="531"/>
      <c r="C1081" s="531"/>
      <c r="D1081" s="531"/>
      <c r="E1081" s="531"/>
      <c r="F1081" s="531"/>
      <c r="G1081" s="531"/>
      <c r="H1081" s="531"/>
      <c r="I1081" s="531"/>
      <c r="J1081" s="531"/>
      <c r="K1081" s="531"/>
      <c r="L1081" s="531"/>
      <c r="M1081" s="531"/>
      <c r="N1081" s="531"/>
      <c r="O1081" s="531"/>
      <c r="P1081" s="531"/>
      <c r="Q1081" s="531"/>
      <c r="R1081" s="531"/>
      <c r="S1081" s="531"/>
      <c r="T1081" s="531"/>
      <c r="U1081" s="531"/>
      <c r="V1081" s="531"/>
      <c r="W1081" s="531"/>
      <c r="X1081" s="531"/>
      <c r="Y1081" s="531"/>
      <c r="Z1081" s="531"/>
      <c r="AA1081" s="531"/>
      <c r="AB1081" s="531"/>
      <c r="AC1081" s="531"/>
      <c r="AD1081" s="531"/>
      <c r="AE1081" s="531"/>
      <c r="AF1081" s="531"/>
      <c r="AG1081" s="531"/>
      <c r="AH1081" s="531"/>
      <c r="AI1081" s="531"/>
      <c r="AJ1081" s="531"/>
      <c r="AK1081" s="531"/>
      <c r="AL1081" s="531"/>
      <c r="AM1081" s="531"/>
      <c r="AN1081" s="531"/>
    </row>
    <row r="1082" customFormat="false" ht="16.5" hidden="false" customHeight="true" outlineLevel="0" collapsed="false">
      <c r="A1082" s="531"/>
      <c r="B1082" s="531"/>
      <c r="C1082" s="531"/>
      <c r="D1082" s="531"/>
      <c r="E1082" s="531"/>
      <c r="F1082" s="531"/>
      <c r="G1082" s="531"/>
      <c r="H1082" s="531"/>
      <c r="I1082" s="531"/>
      <c r="J1082" s="531"/>
      <c r="K1082" s="531"/>
      <c r="L1082" s="531"/>
      <c r="M1082" s="531"/>
      <c r="N1082" s="531"/>
      <c r="O1082" s="531"/>
      <c r="P1082" s="531"/>
      <c r="Q1082" s="531"/>
      <c r="R1082" s="531"/>
      <c r="S1082" s="531"/>
      <c r="T1082" s="531"/>
      <c r="U1082" s="531"/>
      <c r="V1082" s="531"/>
      <c r="W1082" s="531"/>
      <c r="X1082" s="531"/>
      <c r="Y1082" s="531"/>
      <c r="Z1082" s="531"/>
      <c r="AA1082" s="531"/>
      <c r="AB1082" s="531"/>
      <c r="AC1082" s="531"/>
      <c r="AD1082" s="531"/>
      <c r="AE1082" s="531"/>
      <c r="AF1082" s="531"/>
      <c r="AG1082" s="531"/>
      <c r="AH1082" s="531"/>
      <c r="AI1082" s="531"/>
      <c r="AJ1082" s="531"/>
      <c r="AK1082" s="531"/>
      <c r="AL1082" s="531"/>
      <c r="AM1082" s="531"/>
      <c r="AN1082" s="531"/>
    </row>
    <row r="1083" customFormat="false" ht="16.5" hidden="false" customHeight="true" outlineLevel="0" collapsed="false">
      <c r="A1083" s="531"/>
      <c r="B1083" s="531"/>
      <c r="C1083" s="531"/>
      <c r="D1083" s="531"/>
      <c r="E1083" s="531"/>
      <c r="F1083" s="531"/>
      <c r="G1083" s="531"/>
      <c r="H1083" s="531"/>
      <c r="I1083" s="531"/>
      <c r="J1083" s="531"/>
      <c r="K1083" s="531"/>
      <c r="L1083" s="531"/>
      <c r="M1083" s="531"/>
      <c r="N1083" s="531"/>
      <c r="O1083" s="531"/>
      <c r="P1083" s="531"/>
      <c r="Q1083" s="531"/>
      <c r="R1083" s="531"/>
      <c r="S1083" s="531"/>
      <c r="T1083" s="531"/>
      <c r="U1083" s="531"/>
      <c r="V1083" s="531"/>
      <c r="W1083" s="531"/>
      <c r="X1083" s="531"/>
      <c r="Y1083" s="531"/>
      <c r="Z1083" s="531"/>
      <c r="AA1083" s="531"/>
      <c r="AB1083" s="531"/>
      <c r="AC1083" s="531"/>
      <c r="AD1083" s="531"/>
      <c r="AE1083" s="531"/>
      <c r="AF1083" s="531"/>
      <c r="AG1083" s="531"/>
      <c r="AH1083" s="531"/>
      <c r="AI1083" s="531"/>
      <c r="AJ1083" s="531"/>
      <c r="AK1083" s="531"/>
      <c r="AL1083" s="531"/>
      <c r="AM1083" s="531"/>
      <c r="AN1083" s="531"/>
    </row>
    <row r="1084" customFormat="false" ht="16.5" hidden="false" customHeight="true" outlineLevel="0" collapsed="false">
      <c r="A1084" s="531"/>
      <c r="B1084" s="531"/>
      <c r="C1084" s="531"/>
      <c r="D1084" s="531"/>
      <c r="E1084" s="531"/>
      <c r="F1084" s="531"/>
      <c r="G1084" s="531"/>
      <c r="H1084" s="531"/>
      <c r="I1084" s="531"/>
      <c r="J1084" s="531"/>
      <c r="K1084" s="531"/>
      <c r="L1084" s="531"/>
      <c r="M1084" s="531"/>
      <c r="N1084" s="531"/>
      <c r="O1084" s="531"/>
      <c r="P1084" s="531"/>
      <c r="Q1084" s="531"/>
      <c r="R1084" s="531"/>
      <c r="S1084" s="531"/>
      <c r="T1084" s="531"/>
      <c r="U1084" s="531"/>
      <c r="V1084" s="531"/>
      <c r="W1084" s="531"/>
      <c r="X1084" s="531"/>
      <c r="Y1084" s="531"/>
      <c r="Z1084" s="531"/>
      <c r="AA1084" s="531"/>
      <c r="AB1084" s="531"/>
      <c r="AC1084" s="531"/>
      <c r="AD1084" s="531"/>
      <c r="AE1084" s="531"/>
      <c r="AF1084" s="531"/>
      <c r="AG1084" s="531"/>
      <c r="AH1084" s="531"/>
      <c r="AI1084" s="531"/>
      <c r="AJ1084" s="531"/>
      <c r="AK1084" s="531"/>
      <c r="AL1084" s="531"/>
      <c r="AM1084" s="531"/>
      <c r="AN1084" s="531"/>
    </row>
    <row r="1085" customFormat="false" ht="16.5" hidden="false" customHeight="true" outlineLevel="0" collapsed="false">
      <c r="A1085" s="531"/>
      <c r="B1085" s="531"/>
      <c r="C1085" s="531"/>
      <c r="D1085" s="531"/>
      <c r="E1085" s="531"/>
      <c r="F1085" s="531"/>
      <c r="G1085" s="531"/>
      <c r="H1085" s="531"/>
      <c r="I1085" s="531"/>
      <c r="J1085" s="531"/>
      <c r="K1085" s="531"/>
      <c r="L1085" s="531"/>
      <c r="M1085" s="531"/>
      <c r="N1085" s="531"/>
      <c r="O1085" s="531"/>
      <c r="P1085" s="531"/>
      <c r="Q1085" s="531"/>
      <c r="R1085" s="531"/>
      <c r="S1085" s="531"/>
      <c r="T1085" s="531"/>
      <c r="U1085" s="531"/>
      <c r="V1085" s="531"/>
      <c r="W1085" s="531"/>
      <c r="X1085" s="531"/>
      <c r="Y1085" s="531"/>
      <c r="Z1085" s="531"/>
      <c r="AA1085" s="531"/>
      <c r="AB1085" s="531"/>
      <c r="AC1085" s="531"/>
      <c r="AD1085" s="531"/>
      <c r="AE1085" s="531"/>
      <c r="AF1085" s="531"/>
      <c r="AG1085" s="531"/>
      <c r="AH1085" s="531"/>
      <c r="AI1085" s="531"/>
      <c r="AJ1085" s="531"/>
      <c r="AK1085" s="531"/>
      <c r="AL1085" s="531"/>
      <c r="AM1085" s="531"/>
      <c r="AN1085" s="531"/>
    </row>
  </sheetData>
  <mergeCells count="1">
    <mergeCell ref="A1:L1"/>
  </mergeCells>
  <conditionalFormatting sqref="A6:L85">
    <cfRule type="expression" priority="2" aboveAverage="0" equalAverage="0" bottom="0" percent="0" rank="0" text="" dxfId="3">
      <formula>AND($Y6&lt;&gt;"",$B6=$B$2)</formula>
    </cfRule>
    <cfRule type="expression" priority="3" aboveAverage="0" equalAverage="0" bottom="0" percent="0" rank="0" text="" dxfId="4">
      <formula>AND($Y6&lt;&gt;"",$I6&gt;=10)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DDD"/>
    <pageSetUpPr fitToPage="false"/>
  </sheetPr>
  <dimension ref="A1:S12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98" activePane="bottomLeft" state="frozen"/>
      <selection pane="topLeft" activeCell="A1" activeCellId="0" sqref="A1"/>
      <selection pane="bottomLeft" activeCell="J404" activeCellId="0" sqref="J404"/>
    </sheetView>
  </sheetViews>
  <sheetFormatPr defaultColWidth="8.5390625" defaultRowHeight="39.75" zeroHeight="false" outlineLevelRow="0" outlineLevelCol="0"/>
  <cols>
    <col collapsed="false" customWidth="true" hidden="false" outlineLevel="0" max="1" min="1" style="553" width="5.25"/>
    <col collapsed="false" customWidth="true" hidden="false" outlineLevel="0" max="2" min="2" style="554" width="12.25"/>
    <col collapsed="false" customWidth="true" hidden="false" outlineLevel="0" max="3" min="3" style="553" width="15"/>
    <col collapsed="false" customWidth="true" hidden="false" outlineLevel="0" max="4" min="4" style="553" width="15.63"/>
    <col collapsed="false" customWidth="true" hidden="false" outlineLevel="0" max="5" min="5" style="553" width="15"/>
    <col collapsed="false" customWidth="true" hidden="false" outlineLevel="0" max="6" min="6" style="555" width="10.38"/>
    <col collapsed="false" customWidth="true" hidden="false" outlineLevel="0" max="7" min="7" style="556" width="8.88"/>
    <col collapsed="false" customWidth="true" hidden="false" outlineLevel="0" max="8" min="8" style="553" width="19.38"/>
    <col collapsed="false" customWidth="false" hidden="false" outlineLevel="0" max="9" min="9" style="553" width="8.5"/>
    <col collapsed="false" customWidth="true" hidden="false" outlineLevel="0" max="10" min="10" style="553" width="9.63"/>
    <col collapsed="false" customWidth="true" hidden="false" outlineLevel="0" max="17" min="11" style="557" width="9"/>
    <col collapsed="false" customWidth="true" hidden="false" outlineLevel="0" max="18" min="18" style="557" width="74.38"/>
  </cols>
  <sheetData>
    <row r="1" customFormat="false" ht="27.75" hidden="false" customHeight="true" outlineLevel="0" collapsed="false">
      <c r="A1" s="558" t="s">
        <v>1358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</row>
    <row r="2" customFormat="false" ht="16.5" hidden="false" customHeight="true" outlineLevel="0" collapsed="false">
      <c r="A2" s="63" t="s">
        <v>55</v>
      </c>
      <c r="B2" s="559" t="s">
        <v>56</v>
      </c>
      <c r="C2" s="63" t="s">
        <v>1359</v>
      </c>
      <c r="D2" s="63" t="s">
        <v>1360</v>
      </c>
      <c r="E2" s="63" t="s">
        <v>1354</v>
      </c>
      <c r="F2" s="559" t="s">
        <v>1361</v>
      </c>
      <c r="G2" s="63" t="s">
        <v>49</v>
      </c>
      <c r="H2" s="63" t="s">
        <v>1362</v>
      </c>
      <c r="I2" s="63" t="s">
        <v>1363</v>
      </c>
      <c r="J2" s="63" t="s">
        <v>1364</v>
      </c>
      <c r="K2" s="63" t="s">
        <v>1365</v>
      </c>
      <c r="L2" s="63"/>
      <c r="M2" s="63"/>
      <c r="N2" s="63"/>
      <c r="O2" s="63"/>
      <c r="P2" s="63"/>
      <c r="Q2" s="63"/>
      <c r="R2" s="63"/>
    </row>
    <row r="3" s="38" customFormat="true" ht="39.75" hidden="false" customHeight="true" outlineLevel="0" collapsed="false">
      <c r="A3" s="560" t="n">
        <v>1</v>
      </c>
      <c r="B3" s="561" t="n">
        <v>43886</v>
      </c>
      <c r="C3" s="562" t="s">
        <v>1366</v>
      </c>
      <c r="D3" s="562" t="s">
        <v>1367</v>
      </c>
      <c r="E3" s="562" t="s">
        <v>1368</v>
      </c>
      <c r="F3" s="563" t="s">
        <v>1369</v>
      </c>
      <c r="G3" s="563" t="s">
        <v>300</v>
      </c>
      <c r="H3" s="564" t="n">
        <v>0.014</v>
      </c>
      <c r="I3" s="565" t="n">
        <v>1.48</v>
      </c>
      <c r="J3" s="566" t="s">
        <v>95</v>
      </c>
      <c r="K3" s="361" t="s">
        <v>1370</v>
      </c>
      <c r="L3" s="361"/>
      <c r="M3" s="361"/>
      <c r="N3" s="361"/>
      <c r="O3" s="361"/>
      <c r="P3" s="361"/>
      <c r="Q3" s="361"/>
      <c r="R3" s="361"/>
      <c r="S3" s="36"/>
    </row>
    <row r="4" s="38" customFormat="true" ht="55.5" hidden="false" customHeight="true" outlineLevel="0" collapsed="false">
      <c r="A4" s="562" t="n">
        <v>2</v>
      </c>
      <c r="B4" s="561" t="n">
        <v>43886</v>
      </c>
      <c r="C4" s="562" t="s">
        <v>1371</v>
      </c>
      <c r="D4" s="562" t="s">
        <v>1372</v>
      </c>
      <c r="E4" s="562" t="s">
        <v>1373</v>
      </c>
      <c r="F4" s="567" t="s">
        <v>1374</v>
      </c>
      <c r="G4" s="568" t="s">
        <v>1375</v>
      </c>
      <c r="H4" s="569" t="s">
        <v>1376</v>
      </c>
      <c r="I4" s="570"/>
      <c r="J4" s="566" t="s">
        <v>95</v>
      </c>
      <c r="K4" s="361" t="s">
        <v>1377</v>
      </c>
      <c r="L4" s="361"/>
      <c r="M4" s="361"/>
      <c r="N4" s="361"/>
      <c r="O4" s="361"/>
      <c r="P4" s="361"/>
      <c r="Q4" s="361"/>
      <c r="R4" s="361"/>
      <c r="S4" s="36"/>
    </row>
    <row r="5" s="38" customFormat="true" ht="39.75" hidden="false" customHeight="true" outlineLevel="0" collapsed="false">
      <c r="A5" s="562" t="n">
        <v>3</v>
      </c>
      <c r="B5" s="561" t="n">
        <v>43887</v>
      </c>
      <c r="C5" s="562" t="s">
        <v>597</v>
      </c>
      <c r="D5" s="562" t="s">
        <v>598</v>
      </c>
      <c r="E5" s="562" t="s">
        <v>115</v>
      </c>
      <c r="F5" s="563" t="n">
        <v>43889</v>
      </c>
      <c r="G5" s="563" t="s">
        <v>300</v>
      </c>
      <c r="H5" s="569" t="s">
        <v>1378</v>
      </c>
      <c r="I5" s="565" t="n">
        <v>1.04</v>
      </c>
      <c r="J5" s="566" t="s">
        <v>95</v>
      </c>
      <c r="K5" s="360" t="s">
        <v>1379</v>
      </c>
      <c r="L5" s="360"/>
      <c r="M5" s="360"/>
      <c r="N5" s="360"/>
      <c r="O5" s="360"/>
      <c r="P5" s="360"/>
      <c r="Q5" s="360"/>
      <c r="R5" s="360"/>
      <c r="S5" s="36"/>
    </row>
    <row r="6" s="38" customFormat="true" ht="39.75" hidden="false" customHeight="true" outlineLevel="0" collapsed="false">
      <c r="A6" s="562" t="n">
        <v>4</v>
      </c>
      <c r="B6" s="561" t="n">
        <v>43887</v>
      </c>
      <c r="C6" s="562" t="s">
        <v>1129</v>
      </c>
      <c r="D6" s="562" t="s">
        <v>1380</v>
      </c>
      <c r="E6" s="562" t="s">
        <v>442</v>
      </c>
      <c r="F6" s="563" t="n">
        <v>43889</v>
      </c>
      <c r="G6" s="568" t="s">
        <v>1381</v>
      </c>
      <c r="H6" s="569" t="s">
        <v>1382</v>
      </c>
      <c r="I6" s="570" t="s">
        <v>1383</v>
      </c>
      <c r="J6" s="566" t="s">
        <v>95</v>
      </c>
      <c r="K6" s="360" t="s">
        <v>1379</v>
      </c>
      <c r="L6" s="360"/>
      <c r="M6" s="360"/>
      <c r="N6" s="360"/>
      <c r="O6" s="360"/>
      <c r="P6" s="360"/>
      <c r="Q6" s="360"/>
      <c r="R6" s="360"/>
      <c r="S6" s="36"/>
    </row>
    <row r="7" s="38" customFormat="true" ht="39.75" hidden="false" customHeight="true" outlineLevel="0" collapsed="false">
      <c r="A7" s="562" t="n">
        <v>5</v>
      </c>
      <c r="B7" s="561" t="n">
        <v>43888</v>
      </c>
      <c r="C7" s="562" t="s">
        <v>187</v>
      </c>
      <c r="D7" s="562" t="s">
        <v>188</v>
      </c>
      <c r="E7" s="562" t="s">
        <v>544</v>
      </c>
      <c r="F7" s="563" t="n">
        <v>43889</v>
      </c>
      <c r="G7" s="563" t="s">
        <v>300</v>
      </c>
      <c r="H7" s="564" t="n">
        <v>0.014</v>
      </c>
      <c r="I7" s="565"/>
      <c r="J7" s="567" t="s">
        <v>95</v>
      </c>
      <c r="K7" s="361" t="s">
        <v>1384</v>
      </c>
      <c r="L7" s="361"/>
      <c r="M7" s="361"/>
      <c r="N7" s="361"/>
      <c r="O7" s="361"/>
      <c r="P7" s="361"/>
      <c r="Q7" s="361"/>
      <c r="R7" s="361"/>
      <c r="S7" s="36"/>
    </row>
    <row r="8" customFormat="false" ht="39.75" hidden="false" customHeight="true" outlineLevel="0" collapsed="false">
      <c r="A8" s="562" t="n">
        <v>6</v>
      </c>
      <c r="B8" s="561" t="n">
        <v>43893</v>
      </c>
      <c r="C8" s="562" t="s">
        <v>96</v>
      </c>
      <c r="D8" s="562" t="s">
        <v>566</v>
      </c>
      <c r="E8" s="562" t="s">
        <v>98</v>
      </c>
      <c r="F8" s="563" t="n">
        <v>43895</v>
      </c>
      <c r="G8" s="568" t="s">
        <v>1385</v>
      </c>
      <c r="H8" s="571" t="s">
        <v>1386</v>
      </c>
      <c r="I8" s="572" t="s">
        <v>1387</v>
      </c>
      <c r="J8" s="573" t="s">
        <v>1388</v>
      </c>
      <c r="K8" s="361" t="s">
        <v>1389</v>
      </c>
      <c r="L8" s="361"/>
      <c r="M8" s="361"/>
      <c r="N8" s="361"/>
      <c r="O8" s="361"/>
      <c r="P8" s="361"/>
      <c r="Q8" s="361"/>
      <c r="R8" s="361"/>
    </row>
    <row r="9" customFormat="false" ht="39.75" hidden="false" customHeight="true" outlineLevel="0" collapsed="false">
      <c r="A9" s="562" t="n">
        <v>7</v>
      </c>
      <c r="B9" s="574" t="n">
        <v>43896</v>
      </c>
      <c r="C9" s="562" t="s">
        <v>96</v>
      </c>
      <c r="D9" s="562" t="s">
        <v>373</v>
      </c>
      <c r="E9" s="562" t="s">
        <v>360</v>
      </c>
      <c r="F9" s="563" t="n">
        <v>43896</v>
      </c>
      <c r="G9" s="563" t="s">
        <v>303</v>
      </c>
      <c r="H9" s="564" t="n">
        <v>0.0096</v>
      </c>
      <c r="I9" s="565" t="s">
        <v>1390</v>
      </c>
      <c r="J9" s="575" t="s">
        <v>95</v>
      </c>
      <c r="K9" s="361" t="s">
        <v>1391</v>
      </c>
      <c r="L9" s="361"/>
      <c r="M9" s="361"/>
      <c r="N9" s="361"/>
      <c r="O9" s="361"/>
      <c r="P9" s="361"/>
      <c r="Q9" s="361"/>
      <c r="R9" s="361"/>
    </row>
    <row r="10" customFormat="false" ht="39.75" hidden="false" customHeight="true" outlineLevel="0" collapsed="false">
      <c r="A10" s="562" t="n">
        <v>8</v>
      </c>
      <c r="B10" s="574" t="n">
        <v>43901</v>
      </c>
      <c r="C10" s="562" t="s">
        <v>89</v>
      </c>
      <c r="D10" s="562" t="s">
        <v>1392</v>
      </c>
      <c r="E10" s="562"/>
      <c r="F10" s="563" t="s">
        <v>1393</v>
      </c>
      <c r="G10" s="568" t="s">
        <v>1394</v>
      </c>
      <c r="H10" s="571" t="s">
        <v>1395</v>
      </c>
      <c r="I10" s="565" t="s">
        <v>1390</v>
      </c>
      <c r="J10" s="575" t="s">
        <v>95</v>
      </c>
      <c r="K10" s="360"/>
      <c r="L10" s="360"/>
      <c r="M10" s="360"/>
      <c r="N10" s="360"/>
      <c r="O10" s="360"/>
      <c r="P10" s="360"/>
      <c r="Q10" s="360"/>
      <c r="R10" s="360"/>
    </row>
    <row r="11" customFormat="false" ht="39.75" hidden="false" customHeight="true" outlineLevel="0" collapsed="false">
      <c r="A11" s="562" t="n">
        <v>9</v>
      </c>
      <c r="B11" s="574" t="n">
        <v>43902</v>
      </c>
      <c r="C11" s="562" t="s">
        <v>103</v>
      </c>
      <c r="D11" s="562" t="s">
        <v>1396</v>
      </c>
      <c r="E11" s="562"/>
      <c r="F11" s="563"/>
      <c r="G11" s="568" t="s">
        <v>1397</v>
      </c>
      <c r="H11" s="571" t="s">
        <v>1398</v>
      </c>
      <c r="I11" s="565"/>
      <c r="J11" s="575" t="s">
        <v>95</v>
      </c>
      <c r="K11" s="361" t="s">
        <v>1399</v>
      </c>
      <c r="L11" s="361"/>
      <c r="M11" s="361"/>
      <c r="N11" s="361"/>
      <c r="O11" s="361"/>
      <c r="P11" s="361"/>
      <c r="Q11" s="361"/>
      <c r="R11" s="361"/>
    </row>
    <row r="12" customFormat="false" ht="39.75" hidden="false" customHeight="true" outlineLevel="0" collapsed="false">
      <c r="A12" s="562" t="n">
        <v>10</v>
      </c>
      <c r="B12" s="574" t="n">
        <v>43903</v>
      </c>
      <c r="C12" s="562" t="s">
        <v>96</v>
      </c>
      <c r="D12" s="562" t="s">
        <v>566</v>
      </c>
      <c r="E12" s="562" t="s">
        <v>98</v>
      </c>
      <c r="F12" s="563" t="n">
        <v>43906</v>
      </c>
      <c r="G12" s="563" t="s">
        <v>300</v>
      </c>
      <c r="H12" s="564" t="n">
        <v>0.005</v>
      </c>
      <c r="I12" s="572" t="s">
        <v>1400</v>
      </c>
      <c r="J12" s="575" t="s">
        <v>95</v>
      </c>
      <c r="K12" s="360" t="s">
        <v>1401</v>
      </c>
      <c r="L12" s="360"/>
      <c r="M12" s="360"/>
      <c r="N12" s="360"/>
      <c r="O12" s="360"/>
      <c r="P12" s="360"/>
      <c r="Q12" s="360"/>
      <c r="R12" s="360"/>
    </row>
    <row r="13" customFormat="false" ht="69" hidden="false" customHeight="true" outlineLevel="0" collapsed="false">
      <c r="A13" s="562" t="n">
        <v>11</v>
      </c>
      <c r="B13" s="574" t="n">
        <v>43908</v>
      </c>
      <c r="C13" s="562" t="s">
        <v>1371</v>
      </c>
      <c r="D13" s="562" t="s">
        <v>1372</v>
      </c>
      <c r="E13" s="562" t="s">
        <v>1373</v>
      </c>
      <c r="F13" s="567" t="s">
        <v>1374</v>
      </c>
      <c r="G13" s="568" t="s">
        <v>1375</v>
      </c>
      <c r="H13" s="569" t="s">
        <v>1402</v>
      </c>
      <c r="I13" s="565" t="s">
        <v>300</v>
      </c>
      <c r="J13" s="566" t="s">
        <v>95</v>
      </c>
      <c r="K13" s="360"/>
      <c r="L13" s="360"/>
      <c r="M13" s="360"/>
      <c r="N13" s="360"/>
      <c r="O13" s="360"/>
      <c r="P13" s="360"/>
      <c r="Q13" s="360"/>
      <c r="R13" s="360"/>
    </row>
    <row r="14" customFormat="false" ht="65.25" hidden="false" customHeight="true" outlineLevel="0" collapsed="false">
      <c r="A14" s="562" t="n">
        <v>12</v>
      </c>
      <c r="B14" s="574" t="n">
        <v>43909</v>
      </c>
      <c r="C14" s="562" t="s">
        <v>103</v>
      </c>
      <c r="D14" s="562" t="s">
        <v>330</v>
      </c>
      <c r="E14" s="562" t="s">
        <v>1403</v>
      </c>
      <c r="F14" s="563" t="n">
        <v>43909</v>
      </c>
      <c r="G14" s="568" t="s">
        <v>1375</v>
      </c>
      <c r="H14" s="571" t="s">
        <v>1404</v>
      </c>
      <c r="I14" s="565" t="s">
        <v>1405</v>
      </c>
      <c r="J14" s="575" t="s">
        <v>95</v>
      </c>
      <c r="K14" s="361" t="s">
        <v>1406</v>
      </c>
      <c r="L14" s="361"/>
      <c r="M14" s="361"/>
      <c r="N14" s="361"/>
      <c r="O14" s="361"/>
      <c r="P14" s="361"/>
      <c r="Q14" s="361"/>
      <c r="R14" s="361"/>
    </row>
    <row r="15" customFormat="false" ht="39.75" hidden="false" customHeight="true" outlineLevel="0" collapsed="false">
      <c r="A15" s="562" t="n">
        <v>13</v>
      </c>
      <c r="B15" s="574" t="n">
        <v>43909</v>
      </c>
      <c r="C15" s="562" t="s">
        <v>96</v>
      </c>
      <c r="D15" s="562" t="s">
        <v>373</v>
      </c>
      <c r="E15" s="562"/>
      <c r="F15" s="563" t="n">
        <v>43909</v>
      </c>
      <c r="G15" s="568" t="s">
        <v>1407</v>
      </c>
      <c r="H15" s="571" t="s">
        <v>1408</v>
      </c>
      <c r="I15" s="565"/>
      <c r="J15" s="568" t="s">
        <v>1409</v>
      </c>
      <c r="K15" s="360"/>
      <c r="L15" s="360"/>
      <c r="M15" s="360"/>
      <c r="N15" s="360"/>
      <c r="O15" s="360"/>
      <c r="P15" s="360"/>
      <c r="Q15" s="360"/>
      <c r="R15" s="360"/>
    </row>
    <row r="16" customFormat="false" ht="39.75" hidden="false" customHeight="true" outlineLevel="0" collapsed="false">
      <c r="A16" s="562" t="n">
        <v>14</v>
      </c>
      <c r="B16" s="574" t="n">
        <v>43913</v>
      </c>
      <c r="C16" s="562" t="s">
        <v>124</v>
      </c>
      <c r="D16" s="562" t="s">
        <v>484</v>
      </c>
      <c r="E16" s="562" t="s">
        <v>1410</v>
      </c>
      <c r="F16" s="563" t="n">
        <v>43914</v>
      </c>
      <c r="G16" s="563" t="s">
        <v>303</v>
      </c>
      <c r="H16" s="564" t="n">
        <v>0.008</v>
      </c>
      <c r="I16" s="565" t="s">
        <v>303</v>
      </c>
      <c r="J16" s="566" t="s">
        <v>95</v>
      </c>
      <c r="K16" s="360" t="s">
        <v>1411</v>
      </c>
      <c r="L16" s="360"/>
      <c r="M16" s="360"/>
      <c r="N16" s="360"/>
      <c r="O16" s="360"/>
      <c r="P16" s="360"/>
      <c r="Q16" s="360"/>
      <c r="R16" s="360"/>
    </row>
    <row r="17" customFormat="false" ht="39.75" hidden="false" customHeight="true" outlineLevel="0" collapsed="false">
      <c r="A17" s="562" t="n">
        <v>15</v>
      </c>
      <c r="B17" s="574" t="n">
        <v>43914</v>
      </c>
      <c r="C17" s="562" t="s">
        <v>124</v>
      </c>
      <c r="D17" s="562" t="s">
        <v>484</v>
      </c>
      <c r="E17" s="562" t="s">
        <v>1410</v>
      </c>
      <c r="F17" s="563" t="n">
        <v>43914</v>
      </c>
      <c r="G17" s="568" t="s">
        <v>1397</v>
      </c>
      <c r="H17" s="571" t="s">
        <v>1412</v>
      </c>
      <c r="I17" s="572" t="s">
        <v>1397</v>
      </c>
      <c r="J17" s="566" t="s">
        <v>95</v>
      </c>
      <c r="K17" s="360" t="s">
        <v>1413</v>
      </c>
      <c r="L17" s="360"/>
      <c r="M17" s="360"/>
      <c r="N17" s="360"/>
      <c r="O17" s="360"/>
      <c r="P17" s="360"/>
      <c r="Q17" s="360"/>
      <c r="R17" s="360"/>
    </row>
    <row r="18" customFormat="false" ht="69" hidden="false" customHeight="true" outlineLevel="0" collapsed="false">
      <c r="A18" s="562" t="n">
        <v>16</v>
      </c>
      <c r="B18" s="574" t="n">
        <v>43928</v>
      </c>
      <c r="C18" s="562" t="s">
        <v>1371</v>
      </c>
      <c r="D18" s="562" t="s">
        <v>1372</v>
      </c>
      <c r="E18" s="562" t="s">
        <v>1373</v>
      </c>
      <c r="F18" s="567" t="s">
        <v>158</v>
      </c>
      <c r="G18" s="568" t="s">
        <v>1375</v>
      </c>
      <c r="H18" s="569" t="s">
        <v>1414</v>
      </c>
      <c r="I18" s="565" t="s">
        <v>300</v>
      </c>
      <c r="J18" s="566" t="s">
        <v>95</v>
      </c>
      <c r="K18" s="360"/>
      <c r="L18" s="360"/>
      <c r="M18" s="360"/>
      <c r="N18" s="360"/>
      <c r="O18" s="360"/>
      <c r="P18" s="360"/>
      <c r="Q18" s="360"/>
      <c r="R18" s="360"/>
    </row>
    <row r="19" customFormat="false" ht="39.75" hidden="false" customHeight="true" outlineLevel="0" collapsed="false">
      <c r="A19" s="562" t="n">
        <v>17</v>
      </c>
      <c r="B19" s="574" t="n">
        <v>43928</v>
      </c>
      <c r="C19" s="562" t="s">
        <v>96</v>
      </c>
      <c r="D19" s="562" t="s">
        <v>373</v>
      </c>
      <c r="E19" s="560" t="s">
        <v>1415</v>
      </c>
      <c r="F19" s="563"/>
      <c r="G19" s="568" t="s">
        <v>1416</v>
      </c>
      <c r="H19" s="571" t="s">
        <v>1417</v>
      </c>
      <c r="I19" s="565" t="s">
        <v>1418</v>
      </c>
      <c r="J19" s="576" t="s">
        <v>1388</v>
      </c>
      <c r="K19" s="360" t="s">
        <v>1419</v>
      </c>
      <c r="L19" s="360"/>
      <c r="M19" s="360"/>
      <c r="N19" s="360"/>
      <c r="O19" s="360"/>
      <c r="P19" s="360"/>
      <c r="Q19" s="360"/>
      <c r="R19" s="360"/>
    </row>
    <row r="20" customFormat="false" ht="39.75" hidden="false" customHeight="true" outlineLevel="0" collapsed="false">
      <c r="A20" s="562" t="n">
        <v>18</v>
      </c>
      <c r="B20" s="574" t="n">
        <v>43928</v>
      </c>
      <c r="C20" s="562" t="s">
        <v>103</v>
      </c>
      <c r="D20" s="562" t="s">
        <v>555</v>
      </c>
      <c r="E20" s="562" t="s">
        <v>229</v>
      </c>
      <c r="F20" s="563"/>
      <c r="G20" s="568" t="s">
        <v>1420</v>
      </c>
      <c r="H20" s="571" t="s">
        <v>1421</v>
      </c>
      <c r="I20" s="565"/>
      <c r="J20" s="575" t="s">
        <v>95</v>
      </c>
      <c r="K20" s="360"/>
      <c r="L20" s="360"/>
      <c r="M20" s="360"/>
      <c r="N20" s="360"/>
      <c r="O20" s="360"/>
      <c r="P20" s="360"/>
      <c r="Q20" s="360"/>
      <c r="R20" s="360"/>
    </row>
    <row r="21" customFormat="false" ht="69" hidden="false" customHeight="true" outlineLevel="0" collapsed="false">
      <c r="A21" s="562" t="n">
        <v>19</v>
      </c>
      <c r="B21" s="574" t="n">
        <v>43938</v>
      </c>
      <c r="C21" s="562" t="s">
        <v>1371</v>
      </c>
      <c r="D21" s="562" t="s">
        <v>1372</v>
      </c>
      <c r="E21" s="562" t="s">
        <v>1373</v>
      </c>
      <c r="F21" s="567" t="s">
        <v>158</v>
      </c>
      <c r="G21" s="568" t="s">
        <v>1375</v>
      </c>
      <c r="H21" s="569" t="s">
        <v>1422</v>
      </c>
      <c r="I21" s="565" t="s">
        <v>1423</v>
      </c>
      <c r="J21" s="566" t="s">
        <v>95</v>
      </c>
      <c r="K21" s="360"/>
      <c r="L21" s="360"/>
      <c r="M21" s="360"/>
      <c r="N21" s="360"/>
      <c r="O21" s="360"/>
      <c r="P21" s="360"/>
      <c r="Q21" s="360"/>
      <c r="R21" s="360"/>
    </row>
    <row r="22" customFormat="false" ht="39.75" hidden="false" customHeight="true" outlineLevel="0" collapsed="false">
      <c r="A22" s="562" t="n">
        <v>20</v>
      </c>
      <c r="B22" s="574" t="n">
        <v>43941</v>
      </c>
      <c r="C22" s="562" t="s">
        <v>96</v>
      </c>
      <c r="D22" s="562" t="s">
        <v>143</v>
      </c>
      <c r="E22" s="562" t="s">
        <v>360</v>
      </c>
      <c r="F22" s="567" t="s">
        <v>158</v>
      </c>
      <c r="G22" s="563" t="s">
        <v>303</v>
      </c>
      <c r="H22" s="564" t="n">
        <v>0.005</v>
      </c>
      <c r="I22" s="565" t="s">
        <v>1424</v>
      </c>
      <c r="J22" s="575" t="s">
        <v>95</v>
      </c>
      <c r="K22" s="360" t="s">
        <v>1425</v>
      </c>
      <c r="L22" s="360"/>
      <c r="M22" s="360"/>
      <c r="N22" s="360"/>
      <c r="O22" s="360"/>
      <c r="P22" s="360"/>
      <c r="Q22" s="360"/>
      <c r="R22" s="360"/>
    </row>
    <row r="23" customFormat="false" ht="39.75" hidden="false" customHeight="true" outlineLevel="0" collapsed="false">
      <c r="A23" s="562" t="n">
        <v>21</v>
      </c>
      <c r="B23" s="574" t="n">
        <v>43942</v>
      </c>
      <c r="C23" s="562" t="s">
        <v>124</v>
      </c>
      <c r="D23" s="562" t="s">
        <v>484</v>
      </c>
      <c r="E23" s="562" t="s">
        <v>1410</v>
      </c>
      <c r="F23" s="563" t="n">
        <v>43945</v>
      </c>
      <c r="G23" s="568" t="s">
        <v>303</v>
      </c>
      <c r="H23" s="571" t="n">
        <v>0.0045</v>
      </c>
      <c r="I23" s="572" t="s">
        <v>1426</v>
      </c>
      <c r="J23" s="566" t="s">
        <v>95</v>
      </c>
      <c r="K23" s="360" t="s">
        <v>1427</v>
      </c>
      <c r="L23" s="360"/>
      <c r="M23" s="360"/>
      <c r="N23" s="360"/>
      <c r="O23" s="360"/>
      <c r="P23" s="360"/>
      <c r="Q23" s="360"/>
      <c r="R23" s="360"/>
    </row>
    <row r="24" customFormat="false" ht="39.75" hidden="false" customHeight="true" outlineLevel="0" collapsed="false">
      <c r="A24" s="562" t="n">
        <v>22</v>
      </c>
      <c r="B24" s="574" t="n">
        <v>43944</v>
      </c>
      <c r="C24" s="562" t="s">
        <v>392</v>
      </c>
      <c r="D24" s="562" t="s">
        <v>278</v>
      </c>
      <c r="E24" s="562" t="s">
        <v>394</v>
      </c>
      <c r="F24" s="568" t="s">
        <v>1428</v>
      </c>
      <c r="G24" s="563" t="s">
        <v>396</v>
      </c>
      <c r="H24" s="564" t="s">
        <v>1429</v>
      </c>
      <c r="I24" s="565" t="s">
        <v>1430</v>
      </c>
      <c r="J24" s="566" t="s">
        <v>95</v>
      </c>
      <c r="K24" s="361" t="s">
        <v>1431</v>
      </c>
      <c r="L24" s="361"/>
      <c r="M24" s="361"/>
      <c r="N24" s="361"/>
      <c r="O24" s="361"/>
      <c r="P24" s="361"/>
      <c r="Q24" s="361"/>
      <c r="R24" s="361"/>
    </row>
    <row r="25" customFormat="false" ht="39.75" hidden="false" customHeight="true" outlineLevel="0" collapsed="false">
      <c r="A25" s="562" t="n">
        <v>23</v>
      </c>
      <c r="B25" s="574" t="n">
        <v>43944</v>
      </c>
      <c r="C25" s="562" t="s">
        <v>103</v>
      </c>
      <c r="D25" s="562" t="s">
        <v>330</v>
      </c>
      <c r="E25" s="562"/>
      <c r="F25" s="567" t="s">
        <v>158</v>
      </c>
      <c r="G25" s="568" t="s">
        <v>1397</v>
      </c>
      <c r="H25" s="571" t="s">
        <v>1432</v>
      </c>
      <c r="I25" s="565" t="s">
        <v>1433</v>
      </c>
      <c r="J25" s="566" t="s">
        <v>95</v>
      </c>
      <c r="K25" s="361" t="s">
        <v>1434</v>
      </c>
      <c r="L25" s="361"/>
      <c r="M25" s="361"/>
      <c r="N25" s="361"/>
      <c r="O25" s="361"/>
      <c r="P25" s="361"/>
      <c r="Q25" s="361"/>
      <c r="R25" s="361"/>
    </row>
    <row r="26" customFormat="false" ht="39.75" hidden="false" customHeight="true" outlineLevel="0" collapsed="false">
      <c r="A26" s="562" t="n">
        <v>24</v>
      </c>
      <c r="B26" s="574" t="n">
        <v>43945</v>
      </c>
      <c r="C26" s="562" t="s">
        <v>124</v>
      </c>
      <c r="D26" s="562" t="s">
        <v>484</v>
      </c>
      <c r="E26" s="562" t="s">
        <v>1410</v>
      </c>
      <c r="F26" s="563" t="n">
        <v>43945</v>
      </c>
      <c r="G26" s="568" t="s">
        <v>1397</v>
      </c>
      <c r="H26" s="571" t="s">
        <v>1432</v>
      </c>
      <c r="I26" s="572" t="s">
        <v>1426</v>
      </c>
      <c r="J26" s="566" t="s">
        <v>95</v>
      </c>
      <c r="K26" s="360" t="s">
        <v>1435</v>
      </c>
      <c r="L26" s="360"/>
      <c r="M26" s="360"/>
      <c r="N26" s="360"/>
      <c r="O26" s="360"/>
      <c r="P26" s="360"/>
      <c r="Q26" s="360"/>
      <c r="R26" s="360"/>
    </row>
    <row r="27" customFormat="false" ht="39.75" hidden="false" customHeight="true" outlineLevel="0" collapsed="false">
      <c r="A27" s="562" t="n">
        <v>25</v>
      </c>
      <c r="B27" s="574" t="n">
        <v>43945</v>
      </c>
      <c r="C27" s="562" t="s">
        <v>346</v>
      </c>
      <c r="D27" s="562" t="s">
        <v>445</v>
      </c>
      <c r="E27" s="562" t="s">
        <v>152</v>
      </c>
      <c r="F27" s="563" t="n">
        <v>43948</v>
      </c>
      <c r="G27" s="568" t="s">
        <v>1397</v>
      </c>
      <c r="H27" s="571" t="s">
        <v>1432</v>
      </c>
      <c r="I27" s="572" t="s">
        <v>1426</v>
      </c>
      <c r="J27" s="566" t="s">
        <v>95</v>
      </c>
      <c r="K27" s="360" t="s">
        <v>1435</v>
      </c>
      <c r="L27" s="360"/>
      <c r="M27" s="360"/>
      <c r="N27" s="360"/>
      <c r="O27" s="360"/>
      <c r="P27" s="360"/>
      <c r="Q27" s="360"/>
      <c r="R27" s="360"/>
    </row>
    <row r="28" customFormat="false" ht="69" hidden="false" customHeight="true" outlineLevel="0" collapsed="false">
      <c r="A28" s="562" t="n">
        <v>26</v>
      </c>
      <c r="B28" s="574" t="n">
        <v>43959</v>
      </c>
      <c r="C28" s="562" t="s">
        <v>1371</v>
      </c>
      <c r="D28" s="562" t="s">
        <v>1372</v>
      </c>
      <c r="E28" s="562" t="s">
        <v>1373</v>
      </c>
      <c r="F28" s="567" t="s">
        <v>158</v>
      </c>
      <c r="G28" s="568" t="s">
        <v>1375</v>
      </c>
      <c r="H28" s="569" t="s">
        <v>1436</v>
      </c>
      <c r="I28" s="565" t="s">
        <v>1423</v>
      </c>
      <c r="J28" s="566" t="s">
        <v>95</v>
      </c>
      <c r="K28" s="360"/>
      <c r="L28" s="360"/>
      <c r="M28" s="360"/>
      <c r="N28" s="360"/>
      <c r="O28" s="360"/>
      <c r="P28" s="360"/>
      <c r="Q28" s="360"/>
      <c r="R28" s="360"/>
    </row>
    <row r="29" customFormat="false" ht="69" hidden="false" customHeight="true" outlineLevel="0" collapsed="false">
      <c r="A29" s="562" t="n">
        <v>27</v>
      </c>
      <c r="B29" s="574" t="n">
        <v>43966</v>
      </c>
      <c r="C29" s="562" t="s">
        <v>1371</v>
      </c>
      <c r="D29" s="562" t="s">
        <v>1372</v>
      </c>
      <c r="E29" s="562" t="s">
        <v>1373</v>
      </c>
      <c r="F29" s="567" t="s">
        <v>158</v>
      </c>
      <c r="G29" s="568" t="s">
        <v>1375</v>
      </c>
      <c r="H29" s="569" t="s">
        <v>1437</v>
      </c>
      <c r="I29" s="565" t="s">
        <v>1423</v>
      </c>
      <c r="J29" s="566" t="s">
        <v>95</v>
      </c>
      <c r="K29" s="360"/>
      <c r="L29" s="360"/>
      <c r="M29" s="360"/>
      <c r="N29" s="360"/>
      <c r="O29" s="360"/>
      <c r="P29" s="360"/>
      <c r="Q29" s="360"/>
      <c r="R29" s="360"/>
    </row>
    <row r="30" s="38" customFormat="true" ht="39.75" hidden="false" customHeight="true" outlineLevel="0" collapsed="false">
      <c r="A30" s="562" t="n">
        <v>28</v>
      </c>
      <c r="B30" s="561" t="n">
        <v>43970</v>
      </c>
      <c r="C30" s="562" t="s">
        <v>1366</v>
      </c>
      <c r="D30" s="562" t="s">
        <v>1367</v>
      </c>
      <c r="E30" s="562" t="s">
        <v>1368</v>
      </c>
      <c r="F30" s="563" t="n">
        <v>43973</v>
      </c>
      <c r="G30" s="568" t="s">
        <v>1438</v>
      </c>
      <c r="H30" s="564" t="n">
        <v>0</v>
      </c>
      <c r="I30" s="565" t="s">
        <v>1423</v>
      </c>
      <c r="J30" s="566" t="s">
        <v>95</v>
      </c>
      <c r="K30" s="361" t="s">
        <v>1439</v>
      </c>
      <c r="L30" s="361"/>
      <c r="M30" s="361"/>
      <c r="N30" s="361"/>
      <c r="O30" s="361"/>
      <c r="P30" s="361"/>
      <c r="Q30" s="361"/>
      <c r="R30" s="361"/>
      <c r="S30" s="36"/>
    </row>
    <row r="31" customFormat="false" ht="48.75" hidden="false" customHeight="true" outlineLevel="0" collapsed="false">
      <c r="A31" s="562" t="n">
        <v>29</v>
      </c>
      <c r="B31" s="574" t="n">
        <v>43976</v>
      </c>
      <c r="C31" s="562" t="s">
        <v>124</v>
      </c>
      <c r="D31" s="562" t="s">
        <v>484</v>
      </c>
      <c r="E31" s="562" t="s">
        <v>1410</v>
      </c>
      <c r="F31" s="563" t="n">
        <v>43977</v>
      </c>
      <c r="G31" s="568" t="s">
        <v>1381</v>
      </c>
      <c r="H31" s="571" t="s">
        <v>1440</v>
      </c>
      <c r="I31" s="572" t="s">
        <v>1441</v>
      </c>
      <c r="J31" s="566" t="s">
        <v>95</v>
      </c>
      <c r="K31" s="360" t="s">
        <v>1442</v>
      </c>
      <c r="L31" s="360"/>
      <c r="M31" s="360"/>
      <c r="N31" s="360"/>
      <c r="O31" s="360"/>
      <c r="P31" s="360"/>
      <c r="Q31" s="360"/>
      <c r="R31" s="360"/>
    </row>
    <row r="32" customFormat="false" ht="69" hidden="false" customHeight="true" outlineLevel="0" collapsed="false">
      <c r="A32" s="562" t="n">
        <v>30</v>
      </c>
      <c r="B32" s="574" t="n">
        <v>43976</v>
      </c>
      <c r="C32" s="562" t="s">
        <v>1371</v>
      </c>
      <c r="D32" s="562" t="s">
        <v>1372</v>
      </c>
      <c r="E32" s="562" t="s">
        <v>1373</v>
      </c>
      <c r="F32" s="567" t="s">
        <v>158</v>
      </c>
      <c r="G32" s="568" t="s">
        <v>1375</v>
      </c>
      <c r="H32" s="569" t="s">
        <v>1443</v>
      </c>
      <c r="I32" s="565" t="s">
        <v>1423</v>
      </c>
      <c r="J32" s="566" t="s">
        <v>95</v>
      </c>
      <c r="K32" s="360" t="s">
        <v>1444</v>
      </c>
      <c r="L32" s="360"/>
      <c r="M32" s="360"/>
      <c r="N32" s="360"/>
      <c r="O32" s="360"/>
      <c r="P32" s="360"/>
      <c r="Q32" s="360"/>
      <c r="R32" s="360"/>
    </row>
    <row r="33" customFormat="false" ht="48.75" hidden="false" customHeight="true" outlineLevel="0" collapsed="false">
      <c r="A33" s="562" t="n">
        <v>31</v>
      </c>
      <c r="B33" s="574" t="n">
        <v>43977</v>
      </c>
      <c r="C33" s="562" t="s">
        <v>124</v>
      </c>
      <c r="D33" s="562" t="s">
        <v>484</v>
      </c>
      <c r="E33" s="562" t="s">
        <v>1410</v>
      </c>
      <c r="F33" s="563" t="n">
        <v>43977</v>
      </c>
      <c r="G33" s="568" t="s">
        <v>1381</v>
      </c>
      <c r="H33" s="571" t="s">
        <v>1445</v>
      </c>
      <c r="I33" s="572" t="s">
        <v>1441</v>
      </c>
      <c r="J33" s="566" t="s">
        <v>95</v>
      </c>
      <c r="K33" s="360" t="s">
        <v>1446</v>
      </c>
      <c r="L33" s="360"/>
      <c r="M33" s="360"/>
      <c r="N33" s="360"/>
      <c r="O33" s="360"/>
      <c r="P33" s="360"/>
      <c r="Q33" s="360"/>
      <c r="R33" s="360"/>
    </row>
    <row r="34" s="38" customFormat="true" ht="39.75" hidden="false" customHeight="true" outlineLevel="0" collapsed="false">
      <c r="A34" s="562" t="n">
        <v>32</v>
      </c>
      <c r="B34" s="561" t="n">
        <v>43977</v>
      </c>
      <c r="C34" s="562" t="s">
        <v>187</v>
      </c>
      <c r="D34" s="562" t="s">
        <v>188</v>
      </c>
      <c r="E34" s="562" t="s">
        <v>544</v>
      </c>
      <c r="F34" s="563" t="n">
        <v>43979</v>
      </c>
      <c r="G34" s="568" t="s">
        <v>1447</v>
      </c>
      <c r="H34" s="571" t="s">
        <v>1448</v>
      </c>
      <c r="I34" s="572" t="s">
        <v>1441</v>
      </c>
      <c r="J34" s="567" t="s">
        <v>95</v>
      </c>
      <c r="K34" s="360" t="s">
        <v>1449</v>
      </c>
      <c r="L34" s="360"/>
      <c r="M34" s="360"/>
      <c r="N34" s="360"/>
      <c r="O34" s="360"/>
      <c r="P34" s="360"/>
      <c r="Q34" s="360"/>
      <c r="R34" s="360"/>
      <c r="S34" s="36"/>
    </row>
    <row r="35" s="38" customFormat="true" ht="39.75" hidden="false" customHeight="true" outlineLevel="0" collapsed="false">
      <c r="A35" s="562" t="n">
        <v>33</v>
      </c>
      <c r="B35" s="561" t="n">
        <v>43977</v>
      </c>
      <c r="C35" s="562" t="s">
        <v>1129</v>
      </c>
      <c r="D35" s="562" t="s">
        <v>1450</v>
      </c>
      <c r="E35" s="562" t="s">
        <v>442</v>
      </c>
      <c r="F35" s="563" t="n">
        <v>43979</v>
      </c>
      <c r="G35" s="568" t="s">
        <v>1381</v>
      </c>
      <c r="H35" s="569" t="s">
        <v>1445</v>
      </c>
      <c r="I35" s="570" t="s">
        <v>1383</v>
      </c>
      <c r="J35" s="566" t="s">
        <v>95</v>
      </c>
      <c r="K35" s="360" t="s">
        <v>1451</v>
      </c>
      <c r="L35" s="360"/>
      <c r="M35" s="360"/>
      <c r="N35" s="360"/>
      <c r="O35" s="360"/>
      <c r="P35" s="360"/>
      <c r="Q35" s="360"/>
      <c r="R35" s="360"/>
      <c r="S35" s="36"/>
    </row>
    <row r="36" s="38" customFormat="true" ht="57.75" hidden="false" customHeight="true" outlineLevel="0" collapsed="false">
      <c r="A36" s="562" t="n">
        <v>34</v>
      </c>
      <c r="B36" s="561" t="n">
        <v>43980</v>
      </c>
      <c r="C36" s="562" t="s">
        <v>1129</v>
      </c>
      <c r="D36" s="562" t="s">
        <v>1450</v>
      </c>
      <c r="E36" s="562" t="s">
        <v>442</v>
      </c>
      <c r="F36" s="567" t="s">
        <v>158</v>
      </c>
      <c r="G36" s="568" t="s">
        <v>1375</v>
      </c>
      <c r="H36" s="569" t="s">
        <v>1452</v>
      </c>
      <c r="I36" s="570" t="s">
        <v>1383</v>
      </c>
      <c r="J36" s="566" t="s">
        <v>95</v>
      </c>
      <c r="K36" s="360" t="s">
        <v>1453</v>
      </c>
      <c r="L36" s="360"/>
      <c r="M36" s="360"/>
      <c r="N36" s="360"/>
      <c r="O36" s="360"/>
      <c r="P36" s="360"/>
      <c r="Q36" s="360"/>
      <c r="R36" s="360"/>
      <c r="S36" s="36"/>
    </row>
    <row r="37" customFormat="false" ht="69" hidden="false" customHeight="true" outlineLevel="0" collapsed="false">
      <c r="A37" s="562" t="n">
        <v>35</v>
      </c>
      <c r="B37" s="574" t="n">
        <v>43983</v>
      </c>
      <c r="C37" s="562" t="s">
        <v>1371</v>
      </c>
      <c r="D37" s="562" t="s">
        <v>1372</v>
      </c>
      <c r="E37" s="562" t="s">
        <v>1373</v>
      </c>
      <c r="F37" s="567" t="s">
        <v>158</v>
      </c>
      <c r="G37" s="568" t="s">
        <v>1375</v>
      </c>
      <c r="H37" s="569" t="s">
        <v>1454</v>
      </c>
      <c r="I37" s="565" t="s">
        <v>1423</v>
      </c>
      <c r="J37" s="566" t="s">
        <v>95</v>
      </c>
      <c r="K37" s="360" t="s">
        <v>1455</v>
      </c>
      <c r="L37" s="360"/>
      <c r="M37" s="360"/>
      <c r="N37" s="360"/>
      <c r="O37" s="360"/>
      <c r="P37" s="360"/>
      <c r="Q37" s="360"/>
      <c r="R37" s="360"/>
    </row>
    <row r="38" s="38" customFormat="true" ht="57.75" hidden="false" customHeight="true" outlineLevel="0" collapsed="false">
      <c r="A38" s="562" t="n">
        <v>34</v>
      </c>
      <c r="B38" s="561" t="n">
        <v>43985</v>
      </c>
      <c r="C38" s="562" t="s">
        <v>1129</v>
      </c>
      <c r="D38" s="562" t="s">
        <v>1450</v>
      </c>
      <c r="E38" s="562" t="s">
        <v>442</v>
      </c>
      <c r="F38" s="567" t="s">
        <v>158</v>
      </c>
      <c r="G38" s="568" t="s">
        <v>1381</v>
      </c>
      <c r="H38" s="569" t="s">
        <v>1456</v>
      </c>
      <c r="I38" s="570" t="s">
        <v>1457</v>
      </c>
      <c r="J38" s="566" t="s">
        <v>95</v>
      </c>
      <c r="K38" s="360" t="s">
        <v>1458</v>
      </c>
      <c r="L38" s="360"/>
      <c r="M38" s="360"/>
      <c r="N38" s="360"/>
      <c r="O38" s="360"/>
      <c r="P38" s="360"/>
      <c r="Q38" s="360"/>
      <c r="R38" s="360"/>
      <c r="S38" s="36"/>
    </row>
    <row r="39" s="38" customFormat="true" ht="57.75" hidden="false" customHeight="true" outlineLevel="0" collapsed="false">
      <c r="A39" s="562" t="n">
        <v>35</v>
      </c>
      <c r="B39" s="561" t="n">
        <v>43986</v>
      </c>
      <c r="C39" s="562" t="s">
        <v>1129</v>
      </c>
      <c r="D39" s="562" t="s">
        <v>1450</v>
      </c>
      <c r="E39" s="562" t="s">
        <v>442</v>
      </c>
      <c r="F39" s="567" t="s">
        <v>158</v>
      </c>
      <c r="G39" s="568" t="s">
        <v>1381</v>
      </c>
      <c r="H39" s="569" t="s">
        <v>1459</v>
      </c>
      <c r="I39" s="570" t="s">
        <v>1457</v>
      </c>
      <c r="J39" s="566" t="s">
        <v>95</v>
      </c>
      <c r="K39" s="360" t="s">
        <v>1460</v>
      </c>
      <c r="L39" s="360"/>
      <c r="M39" s="360"/>
      <c r="N39" s="360"/>
      <c r="O39" s="360"/>
      <c r="P39" s="360"/>
      <c r="Q39" s="360"/>
      <c r="R39" s="360"/>
      <c r="S39" s="36"/>
    </row>
    <row r="40" s="38" customFormat="true" ht="57.75" hidden="false" customHeight="true" outlineLevel="0" collapsed="false">
      <c r="A40" s="562" t="n">
        <v>36</v>
      </c>
      <c r="B40" s="561" t="n">
        <v>43990</v>
      </c>
      <c r="C40" s="562" t="s">
        <v>1129</v>
      </c>
      <c r="D40" s="562" t="s">
        <v>1450</v>
      </c>
      <c r="E40" s="562" t="s">
        <v>442</v>
      </c>
      <c r="F40" s="567" t="s">
        <v>158</v>
      </c>
      <c r="G40" s="568" t="s">
        <v>1381</v>
      </c>
      <c r="H40" s="569" t="s">
        <v>1461</v>
      </c>
      <c r="I40" s="570" t="s">
        <v>1457</v>
      </c>
      <c r="J40" s="566" t="s">
        <v>95</v>
      </c>
      <c r="K40" s="360"/>
      <c r="L40" s="360"/>
      <c r="M40" s="360"/>
      <c r="N40" s="360"/>
      <c r="O40" s="360"/>
      <c r="P40" s="360"/>
      <c r="Q40" s="360"/>
      <c r="R40" s="360"/>
      <c r="S40" s="36"/>
    </row>
    <row r="41" s="38" customFormat="true" ht="57.75" hidden="false" customHeight="true" outlineLevel="0" collapsed="false">
      <c r="A41" s="562" t="n">
        <v>37</v>
      </c>
      <c r="B41" s="561" t="n">
        <v>43991</v>
      </c>
      <c r="C41" s="562" t="s">
        <v>1129</v>
      </c>
      <c r="D41" s="562" t="s">
        <v>1450</v>
      </c>
      <c r="E41" s="562" t="s">
        <v>442</v>
      </c>
      <c r="F41" s="567" t="s">
        <v>158</v>
      </c>
      <c r="G41" s="568" t="s">
        <v>1381</v>
      </c>
      <c r="H41" s="569" t="s">
        <v>1462</v>
      </c>
      <c r="I41" s="570" t="s">
        <v>1457</v>
      </c>
      <c r="J41" s="566" t="s">
        <v>95</v>
      </c>
      <c r="K41" s="360"/>
      <c r="L41" s="360"/>
      <c r="M41" s="360"/>
      <c r="N41" s="360"/>
      <c r="O41" s="360"/>
      <c r="P41" s="360"/>
      <c r="Q41" s="360"/>
      <c r="R41" s="360"/>
      <c r="S41" s="36"/>
    </row>
    <row r="42" s="38" customFormat="true" ht="57.75" hidden="false" customHeight="true" outlineLevel="0" collapsed="false">
      <c r="A42" s="562" t="n">
        <v>38</v>
      </c>
      <c r="B42" s="561" t="n">
        <v>43991</v>
      </c>
      <c r="C42" s="562" t="s">
        <v>1172</v>
      </c>
      <c r="D42" s="562" t="s">
        <v>1463</v>
      </c>
      <c r="E42" s="562"/>
      <c r="F42" s="567" t="s">
        <v>158</v>
      </c>
      <c r="G42" s="568" t="s">
        <v>1447</v>
      </c>
      <c r="H42" s="569" t="s">
        <v>1464</v>
      </c>
      <c r="I42" s="570" t="s">
        <v>1441</v>
      </c>
      <c r="J42" s="566" t="s">
        <v>95</v>
      </c>
      <c r="K42" s="360" t="s">
        <v>1465</v>
      </c>
      <c r="L42" s="360"/>
      <c r="M42" s="360"/>
      <c r="N42" s="360"/>
      <c r="O42" s="360"/>
      <c r="P42" s="360"/>
      <c r="Q42" s="360"/>
      <c r="R42" s="360"/>
      <c r="S42" s="36"/>
    </row>
    <row r="43" s="38" customFormat="true" ht="57.75" hidden="false" customHeight="true" outlineLevel="0" collapsed="false">
      <c r="A43" s="562" t="n">
        <v>39</v>
      </c>
      <c r="B43" s="561" t="n">
        <v>43993</v>
      </c>
      <c r="C43" s="562" t="s">
        <v>1129</v>
      </c>
      <c r="D43" s="562" t="s">
        <v>1450</v>
      </c>
      <c r="E43" s="562" t="s">
        <v>442</v>
      </c>
      <c r="F43" s="567" t="s">
        <v>158</v>
      </c>
      <c r="G43" s="568" t="s">
        <v>1381</v>
      </c>
      <c r="H43" s="569" t="s">
        <v>1466</v>
      </c>
      <c r="I43" s="570" t="s">
        <v>1457</v>
      </c>
      <c r="J43" s="566" t="s">
        <v>95</v>
      </c>
      <c r="K43" s="360" t="s">
        <v>1467</v>
      </c>
      <c r="L43" s="360"/>
      <c r="M43" s="360"/>
      <c r="N43" s="360"/>
      <c r="O43" s="360"/>
      <c r="P43" s="360"/>
      <c r="Q43" s="360"/>
      <c r="R43" s="360"/>
      <c r="S43" s="36"/>
    </row>
    <row r="44" s="38" customFormat="true" ht="57.75" hidden="false" customHeight="true" outlineLevel="0" collapsed="false">
      <c r="A44" s="562" t="n">
        <v>40</v>
      </c>
      <c r="B44" s="561" t="n">
        <v>43993</v>
      </c>
      <c r="C44" s="562" t="s">
        <v>307</v>
      </c>
      <c r="D44" s="562" t="s">
        <v>202</v>
      </c>
      <c r="E44" s="562"/>
      <c r="F44" s="567" t="s">
        <v>158</v>
      </c>
      <c r="G44" s="568" t="s">
        <v>300</v>
      </c>
      <c r="H44" s="571" t="n">
        <v>0.0026</v>
      </c>
      <c r="I44" s="570" t="s">
        <v>1441</v>
      </c>
      <c r="J44" s="566" t="s">
        <v>95</v>
      </c>
      <c r="K44" s="360" t="s">
        <v>1468</v>
      </c>
      <c r="L44" s="360"/>
      <c r="M44" s="360"/>
      <c r="N44" s="360"/>
      <c r="O44" s="360"/>
      <c r="P44" s="360"/>
      <c r="Q44" s="360"/>
      <c r="R44" s="360"/>
      <c r="S44" s="36"/>
    </row>
    <row r="45" s="38" customFormat="true" ht="57.75" hidden="false" customHeight="true" outlineLevel="0" collapsed="false">
      <c r="A45" s="562" t="n">
        <v>41</v>
      </c>
      <c r="B45" s="561" t="n">
        <v>43997</v>
      </c>
      <c r="C45" s="562" t="s">
        <v>1129</v>
      </c>
      <c r="D45" s="562" t="s">
        <v>1450</v>
      </c>
      <c r="E45" s="562" t="s">
        <v>442</v>
      </c>
      <c r="F45" s="567" t="s">
        <v>158</v>
      </c>
      <c r="G45" s="568" t="s">
        <v>1381</v>
      </c>
      <c r="H45" s="569" t="s">
        <v>1469</v>
      </c>
      <c r="I45" s="570" t="s">
        <v>1457</v>
      </c>
      <c r="J45" s="566" t="s">
        <v>95</v>
      </c>
      <c r="K45" s="360" t="s">
        <v>1470</v>
      </c>
      <c r="L45" s="360"/>
      <c r="M45" s="360"/>
      <c r="N45" s="360"/>
      <c r="O45" s="360"/>
      <c r="P45" s="360"/>
      <c r="Q45" s="360"/>
      <c r="R45" s="360"/>
      <c r="S45" s="36"/>
    </row>
    <row r="46" customFormat="false" ht="69" hidden="false" customHeight="true" outlineLevel="0" collapsed="false">
      <c r="A46" s="562" t="n">
        <v>42</v>
      </c>
      <c r="B46" s="574" t="n">
        <v>43997</v>
      </c>
      <c r="C46" s="562" t="s">
        <v>1371</v>
      </c>
      <c r="D46" s="562" t="s">
        <v>1372</v>
      </c>
      <c r="E46" s="562" t="s">
        <v>1373</v>
      </c>
      <c r="F46" s="567" t="s">
        <v>158</v>
      </c>
      <c r="G46" s="568" t="s">
        <v>1375</v>
      </c>
      <c r="H46" s="569" t="s">
        <v>1471</v>
      </c>
      <c r="I46" s="565" t="s">
        <v>1423</v>
      </c>
      <c r="J46" s="566" t="s">
        <v>95</v>
      </c>
      <c r="K46" s="360" t="s">
        <v>1472</v>
      </c>
      <c r="L46" s="360"/>
      <c r="M46" s="360"/>
      <c r="N46" s="360"/>
      <c r="O46" s="360"/>
      <c r="P46" s="360"/>
      <c r="Q46" s="360"/>
      <c r="R46" s="360"/>
    </row>
    <row r="47" customFormat="false" ht="39.75" hidden="false" customHeight="true" outlineLevel="0" collapsed="false">
      <c r="A47" s="562" t="n">
        <v>43</v>
      </c>
      <c r="B47" s="574" t="n">
        <v>43998</v>
      </c>
      <c r="C47" s="562" t="s">
        <v>209</v>
      </c>
      <c r="D47" s="577" t="s">
        <v>1473</v>
      </c>
      <c r="E47" s="562"/>
      <c r="F47" s="563"/>
      <c r="G47" s="563" t="s">
        <v>300</v>
      </c>
      <c r="H47" s="564" t="n">
        <v>0.002</v>
      </c>
      <c r="I47" s="565" t="s">
        <v>1474</v>
      </c>
      <c r="J47" s="575"/>
      <c r="K47" s="360" t="s">
        <v>1475</v>
      </c>
      <c r="L47" s="360"/>
      <c r="M47" s="360"/>
      <c r="N47" s="360"/>
      <c r="O47" s="360"/>
      <c r="P47" s="360"/>
      <c r="Q47" s="360"/>
      <c r="R47" s="360"/>
    </row>
    <row r="48" customFormat="false" ht="69" hidden="false" customHeight="true" outlineLevel="0" collapsed="false">
      <c r="A48" s="562" t="n">
        <v>44</v>
      </c>
      <c r="B48" s="574" t="n">
        <v>44011</v>
      </c>
      <c r="C48" s="562" t="s">
        <v>1371</v>
      </c>
      <c r="D48" s="562" t="s">
        <v>1372</v>
      </c>
      <c r="E48" s="562" t="s">
        <v>1373</v>
      </c>
      <c r="F48" s="567" t="s">
        <v>158</v>
      </c>
      <c r="G48" s="568" t="s">
        <v>1375</v>
      </c>
      <c r="H48" s="569" t="s">
        <v>1476</v>
      </c>
      <c r="I48" s="565" t="s">
        <v>1423</v>
      </c>
      <c r="J48" s="566" t="s">
        <v>95</v>
      </c>
      <c r="K48" s="360" t="s">
        <v>1477</v>
      </c>
      <c r="L48" s="360"/>
      <c r="M48" s="360"/>
      <c r="N48" s="360"/>
      <c r="O48" s="360"/>
      <c r="P48" s="360"/>
      <c r="Q48" s="360"/>
      <c r="R48" s="360"/>
    </row>
    <row r="49" s="38" customFormat="true" ht="57.75" hidden="false" customHeight="true" outlineLevel="0" collapsed="false">
      <c r="A49" s="562" t="n">
        <v>45</v>
      </c>
      <c r="B49" s="561" t="n">
        <v>44019</v>
      </c>
      <c r="C49" s="562" t="s">
        <v>1172</v>
      </c>
      <c r="D49" s="562" t="s">
        <v>1463</v>
      </c>
      <c r="E49" s="562"/>
      <c r="F49" s="567" t="s">
        <v>158</v>
      </c>
      <c r="G49" s="568" t="s">
        <v>1447</v>
      </c>
      <c r="H49" s="569" t="s">
        <v>1478</v>
      </c>
      <c r="I49" s="570" t="s">
        <v>1457</v>
      </c>
      <c r="J49" s="566" t="s">
        <v>95</v>
      </c>
      <c r="K49" s="360" t="s">
        <v>1479</v>
      </c>
      <c r="L49" s="360"/>
      <c r="M49" s="360"/>
      <c r="N49" s="360"/>
      <c r="O49" s="360"/>
      <c r="P49" s="360"/>
      <c r="Q49" s="360"/>
      <c r="R49" s="360"/>
      <c r="S49" s="36"/>
    </row>
    <row r="50" s="38" customFormat="true" ht="57.75" hidden="false" customHeight="true" outlineLevel="0" collapsed="false">
      <c r="A50" s="562" t="n">
        <v>46</v>
      </c>
      <c r="B50" s="561" t="n">
        <v>44020</v>
      </c>
      <c r="C50" s="562" t="s">
        <v>1129</v>
      </c>
      <c r="D50" s="562" t="s">
        <v>1450</v>
      </c>
      <c r="E50" s="562" t="s">
        <v>442</v>
      </c>
      <c r="F50" s="563" t="n">
        <v>44025</v>
      </c>
      <c r="G50" s="568" t="s">
        <v>1381</v>
      </c>
      <c r="H50" s="569" t="s">
        <v>1480</v>
      </c>
      <c r="I50" s="570" t="s">
        <v>1457</v>
      </c>
      <c r="J50" s="566" t="s">
        <v>95</v>
      </c>
      <c r="K50" s="360" t="s">
        <v>1481</v>
      </c>
      <c r="L50" s="360"/>
      <c r="M50" s="360"/>
      <c r="N50" s="360"/>
      <c r="O50" s="360"/>
      <c r="P50" s="360"/>
      <c r="Q50" s="360"/>
      <c r="R50" s="360"/>
      <c r="S50" s="36"/>
    </row>
    <row r="51" customFormat="false" ht="39.75" hidden="false" customHeight="true" outlineLevel="0" collapsed="false">
      <c r="A51" s="562" t="n">
        <v>47</v>
      </c>
      <c r="B51" s="574" t="n">
        <v>44020</v>
      </c>
      <c r="C51" s="562" t="s">
        <v>209</v>
      </c>
      <c r="D51" s="577" t="s">
        <v>580</v>
      </c>
      <c r="E51" s="562" t="s">
        <v>581</v>
      </c>
      <c r="F51" s="563" t="n">
        <v>44020</v>
      </c>
      <c r="G51" s="568" t="s">
        <v>1397</v>
      </c>
      <c r="H51" s="571" t="s">
        <v>1482</v>
      </c>
      <c r="I51" s="565" t="s">
        <v>1483</v>
      </c>
      <c r="J51" s="575"/>
      <c r="K51" s="360" t="s">
        <v>1484</v>
      </c>
      <c r="L51" s="360"/>
      <c r="M51" s="360"/>
      <c r="N51" s="360"/>
      <c r="O51" s="360"/>
      <c r="P51" s="360"/>
      <c r="Q51" s="360"/>
      <c r="R51" s="360"/>
    </row>
    <row r="52" s="38" customFormat="true" ht="57.75" hidden="false" customHeight="true" outlineLevel="0" collapsed="false">
      <c r="A52" s="562" t="n">
        <v>48</v>
      </c>
      <c r="B52" s="561" t="n">
        <v>44022</v>
      </c>
      <c r="C52" s="562" t="s">
        <v>1129</v>
      </c>
      <c r="D52" s="562" t="s">
        <v>1450</v>
      </c>
      <c r="E52" s="562" t="s">
        <v>442</v>
      </c>
      <c r="F52" s="563" t="n">
        <v>44025</v>
      </c>
      <c r="G52" s="568" t="s">
        <v>1381</v>
      </c>
      <c r="H52" s="569" t="s">
        <v>1485</v>
      </c>
      <c r="I52" s="570" t="s">
        <v>1457</v>
      </c>
      <c r="J52" s="566" t="s">
        <v>95</v>
      </c>
      <c r="K52" s="360" t="s">
        <v>1486</v>
      </c>
      <c r="L52" s="360"/>
      <c r="M52" s="360"/>
      <c r="N52" s="360"/>
      <c r="O52" s="360"/>
      <c r="P52" s="360"/>
      <c r="Q52" s="360"/>
      <c r="R52" s="360"/>
      <c r="S52" s="36"/>
    </row>
    <row r="53" s="38" customFormat="true" ht="57.75" hidden="false" customHeight="true" outlineLevel="0" collapsed="false">
      <c r="A53" s="562" t="n">
        <v>49</v>
      </c>
      <c r="B53" s="561" t="n">
        <v>44025</v>
      </c>
      <c r="C53" s="562" t="s">
        <v>1129</v>
      </c>
      <c r="D53" s="562" t="s">
        <v>1380</v>
      </c>
      <c r="E53" s="562" t="s">
        <v>442</v>
      </c>
      <c r="F53" s="563" t="n">
        <v>44025</v>
      </c>
      <c r="G53" s="568" t="s">
        <v>1381</v>
      </c>
      <c r="H53" s="569" t="s">
        <v>1487</v>
      </c>
      <c r="I53" s="570" t="s">
        <v>1457</v>
      </c>
      <c r="J53" s="566" t="s">
        <v>95</v>
      </c>
      <c r="K53" s="360" t="s">
        <v>1488</v>
      </c>
      <c r="L53" s="360"/>
      <c r="M53" s="360"/>
      <c r="N53" s="360"/>
      <c r="O53" s="360"/>
      <c r="P53" s="360"/>
      <c r="Q53" s="360"/>
      <c r="R53" s="360"/>
      <c r="S53" s="36"/>
    </row>
    <row r="54" customFormat="false" ht="66.75" hidden="false" customHeight="true" outlineLevel="0" collapsed="false">
      <c r="A54" s="562" t="n">
        <v>50</v>
      </c>
      <c r="B54" s="574" t="n">
        <v>44026</v>
      </c>
      <c r="C54" s="562" t="s">
        <v>103</v>
      </c>
      <c r="D54" s="562" t="s">
        <v>330</v>
      </c>
      <c r="E54" s="562" t="s">
        <v>1489</v>
      </c>
      <c r="F54" s="563" t="n">
        <v>44028</v>
      </c>
      <c r="G54" s="568" t="s">
        <v>1375</v>
      </c>
      <c r="H54" s="569" t="s">
        <v>1490</v>
      </c>
      <c r="I54" s="565" t="s">
        <v>1491</v>
      </c>
      <c r="J54" s="575" t="s">
        <v>95</v>
      </c>
      <c r="K54" s="360" t="s">
        <v>1492</v>
      </c>
      <c r="L54" s="360"/>
      <c r="M54" s="360"/>
      <c r="N54" s="360"/>
      <c r="O54" s="360"/>
      <c r="P54" s="360"/>
      <c r="Q54" s="360"/>
      <c r="R54" s="360"/>
    </row>
    <row r="55" customFormat="false" ht="69" hidden="false" customHeight="true" outlineLevel="0" collapsed="false">
      <c r="A55" s="562" t="n">
        <v>51</v>
      </c>
      <c r="B55" s="574" t="n">
        <v>44027</v>
      </c>
      <c r="C55" s="562" t="s">
        <v>1371</v>
      </c>
      <c r="D55" s="562" t="s">
        <v>1372</v>
      </c>
      <c r="E55" s="562" t="s">
        <v>1373</v>
      </c>
      <c r="F55" s="567" t="s">
        <v>158</v>
      </c>
      <c r="G55" s="568" t="s">
        <v>1375</v>
      </c>
      <c r="H55" s="569" t="s">
        <v>1493</v>
      </c>
      <c r="I55" s="565" t="s">
        <v>1423</v>
      </c>
      <c r="J55" s="566" t="s">
        <v>95</v>
      </c>
      <c r="K55" s="360" t="s">
        <v>1494</v>
      </c>
      <c r="L55" s="360"/>
      <c r="M55" s="360"/>
      <c r="N55" s="360"/>
      <c r="O55" s="360"/>
      <c r="P55" s="360"/>
      <c r="Q55" s="360"/>
      <c r="R55" s="360"/>
    </row>
    <row r="56" customFormat="false" ht="69" hidden="false" customHeight="true" outlineLevel="0" collapsed="false">
      <c r="A56" s="562" t="n">
        <v>52</v>
      </c>
      <c r="B56" s="574" t="n">
        <v>44027</v>
      </c>
      <c r="C56" s="562" t="s">
        <v>1495</v>
      </c>
      <c r="D56" s="562" t="s">
        <v>1496</v>
      </c>
      <c r="E56" s="562"/>
      <c r="F56" s="563" t="n">
        <v>44027</v>
      </c>
      <c r="G56" s="568" t="s">
        <v>1375</v>
      </c>
      <c r="H56" s="569" t="s">
        <v>1493</v>
      </c>
      <c r="I56" s="565" t="s">
        <v>1483</v>
      </c>
      <c r="J56" s="566" t="s">
        <v>95</v>
      </c>
      <c r="K56" s="360" t="s">
        <v>1494</v>
      </c>
      <c r="L56" s="360"/>
      <c r="M56" s="360"/>
      <c r="N56" s="360"/>
      <c r="O56" s="360"/>
      <c r="P56" s="360"/>
      <c r="Q56" s="360"/>
      <c r="R56" s="360"/>
    </row>
    <row r="57" customFormat="false" ht="69" hidden="false" customHeight="true" outlineLevel="0" collapsed="false">
      <c r="A57" s="562" t="n">
        <v>53</v>
      </c>
      <c r="B57" s="574" t="n">
        <v>44032</v>
      </c>
      <c r="C57" s="562" t="s">
        <v>1371</v>
      </c>
      <c r="D57" s="562" t="s">
        <v>1372</v>
      </c>
      <c r="E57" s="562" t="s">
        <v>1373</v>
      </c>
      <c r="F57" s="567" t="s">
        <v>158</v>
      </c>
      <c r="G57" s="568" t="s">
        <v>1375</v>
      </c>
      <c r="H57" s="569" t="s">
        <v>1497</v>
      </c>
      <c r="I57" s="565" t="s">
        <v>1423</v>
      </c>
      <c r="J57" s="566" t="s">
        <v>95</v>
      </c>
      <c r="K57" s="360" t="s">
        <v>1498</v>
      </c>
      <c r="L57" s="360"/>
      <c r="M57" s="360"/>
      <c r="N57" s="360"/>
      <c r="O57" s="360"/>
      <c r="P57" s="360"/>
      <c r="Q57" s="360"/>
      <c r="R57" s="360"/>
    </row>
    <row r="58" customFormat="false" ht="39.75" hidden="false" customHeight="true" outlineLevel="0" collapsed="false">
      <c r="A58" s="562" t="n">
        <v>54</v>
      </c>
      <c r="B58" s="574" t="n">
        <v>44033</v>
      </c>
      <c r="C58" s="562" t="s">
        <v>96</v>
      </c>
      <c r="D58" s="562" t="s">
        <v>373</v>
      </c>
      <c r="E58" s="562"/>
      <c r="F58" s="567" t="s">
        <v>158</v>
      </c>
      <c r="G58" s="563" t="s">
        <v>300</v>
      </c>
      <c r="H58" s="564" t="n">
        <v>0.001</v>
      </c>
      <c r="I58" s="565" t="s">
        <v>1499</v>
      </c>
      <c r="J58" s="575" t="s">
        <v>95</v>
      </c>
      <c r="K58" s="360" t="s">
        <v>1500</v>
      </c>
      <c r="L58" s="360"/>
      <c r="M58" s="360"/>
      <c r="N58" s="360"/>
      <c r="O58" s="360"/>
      <c r="P58" s="360"/>
      <c r="Q58" s="360"/>
      <c r="R58" s="360"/>
    </row>
    <row r="59" customFormat="false" ht="39.75" hidden="false" customHeight="true" outlineLevel="0" collapsed="false">
      <c r="A59" s="562" t="n">
        <v>55</v>
      </c>
      <c r="B59" s="574" t="n">
        <v>44034</v>
      </c>
      <c r="C59" s="562" t="s">
        <v>616</v>
      </c>
      <c r="D59" s="562" t="s">
        <v>606</v>
      </c>
      <c r="E59" s="562"/>
      <c r="F59" s="563" t="n">
        <v>44034</v>
      </c>
      <c r="G59" s="563" t="s">
        <v>300</v>
      </c>
      <c r="H59" s="564" t="n">
        <v>0.001</v>
      </c>
      <c r="I59" s="565" t="s">
        <v>1441</v>
      </c>
      <c r="J59" s="566" t="s">
        <v>95</v>
      </c>
      <c r="K59" s="360" t="s">
        <v>1501</v>
      </c>
      <c r="L59" s="360"/>
      <c r="M59" s="360"/>
      <c r="N59" s="360"/>
      <c r="O59" s="360"/>
      <c r="P59" s="360"/>
      <c r="Q59" s="360"/>
      <c r="R59" s="360"/>
    </row>
    <row r="60" customFormat="false" ht="69" hidden="false" customHeight="true" outlineLevel="0" collapsed="false">
      <c r="A60" s="562" t="n">
        <v>56</v>
      </c>
      <c r="B60" s="574" t="n">
        <v>44039</v>
      </c>
      <c r="C60" s="562" t="s">
        <v>1371</v>
      </c>
      <c r="D60" s="562" t="s">
        <v>1372</v>
      </c>
      <c r="E60" s="562" t="s">
        <v>1373</v>
      </c>
      <c r="F60" s="567" t="s">
        <v>158</v>
      </c>
      <c r="G60" s="568" t="s">
        <v>1375</v>
      </c>
      <c r="H60" s="569" t="s">
        <v>1493</v>
      </c>
      <c r="I60" s="565" t="s">
        <v>1423</v>
      </c>
      <c r="J60" s="566" t="s">
        <v>95</v>
      </c>
      <c r="K60" s="360" t="s">
        <v>1502</v>
      </c>
      <c r="L60" s="360"/>
      <c r="M60" s="360"/>
      <c r="N60" s="360"/>
      <c r="O60" s="360"/>
      <c r="P60" s="360"/>
      <c r="Q60" s="360"/>
      <c r="R60" s="360"/>
    </row>
    <row r="61" customFormat="false" ht="69" hidden="false" customHeight="true" outlineLevel="0" collapsed="false">
      <c r="A61" s="562" t="n">
        <v>57</v>
      </c>
      <c r="B61" s="574" t="n">
        <v>44046</v>
      </c>
      <c r="C61" s="562" t="s">
        <v>1371</v>
      </c>
      <c r="D61" s="562" t="s">
        <v>1372</v>
      </c>
      <c r="E61" s="562" t="s">
        <v>1373</v>
      </c>
      <c r="F61" s="567" t="s">
        <v>158</v>
      </c>
      <c r="G61" s="568" t="s">
        <v>1375</v>
      </c>
      <c r="H61" s="569" t="s">
        <v>1503</v>
      </c>
      <c r="I61" s="565" t="s">
        <v>1423</v>
      </c>
      <c r="J61" s="566" t="s">
        <v>95</v>
      </c>
      <c r="K61" s="360" t="s">
        <v>1504</v>
      </c>
      <c r="L61" s="360"/>
      <c r="M61" s="360"/>
      <c r="N61" s="360"/>
      <c r="O61" s="360"/>
      <c r="P61" s="360"/>
      <c r="Q61" s="360"/>
      <c r="R61" s="360"/>
    </row>
    <row r="62" customFormat="false" ht="39.75" hidden="false" customHeight="true" outlineLevel="0" collapsed="false">
      <c r="A62" s="562" t="n">
        <v>58</v>
      </c>
      <c r="B62" s="574" t="n">
        <v>44055</v>
      </c>
      <c r="C62" s="562" t="s">
        <v>1129</v>
      </c>
      <c r="D62" s="562" t="s">
        <v>1450</v>
      </c>
      <c r="E62" s="562" t="s">
        <v>1505</v>
      </c>
      <c r="F62" s="563" t="n">
        <v>44056</v>
      </c>
      <c r="G62" s="568" t="s">
        <v>1381</v>
      </c>
      <c r="H62" s="571" t="s">
        <v>1506</v>
      </c>
      <c r="I62" s="565" t="s">
        <v>1457</v>
      </c>
      <c r="J62" s="566" t="s">
        <v>95</v>
      </c>
      <c r="K62" s="360" t="s">
        <v>1507</v>
      </c>
      <c r="L62" s="360"/>
      <c r="M62" s="360"/>
      <c r="N62" s="360"/>
      <c r="O62" s="360"/>
      <c r="P62" s="360"/>
      <c r="Q62" s="360"/>
      <c r="R62" s="360"/>
    </row>
    <row r="63" customFormat="false" ht="67.5" hidden="false" customHeight="true" outlineLevel="0" collapsed="false">
      <c r="A63" s="562" t="n">
        <v>59</v>
      </c>
      <c r="B63" s="574" t="n">
        <v>44062</v>
      </c>
      <c r="C63" s="562" t="s">
        <v>1371</v>
      </c>
      <c r="D63" s="562" t="s">
        <v>1372</v>
      </c>
      <c r="E63" s="562" t="s">
        <v>1373</v>
      </c>
      <c r="F63" s="567" t="s">
        <v>158</v>
      </c>
      <c r="G63" s="568" t="s">
        <v>1375</v>
      </c>
      <c r="H63" s="569" t="s">
        <v>1508</v>
      </c>
      <c r="I63" s="565" t="s">
        <v>1423</v>
      </c>
      <c r="J63" s="566" t="s">
        <v>95</v>
      </c>
      <c r="K63" s="360" t="s">
        <v>1502</v>
      </c>
      <c r="L63" s="360"/>
      <c r="M63" s="360"/>
      <c r="N63" s="360"/>
      <c r="O63" s="360"/>
      <c r="P63" s="360"/>
      <c r="Q63" s="360"/>
      <c r="R63" s="360"/>
    </row>
    <row r="64" customFormat="false" ht="48.75" hidden="false" customHeight="true" outlineLevel="0" collapsed="false">
      <c r="A64" s="562" t="n">
        <v>60</v>
      </c>
      <c r="B64" s="574" t="n">
        <v>44068</v>
      </c>
      <c r="C64" s="562" t="s">
        <v>124</v>
      </c>
      <c r="D64" s="562" t="s">
        <v>484</v>
      </c>
      <c r="E64" s="562" t="s">
        <v>1410</v>
      </c>
      <c r="F64" s="563" t="n">
        <v>44069</v>
      </c>
      <c r="G64" s="568" t="s">
        <v>1394</v>
      </c>
      <c r="H64" s="571" t="s">
        <v>1509</v>
      </c>
      <c r="I64" s="572" t="s">
        <v>1441</v>
      </c>
      <c r="J64" s="566" t="s">
        <v>95</v>
      </c>
      <c r="K64" s="360" t="s">
        <v>1510</v>
      </c>
      <c r="L64" s="360"/>
      <c r="M64" s="360"/>
      <c r="N64" s="360"/>
      <c r="O64" s="360"/>
      <c r="P64" s="360"/>
      <c r="Q64" s="360"/>
      <c r="R64" s="360"/>
    </row>
    <row r="65" customFormat="false" ht="67.5" hidden="false" customHeight="true" outlineLevel="0" collapsed="false">
      <c r="A65" s="562" t="n">
        <v>61</v>
      </c>
      <c r="B65" s="574" t="n">
        <v>44090</v>
      </c>
      <c r="C65" s="562" t="s">
        <v>1371</v>
      </c>
      <c r="D65" s="562" t="s">
        <v>1372</v>
      </c>
      <c r="E65" s="562" t="s">
        <v>1373</v>
      </c>
      <c r="F65" s="567" t="s">
        <v>158</v>
      </c>
      <c r="G65" s="568" t="s">
        <v>1375</v>
      </c>
      <c r="H65" s="569" t="s">
        <v>1511</v>
      </c>
      <c r="I65" s="565" t="s">
        <v>1423</v>
      </c>
      <c r="J65" s="566" t="s">
        <v>95</v>
      </c>
      <c r="K65" s="360" t="s">
        <v>1512</v>
      </c>
      <c r="L65" s="360"/>
      <c r="M65" s="360"/>
      <c r="N65" s="360"/>
      <c r="O65" s="360"/>
      <c r="P65" s="360"/>
      <c r="Q65" s="360"/>
      <c r="R65" s="360"/>
    </row>
    <row r="66" customFormat="false" ht="67.5" hidden="false" customHeight="true" outlineLevel="0" collapsed="false">
      <c r="A66" s="562" t="n">
        <v>62</v>
      </c>
      <c r="B66" s="574" t="n">
        <v>44099</v>
      </c>
      <c r="C66" s="562" t="s">
        <v>1371</v>
      </c>
      <c r="D66" s="562" t="s">
        <v>1372</v>
      </c>
      <c r="E66" s="562" t="s">
        <v>1373</v>
      </c>
      <c r="F66" s="567" t="s">
        <v>158</v>
      </c>
      <c r="G66" s="568" t="s">
        <v>1375</v>
      </c>
      <c r="H66" s="569" t="s">
        <v>1513</v>
      </c>
      <c r="I66" s="565" t="s">
        <v>1423</v>
      </c>
      <c r="J66" s="566" t="s">
        <v>95</v>
      </c>
      <c r="K66" s="360" t="s">
        <v>1514</v>
      </c>
      <c r="L66" s="360"/>
      <c r="M66" s="360"/>
      <c r="N66" s="360"/>
      <c r="O66" s="360"/>
      <c r="P66" s="360"/>
      <c r="Q66" s="360"/>
      <c r="R66" s="360"/>
    </row>
    <row r="67" customFormat="false" ht="69" hidden="false" customHeight="true" outlineLevel="0" collapsed="false">
      <c r="A67" s="562" t="n">
        <v>63</v>
      </c>
      <c r="B67" s="574" t="n">
        <v>44110</v>
      </c>
      <c r="C67" s="562" t="s">
        <v>1495</v>
      </c>
      <c r="D67" s="562" t="s">
        <v>1496</v>
      </c>
      <c r="E67" s="562"/>
      <c r="F67" s="567" t="s">
        <v>158</v>
      </c>
      <c r="G67" s="568" t="s">
        <v>1375</v>
      </c>
      <c r="H67" s="569" t="s">
        <v>1515</v>
      </c>
      <c r="I67" s="565" t="s">
        <v>1483</v>
      </c>
      <c r="J67" s="566" t="s">
        <v>95</v>
      </c>
      <c r="K67" s="360" t="s">
        <v>1516</v>
      </c>
      <c r="L67" s="360"/>
      <c r="M67" s="360"/>
      <c r="N67" s="360"/>
      <c r="O67" s="360"/>
      <c r="P67" s="360"/>
      <c r="Q67" s="360"/>
      <c r="R67" s="360"/>
    </row>
    <row r="68" customFormat="false" ht="39.75" hidden="false" customHeight="true" outlineLevel="0" collapsed="false">
      <c r="A68" s="562" t="n">
        <v>64</v>
      </c>
      <c r="B68" s="574" t="n">
        <v>44111</v>
      </c>
      <c r="C68" s="562" t="s">
        <v>209</v>
      </c>
      <c r="D68" s="577" t="s">
        <v>580</v>
      </c>
      <c r="E68" s="562" t="s">
        <v>581</v>
      </c>
      <c r="F68" s="563" t="n">
        <v>44112</v>
      </c>
      <c r="G68" s="568" t="s">
        <v>300</v>
      </c>
      <c r="H68" s="571" t="n">
        <v>0.0005</v>
      </c>
      <c r="I68" s="565" t="s">
        <v>1483</v>
      </c>
      <c r="J68" s="575"/>
      <c r="K68" s="360" t="s">
        <v>1517</v>
      </c>
      <c r="L68" s="360"/>
      <c r="M68" s="360"/>
      <c r="N68" s="360"/>
      <c r="O68" s="360"/>
      <c r="P68" s="360"/>
      <c r="Q68" s="360"/>
      <c r="R68" s="360"/>
    </row>
    <row r="69" customFormat="false" ht="39.75" hidden="false" customHeight="true" outlineLevel="0" collapsed="false">
      <c r="A69" s="562" t="n">
        <v>65</v>
      </c>
      <c r="B69" s="574" t="n">
        <v>44112</v>
      </c>
      <c r="C69" s="562" t="s">
        <v>209</v>
      </c>
      <c r="D69" s="577" t="s">
        <v>580</v>
      </c>
      <c r="E69" s="562" t="s">
        <v>581</v>
      </c>
      <c r="F69" s="563" t="n">
        <v>44112</v>
      </c>
      <c r="G69" s="568" t="s">
        <v>300</v>
      </c>
      <c r="H69" s="571" t="n">
        <v>0.001</v>
      </c>
      <c r="I69" s="565" t="s">
        <v>1483</v>
      </c>
      <c r="J69" s="575"/>
      <c r="K69" s="360" t="s">
        <v>1518</v>
      </c>
      <c r="L69" s="360"/>
      <c r="M69" s="360"/>
      <c r="N69" s="360"/>
      <c r="O69" s="360"/>
      <c r="P69" s="360"/>
      <c r="Q69" s="360"/>
      <c r="R69" s="360"/>
    </row>
    <row r="70" customFormat="false" ht="67.5" hidden="false" customHeight="true" outlineLevel="0" collapsed="false">
      <c r="A70" s="562" t="n">
        <v>66</v>
      </c>
      <c r="B70" s="574" t="n">
        <v>44120</v>
      </c>
      <c r="C70" s="562" t="s">
        <v>1371</v>
      </c>
      <c r="D70" s="562" t="s">
        <v>1372</v>
      </c>
      <c r="E70" s="562" t="s">
        <v>1373</v>
      </c>
      <c r="F70" s="567" t="s">
        <v>158</v>
      </c>
      <c r="G70" s="568" t="s">
        <v>1375</v>
      </c>
      <c r="H70" s="569" t="s">
        <v>1519</v>
      </c>
      <c r="I70" s="565" t="s">
        <v>1423</v>
      </c>
      <c r="J70" s="566" t="s">
        <v>95</v>
      </c>
      <c r="K70" s="360" t="s">
        <v>1520</v>
      </c>
      <c r="L70" s="360"/>
      <c r="M70" s="360"/>
      <c r="N70" s="360"/>
      <c r="O70" s="360"/>
      <c r="P70" s="360"/>
      <c r="Q70" s="360"/>
      <c r="R70" s="360"/>
    </row>
    <row r="71" customFormat="false" ht="39.75" hidden="false" customHeight="true" outlineLevel="0" collapsed="false">
      <c r="A71" s="562" t="n">
        <v>67</v>
      </c>
      <c r="B71" s="574" t="n">
        <v>44126</v>
      </c>
      <c r="C71" s="562" t="s">
        <v>616</v>
      </c>
      <c r="D71" s="562" t="s">
        <v>611</v>
      </c>
      <c r="E71" s="562" t="s">
        <v>1521</v>
      </c>
      <c r="F71" s="563" t="n">
        <v>44126</v>
      </c>
      <c r="G71" s="563" t="s">
        <v>300</v>
      </c>
      <c r="H71" s="564" t="n">
        <v>0.0013</v>
      </c>
      <c r="I71" s="565" t="s">
        <v>1441</v>
      </c>
      <c r="J71" s="566" t="s">
        <v>95</v>
      </c>
      <c r="K71" s="360" t="s">
        <v>1522</v>
      </c>
      <c r="L71" s="360"/>
      <c r="M71" s="360"/>
      <c r="N71" s="360"/>
      <c r="O71" s="360"/>
      <c r="P71" s="360"/>
      <c r="Q71" s="360"/>
      <c r="R71" s="360"/>
    </row>
    <row r="72" customFormat="false" ht="67.5" hidden="false" customHeight="true" outlineLevel="0" collapsed="false">
      <c r="A72" s="562" t="n">
        <v>68</v>
      </c>
      <c r="B72" s="574" t="n">
        <v>44127</v>
      </c>
      <c r="C72" s="562" t="s">
        <v>1371</v>
      </c>
      <c r="D72" s="562" t="s">
        <v>1372</v>
      </c>
      <c r="E72" s="562" t="s">
        <v>1373</v>
      </c>
      <c r="F72" s="567" t="s">
        <v>158</v>
      </c>
      <c r="G72" s="568" t="s">
        <v>1375</v>
      </c>
      <c r="H72" s="569" t="s">
        <v>1523</v>
      </c>
      <c r="I72" s="565" t="s">
        <v>1423</v>
      </c>
      <c r="J72" s="566" t="s">
        <v>95</v>
      </c>
      <c r="K72" s="360" t="s">
        <v>1524</v>
      </c>
      <c r="L72" s="360"/>
      <c r="M72" s="360"/>
      <c r="N72" s="360"/>
      <c r="O72" s="360"/>
      <c r="P72" s="360"/>
      <c r="Q72" s="360"/>
      <c r="R72" s="360"/>
    </row>
    <row r="73" customFormat="false" ht="81" hidden="false" customHeight="true" outlineLevel="0" collapsed="false">
      <c r="A73" s="562" t="n">
        <v>69</v>
      </c>
      <c r="B73" s="574" t="n">
        <v>44140</v>
      </c>
      <c r="C73" s="562" t="s">
        <v>209</v>
      </c>
      <c r="D73" s="577" t="s">
        <v>580</v>
      </c>
      <c r="E73" s="562"/>
      <c r="F73" s="563"/>
      <c r="G73" s="568" t="s">
        <v>1525</v>
      </c>
      <c r="H73" s="569" t="s">
        <v>1526</v>
      </c>
      <c r="I73" s="565" t="s">
        <v>1423</v>
      </c>
      <c r="J73" s="575"/>
      <c r="K73" s="360" t="s">
        <v>1527</v>
      </c>
      <c r="L73" s="360"/>
      <c r="M73" s="360"/>
      <c r="N73" s="360"/>
      <c r="O73" s="360"/>
      <c r="P73" s="360"/>
      <c r="Q73" s="360"/>
      <c r="R73" s="360"/>
    </row>
    <row r="74" customFormat="false" ht="67.5" hidden="false" customHeight="true" outlineLevel="0" collapsed="false">
      <c r="A74" s="562" t="n">
        <v>70</v>
      </c>
      <c r="B74" s="574" t="n">
        <v>44145</v>
      </c>
      <c r="C74" s="562" t="s">
        <v>1371</v>
      </c>
      <c r="D74" s="562" t="s">
        <v>1372</v>
      </c>
      <c r="E74" s="562" t="s">
        <v>1373</v>
      </c>
      <c r="F74" s="567" t="s">
        <v>158</v>
      </c>
      <c r="G74" s="568" t="s">
        <v>1375</v>
      </c>
      <c r="H74" s="569" t="s">
        <v>1528</v>
      </c>
      <c r="I74" s="565" t="s">
        <v>1423</v>
      </c>
      <c r="J74" s="566" t="s">
        <v>95</v>
      </c>
      <c r="K74" s="360" t="s">
        <v>1529</v>
      </c>
      <c r="L74" s="360"/>
      <c r="M74" s="360"/>
      <c r="N74" s="360"/>
      <c r="O74" s="360"/>
      <c r="P74" s="360"/>
      <c r="Q74" s="360"/>
      <c r="R74" s="360"/>
    </row>
    <row r="75" customFormat="false" ht="67.5" hidden="false" customHeight="true" outlineLevel="0" collapsed="false">
      <c r="A75" s="562" t="n">
        <v>71</v>
      </c>
      <c r="B75" s="574" t="n">
        <v>44165</v>
      </c>
      <c r="C75" s="562" t="s">
        <v>1371</v>
      </c>
      <c r="D75" s="562" t="s">
        <v>1372</v>
      </c>
      <c r="E75" s="562" t="s">
        <v>1373</v>
      </c>
      <c r="F75" s="567" t="s">
        <v>158</v>
      </c>
      <c r="G75" s="568" t="s">
        <v>1375</v>
      </c>
      <c r="H75" s="569" t="s">
        <v>1530</v>
      </c>
      <c r="I75" s="565" t="s">
        <v>1423</v>
      </c>
      <c r="J75" s="566" t="s">
        <v>95</v>
      </c>
      <c r="K75" s="360" t="s">
        <v>1531</v>
      </c>
      <c r="L75" s="360"/>
      <c r="M75" s="360"/>
      <c r="N75" s="360"/>
      <c r="O75" s="360"/>
      <c r="P75" s="360"/>
      <c r="Q75" s="360"/>
      <c r="R75" s="360"/>
    </row>
    <row r="76" customFormat="false" ht="67.5" hidden="false" customHeight="true" outlineLevel="0" collapsed="false">
      <c r="A76" s="562" t="n">
        <v>72</v>
      </c>
      <c r="B76" s="574" t="n">
        <v>44181</v>
      </c>
      <c r="C76" s="562" t="s">
        <v>1371</v>
      </c>
      <c r="D76" s="562" t="s">
        <v>1372</v>
      </c>
      <c r="E76" s="562" t="s">
        <v>1373</v>
      </c>
      <c r="F76" s="567" t="s">
        <v>158</v>
      </c>
      <c r="G76" s="568" t="s">
        <v>1532</v>
      </c>
      <c r="H76" s="569" t="s">
        <v>1533</v>
      </c>
      <c r="I76" s="565" t="s">
        <v>1423</v>
      </c>
      <c r="J76" s="566" t="s">
        <v>95</v>
      </c>
      <c r="K76" s="360" t="s">
        <v>1534</v>
      </c>
      <c r="L76" s="360"/>
      <c r="M76" s="360"/>
      <c r="N76" s="360"/>
      <c r="O76" s="360"/>
      <c r="P76" s="360"/>
      <c r="Q76" s="360"/>
      <c r="R76" s="360"/>
    </row>
    <row r="77" customFormat="false" ht="81" hidden="false" customHeight="true" outlineLevel="0" collapsed="false">
      <c r="A77" s="562" t="n">
        <v>73</v>
      </c>
      <c r="B77" s="574" t="n">
        <v>44182</v>
      </c>
      <c r="C77" s="562" t="s">
        <v>209</v>
      </c>
      <c r="D77" s="577" t="s">
        <v>580</v>
      </c>
      <c r="E77" s="562"/>
      <c r="F77" s="563" t="n">
        <v>44182</v>
      </c>
      <c r="G77" s="568" t="s">
        <v>300</v>
      </c>
      <c r="H77" s="571" t="n">
        <v>0.0005</v>
      </c>
      <c r="I77" s="565" t="s">
        <v>1474</v>
      </c>
      <c r="J77" s="575" t="s">
        <v>95</v>
      </c>
      <c r="K77" s="360" t="s">
        <v>1535</v>
      </c>
      <c r="L77" s="360"/>
      <c r="M77" s="360"/>
      <c r="N77" s="360"/>
      <c r="O77" s="360"/>
      <c r="P77" s="360"/>
      <c r="Q77" s="360"/>
      <c r="R77" s="360"/>
    </row>
    <row r="78" customFormat="false" ht="67.5" hidden="false" customHeight="true" outlineLevel="0" collapsed="false">
      <c r="A78" s="562" t="n">
        <v>74</v>
      </c>
      <c r="B78" s="574" t="n">
        <v>44183</v>
      </c>
      <c r="C78" s="562" t="s">
        <v>1041</v>
      </c>
      <c r="D78" s="562" t="s">
        <v>1536</v>
      </c>
      <c r="E78" s="562"/>
      <c r="F78" s="563" t="n">
        <v>44186</v>
      </c>
      <c r="G78" s="568" t="s">
        <v>1375</v>
      </c>
      <c r="H78" s="569" t="s">
        <v>1537</v>
      </c>
      <c r="I78" s="565"/>
      <c r="J78" s="566" t="s">
        <v>95</v>
      </c>
      <c r="K78" s="360" t="s">
        <v>1538</v>
      </c>
      <c r="L78" s="360"/>
      <c r="M78" s="360"/>
      <c r="N78" s="360"/>
      <c r="O78" s="360"/>
      <c r="P78" s="360"/>
      <c r="Q78" s="360"/>
      <c r="R78" s="360"/>
    </row>
    <row r="79" customFormat="false" ht="67.5" hidden="false" customHeight="true" outlineLevel="0" collapsed="false">
      <c r="A79" s="562" t="n">
        <v>75</v>
      </c>
      <c r="B79" s="574" t="n">
        <v>44188</v>
      </c>
      <c r="C79" s="562" t="s">
        <v>977</v>
      </c>
      <c r="D79" s="562" t="s">
        <v>1539</v>
      </c>
      <c r="E79" s="562"/>
      <c r="F79" s="563"/>
      <c r="G79" s="568" t="s">
        <v>1375</v>
      </c>
      <c r="H79" s="569" t="s">
        <v>1540</v>
      </c>
      <c r="I79" s="565" t="s">
        <v>1423</v>
      </c>
      <c r="J79" s="566" t="s">
        <v>95</v>
      </c>
      <c r="K79" s="360" t="s">
        <v>1541</v>
      </c>
      <c r="L79" s="360"/>
      <c r="M79" s="360"/>
      <c r="N79" s="360"/>
      <c r="O79" s="360"/>
      <c r="P79" s="360"/>
      <c r="Q79" s="360"/>
      <c r="R79" s="360"/>
    </row>
    <row r="80" customFormat="false" ht="67.5" hidden="false" customHeight="true" outlineLevel="0" collapsed="false">
      <c r="A80" s="562" t="n">
        <v>76</v>
      </c>
      <c r="B80" s="574" t="n">
        <v>44189</v>
      </c>
      <c r="C80" s="562" t="s">
        <v>977</v>
      </c>
      <c r="D80" s="562" t="s">
        <v>1542</v>
      </c>
      <c r="E80" s="562"/>
      <c r="F80" s="563"/>
      <c r="G80" s="568" t="s">
        <v>1375</v>
      </c>
      <c r="H80" s="569" t="s">
        <v>1540</v>
      </c>
      <c r="I80" s="565" t="s">
        <v>1423</v>
      </c>
      <c r="J80" s="566" t="s">
        <v>95</v>
      </c>
      <c r="K80" s="360" t="s">
        <v>1543</v>
      </c>
      <c r="L80" s="360"/>
      <c r="M80" s="360"/>
      <c r="N80" s="360"/>
      <c r="O80" s="360"/>
      <c r="P80" s="360"/>
      <c r="Q80" s="360"/>
      <c r="R80" s="360"/>
    </row>
    <row r="81" customFormat="false" ht="67.5" hidden="false" customHeight="true" outlineLevel="0" collapsed="false">
      <c r="A81" s="562" t="n">
        <v>77</v>
      </c>
      <c r="B81" s="574" t="n">
        <v>44189</v>
      </c>
      <c r="C81" s="562" t="s">
        <v>1371</v>
      </c>
      <c r="D81" s="562" t="s">
        <v>1372</v>
      </c>
      <c r="E81" s="562" t="s">
        <v>1373</v>
      </c>
      <c r="F81" s="567" t="s">
        <v>158</v>
      </c>
      <c r="G81" s="568" t="s">
        <v>1532</v>
      </c>
      <c r="H81" s="569" t="s">
        <v>1544</v>
      </c>
      <c r="I81" s="565" t="s">
        <v>1423</v>
      </c>
      <c r="J81" s="566" t="s">
        <v>95</v>
      </c>
      <c r="K81" s="360" t="s">
        <v>1545</v>
      </c>
      <c r="L81" s="360"/>
      <c r="M81" s="360"/>
      <c r="N81" s="360"/>
      <c r="O81" s="360"/>
      <c r="P81" s="360"/>
      <c r="Q81" s="360"/>
      <c r="R81" s="360"/>
    </row>
    <row r="82" customFormat="false" ht="81" hidden="false" customHeight="true" outlineLevel="0" collapsed="false">
      <c r="A82" s="562" t="n">
        <v>78</v>
      </c>
      <c r="B82" s="574" t="n">
        <v>44204</v>
      </c>
      <c r="C82" s="562" t="s">
        <v>209</v>
      </c>
      <c r="D82" s="577" t="s">
        <v>580</v>
      </c>
      <c r="E82" s="562"/>
      <c r="F82" s="563" t="n">
        <v>44204</v>
      </c>
      <c r="G82" s="568" t="s">
        <v>300</v>
      </c>
      <c r="H82" s="571" t="n">
        <v>0.0005</v>
      </c>
      <c r="I82" s="565" t="s">
        <v>1474</v>
      </c>
      <c r="J82" s="575" t="s">
        <v>95</v>
      </c>
      <c r="K82" s="360" t="s">
        <v>1546</v>
      </c>
      <c r="L82" s="360"/>
      <c r="M82" s="360"/>
      <c r="N82" s="360"/>
      <c r="O82" s="360"/>
      <c r="P82" s="360"/>
      <c r="Q82" s="360"/>
      <c r="R82" s="360"/>
    </row>
    <row r="83" customFormat="false" ht="39.75" hidden="false" customHeight="true" outlineLevel="0" collapsed="false">
      <c r="A83" s="562" t="n">
        <v>79</v>
      </c>
      <c r="B83" s="574" t="n">
        <v>44221</v>
      </c>
      <c r="C83" s="562" t="s">
        <v>616</v>
      </c>
      <c r="D83" s="562" t="s">
        <v>611</v>
      </c>
      <c r="E83" s="562" t="s">
        <v>1521</v>
      </c>
      <c r="F83" s="563" t="n">
        <v>44221</v>
      </c>
      <c r="G83" s="563" t="s">
        <v>300</v>
      </c>
      <c r="H83" s="564" t="n">
        <v>0.0008</v>
      </c>
      <c r="I83" s="565" t="s">
        <v>1441</v>
      </c>
      <c r="J83" s="566" t="s">
        <v>95</v>
      </c>
      <c r="K83" s="360" t="s">
        <v>1547</v>
      </c>
      <c r="L83" s="360"/>
      <c r="M83" s="360"/>
      <c r="N83" s="360"/>
      <c r="O83" s="360"/>
      <c r="P83" s="360"/>
      <c r="Q83" s="360"/>
      <c r="R83" s="360"/>
    </row>
    <row r="84" customFormat="false" ht="68.25" hidden="false" customHeight="true" outlineLevel="0" collapsed="false">
      <c r="A84" s="562" t="n">
        <v>80</v>
      </c>
      <c r="B84" s="574" t="n">
        <v>44229</v>
      </c>
      <c r="C84" s="562" t="s">
        <v>96</v>
      </c>
      <c r="D84" s="562" t="s">
        <v>1548</v>
      </c>
      <c r="E84" s="562"/>
      <c r="F84" s="567" t="s">
        <v>158</v>
      </c>
      <c r="G84" s="568" t="s">
        <v>1549</v>
      </c>
      <c r="H84" s="571" t="s">
        <v>1550</v>
      </c>
      <c r="I84" s="565" t="s">
        <v>1551</v>
      </c>
      <c r="J84" s="575"/>
      <c r="K84" s="360" t="s">
        <v>1552</v>
      </c>
      <c r="L84" s="360"/>
      <c r="M84" s="360"/>
      <c r="N84" s="360"/>
      <c r="O84" s="360"/>
      <c r="P84" s="360"/>
      <c r="Q84" s="360"/>
      <c r="R84" s="360"/>
    </row>
    <row r="85" customFormat="false" ht="68.25" hidden="false" customHeight="true" outlineLevel="0" collapsed="false">
      <c r="A85" s="562" t="n">
        <v>81</v>
      </c>
      <c r="B85" s="574" t="n">
        <v>44236</v>
      </c>
      <c r="C85" s="562" t="s">
        <v>96</v>
      </c>
      <c r="D85" s="562" t="s">
        <v>1553</v>
      </c>
      <c r="E85" s="562"/>
      <c r="F85" s="567" t="s">
        <v>158</v>
      </c>
      <c r="G85" s="568" t="s">
        <v>1554</v>
      </c>
      <c r="H85" s="571" t="s">
        <v>1555</v>
      </c>
      <c r="I85" s="565"/>
      <c r="J85" s="575"/>
      <c r="K85" s="360" t="s">
        <v>1556</v>
      </c>
      <c r="L85" s="360"/>
      <c r="M85" s="360"/>
      <c r="N85" s="360"/>
      <c r="O85" s="360"/>
      <c r="P85" s="360"/>
      <c r="Q85" s="360"/>
      <c r="R85" s="360"/>
    </row>
    <row r="86" customFormat="false" ht="68.25" hidden="false" customHeight="true" outlineLevel="0" collapsed="false">
      <c r="A86" s="562" t="n">
        <v>82</v>
      </c>
      <c r="B86" s="574" t="n">
        <v>44246</v>
      </c>
      <c r="C86" s="562" t="s">
        <v>96</v>
      </c>
      <c r="D86" s="562" t="s">
        <v>1548</v>
      </c>
      <c r="E86" s="562"/>
      <c r="F86" s="567" t="s">
        <v>158</v>
      </c>
      <c r="G86" s="568" t="s">
        <v>1394</v>
      </c>
      <c r="H86" s="571" t="s">
        <v>1557</v>
      </c>
      <c r="I86" s="565" t="s">
        <v>1551</v>
      </c>
      <c r="J86" s="575"/>
      <c r="K86" s="360" t="s">
        <v>1558</v>
      </c>
      <c r="L86" s="360"/>
      <c r="M86" s="360"/>
      <c r="N86" s="360"/>
      <c r="O86" s="360"/>
      <c r="P86" s="360"/>
      <c r="Q86" s="360"/>
      <c r="R86" s="360"/>
    </row>
    <row r="87" s="38" customFormat="true" ht="57.75" hidden="false" customHeight="true" outlineLevel="0" collapsed="false">
      <c r="A87" s="562" t="n">
        <v>83</v>
      </c>
      <c r="B87" s="561" t="n">
        <v>44260</v>
      </c>
      <c r="C87" s="562" t="s">
        <v>1129</v>
      </c>
      <c r="D87" s="562" t="s">
        <v>1380</v>
      </c>
      <c r="E87" s="562" t="s">
        <v>442</v>
      </c>
      <c r="F87" s="567" t="s">
        <v>158</v>
      </c>
      <c r="G87" s="568" t="s">
        <v>1375</v>
      </c>
      <c r="H87" s="569" t="s">
        <v>1559</v>
      </c>
      <c r="I87" s="570" t="s">
        <v>1483</v>
      </c>
      <c r="J87" s="566" t="s">
        <v>95</v>
      </c>
      <c r="K87" s="360" t="s">
        <v>1560</v>
      </c>
      <c r="L87" s="360"/>
      <c r="M87" s="360"/>
      <c r="N87" s="360"/>
      <c r="O87" s="360"/>
      <c r="P87" s="360"/>
      <c r="Q87" s="360"/>
      <c r="R87" s="360"/>
      <c r="S87" s="36"/>
    </row>
    <row r="88" s="38" customFormat="true" ht="57.75" hidden="false" customHeight="true" outlineLevel="0" collapsed="false">
      <c r="A88" s="562" t="n">
        <v>84</v>
      </c>
      <c r="B88" s="561" t="n">
        <v>44265</v>
      </c>
      <c r="C88" s="562" t="s">
        <v>1129</v>
      </c>
      <c r="D88" s="562" t="s">
        <v>1450</v>
      </c>
      <c r="E88" s="562" t="s">
        <v>442</v>
      </c>
      <c r="F88" s="567" t="s">
        <v>158</v>
      </c>
      <c r="G88" s="568" t="s">
        <v>1381</v>
      </c>
      <c r="H88" s="569" t="s">
        <v>1561</v>
      </c>
      <c r="I88" s="570" t="s">
        <v>1483</v>
      </c>
      <c r="J88" s="566" t="s">
        <v>95</v>
      </c>
      <c r="K88" s="360" t="s">
        <v>1562</v>
      </c>
      <c r="L88" s="360"/>
      <c r="M88" s="360"/>
      <c r="N88" s="360"/>
      <c r="O88" s="360"/>
      <c r="P88" s="360"/>
      <c r="Q88" s="360"/>
      <c r="R88" s="360"/>
      <c r="S88" s="36"/>
    </row>
    <row r="89" customFormat="false" ht="81" hidden="false" customHeight="true" outlineLevel="0" collapsed="false">
      <c r="A89" s="562" t="n">
        <v>85</v>
      </c>
      <c r="B89" s="574" t="n">
        <v>44284</v>
      </c>
      <c r="C89" s="562" t="s">
        <v>209</v>
      </c>
      <c r="D89" s="577" t="s">
        <v>695</v>
      </c>
      <c r="E89" s="562" t="s">
        <v>1563</v>
      </c>
      <c r="F89" s="567" t="s">
        <v>158</v>
      </c>
      <c r="G89" s="568" t="s">
        <v>300</v>
      </c>
      <c r="H89" s="571" t="n">
        <v>0.0005</v>
      </c>
      <c r="I89" s="565" t="s">
        <v>1441</v>
      </c>
      <c r="J89" s="575" t="s">
        <v>95</v>
      </c>
      <c r="K89" s="360" t="s">
        <v>1564</v>
      </c>
      <c r="L89" s="360"/>
      <c r="M89" s="360"/>
      <c r="N89" s="360"/>
      <c r="O89" s="360"/>
      <c r="P89" s="360"/>
      <c r="Q89" s="360"/>
      <c r="R89" s="360"/>
    </row>
    <row r="90" s="38" customFormat="true" ht="57.75" hidden="false" customHeight="true" outlineLevel="0" collapsed="false">
      <c r="A90" s="562" t="n">
        <v>86</v>
      </c>
      <c r="B90" s="561" t="n">
        <v>44287</v>
      </c>
      <c r="C90" s="562" t="s">
        <v>1129</v>
      </c>
      <c r="D90" s="562" t="s">
        <v>1450</v>
      </c>
      <c r="E90" s="562"/>
      <c r="F90" s="567" t="s">
        <v>158</v>
      </c>
      <c r="G90" s="568" t="s">
        <v>1381</v>
      </c>
      <c r="H90" s="569" t="s">
        <v>1565</v>
      </c>
      <c r="I90" s="570"/>
      <c r="J90" s="566" t="s">
        <v>95</v>
      </c>
      <c r="K90" s="360" t="s">
        <v>1566</v>
      </c>
      <c r="L90" s="360"/>
      <c r="M90" s="360"/>
      <c r="N90" s="360"/>
      <c r="O90" s="360"/>
      <c r="P90" s="360"/>
      <c r="Q90" s="360"/>
      <c r="R90" s="360"/>
      <c r="S90" s="36"/>
    </row>
    <row r="91" customFormat="false" ht="81" hidden="false" customHeight="true" outlineLevel="0" collapsed="false">
      <c r="A91" s="562" t="n">
        <v>87</v>
      </c>
      <c r="B91" s="574" t="n">
        <v>44294</v>
      </c>
      <c r="C91" s="562" t="s">
        <v>209</v>
      </c>
      <c r="D91" s="577" t="s">
        <v>580</v>
      </c>
      <c r="E91" s="562"/>
      <c r="F91" s="563" t="n">
        <v>44294</v>
      </c>
      <c r="G91" s="568" t="s">
        <v>300</v>
      </c>
      <c r="H91" s="571" t="n">
        <v>0.0005</v>
      </c>
      <c r="I91" s="565" t="s">
        <v>1483</v>
      </c>
      <c r="J91" s="575" t="s">
        <v>95</v>
      </c>
      <c r="K91" s="360" t="s">
        <v>1567</v>
      </c>
      <c r="L91" s="360"/>
      <c r="M91" s="360"/>
      <c r="N91" s="360"/>
      <c r="O91" s="360"/>
      <c r="P91" s="360"/>
      <c r="Q91" s="360"/>
      <c r="R91" s="360"/>
    </row>
    <row r="92" customFormat="false" ht="66.75" hidden="false" customHeight="true" outlineLevel="0" collapsed="false">
      <c r="A92" s="562" t="n">
        <v>88</v>
      </c>
      <c r="B92" s="574" t="n">
        <v>44343</v>
      </c>
      <c r="C92" s="562" t="s">
        <v>1568</v>
      </c>
      <c r="D92" s="562" t="s">
        <v>1569</v>
      </c>
      <c r="E92" s="562"/>
      <c r="F92" s="563"/>
      <c r="G92" s="568" t="s">
        <v>1570</v>
      </c>
      <c r="H92" s="571" t="s">
        <v>1571</v>
      </c>
      <c r="I92" s="565" t="s">
        <v>1572</v>
      </c>
      <c r="J92" s="575"/>
      <c r="K92" s="361" t="s">
        <v>1573</v>
      </c>
      <c r="L92" s="361"/>
      <c r="M92" s="361"/>
      <c r="N92" s="361"/>
      <c r="O92" s="361"/>
      <c r="P92" s="361"/>
      <c r="Q92" s="361"/>
      <c r="R92" s="361"/>
    </row>
    <row r="93" customFormat="false" ht="69.75" hidden="false" customHeight="true" outlineLevel="0" collapsed="false">
      <c r="A93" s="562" t="n">
        <v>89</v>
      </c>
      <c r="B93" s="574" t="n">
        <v>44364</v>
      </c>
      <c r="C93" s="562" t="s">
        <v>209</v>
      </c>
      <c r="D93" s="577" t="s">
        <v>614</v>
      </c>
      <c r="E93" s="562" t="s">
        <v>1563</v>
      </c>
      <c r="F93" s="563" t="n">
        <v>44364</v>
      </c>
      <c r="G93" s="568" t="s">
        <v>300</v>
      </c>
      <c r="H93" s="571" t="n">
        <v>0.0003</v>
      </c>
      <c r="I93" s="565" t="s">
        <v>1474</v>
      </c>
      <c r="J93" s="575" t="s">
        <v>95</v>
      </c>
      <c r="K93" s="361" t="s">
        <v>1574</v>
      </c>
      <c r="L93" s="361"/>
      <c r="M93" s="361"/>
      <c r="N93" s="361"/>
      <c r="O93" s="361"/>
      <c r="P93" s="361"/>
      <c r="Q93" s="361"/>
      <c r="R93" s="361"/>
    </row>
    <row r="94" customFormat="false" ht="39.75" hidden="false" customHeight="true" outlineLevel="0" collapsed="false">
      <c r="A94" s="562" t="n">
        <v>90</v>
      </c>
      <c r="B94" s="574" t="n">
        <v>44383</v>
      </c>
      <c r="C94" s="562" t="s">
        <v>89</v>
      </c>
      <c r="D94" s="562" t="s">
        <v>1392</v>
      </c>
      <c r="E94" s="562"/>
      <c r="F94" s="567" t="s">
        <v>158</v>
      </c>
      <c r="G94" s="568" t="s">
        <v>300</v>
      </c>
      <c r="H94" s="571" t="n">
        <v>0.0003</v>
      </c>
      <c r="I94" s="565" t="s">
        <v>1457</v>
      </c>
      <c r="J94" s="575" t="s">
        <v>95</v>
      </c>
      <c r="K94" s="361" t="s">
        <v>1575</v>
      </c>
      <c r="L94" s="361"/>
      <c r="M94" s="361"/>
      <c r="N94" s="361"/>
      <c r="O94" s="361"/>
      <c r="P94" s="361"/>
      <c r="Q94" s="361"/>
      <c r="R94" s="361"/>
    </row>
    <row r="95" customFormat="false" ht="39.75" hidden="false" customHeight="true" outlineLevel="0" collapsed="false">
      <c r="A95" s="562" t="n">
        <v>91</v>
      </c>
      <c r="B95" s="574" t="n">
        <v>44399</v>
      </c>
      <c r="C95" s="562" t="s">
        <v>616</v>
      </c>
      <c r="D95" s="562" t="s">
        <v>611</v>
      </c>
      <c r="E95" s="562" t="s">
        <v>1521</v>
      </c>
      <c r="F95" s="563" t="n">
        <v>44403</v>
      </c>
      <c r="G95" s="563" t="s">
        <v>300</v>
      </c>
      <c r="H95" s="564" t="n">
        <v>0.0003</v>
      </c>
      <c r="I95" s="565" t="s">
        <v>1441</v>
      </c>
      <c r="J95" s="566" t="s">
        <v>95</v>
      </c>
      <c r="K95" s="361" t="s">
        <v>1576</v>
      </c>
      <c r="L95" s="361"/>
      <c r="M95" s="361"/>
      <c r="N95" s="361"/>
      <c r="O95" s="361"/>
      <c r="P95" s="361"/>
      <c r="Q95" s="361"/>
      <c r="R95" s="361"/>
    </row>
    <row r="96" customFormat="false" ht="39.75" hidden="false" customHeight="true" outlineLevel="0" collapsed="false">
      <c r="A96" s="562" t="n">
        <v>92</v>
      </c>
      <c r="B96" s="574" t="n">
        <v>44445</v>
      </c>
      <c r="C96" s="562" t="s">
        <v>1129</v>
      </c>
      <c r="D96" s="562" t="s">
        <v>735</v>
      </c>
      <c r="E96" s="562" t="s">
        <v>442</v>
      </c>
      <c r="F96" s="567" t="s">
        <v>158</v>
      </c>
      <c r="G96" s="563" t="s">
        <v>300</v>
      </c>
      <c r="H96" s="564" t="n">
        <v>0.0003</v>
      </c>
      <c r="I96" s="565" t="s">
        <v>1483</v>
      </c>
      <c r="J96" s="575" t="s">
        <v>95</v>
      </c>
      <c r="K96" s="361" t="s">
        <v>620</v>
      </c>
      <c r="L96" s="361"/>
      <c r="M96" s="361"/>
      <c r="N96" s="361"/>
      <c r="O96" s="361"/>
      <c r="P96" s="361"/>
      <c r="Q96" s="361"/>
      <c r="R96" s="361"/>
    </row>
    <row r="97" customFormat="false" ht="39.75" hidden="false" customHeight="true" outlineLevel="0" collapsed="false">
      <c r="A97" s="562" t="n">
        <v>93</v>
      </c>
      <c r="B97" s="574" t="n">
        <v>44494</v>
      </c>
      <c r="C97" s="562" t="s">
        <v>616</v>
      </c>
      <c r="D97" s="562" t="s">
        <v>611</v>
      </c>
      <c r="E97" s="562" t="s">
        <v>1521</v>
      </c>
      <c r="F97" s="563" t="n">
        <v>44495</v>
      </c>
      <c r="G97" s="563" t="s">
        <v>300</v>
      </c>
      <c r="H97" s="564" t="n">
        <v>0.0003</v>
      </c>
      <c r="I97" s="565" t="s">
        <v>1441</v>
      </c>
      <c r="J97" s="566" t="s">
        <v>95</v>
      </c>
      <c r="K97" s="361" t="s">
        <v>1577</v>
      </c>
      <c r="L97" s="361"/>
      <c r="M97" s="361"/>
      <c r="N97" s="361"/>
      <c r="O97" s="361"/>
      <c r="P97" s="361"/>
      <c r="Q97" s="361"/>
      <c r="R97" s="361"/>
    </row>
    <row r="98" customFormat="false" ht="39.75" hidden="false" customHeight="true" outlineLevel="0" collapsed="false">
      <c r="A98" s="562" t="n">
        <v>94</v>
      </c>
      <c r="B98" s="574" t="n">
        <v>44586</v>
      </c>
      <c r="C98" s="562" t="s">
        <v>616</v>
      </c>
      <c r="D98" s="562" t="s">
        <v>611</v>
      </c>
      <c r="E98" s="562" t="s">
        <v>1521</v>
      </c>
      <c r="F98" s="563" t="n">
        <v>44587</v>
      </c>
      <c r="G98" s="563" t="s">
        <v>300</v>
      </c>
      <c r="H98" s="564" t="n">
        <v>0.001</v>
      </c>
      <c r="I98" s="565" t="s">
        <v>1441</v>
      </c>
      <c r="J98" s="566" t="s">
        <v>95</v>
      </c>
      <c r="K98" s="360" t="s">
        <v>1578</v>
      </c>
      <c r="L98" s="360"/>
      <c r="M98" s="360"/>
      <c r="N98" s="360"/>
      <c r="O98" s="360"/>
      <c r="P98" s="360"/>
      <c r="Q98" s="360"/>
      <c r="R98" s="360"/>
    </row>
    <row r="99" customFormat="false" ht="99.75" hidden="false" customHeight="true" outlineLevel="0" collapsed="false">
      <c r="A99" s="562" t="n">
        <v>95</v>
      </c>
      <c r="B99" s="574" t="n">
        <v>44614</v>
      </c>
      <c r="C99" s="562" t="s">
        <v>1579</v>
      </c>
      <c r="D99" s="562" t="s">
        <v>1580</v>
      </c>
      <c r="E99" s="562"/>
      <c r="F99" s="563" t="s">
        <v>1581</v>
      </c>
      <c r="G99" s="568" t="s">
        <v>1582</v>
      </c>
      <c r="H99" s="569" t="s">
        <v>1583</v>
      </c>
      <c r="I99" s="565" t="s">
        <v>1551</v>
      </c>
      <c r="J99" s="575"/>
      <c r="K99" s="360" t="s">
        <v>1584</v>
      </c>
      <c r="L99" s="360"/>
      <c r="M99" s="360"/>
      <c r="N99" s="360"/>
      <c r="O99" s="360"/>
      <c r="P99" s="360"/>
      <c r="Q99" s="360"/>
      <c r="R99" s="360"/>
    </row>
    <row r="100" customFormat="false" ht="39.75" hidden="false" customHeight="true" outlineLevel="0" collapsed="false">
      <c r="A100" s="562" t="n">
        <v>96</v>
      </c>
      <c r="B100" s="574" t="n">
        <v>44636</v>
      </c>
      <c r="C100" s="562" t="s">
        <v>209</v>
      </c>
      <c r="D100" s="577" t="s">
        <v>614</v>
      </c>
      <c r="E100" s="562" t="s">
        <v>1563</v>
      </c>
      <c r="F100" s="563" t="n">
        <v>44637</v>
      </c>
      <c r="G100" s="568" t="s">
        <v>300</v>
      </c>
      <c r="H100" s="571" t="n">
        <v>0.005</v>
      </c>
      <c r="I100" s="565" t="s">
        <v>1474</v>
      </c>
      <c r="J100" s="575" t="s">
        <v>95</v>
      </c>
      <c r="K100" s="360" t="s">
        <v>1585</v>
      </c>
      <c r="L100" s="360"/>
      <c r="M100" s="360"/>
      <c r="N100" s="360"/>
      <c r="O100" s="360"/>
      <c r="P100" s="360"/>
      <c r="Q100" s="360"/>
      <c r="R100" s="360"/>
    </row>
    <row r="101" customFormat="false" ht="66" hidden="false" customHeight="true" outlineLevel="0" collapsed="false">
      <c r="A101" s="562" t="n">
        <v>97</v>
      </c>
      <c r="B101" s="574" t="n">
        <v>44676</v>
      </c>
      <c r="C101" s="562" t="s">
        <v>616</v>
      </c>
      <c r="D101" s="562" t="s">
        <v>611</v>
      </c>
      <c r="E101" s="562" t="s">
        <v>1521</v>
      </c>
      <c r="F101" s="563" t="n">
        <v>44677</v>
      </c>
      <c r="G101" s="568" t="s">
        <v>1381</v>
      </c>
      <c r="H101" s="571" t="s">
        <v>1586</v>
      </c>
      <c r="I101" s="565" t="s">
        <v>1441</v>
      </c>
      <c r="J101" s="566" t="s">
        <v>95</v>
      </c>
      <c r="K101" s="360" t="s">
        <v>1587</v>
      </c>
      <c r="L101" s="360"/>
      <c r="M101" s="360"/>
      <c r="N101" s="360"/>
      <c r="O101" s="360"/>
      <c r="P101" s="360"/>
      <c r="Q101" s="360"/>
      <c r="R101" s="360"/>
    </row>
    <row r="102" customFormat="false" ht="79.5" hidden="false" customHeight="true" outlineLevel="0" collapsed="false">
      <c r="A102" s="562" t="n">
        <v>98</v>
      </c>
      <c r="B102" s="574" t="n">
        <v>44678</v>
      </c>
      <c r="C102" s="562" t="s">
        <v>1129</v>
      </c>
      <c r="D102" s="562" t="s">
        <v>735</v>
      </c>
      <c r="E102" s="562"/>
      <c r="F102" s="567" t="s">
        <v>158</v>
      </c>
      <c r="G102" s="568" t="s">
        <v>1447</v>
      </c>
      <c r="H102" s="571" t="s">
        <v>1588</v>
      </c>
      <c r="I102" s="565" t="s">
        <v>1441</v>
      </c>
      <c r="J102" s="575" t="s">
        <v>95</v>
      </c>
      <c r="K102" s="360" t="s">
        <v>1589</v>
      </c>
      <c r="L102" s="360"/>
      <c r="M102" s="360"/>
      <c r="N102" s="360"/>
      <c r="O102" s="360"/>
      <c r="P102" s="360"/>
      <c r="Q102" s="360"/>
      <c r="R102" s="360"/>
    </row>
    <row r="103" customFormat="false" ht="79.5" hidden="false" customHeight="true" outlineLevel="0" collapsed="false">
      <c r="A103" s="562" t="n">
        <v>99</v>
      </c>
      <c r="B103" s="574" t="n">
        <v>44679</v>
      </c>
      <c r="C103" s="562" t="s">
        <v>977</v>
      </c>
      <c r="D103" s="562" t="s">
        <v>1590</v>
      </c>
      <c r="E103" s="562"/>
      <c r="F103" s="567" t="s">
        <v>158</v>
      </c>
      <c r="G103" s="568" t="s">
        <v>1591</v>
      </c>
      <c r="H103" s="571" t="s">
        <v>1592</v>
      </c>
      <c r="I103" s="565" t="s">
        <v>1483</v>
      </c>
      <c r="J103" s="575" t="s">
        <v>95</v>
      </c>
      <c r="K103" s="360" t="s">
        <v>1593</v>
      </c>
      <c r="L103" s="360"/>
      <c r="M103" s="360"/>
      <c r="N103" s="360"/>
      <c r="O103" s="360"/>
      <c r="P103" s="360"/>
      <c r="Q103" s="360"/>
      <c r="R103" s="360"/>
    </row>
    <row r="104" customFormat="false" ht="39.75" hidden="false" customHeight="true" outlineLevel="0" collapsed="false">
      <c r="A104" s="562" t="n">
        <v>100</v>
      </c>
      <c r="B104" s="574" t="n">
        <v>44680</v>
      </c>
      <c r="C104" s="562" t="s">
        <v>1184</v>
      </c>
      <c r="D104" s="562" t="s">
        <v>1594</v>
      </c>
      <c r="E104" s="562"/>
      <c r="F104" s="563" t="n">
        <v>44683</v>
      </c>
      <c r="G104" s="563" t="s">
        <v>300</v>
      </c>
      <c r="H104" s="564" t="n">
        <v>0.009</v>
      </c>
      <c r="I104" s="565" t="s">
        <v>1423</v>
      </c>
      <c r="J104" s="575" t="s">
        <v>95</v>
      </c>
      <c r="K104" s="360" t="s">
        <v>1595</v>
      </c>
      <c r="L104" s="360"/>
      <c r="M104" s="360"/>
      <c r="N104" s="360"/>
      <c r="O104" s="360"/>
      <c r="P104" s="360"/>
      <c r="Q104" s="360"/>
      <c r="R104" s="360"/>
    </row>
    <row r="105" customFormat="false" ht="66" hidden="false" customHeight="true" outlineLevel="0" collapsed="false">
      <c r="A105" s="562" t="n">
        <v>101</v>
      </c>
      <c r="B105" s="574" t="n">
        <v>44687</v>
      </c>
      <c r="C105" s="562" t="s">
        <v>1371</v>
      </c>
      <c r="D105" s="562" t="s">
        <v>867</v>
      </c>
      <c r="E105" s="562" t="s">
        <v>1596</v>
      </c>
      <c r="F105" s="567" t="s">
        <v>158</v>
      </c>
      <c r="G105" s="568" t="s">
        <v>1597</v>
      </c>
      <c r="H105" s="571" t="s">
        <v>1598</v>
      </c>
      <c r="I105" s="565" t="s">
        <v>1423</v>
      </c>
      <c r="J105" s="566" t="s">
        <v>95</v>
      </c>
      <c r="K105" s="360" t="s">
        <v>1599</v>
      </c>
      <c r="L105" s="360"/>
      <c r="M105" s="360"/>
      <c r="N105" s="360"/>
      <c r="O105" s="360"/>
      <c r="P105" s="360"/>
      <c r="Q105" s="360"/>
      <c r="R105" s="360"/>
    </row>
    <row r="106" customFormat="false" ht="39.75" hidden="false" customHeight="true" outlineLevel="0" collapsed="false">
      <c r="A106" s="562" t="n">
        <v>102</v>
      </c>
      <c r="B106" s="574" t="n">
        <v>44700</v>
      </c>
      <c r="C106" s="562" t="s">
        <v>1600</v>
      </c>
      <c r="D106" s="562" t="s">
        <v>435</v>
      </c>
      <c r="E106" s="562" t="s">
        <v>1601</v>
      </c>
      <c r="F106" s="563" t="s">
        <v>1602</v>
      </c>
      <c r="G106" s="568" t="s">
        <v>1603</v>
      </c>
      <c r="H106" s="571" t="s">
        <v>1604</v>
      </c>
      <c r="I106" s="565" t="s">
        <v>1441</v>
      </c>
      <c r="J106" s="578" t="s">
        <v>1409</v>
      </c>
      <c r="K106" s="360" t="s">
        <v>1605</v>
      </c>
      <c r="L106" s="360"/>
      <c r="M106" s="360"/>
      <c r="N106" s="360"/>
      <c r="O106" s="360"/>
      <c r="P106" s="360"/>
      <c r="Q106" s="360"/>
      <c r="R106" s="360"/>
    </row>
    <row r="107" customFormat="false" ht="39.75" hidden="false" customHeight="true" outlineLevel="0" collapsed="false">
      <c r="A107" s="562" t="n">
        <v>103</v>
      </c>
      <c r="B107" s="574" t="n">
        <v>44715</v>
      </c>
      <c r="C107" s="562" t="s">
        <v>100</v>
      </c>
      <c r="D107" s="562" t="s">
        <v>625</v>
      </c>
      <c r="E107" s="562" t="s">
        <v>1606</v>
      </c>
      <c r="F107" s="563" t="n">
        <v>44719</v>
      </c>
      <c r="G107" s="563" t="s">
        <v>396</v>
      </c>
      <c r="H107" s="564" t="n">
        <v>0.023</v>
      </c>
      <c r="I107" s="565" t="s">
        <v>1607</v>
      </c>
      <c r="J107" s="575" t="s">
        <v>95</v>
      </c>
      <c r="K107" s="360" t="s">
        <v>1608</v>
      </c>
      <c r="L107" s="360"/>
      <c r="M107" s="360"/>
      <c r="N107" s="360"/>
      <c r="O107" s="360"/>
      <c r="P107" s="360"/>
      <c r="Q107" s="360"/>
      <c r="R107" s="360"/>
    </row>
    <row r="108" customFormat="false" ht="39.75" hidden="false" customHeight="true" outlineLevel="0" collapsed="false">
      <c r="A108" s="562" t="n">
        <v>104</v>
      </c>
      <c r="B108" s="574" t="n">
        <v>44725</v>
      </c>
      <c r="C108" s="562" t="s">
        <v>644</v>
      </c>
      <c r="D108" s="562" t="s">
        <v>645</v>
      </c>
      <c r="E108" s="562"/>
      <c r="F108" s="567" t="s">
        <v>158</v>
      </c>
      <c r="G108" s="563" t="s">
        <v>300</v>
      </c>
      <c r="H108" s="564" t="n">
        <v>0.016</v>
      </c>
      <c r="I108" s="565" t="s">
        <v>1423</v>
      </c>
      <c r="J108" s="575" t="s">
        <v>95</v>
      </c>
      <c r="K108" s="360" t="s">
        <v>1609</v>
      </c>
      <c r="L108" s="360"/>
      <c r="M108" s="360"/>
      <c r="N108" s="360"/>
      <c r="O108" s="360"/>
      <c r="P108" s="360"/>
      <c r="Q108" s="360"/>
      <c r="R108" s="360"/>
    </row>
    <row r="109" customFormat="false" ht="64.5" hidden="false" customHeight="true" outlineLevel="0" collapsed="false">
      <c r="A109" s="562" t="n">
        <v>105</v>
      </c>
      <c r="B109" s="574" t="n">
        <v>44725</v>
      </c>
      <c r="C109" s="562" t="s">
        <v>103</v>
      </c>
      <c r="D109" s="562" t="s">
        <v>1610</v>
      </c>
      <c r="E109" s="562"/>
      <c r="F109" s="567" t="s">
        <v>158</v>
      </c>
      <c r="G109" s="568" t="s">
        <v>1381</v>
      </c>
      <c r="H109" s="571" t="s">
        <v>1611</v>
      </c>
      <c r="I109" s="565" t="s">
        <v>1491</v>
      </c>
      <c r="J109" s="575" t="s">
        <v>95</v>
      </c>
      <c r="K109" s="360" t="s">
        <v>1612</v>
      </c>
      <c r="L109" s="360"/>
      <c r="M109" s="360"/>
      <c r="N109" s="360"/>
      <c r="O109" s="360"/>
      <c r="P109" s="360"/>
      <c r="Q109" s="360"/>
      <c r="R109" s="360"/>
    </row>
    <row r="110" customFormat="false" ht="62.25" hidden="false" customHeight="true" outlineLevel="0" collapsed="false">
      <c r="A110" s="562" t="n">
        <v>106</v>
      </c>
      <c r="B110" s="574" t="n">
        <v>44726</v>
      </c>
      <c r="C110" s="562" t="s">
        <v>616</v>
      </c>
      <c r="D110" s="562" t="s">
        <v>630</v>
      </c>
      <c r="E110" s="562"/>
      <c r="F110" s="567" t="s">
        <v>158</v>
      </c>
      <c r="G110" s="568" t="s">
        <v>1570</v>
      </c>
      <c r="H110" s="571" t="s">
        <v>1613</v>
      </c>
      <c r="I110" s="565" t="s">
        <v>1457</v>
      </c>
      <c r="J110" s="575" t="s">
        <v>95</v>
      </c>
      <c r="K110" s="360" t="s">
        <v>1614</v>
      </c>
      <c r="L110" s="360"/>
      <c r="M110" s="360"/>
      <c r="N110" s="360"/>
      <c r="O110" s="360"/>
      <c r="P110" s="360"/>
      <c r="Q110" s="360"/>
      <c r="R110" s="360"/>
    </row>
    <row r="111" customFormat="false" ht="62.25" hidden="false" customHeight="true" outlineLevel="0" collapsed="false">
      <c r="A111" s="562" t="n">
        <v>107</v>
      </c>
      <c r="B111" s="574" t="n">
        <v>44727</v>
      </c>
      <c r="C111" s="562" t="s">
        <v>616</v>
      </c>
      <c r="D111" s="562" t="s">
        <v>630</v>
      </c>
      <c r="E111" s="562"/>
      <c r="F111" s="567" t="s">
        <v>158</v>
      </c>
      <c r="G111" s="568" t="s">
        <v>1570</v>
      </c>
      <c r="H111" s="571" t="s">
        <v>1615</v>
      </c>
      <c r="I111" s="565" t="s">
        <v>1457</v>
      </c>
      <c r="J111" s="575" t="s">
        <v>95</v>
      </c>
      <c r="K111" s="360" t="s">
        <v>1616</v>
      </c>
      <c r="L111" s="360"/>
      <c r="M111" s="360"/>
      <c r="N111" s="360"/>
      <c r="O111" s="360"/>
      <c r="P111" s="360"/>
      <c r="Q111" s="360"/>
      <c r="R111" s="360"/>
    </row>
    <row r="112" customFormat="false" ht="39.75" hidden="false" customHeight="true" outlineLevel="0" collapsed="false">
      <c r="A112" s="562" t="n">
        <v>108</v>
      </c>
      <c r="B112" s="574" t="n">
        <v>44729</v>
      </c>
      <c r="C112" s="562" t="s">
        <v>89</v>
      </c>
      <c r="D112" s="562" t="s">
        <v>653</v>
      </c>
      <c r="E112" s="562" t="s">
        <v>1617</v>
      </c>
      <c r="F112" s="567" t="s">
        <v>158</v>
      </c>
      <c r="G112" s="563" t="s">
        <v>99</v>
      </c>
      <c r="H112" s="564" t="n">
        <v>0.005</v>
      </c>
      <c r="I112" s="565" t="s">
        <v>1491</v>
      </c>
      <c r="J112" s="578" t="s">
        <v>99</v>
      </c>
      <c r="K112" s="360" t="s">
        <v>1618</v>
      </c>
      <c r="L112" s="360"/>
      <c r="M112" s="360"/>
      <c r="N112" s="360"/>
      <c r="O112" s="360"/>
      <c r="P112" s="360"/>
      <c r="Q112" s="360"/>
      <c r="R112" s="360"/>
    </row>
    <row r="113" customFormat="false" ht="54" hidden="false" customHeight="true" outlineLevel="0" collapsed="false">
      <c r="A113" s="562" t="n">
        <v>109</v>
      </c>
      <c r="B113" s="574" t="n">
        <v>44732</v>
      </c>
      <c r="C113" s="562" t="s">
        <v>89</v>
      </c>
      <c r="D113" s="562" t="s">
        <v>653</v>
      </c>
      <c r="E113" s="562" t="s">
        <v>1617</v>
      </c>
      <c r="F113" s="567" t="s">
        <v>158</v>
      </c>
      <c r="G113" s="563" t="s">
        <v>99</v>
      </c>
      <c r="H113" s="564" t="n">
        <v>0.0075</v>
      </c>
      <c r="I113" s="565" t="s">
        <v>1491</v>
      </c>
      <c r="J113" s="578" t="s">
        <v>99</v>
      </c>
      <c r="K113" s="360" t="s">
        <v>1619</v>
      </c>
      <c r="L113" s="360"/>
      <c r="M113" s="360"/>
      <c r="N113" s="360"/>
      <c r="O113" s="360"/>
      <c r="P113" s="360"/>
      <c r="Q113" s="360"/>
      <c r="R113" s="360"/>
    </row>
    <row r="114" customFormat="false" ht="54" hidden="false" customHeight="true" outlineLevel="0" collapsed="false">
      <c r="A114" s="562" t="n">
        <v>109</v>
      </c>
      <c r="B114" s="574" t="n">
        <v>44734</v>
      </c>
      <c r="C114" s="562" t="s">
        <v>597</v>
      </c>
      <c r="D114" s="562" t="s">
        <v>634</v>
      </c>
      <c r="E114" s="562" t="s">
        <v>1620</v>
      </c>
      <c r="F114" s="567" t="s">
        <v>158</v>
      </c>
      <c r="G114" s="563" t="s">
        <v>99</v>
      </c>
      <c r="H114" s="564" t="n">
        <v>0.0075</v>
      </c>
      <c r="I114" s="565" t="s">
        <v>1423</v>
      </c>
      <c r="J114" s="578" t="s">
        <v>99</v>
      </c>
      <c r="K114" s="360" t="s">
        <v>1621</v>
      </c>
      <c r="L114" s="360"/>
      <c r="M114" s="360"/>
      <c r="N114" s="360"/>
      <c r="O114" s="360"/>
      <c r="P114" s="360"/>
      <c r="Q114" s="360"/>
      <c r="R114" s="360"/>
    </row>
    <row r="115" customFormat="false" ht="54" hidden="false" customHeight="true" outlineLevel="0" collapsed="false">
      <c r="A115" s="562" t="n">
        <v>110</v>
      </c>
      <c r="B115" s="574" t="n">
        <v>44742</v>
      </c>
      <c r="C115" s="562" t="s">
        <v>89</v>
      </c>
      <c r="D115" s="562" t="s">
        <v>653</v>
      </c>
      <c r="E115" s="562"/>
      <c r="F115" s="567" t="s">
        <v>158</v>
      </c>
      <c r="G115" s="563" t="s">
        <v>300</v>
      </c>
      <c r="H115" s="564" t="n">
        <v>0.02</v>
      </c>
      <c r="I115" s="565" t="s">
        <v>1551</v>
      </c>
      <c r="J115" s="576" t="s">
        <v>95</v>
      </c>
      <c r="K115" s="360" t="s">
        <v>1622</v>
      </c>
      <c r="L115" s="360"/>
      <c r="M115" s="360"/>
      <c r="N115" s="360"/>
      <c r="O115" s="360"/>
      <c r="P115" s="360"/>
      <c r="Q115" s="360"/>
      <c r="R115" s="360"/>
    </row>
    <row r="116" customFormat="false" ht="54" hidden="false" customHeight="true" outlineLevel="0" collapsed="false">
      <c r="A116" s="562" t="n">
        <v>111</v>
      </c>
      <c r="B116" s="574" t="n">
        <v>44754</v>
      </c>
      <c r="C116" s="562" t="s">
        <v>89</v>
      </c>
      <c r="D116" s="562" t="s">
        <v>653</v>
      </c>
      <c r="E116" s="562"/>
      <c r="F116" s="567" t="s">
        <v>158</v>
      </c>
      <c r="G116" s="563" t="s">
        <v>99</v>
      </c>
      <c r="H116" s="564" t="n">
        <v>0.0085</v>
      </c>
      <c r="I116" s="565" t="s">
        <v>1623</v>
      </c>
      <c r="J116" s="578" t="s">
        <v>99</v>
      </c>
      <c r="K116" s="360" t="s">
        <v>1624</v>
      </c>
      <c r="L116" s="360"/>
      <c r="M116" s="360"/>
      <c r="N116" s="360"/>
      <c r="O116" s="360"/>
      <c r="P116" s="360"/>
      <c r="Q116" s="360"/>
      <c r="R116" s="360"/>
    </row>
    <row r="117" customFormat="false" ht="66" hidden="false" customHeight="true" outlineLevel="0" collapsed="false">
      <c r="A117" s="562" t="n">
        <v>112</v>
      </c>
      <c r="B117" s="574" t="n">
        <v>44757</v>
      </c>
      <c r="C117" s="562" t="s">
        <v>1371</v>
      </c>
      <c r="D117" s="562" t="s">
        <v>867</v>
      </c>
      <c r="E117" s="562" t="s">
        <v>1596</v>
      </c>
      <c r="F117" s="567" t="s">
        <v>158</v>
      </c>
      <c r="G117" s="568" t="s">
        <v>1597</v>
      </c>
      <c r="H117" s="571" t="s">
        <v>1625</v>
      </c>
      <c r="I117" s="565" t="s">
        <v>1423</v>
      </c>
      <c r="J117" s="566" t="s">
        <v>95</v>
      </c>
      <c r="K117" s="360" t="s">
        <v>1626</v>
      </c>
      <c r="L117" s="360"/>
      <c r="M117" s="360"/>
      <c r="N117" s="360"/>
      <c r="O117" s="360"/>
      <c r="P117" s="360"/>
      <c r="Q117" s="360"/>
      <c r="R117" s="360"/>
    </row>
    <row r="118" customFormat="false" ht="54" hidden="false" customHeight="true" outlineLevel="0" collapsed="false">
      <c r="A118" s="562" t="n">
        <v>113</v>
      </c>
      <c r="B118" s="574" t="n">
        <v>44774</v>
      </c>
      <c r="C118" s="562" t="s">
        <v>165</v>
      </c>
      <c r="D118" s="562" t="s">
        <v>630</v>
      </c>
      <c r="E118" s="562"/>
      <c r="F118" s="563"/>
      <c r="G118" s="568" t="s">
        <v>1570</v>
      </c>
      <c r="H118" s="571" t="s">
        <v>1627</v>
      </c>
      <c r="I118" s="565" t="s">
        <v>1491</v>
      </c>
      <c r="J118" s="575" t="s">
        <v>95</v>
      </c>
      <c r="K118" s="360" t="s">
        <v>1628</v>
      </c>
      <c r="L118" s="360"/>
      <c r="M118" s="360"/>
      <c r="N118" s="360"/>
      <c r="O118" s="360"/>
      <c r="P118" s="360"/>
      <c r="Q118" s="360"/>
      <c r="R118" s="360"/>
    </row>
    <row r="119" customFormat="false" ht="66" hidden="false" customHeight="true" outlineLevel="0" collapsed="false">
      <c r="A119" s="562" t="n">
        <v>114</v>
      </c>
      <c r="B119" s="574" t="n">
        <v>44781</v>
      </c>
      <c r="C119" s="562" t="s">
        <v>96</v>
      </c>
      <c r="D119" s="562" t="s">
        <v>1548</v>
      </c>
      <c r="E119" s="562"/>
      <c r="F119" s="567" t="s">
        <v>158</v>
      </c>
      <c r="G119" s="568" t="s">
        <v>1549</v>
      </c>
      <c r="H119" s="571" t="s">
        <v>1629</v>
      </c>
      <c r="I119" s="565" t="s">
        <v>1491</v>
      </c>
      <c r="J119" s="566" t="s">
        <v>95</v>
      </c>
      <c r="K119" s="360" t="s">
        <v>1630</v>
      </c>
      <c r="L119" s="360"/>
      <c r="M119" s="360"/>
      <c r="N119" s="360"/>
      <c r="O119" s="360"/>
      <c r="P119" s="360"/>
      <c r="Q119" s="360"/>
      <c r="R119" s="360"/>
    </row>
    <row r="120" customFormat="false" ht="66" hidden="false" customHeight="true" outlineLevel="0" collapsed="false">
      <c r="A120" s="562" t="n">
        <v>115</v>
      </c>
      <c r="B120" s="574" t="n">
        <v>44783</v>
      </c>
      <c r="C120" s="562" t="s">
        <v>96</v>
      </c>
      <c r="D120" s="562" t="s">
        <v>661</v>
      </c>
      <c r="E120" s="562"/>
      <c r="F120" s="567" t="s">
        <v>158</v>
      </c>
      <c r="G120" s="568" t="s">
        <v>1381</v>
      </c>
      <c r="H120" s="571" t="s">
        <v>1631</v>
      </c>
      <c r="I120" s="565" t="s">
        <v>1632</v>
      </c>
      <c r="J120" s="566" t="s">
        <v>95</v>
      </c>
      <c r="K120" s="360" t="s">
        <v>1633</v>
      </c>
      <c r="L120" s="360"/>
      <c r="M120" s="360"/>
      <c r="N120" s="360"/>
      <c r="O120" s="360"/>
      <c r="P120" s="360"/>
      <c r="Q120" s="360"/>
      <c r="R120" s="360"/>
    </row>
    <row r="121" customFormat="false" ht="66" hidden="false" customHeight="true" outlineLevel="0" collapsed="false">
      <c r="A121" s="562" t="n">
        <v>116</v>
      </c>
      <c r="B121" s="574" t="n">
        <v>44784</v>
      </c>
      <c r="C121" s="562" t="s">
        <v>96</v>
      </c>
      <c r="D121" s="562" t="s">
        <v>661</v>
      </c>
      <c r="E121" s="562"/>
      <c r="F121" s="567" t="s">
        <v>158</v>
      </c>
      <c r="G121" s="568" t="s">
        <v>1634</v>
      </c>
      <c r="H121" s="571" t="n">
        <v>0.028</v>
      </c>
      <c r="I121" s="565" t="s">
        <v>1632</v>
      </c>
      <c r="J121" s="566" t="s">
        <v>95</v>
      </c>
      <c r="K121" s="360" t="s">
        <v>1635</v>
      </c>
      <c r="L121" s="360"/>
      <c r="M121" s="360"/>
      <c r="N121" s="360"/>
      <c r="O121" s="360"/>
      <c r="P121" s="360"/>
      <c r="Q121" s="360"/>
      <c r="R121" s="360"/>
    </row>
    <row r="122" customFormat="false" ht="66" hidden="false" customHeight="true" outlineLevel="0" collapsed="false">
      <c r="A122" s="562" t="n">
        <v>117</v>
      </c>
      <c r="B122" s="574" t="n">
        <v>44785</v>
      </c>
      <c r="C122" s="562" t="s">
        <v>96</v>
      </c>
      <c r="D122" s="562" t="s">
        <v>661</v>
      </c>
      <c r="E122" s="562"/>
      <c r="F122" s="567" t="s">
        <v>158</v>
      </c>
      <c r="G122" s="568" t="s">
        <v>259</v>
      </c>
      <c r="H122" s="571" t="n">
        <v>0.0245</v>
      </c>
      <c r="I122" s="565" t="s">
        <v>1632</v>
      </c>
      <c r="J122" s="566" t="s">
        <v>95</v>
      </c>
      <c r="K122" s="360" t="s">
        <v>1636</v>
      </c>
      <c r="L122" s="360"/>
      <c r="M122" s="360"/>
      <c r="N122" s="360"/>
      <c r="O122" s="360"/>
      <c r="P122" s="360"/>
      <c r="Q122" s="360"/>
      <c r="R122" s="360"/>
    </row>
    <row r="123" customFormat="false" ht="71.25" hidden="false" customHeight="true" outlineLevel="0" collapsed="false">
      <c r="A123" s="562" t="n">
        <v>118</v>
      </c>
      <c r="B123" s="574" t="n">
        <v>44790</v>
      </c>
      <c r="C123" s="562" t="s">
        <v>96</v>
      </c>
      <c r="D123" s="562" t="s">
        <v>661</v>
      </c>
      <c r="E123" s="562" t="s">
        <v>1637</v>
      </c>
      <c r="F123" s="567" t="s">
        <v>158</v>
      </c>
      <c r="G123" s="568" t="s">
        <v>641</v>
      </c>
      <c r="H123" s="564" t="n">
        <v>0.032</v>
      </c>
      <c r="I123" s="565" t="s">
        <v>1638</v>
      </c>
      <c r="J123" s="566" t="s">
        <v>95</v>
      </c>
      <c r="K123" s="360" t="s">
        <v>664</v>
      </c>
      <c r="L123" s="360"/>
      <c r="M123" s="360"/>
      <c r="N123" s="360"/>
      <c r="O123" s="360"/>
      <c r="P123" s="360"/>
      <c r="Q123" s="360"/>
      <c r="R123" s="360"/>
    </row>
    <row r="124" customFormat="false" ht="39.75" hidden="false" customHeight="true" outlineLevel="0" collapsed="false">
      <c r="A124" s="562" t="n">
        <v>119</v>
      </c>
      <c r="B124" s="574" t="n">
        <v>44791</v>
      </c>
      <c r="C124" s="562" t="s">
        <v>89</v>
      </c>
      <c r="D124" s="562" t="s">
        <v>665</v>
      </c>
      <c r="E124" s="562" t="s">
        <v>1617</v>
      </c>
      <c r="F124" s="567" t="s">
        <v>158</v>
      </c>
      <c r="G124" s="563" t="s">
        <v>99</v>
      </c>
      <c r="H124" s="564" t="n">
        <v>0.015</v>
      </c>
      <c r="I124" s="565" t="s">
        <v>1639</v>
      </c>
      <c r="J124" s="578" t="s">
        <v>99</v>
      </c>
      <c r="K124" s="360" t="s">
        <v>1640</v>
      </c>
      <c r="L124" s="360"/>
      <c r="M124" s="360"/>
      <c r="N124" s="360"/>
      <c r="O124" s="360"/>
      <c r="P124" s="360"/>
      <c r="Q124" s="360"/>
      <c r="R124" s="360"/>
    </row>
    <row r="125" customFormat="false" ht="71.25" hidden="false" customHeight="true" outlineLevel="0" collapsed="false">
      <c r="A125" s="562" t="n">
        <v>120</v>
      </c>
      <c r="B125" s="574" t="n">
        <v>44796</v>
      </c>
      <c r="C125" s="562" t="s">
        <v>96</v>
      </c>
      <c r="D125" s="562" t="s">
        <v>661</v>
      </c>
      <c r="E125" s="562"/>
      <c r="F125" s="567" t="s">
        <v>158</v>
      </c>
      <c r="G125" s="568" t="s">
        <v>1532</v>
      </c>
      <c r="H125" s="571" t="s">
        <v>1641</v>
      </c>
      <c r="I125" s="565" t="s">
        <v>1642</v>
      </c>
      <c r="J125" s="566" t="s">
        <v>95</v>
      </c>
      <c r="K125" s="360" t="s">
        <v>1643</v>
      </c>
      <c r="L125" s="360"/>
      <c r="M125" s="360"/>
      <c r="N125" s="360"/>
      <c r="O125" s="360"/>
      <c r="P125" s="360"/>
      <c r="Q125" s="360"/>
      <c r="R125" s="360"/>
    </row>
    <row r="126" customFormat="false" ht="71.25" hidden="false" customHeight="true" outlineLevel="0" collapsed="false">
      <c r="A126" s="562" t="n">
        <v>121</v>
      </c>
      <c r="B126" s="574" t="n">
        <v>44802</v>
      </c>
      <c r="C126" s="562" t="s">
        <v>96</v>
      </c>
      <c r="D126" s="562" t="s">
        <v>661</v>
      </c>
      <c r="E126" s="562"/>
      <c r="F126" s="567" t="s">
        <v>158</v>
      </c>
      <c r="G126" s="568" t="s">
        <v>936</v>
      </c>
      <c r="H126" s="571" t="n">
        <v>0.025</v>
      </c>
      <c r="I126" s="565" t="s">
        <v>1642</v>
      </c>
      <c r="J126" s="566" t="s">
        <v>95</v>
      </c>
      <c r="K126" s="360" t="s">
        <v>1644</v>
      </c>
      <c r="L126" s="360"/>
      <c r="M126" s="360"/>
      <c r="N126" s="360"/>
      <c r="O126" s="360"/>
      <c r="P126" s="360"/>
      <c r="Q126" s="360"/>
      <c r="R126" s="360"/>
    </row>
    <row r="127" customFormat="false" ht="66" hidden="false" customHeight="true" outlineLevel="0" collapsed="false">
      <c r="A127" s="562" t="n">
        <v>122</v>
      </c>
      <c r="B127" s="574" t="n">
        <v>44806</v>
      </c>
      <c r="C127" s="562" t="s">
        <v>96</v>
      </c>
      <c r="D127" s="562" t="s">
        <v>1548</v>
      </c>
      <c r="E127" s="562"/>
      <c r="F127" s="567" t="s">
        <v>158</v>
      </c>
      <c r="G127" s="568" t="s">
        <v>1554</v>
      </c>
      <c r="H127" s="571" t="s">
        <v>1645</v>
      </c>
      <c r="I127" s="565" t="s">
        <v>1646</v>
      </c>
      <c r="J127" s="566" t="s">
        <v>95</v>
      </c>
      <c r="K127" s="360" t="s">
        <v>1647</v>
      </c>
      <c r="L127" s="360"/>
      <c r="M127" s="360"/>
      <c r="N127" s="360"/>
      <c r="O127" s="360"/>
      <c r="P127" s="360"/>
      <c r="Q127" s="360"/>
      <c r="R127" s="360"/>
    </row>
    <row r="128" customFormat="false" ht="39.75" hidden="false" customHeight="true" outlineLevel="0" collapsed="false">
      <c r="A128" s="562" t="n">
        <v>123</v>
      </c>
      <c r="B128" s="574" t="n">
        <v>44811</v>
      </c>
      <c r="C128" s="562" t="s">
        <v>644</v>
      </c>
      <c r="D128" s="562" t="s">
        <v>645</v>
      </c>
      <c r="E128" s="562"/>
      <c r="F128" s="563" t="n">
        <v>44817</v>
      </c>
      <c r="G128" s="563" t="s">
        <v>303</v>
      </c>
      <c r="H128" s="564" t="n">
        <v>0.024</v>
      </c>
      <c r="I128" s="565" t="s">
        <v>1483</v>
      </c>
      <c r="J128" s="575" t="s">
        <v>95</v>
      </c>
      <c r="K128" s="360" t="s">
        <v>1648</v>
      </c>
      <c r="L128" s="360"/>
      <c r="M128" s="360"/>
      <c r="N128" s="360"/>
      <c r="O128" s="360"/>
      <c r="P128" s="360"/>
      <c r="Q128" s="360"/>
      <c r="R128" s="360"/>
    </row>
    <row r="129" customFormat="false" ht="39.75" hidden="false" customHeight="true" outlineLevel="0" collapsed="false">
      <c r="A129" s="562" t="n">
        <v>124</v>
      </c>
      <c r="B129" s="574" t="n">
        <v>44817</v>
      </c>
      <c r="C129" s="562" t="s">
        <v>644</v>
      </c>
      <c r="D129" s="562" t="s">
        <v>1649</v>
      </c>
      <c r="E129" s="562"/>
      <c r="F129" s="563" t="n">
        <v>44817</v>
      </c>
      <c r="G129" s="563" t="s">
        <v>303</v>
      </c>
      <c r="H129" s="564" t="n">
        <v>0.0255</v>
      </c>
      <c r="I129" s="565" t="s">
        <v>1483</v>
      </c>
      <c r="J129" s="575" t="s">
        <v>95</v>
      </c>
      <c r="K129" s="360" t="s">
        <v>1650</v>
      </c>
      <c r="L129" s="360"/>
      <c r="M129" s="360"/>
      <c r="N129" s="360"/>
      <c r="O129" s="360"/>
      <c r="P129" s="360"/>
      <c r="Q129" s="360"/>
      <c r="R129" s="360"/>
    </row>
    <row r="130" customFormat="false" ht="66" hidden="false" customHeight="true" outlineLevel="0" collapsed="false">
      <c r="A130" s="562" t="n">
        <v>125</v>
      </c>
      <c r="B130" s="574" t="n">
        <v>44826</v>
      </c>
      <c r="C130" s="562" t="s">
        <v>1651</v>
      </c>
      <c r="D130" s="562" t="s">
        <v>1652</v>
      </c>
      <c r="E130" s="562"/>
      <c r="F130" s="563" t="n">
        <v>44827</v>
      </c>
      <c r="G130" s="568" t="s">
        <v>1591</v>
      </c>
      <c r="H130" s="571" t="s">
        <v>1653</v>
      </c>
      <c r="I130" s="565" t="n">
        <v>1.26</v>
      </c>
      <c r="J130" s="566" t="s">
        <v>95</v>
      </c>
      <c r="K130" s="360" t="s">
        <v>1654</v>
      </c>
      <c r="L130" s="360"/>
      <c r="M130" s="360"/>
      <c r="N130" s="360"/>
      <c r="O130" s="360"/>
      <c r="P130" s="360"/>
      <c r="Q130" s="360"/>
      <c r="R130" s="360"/>
    </row>
    <row r="131" customFormat="false" ht="66" hidden="false" customHeight="true" outlineLevel="0" collapsed="false">
      <c r="A131" s="562" t="n">
        <v>126</v>
      </c>
      <c r="B131" s="574" t="n">
        <v>44827</v>
      </c>
      <c r="C131" s="562" t="s">
        <v>96</v>
      </c>
      <c r="D131" s="562" t="s">
        <v>759</v>
      </c>
      <c r="E131" s="562"/>
      <c r="F131" s="567" t="s">
        <v>158</v>
      </c>
      <c r="G131" s="568" t="s">
        <v>1549</v>
      </c>
      <c r="H131" s="571" t="s">
        <v>1655</v>
      </c>
      <c r="I131" s="565" t="s">
        <v>1491</v>
      </c>
      <c r="J131" s="566" t="s">
        <v>95</v>
      </c>
      <c r="K131" s="360" t="s">
        <v>1656</v>
      </c>
      <c r="L131" s="360"/>
      <c r="M131" s="360"/>
      <c r="N131" s="360"/>
      <c r="O131" s="360"/>
      <c r="P131" s="360"/>
      <c r="Q131" s="360"/>
      <c r="R131" s="360"/>
    </row>
    <row r="132" customFormat="false" ht="66" hidden="false" customHeight="true" outlineLevel="0" collapsed="false">
      <c r="A132" s="562" t="n">
        <v>127</v>
      </c>
      <c r="B132" s="574" t="n">
        <v>44830</v>
      </c>
      <c r="C132" s="562" t="s">
        <v>96</v>
      </c>
      <c r="D132" s="562" t="s">
        <v>661</v>
      </c>
      <c r="E132" s="562"/>
      <c r="F132" s="567" t="s">
        <v>158</v>
      </c>
      <c r="G132" s="568" t="s">
        <v>1447</v>
      </c>
      <c r="H132" s="571" t="s">
        <v>1657</v>
      </c>
      <c r="I132" s="565" t="s">
        <v>1632</v>
      </c>
      <c r="J132" s="566" t="s">
        <v>95</v>
      </c>
      <c r="K132" s="360" t="s">
        <v>1658</v>
      </c>
      <c r="L132" s="360"/>
      <c r="M132" s="360"/>
      <c r="N132" s="360"/>
      <c r="O132" s="360"/>
      <c r="P132" s="360"/>
      <c r="Q132" s="360"/>
      <c r="R132" s="360"/>
    </row>
    <row r="133" customFormat="false" ht="66" hidden="false" customHeight="true" outlineLevel="0" collapsed="false">
      <c r="A133" s="562" t="n">
        <v>128</v>
      </c>
      <c r="B133" s="574" t="n">
        <v>44830</v>
      </c>
      <c r="C133" s="562" t="s">
        <v>977</v>
      </c>
      <c r="D133" s="562" t="s">
        <v>1659</v>
      </c>
      <c r="E133" s="562"/>
      <c r="F133" s="567" t="s">
        <v>158</v>
      </c>
      <c r="G133" s="568" t="s">
        <v>1447</v>
      </c>
      <c r="H133" s="571" t="s">
        <v>1657</v>
      </c>
      <c r="I133" s="565" t="s">
        <v>1441</v>
      </c>
      <c r="J133" s="566" t="s">
        <v>95</v>
      </c>
      <c r="K133" s="360" t="s">
        <v>1660</v>
      </c>
      <c r="L133" s="360"/>
      <c r="M133" s="360"/>
      <c r="N133" s="360"/>
      <c r="O133" s="360"/>
      <c r="P133" s="360"/>
      <c r="Q133" s="360"/>
      <c r="R133" s="360"/>
    </row>
    <row r="134" customFormat="false" ht="66" hidden="false" customHeight="true" outlineLevel="0" collapsed="false">
      <c r="A134" s="562" t="n">
        <v>129</v>
      </c>
      <c r="B134" s="574" t="n">
        <v>44832</v>
      </c>
      <c r="C134" s="562" t="s">
        <v>96</v>
      </c>
      <c r="D134" s="562" t="s">
        <v>661</v>
      </c>
      <c r="E134" s="562"/>
      <c r="F134" s="567" t="s">
        <v>158</v>
      </c>
      <c r="G134" s="568" t="s">
        <v>303</v>
      </c>
      <c r="H134" s="571" t="n">
        <v>0.0295</v>
      </c>
      <c r="I134" s="565" t="s">
        <v>1491</v>
      </c>
      <c r="J134" s="566" t="s">
        <v>95</v>
      </c>
      <c r="K134" s="360" t="s">
        <v>1661</v>
      </c>
      <c r="L134" s="360"/>
      <c r="M134" s="360"/>
      <c r="N134" s="360"/>
      <c r="O134" s="360"/>
      <c r="P134" s="360"/>
      <c r="Q134" s="360"/>
      <c r="R134" s="360"/>
    </row>
    <row r="135" customFormat="false" ht="66" hidden="false" customHeight="true" outlineLevel="0" collapsed="false">
      <c r="A135" s="562" t="n">
        <v>130</v>
      </c>
      <c r="B135" s="574" t="n">
        <v>44838</v>
      </c>
      <c r="C135" s="562" t="s">
        <v>96</v>
      </c>
      <c r="D135" s="562" t="s">
        <v>1548</v>
      </c>
      <c r="E135" s="562"/>
      <c r="F135" s="567" t="s">
        <v>158</v>
      </c>
      <c r="G135" s="568" t="s">
        <v>337</v>
      </c>
      <c r="H135" s="571" t="n">
        <v>0.04</v>
      </c>
      <c r="I135" s="565" t="s">
        <v>1491</v>
      </c>
      <c r="J135" s="566" t="s">
        <v>95</v>
      </c>
      <c r="K135" s="360" t="s">
        <v>1662</v>
      </c>
      <c r="L135" s="360"/>
      <c r="M135" s="360"/>
      <c r="N135" s="360"/>
      <c r="O135" s="360"/>
      <c r="P135" s="360"/>
      <c r="Q135" s="360"/>
      <c r="R135" s="360"/>
    </row>
    <row r="136" customFormat="false" ht="66" hidden="false" customHeight="true" outlineLevel="0" collapsed="false">
      <c r="A136" s="562" t="n">
        <v>131</v>
      </c>
      <c r="B136" s="574" t="n">
        <v>44840</v>
      </c>
      <c r="C136" s="560" t="s">
        <v>1663</v>
      </c>
      <c r="D136" s="562" t="s">
        <v>674</v>
      </c>
      <c r="E136" s="562"/>
      <c r="F136" s="567" t="s">
        <v>158</v>
      </c>
      <c r="G136" s="568" t="s">
        <v>1394</v>
      </c>
      <c r="H136" s="571" t="s">
        <v>1664</v>
      </c>
      <c r="I136" s="565" t="s">
        <v>1551</v>
      </c>
      <c r="J136" s="566" t="s">
        <v>95</v>
      </c>
      <c r="K136" s="360" t="s">
        <v>1665</v>
      </c>
      <c r="L136" s="360"/>
      <c r="M136" s="360"/>
      <c r="N136" s="360"/>
      <c r="O136" s="360"/>
      <c r="P136" s="360"/>
      <c r="Q136" s="360"/>
      <c r="R136" s="360"/>
    </row>
    <row r="137" customFormat="false" ht="66" hidden="false" customHeight="true" outlineLevel="0" collapsed="false">
      <c r="A137" s="562" t="n">
        <v>132</v>
      </c>
      <c r="B137" s="574" t="n">
        <v>44845</v>
      </c>
      <c r="C137" s="560" t="s">
        <v>1663</v>
      </c>
      <c r="D137" s="562" t="s">
        <v>674</v>
      </c>
      <c r="E137" s="562"/>
      <c r="F137" s="567" t="s">
        <v>158</v>
      </c>
      <c r="G137" s="568" t="s">
        <v>303</v>
      </c>
      <c r="H137" s="571" t="n">
        <v>0.031</v>
      </c>
      <c r="I137" s="565" t="s">
        <v>1423</v>
      </c>
      <c r="J137" s="566" t="s">
        <v>95</v>
      </c>
      <c r="K137" s="360" t="s">
        <v>1666</v>
      </c>
      <c r="L137" s="360"/>
      <c r="M137" s="360"/>
      <c r="N137" s="360"/>
      <c r="O137" s="360"/>
      <c r="P137" s="360"/>
      <c r="Q137" s="360"/>
      <c r="R137" s="360"/>
    </row>
    <row r="138" customFormat="false" ht="66.75" hidden="false" customHeight="true" outlineLevel="0" collapsed="false">
      <c r="A138" s="562" t="n">
        <v>133</v>
      </c>
      <c r="B138" s="574" t="n">
        <v>44846</v>
      </c>
      <c r="C138" s="562" t="s">
        <v>644</v>
      </c>
      <c r="D138" s="562" t="s">
        <v>645</v>
      </c>
      <c r="E138" s="562"/>
      <c r="F138" s="563" t="n">
        <v>44847</v>
      </c>
      <c r="G138" s="568" t="s">
        <v>1397</v>
      </c>
      <c r="H138" s="571" t="s">
        <v>1667</v>
      </c>
      <c r="I138" s="565" t="s">
        <v>1441</v>
      </c>
      <c r="J138" s="566" t="s">
        <v>95</v>
      </c>
      <c r="K138" s="360" t="s">
        <v>1668</v>
      </c>
      <c r="L138" s="360"/>
      <c r="M138" s="360"/>
      <c r="N138" s="360"/>
      <c r="O138" s="360"/>
      <c r="P138" s="360"/>
      <c r="Q138" s="360"/>
      <c r="R138" s="360"/>
    </row>
    <row r="139" customFormat="false" ht="66.75" hidden="false" customHeight="true" outlineLevel="0" collapsed="false">
      <c r="A139" s="562" t="n">
        <v>133</v>
      </c>
      <c r="B139" s="574" t="n">
        <v>44846</v>
      </c>
      <c r="C139" s="562" t="s">
        <v>644</v>
      </c>
      <c r="D139" s="562" t="s">
        <v>645</v>
      </c>
      <c r="E139" s="562"/>
      <c r="F139" s="563" t="n">
        <v>44847</v>
      </c>
      <c r="G139" s="568" t="s">
        <v>1397</v>
      </c>
      <c r="H139" s="571" t="s">
        <v>1669</v>
      </c>
      <c r="I139" s="565" t="s">
        <v>1441</v>
      </c>
      <c r="J139" s="566" t="s">
        <v>95</v>
      </c>
      <c r="K139" s="360" t="s">
        <v>1670</v>
      </c>
      <c r="L139" s="360"/>
      <c r="M139" s="360"/>
      <c r="N139" s="360"/>
      <c r="O139" s="360"/>
      <c r="P139" s="360"/>
      <c r="Q139" s="360"/>
      <c r="R139" s="360"/>
    </row>
    <row r="140" customFormat="false" ht="66.75" hidden="false" customHeight="true" outlineLevel="0" collapsed="false">
      <c r="A140" s="562" t="n">
        <v>134</v>
      </c>
      <c r="B140" s="574" t="n">
        <v>44847</v>
      </c>
      <c r="C140" s="562" t="s">
        <v>644</v>
      </c>
      <c r="D140" s="562" t="s">
        <v>645</v>
      </c>
      <c r="E140" s="562"/>
      <c r="F140" s="563" t="n">
        <v>44847</v>
      </c>
      <c r="G140" s="568" t="s">
        <v>303</v>
      </c>
      <c r="H140" s="571" t="n">
        <v>0.033</v>
      </c>
      <c r="I140" s="565" t="s">
        <v>1441</v>
      </c>
      <c r="J140" s="566" t="s">
        <v>95</v>
      </c>
      <c r="K140" s="360" t="s">
        <v>1671</v>
      </c>
      <c r="L140" s="360"/>
      <c r="M140" s="360"/>
      <c r="N140" s="360"/>
      <c r="O140" s="360"/>
      <c r="P140" s="360"/>
      <c r="Q140" s="360"/>
      <c r="R140" s="360"/>
    </row>
    <row r="141" customFormat="false" ht="39.75" hidden="false" customHeight="true" outlineLevel="0" collapsed="false">
      <c r="A141" s="562" t="n">
        <v>135</v>
      </c>
      <c r="B141" s="574" t="n">
        <v>44854</v>
      </c>
      <c r="C141" s="562" t="s">
        <v>96</v>
      </c>
      <c r="D141" s="562" t="s">
        <v>682</v>
      </c>
      <c r="E141" s="562"/>
      <c r="F141" s="567" t="s">
        <v>158</v>
      </c>
      <c r="G141" s="568" t="s">
        <v>1397</v>
      </c>
      <c r="H141" s="571" t="s">
        <v>1672</v>
      </c>
      <c r="I141" s="565" t="n">
        <v>1.5</v>
      </c>
      <c r="J141" s="575" t="s">
        <v>95</v>
      </c>
      <c r="K141" s="360" t="s">
        <v>1673</v>
      </c>
      <c r="L141" s="360"/>
      <c r="M141" s="360"/>
      <c r="N141" s="360"/>
      <c r="O141" s="360"/>
      <c r="P141" s="360"/>
      <c r="Q141" s="360"/>
      <c r="R141" s="360"/>
    </row>
    <row r="142" customFormat="false" ht="39.75" hidden="false" customHeight="true" outlineLevel="0" collapsed="false">
      <c r="A142" s="562" t="n">
        <v>136</v>
      </c>
      <c r="B142" s="574" t="n">
        <v>44858</v>
      </c>
      <c r="C142" s="562" t="s">
        <v>124</v>
      </c>
      <c r="D142" s="562" t="s">
        <v>884</v>
      </c>
      <c r="E142" s="562"/>
      <c r="F142" s="567" t="s">
        <v>158</v>
      </c>
      <c r="G142" s="568" t="s">
        <v>300</v>
      </c>
      <c r="H142" s="571" t="n">
        <v>0.0415</v>
      </c>
      <c r="I142" s="565" t="n">
        <v>1</v>
      </c>
      <c r="J142" s="575" t="s">
        <v>95</v>
      </c>
      <c r="K142" s="360" t="s">
        <v>1674</v>
      </c>
      <c r="L142" s="360"/>
      <c r="M142" s="360"/>
      <c r="N142" s="360"/>
      <c r="O142" s="360"/>
      <c r="P142" s="360"/>
      <c r="Q142" s="360"/>
      <c r="R142" s="360"/>
    </row>
    <row r="143" customFormat="false" ht="39.75" hidden="false" customHeight="true" outlineLevel="0" collapsed="false">
      <c r="A143" s="562" t="n">
        <v>137</v>
      </c>
      <c r="B143" s="574" t="n">
        <v>44859</v>
      </c>
      <c r="C143" s="562" t="s">
        <v>1129</v>
      </c>
      <c r="D143" s="562" t="s">
        <v>1675</v>
      </c>
      <c r="E143" s="562"/>
      <c r="F143" s="567" t="s">
        <v>158</v>
      </c>
      <c r="G143" s="568" t="s">
        <v>303</v>
      </c>
      <c r="H143" s="571" t="n">
        <v>0.035</v>
      </c>
      <c r="I143" s="579" t="s">
        <v>158</v>
      </c>
      <c r="J143" s="575" t="s">
        <v>95</v>
      </c>
      <c r="K143" s="360" t="s">
        <v>1676</v>
      </c>
      <c r="L143" s="360"/>
      <c r="M143" s="360"/>
      <c r="N143" s="360"/>
      <c r="O143" s="360"/>
      <c r="P143" s="360"/>
      <c r="Q143" s="360"/>
      <c r="R143" s="360"/>
    </row>
    <row r="144" customFormat="false" ht="39.75" hidden="false" customHeight="true" outlineLevel="0" collapsed="false">
      <c r="A144" s="562" t="n">
        <v>138</v>
      </c>
      <c r="B144" s="574" t="n">
        <v>44859</v>
      </c>
      <c r="C144" s="562" t="s">
        <v>616</v>
      </c>
      <c r="D144" s="562" t="s">
        <v>611</v>
      </c>
      <c r="E144" s="562"/>
      <c r="F144" s="563" t="n">
        <v>44860</v>
      </c>
      <c r="G144" s="568" t="s">
        <v>1591</v>
      </c>
      <c r="H144" s="571" t="s">
        <v>1677</v>
      </c>
      <c r="I144" s="565" t="s">
        <v>1441</v>
      </c>
      <c r="J144" s="566" t="s">
        <v>95</v>
      </c>
      <c r="K144" s="360" t="s">
        <v>1678</v>
      </c>
      <c r="L144" s="360"/>
      <c r="M144" s="360"/>
      <c r="N144" s="360"/>
      <c r="O144" s="360"/>
      <c r="P144" s="360"/>
      <c r="Q144" s="360"/>
      <c r="R144" s="360"/>
    </row>
    <row r="145" customFormat="false" ht="39.75" hidden="false" customHeight="true" outlineLevel="0" collapsed="false">
      <c r="A145" s="562" t="n">
        <v>139</v>
      </c>
      <c r="B145" s="574" t="n">
        <v>44860</v>
      </c>
      <c r="C145" s="562" t="s">
        <v>616</v>
      </c>
      <c r="D145" s="562" t="s">
        <v>611</v>
      </c>
      <c r="E145" s="562"/>
      <c r="F145" s="563" t="n">
        <v>44860</v>
      </c>
      <c r="G145" s="568" t="s">
        <v>1554</v>
      </c>
      <c r="H145" s="571" t="s">
        <v>1679</v>
      </c>
      <c r="I145" s="565" t="s">
        <v>1441</v>
      </c>
      <c r="J145" s="566" t="s">
        <v>95</v>
      </c>
      <c r="K145" s="360" t="s">
        <v>1680</v>
      </c>
      <c r="L145" s="360"/>
      <c r="M145" s="360"/>
      <c r="N145" s="360"/>
      <c r="O145" s="360"/>
      <c r="P145" s="360"/>
      <c r="Q145" s="360"/>
      <c r="R145" s="360"/>
    </row>
    <row r="146" customFormat="false" ht="39.75" hidden="false" customHeight="true" outlineLevel="0" collapsed="false">
      <c r="A146" s="562" t="n">
        <v>140</v>
      </c>
      <c r="B146" s="574" t="n">
        <v>44860</v>
      </c>
      <c r="C146" s="562" t="s">
        <v>96</v>
      </c>
      <c r="D146" s="562" t="s">
        <v>682</v>
      </c>
      <c r="E146" s="562"/>
      <c r="F146" s="563" t="n">
        <v>44861</v>
      </c>
      <c r="G146" s="568" t="s">
        <v>300</v>
      </c>
      <c r="H146" s="571" t="s">
        <v>1681</v>
      </c>
      <c r="I146" s="565" t="n">
        <v>3.9</v>
      </c>
      <c r="J146" s="575" t="s">
        <v>95</v>
      </c>
      <c r="K146" s="360" t="s">
        <v>1682</v>
      </c>
      <c r="L146" s="360"/>
      <c r="M146" s="360"/>
      <c r="N146" s="360"/>
      <c r="O146" s="360"/>
      <c r="P146" s="360"/>
      <c r="Q146" s="360"/>
      <c r="R146" s="360"/>
    </row>
    <row r="147" customFormat="false" ht="66" hidden="false" customHeight="true" outlineLevel="0" collapsed="false">
      <c r="A147" s="562" t="n">
        <v>141</v>
      </c>
      <c r="B147" s="574" t="n">
        <v>44861</v>
      </c>
      <c r="C147" s="562" t="s">
        <v>977</v>
      </c>
      <c r="D147" s="562" t="s">
        <v>1659</v>
      </c>
      <c r="E147" s="562"/>
      <c r="F147" s="567" t="s">
        <v>158</v>
      </c>
      <c r="G147" s="568" t="s">
        <v>1447</v>
      </c>
      <c r="H147" s="571" t="s">
        <v>1683</v>
      </c>
      <c r="I147" s="565" t="s">
        <v>1483</v>
      </c>
      <c r="J147" s="566" t="s">
        <v>95</v>
      </c>
      <c r="K147" s="360" t="s">
        <v>1684</v>
      </c>
      <c r="L147" s="360"/>
      <c r="M147" s="360"/>
      <c r="N147" s="360"/>
      <c r="O147" s="360"/>
      <c r="P147" s="360"/>
      <c r="Q147" s="360"/>
      <c r="R147" s="360"/>
    </row>
    <row r="148" customFormat="false" ht="62.25" hidden="false" customHeight="true" outlineLevel="0" collapsed="false">
      <c r="A148" s="562" t="n">
        <v>142</v>
      </c>
      <c r="B148" s="574" t="n">
        <v>44865</v>
      </c>
      <c r="C148" s="562" t="s">
        <v>616</v>
      </c>
      <c r="D148" s="562" t="s">
        <v>686</v>
      </c>
      <c r="E148" s="562"/>
      <c r="F148" s="563" t="n">
        <v>44866</v>
      </c>
      <c r="G148" s="568" t="s">
        <v>1570</v>
      </c>
      <c r="H148" s="571" t="s">
        <v>1685</v>
      </c>
      <c r="I148" s="565" t="s">
        <v>1686</v>
      </c>
      <c r="J148" s="575" t="s">
        <v>95</v>
      </c>
      <c r="K148" s="360" t="s">
        <v>1687</v>
      </c>
      <c r="L148" s="360"/>
      <c r="M148" s="360"/>
      <c r="N148" s="360"/>
      <c r="O148" s="360"/>
      <c r="P148" s="360"/>
      <c r="Q148" s="360"/>
      <c r="R148" s="360"/>
    </row>
    <row r="149" customFormat="false" ht="62.25" hidden="false" customHeight="true" outlineLevel="0" collapsed="false">
      <c r="A149" s="562" t="n">
        <v>143</v>
      </c>
      <c r="B149" s="574" t="n">
        <v>44867</v>
      </c>
      <c r="C149" s="562" t="s">
        <v>103</v>
      </c>
      <c r="D149" s="577" t="s">
        <v>1688</v>
      </c>
      <c r="E149" s="562"/>
      <c r="F149" s="567" t="s">
        <v>158</v>
      </c>
      <c r="G149" s="568" t="s">
        <v>1407</v>
      </c>
      <c r="H149" s="571" t="s">
        <v>1689</v>
      </c>
      <c r="I149" s="565" t="s">
        <v>1690</v>
      </c>
      <c r="J149" s="578" t="s">
        <v>1409</v>
      </c>
      <c r="K149" s="360" t="s">
        <v>1691</v>
      </c>
      <c r="L149" s="360"/>
      <c r="M149" s="360"/>
      <c r="N149" s="360"/>
      <c r="O149" s="360"/>
      <c r="P149" s="360"/>
      <c r="Q149" s="360"/>
      <c r="R149" s="360"/>
    </row>
    <row r="150" customFormat="false" ht="39.75" hidden="false" customHeight="true" outlineLevel="0" collapsed="false">
      <c r="A150" s="562" t="n">
        <v>144</v>
      </c>
      <c r="B150" s="574" t="n">
        <v>44869</v>
      </c>
      <c r="C150" s="562" t="s">
        <v>597</v>
      </c>
      <c r="D150" s="562" t="s">
        <v>634</v>
      </c>
      <c r="E150" s="562" t="s">
        <v>115</v>
      </c>
      <c r="F150" s="567" t="s">
        <v>158</v>
      </c>
      <c r="G150" s="563" t="s">
        <v>303</v>
      </c>
      <c r="H150" s="564" t="n">
        <v>0.0355</v>
      </c>
      <c r="I150" s="565" t="s">
        <v>1441</v>
      </c>
      <c r="J150" s="575" t="s">
        <v>95</v>
      </c>
      <c r="K150" s="360" t="s">
        <v>1692</v>
      </c>
      <c r="L150" s="360"/>
      <c r="M150" s="360"/>
      <c r="N150" s="360"/>
      <c r="O150" s="360"/>
      <c r="P150" s="360"/>
      <c r="Q150" s="360"/>
      <c r="R150" s="360"/>
    </row>
    <row r="151" customFormat="false" ht="66" hidden="false" customHeight="true" outlineLevel="0" collapsed="false">
      <c r="A151" s="562" t="n">
        <v>145</v>
      </c>
      <c r="B151" s="574" t="n">
        <v>44872</v>
      </c>
      <c r="C151" s="562" t="s">
        <v>96</v>
      </c>
      <c r="D151" s="562" t="s">
        <v>759</v>
      </c>
      <c r="E151" s="562"/>
      <c r="F151" s="567" t="s">
        <v>158</v>
      </c>
      <c r="G151" s="568" t="s">
        <v>1549</v>
      </c>
      <c r="H151" s="571" t="s">
        <v>1693</v>
      </c>
      <c r="I151" s="565" t="s">
        <v>1694</v>
      </c>
      <c r="J151" s="566" t="s">
        <v>95</v>
      </c>
      <c r="K151" s="360" t="s">
        <v>1695</v>
      </c>
      <c r="L151" s="360"/>
      <c r="M151" s="360"/>
      <c r="N151" s="360"/>
      <c r="O151" s="360"/>
      <c r="P151" s="360"/>
      <c r="Q151" s="360"/>
      <c r="R151" s="360"/>
    </row>
    <row r="152" customFormat="false" ht="39.75" hidden="false" customHeight="true" outlineLevel="0" collapsed="false">
      <c r="A152" s="562" t="n">
        <v>146</v>
      </c>
      <c r="B152" s="574" t="n">
        <v>44873</v>
      </c>
      <c r="C152" s="562" t="s">
        <v>209</v>
      </c>
      <c r="D152" s="562" t="s">
        <v>696</v>
      </c>
      <c r="E152" s="562"/>
      <c r="F152" s="567" t="s">
        <v>158</v>
      </c>
      <c r="G152" s="563" t="s">
        <v>300</v>
      </c>
      <c r="H152" s="564" t="n">
        <v>0.0435</v>
      </c>
      <c r="I152" s="565" t="s">
        <v>1457</v>
      </c>
      <c r="J152" s="575" t="s">
        <v>95</v>
      </c>
      <c r="K152" s="360" t="s">
        <v>1696</v>
      </c>
      <c r="L152" s="360"/>
      <c r="M152" s="360"/>
      <c r="N152" s="360"/>
      <c r="O152" s="360"/>
      <c r="P152" s="360"/>
      <c r="Q152" s="360"/>
      <c r="R152" s="360"/>
    </row>
    <row r="153" customFormat="false" ht="39.75" hidden="false" customHeight="true" outlineLevel="0" collapsed="false">
      <c r="A153" s="562" t="n">
        <v>147</v>
      </c>
      <c r="B153" s="574" t="n">
        <v>44873</v>
      </c>
      <c r="C153" s="562" t="s">
        <v>209</v>
      </c>
      <c r="D153" s="562" t="s">
        <v>695</v>
      </c>
      <c r="E153" s="562"/>
      <c r="F153" s="567" t="s">
        <v>158</v>
      </c>
      <c r="G153" s="568" t="s">
        <v>1397</v>
      </c>
      <c r="H153" s="571" t="s">
        <v>1697</v>
      </c>
      <c r="I153" s="565" t="s">
        <v>1457</v>
      </c>
      <c r="J153" s="575" t="s">
        <v>95</v>
      </c>
      <c r="K153" s="360" t="s">
        <v>1698</v>
      </c>
      <c r="L153" s="360"/>
      <c r="M153" s="360"/>
      <c r="N153" s="360"/>
      <c r="O153" s="360"/>
      <c r="P153" s="360"/>
      <c r="Q153" s="360"/>
      <c r="R153" s="360"/>
    </row>
    <row r="154" customFormat="false" ht="39.75" hidden="false" customHeight="true" outlineLevel="0" collapsed="false">
      <c r="A154" s="562" t="n">
        <v>148</v>
      </c>
      <c r="B154" s="574" t="n">
        <v>44874</v>
      </c>
      <c r="C154" s="562" t="s">
        <v>209</v>
      </c>
      <c r="D154" s="562" t="s">
        <v>695</v>
      </c>
      <c r="E154" s="562"/>
      <c r="F154" s="567" t="s">
        <v>158</v>
      </c>
      <c r="G154" s="568" t="s">
        <v>300</v>
      </c>
      <c r="H154" s="571" t="s">
        <v>1699</v>
      </c>
      <c r="I154" s="565" t="s">
        <v>1457</v>
      </c>
      <c r="J154" s="575" t="s">
        <v>95</v>
      </c>
      <c r="K154" s="360" t="s">
        <v>1700</v>
      </c>
      <c r="L154" s="360"/>
      <c r="M154" s="360"/>
      <c r="N154" s="360"/>
      <c r="O154" s="360"/>
      <c r="P154" s="360"/>
      <c r="Q154" s="360"/>
      <c r="R154" s="360"/>
    </row>
    <row r="155" customFormat="false" ht="39.75" hidden="false" customHeight="true" outlineLevel="0" collapsed="false">
      <c r="A155" s="562" t="n">
        <v>149</v>
      </c>
      <c r="B155" s="574" t="n">
        <v>44874</v>
      </c>
      <c r="C155" s="562" t="s">
        <v>209</v>
      </c>
      <c r="D155" s="562" t="s">
        <v>695</v>
      </c>
      <c r="E155" s="562"/>
      <c r="F155" s="567" t="s">
        <v>158</v>
      </c>
      <c r="G155" s="568" t="s">
        <v>303</v>
      </c>
      <c r="H155" s="571" t="s">
        <v>1701</v>
      </c>
      <c r="I155" s="565" t="s">
        <v>1457</v>
      </c>
      <c r="J155" s="575" t="s">
        <v>95</v>
      </c>
      <c r="K155" s="360" t="s">
        <v>1702</v>
      </c>
      <c r="L155" s="360"/>
      <c r="M155" s="360"/>
      <c r="N155" s="360"/>
      <c r="O155" s="360"/>
      <c r="P155" s="360"/>
      <c r="Q155" s="360"/>
      <c r="R155" s="360"/>
    </row>
    <row r="156" customFormat="false" ht="62.25" hidden="false" customHeight="true" outlineLevel="0" collapsed="false">
      <c r="A156" s="562" t="n">
        <v>150</v>
      </c>
      <c r="B156" s="574" t="n">
        <v>44874</v>
      </c>
      <c r="C156" s="562" t="s">
        <v>103</v>
      </c>
      <c r="D156" s="577" t="s">
        <v>1688</v>
      </c>
      <c r="E156" s="562"/>
      <c r="F156" s="567" t="s">
        <v>158</v>
      </c>
      <c r="G156" s="568" t="s">
        <v>1603</v>
      </c>
      <c r="H156" s="571" t="s">
        <v>1703</v>
      </c>
      <c r="I156" s="565" t="s">
        <v>1690</v>
      </c>
      <c r="J156" s="578" t="s">
        <v>1409</v>
      </c>
      <c r="K156" s="360" t="s">
        <v>1704</v>
      </c>
      <c r="L156" s="360"/>
      <c r="M156" s="360"/>
      <c r="N156" s="360"/>
      <c r="O156" s="360"/>
      <c r="P156" s="360"/>
      <c r="Q156" s="360"/>
      <c r="R156" s="360"/>
    </row>
    <row r="157" customFormat="false" ht="39.75" hidden="false" customHeight="true" outlineLevel="0" collapsed="false">
      <c r="A157" s="562" t="n">
        <v>151</v>
      </c>
      <c r="B157" s="574" t="n">
        <v>44874</v>
      </c>
      <c r="C157" s="562" t="s">
        <v>209</v>
      </c>
      <c r="D157" s="562" t="s">
        <v>695</v>
      </c>
      <c r="E157" s="562"/>
      <c r="F157" s="563" t="n">
        <v>44875</v>
      </c>
      <c r="G157" s="568" t="s">
        <v>303</v>
      </c>
      <c r="H157" s="571" t="n">
        <v>0.039</v>
      </c>
      <c r="I157" s="565" t="s">
        <v>1457</v>
      </c>
      <c r="J157" s="575" t="s">
        <v>95</v>
      </c>
      <c r="K157" s="360" t="s">
        <v>1705</v>
      </c>
      <c r="L157" s="360"/>
      <c r="M157" s="360"/>
      <c r="N157" s="360"/>
      <c r="O157" s="360"/>
      <c r="P157" s="360"/>
      <c r="Q157" s="360"/>
      <c r="R157" s="360"/>
    </row>
    <row r="158" customFormat="false" ht="39.75" hidden="false" customHeight="true" outlineLevel="0" collapsed="false">
      <c r="A158" s="562" t="n">
        <v>152</v>
      </c>
      <c r="B158" s="574" t="n">
        <v>44874</v>
      </c>
      <c r="C158" s="562" t="s">
        <v>691</v>
      </c>
      <c r="D158" s="562" t="s">
        <v>598</v>
      </c>
      <c r="E158" s="562"/>
      <c r="F158" s="563" t="n">
        <v>44874</v>
      </c>
      <c r="G158" s="568" t="s">
        <v>303</v>
      </c>
      <c r="H158" s="571" t="n">
        <v>0.037</v>
      </c>
      <c r="I158" s="565" t="n">
        <v>1.5</v>
      </c>
      <c r="J158" s="575" t="s">
        <v>95</v>
      </c>
      <c r="K158" s="360" t="s">
        <v>1706</v>
      </c>
      <c r="L158" s="360"/>
      <c r="M158" s="360"/>
      <c r="N158" s="360"/>
      <c r="O158" s="360"/>
      <c r="P158" s="360"/>
      <c r="Q158" s="360"/>
      <c r="R158" s="360"/>
    </row>
    <row r="159" customFormat="false" ht="39.75" hidden="false" customHeight="true" outlineLevel="0" collapsed="false">
      <c r="A159" s="562" t="n">
        <v>153</v>
      </c>
      <c r="B159" s="574" t="n">
        <v>44875</v>
      </c>
      <c r="C159" s="562" t="s">
        <v>187</v>
      </c>
      <c r="D159" s="562" t="s">
        <v>1707</v>
      </c>
      <c r="E159" s="562"/>
      <c r="F159" s="567" t="s">
        <v>158</v>
      </c>
      <c r="G159" s="563" t="s">
        <v>303</v>
      </c>
      <c r="H159" s="564" t="n">
        <v>0.037</v>
      </c>
      <c r="I159" s="565" t="s">
        <v>1441</v>
      </c>
      <c r="J159" s="575" t="s">
        <v>95</v>
      </c>
      <c r="K159" s="360" t="s">
        <v>1708</v>
      </c>
      <c r="L159" s="360"/>
      <c r="M159" s="360"/>
      <c r="N159" s="360"/>
      <c r="O159" s="360"/>
      <c r="P159" s="360"/>
      <c r="Q159" s="360"/>
      <c r="R159" s="360"/>
    </row>
    <row r="160" customFormat="false" ht="39.75" hidden="false" customHeight="true" outlineLevel="0" collapsed="false">
      <c r="A160" s="562" t="n">
        <v>154</v>
      </c>
      <c r="B160" s="574" t="n">
        <v>44876</v>
      </c>
      <c r="C160" s="560" t="s">
        <v>1663</v>
      </c>
      <c r="D160" s="562" t="s">
        <v>699</v>
      </c>
      <c r="E160" s="562"/>
      <c r="F160" s="563" t="n">
        <v>44876</v>
      </c>
      <c r="G160" s="563" t="s">
        <v>303</v>
      </c>
      <c r="H160" s="564" t="n">
        <v>0.037</v>
      </c>
      <c r="I160" s="565" t="s">
        <v>1423</v>
      </c>
      <c r="J160" s="575" t="s">
        <v>95</v>
      </c>
      <c r="K160" s="360" t="s">
        <v>701</v>
      </c>
      <c r="L160" s="360"/>
      <c r="M160" s="360"/>
      <c r="N160" s="360"/>
      <c r="O160" s="360"/>
      <c r="P160" s="360"/>
      <c r="Q160" s="360"/>
      <c r="R160" s="360"/>
    </row>
    <row r="161" customFormat="false" ht="39.75" hidden="false" customHeight="true" outlineLevel="0" collapsed="false">
      <c r="A161" s="562" t="n">
        <v>155</v>
      </c>
      <c r="B161" s="574" t="n">
        <v>44879</v>
      </c>
      <c r="C161" s="562" t="s">
        <v>644</v>
      </c>
      <c r="D161" s="562" t="s">
        <v>645</v>
      </c>
      <c r="E161" s="562"/>
      <c r="F161" s="563" t="n">
        <v>44879</v>
      </c>
      <c r="G161" s="563" t="s">
        <v>303</v>
      </c>
      <c r="H161" s="564" t="n">
        <v>0.0385</v>
      </c>
      <c r="I161" s="565" t="s">
        <v>1441</v>
      </c>
      <c r="J161" s="575" t="s">
        <v>95</v>
      </c>
      <c r="K161" s="360" t="s">
        <v>1709</v>
      </c>
      <c r="L161" s="360"/>
      <c r="M161" s="360"/>
      <c r="N161" s="360"/>
      <c r="O161" s="360"/>
      <c r="P161" s="360"/>
      <c r="Q161" s="360"/>
      <c r="R161" s="360"/>
    </row>
    <row r="162" customFormat="false" ht="62.25" hidden="false" customHeight="true" outlineLevel="0" collapsed="false">
      <c r="A162" s="562" t="n">
        <v>156</v>
      </c>
      <c r="B162" s="574" t="n">
        <v>44880</v>
      </c>
      <c r="C162" s="562" t="s">
        <v>103</v>
      </c>
      <c r="D162" s="577" t="s">
        <v>1688</v>
      </c>
      <c r="E162" s="562"/>
      <c r="F162" s="567" t="s">
        <v>158</v>
      </c>
      <c r="G162" s="568" t="s">
        <v>1603</v>
      </c>
      <c r="H162" s="571" t="s">
        <v>1703</v>
      </c>
      <c r="I162" s="565" t="s">
        <v>1690</v>
      </c>
      <c r="J162" s="578" t="s">
        <v>1409</v>
      </c>
      <c r="K162" s="360" t="s">
        <v>1710</v>
      </c>
      <c r="L162" s="360"/>
      <c r="M162" s="360"/>
      <c r="N162" s="360"/>
      <c r="O162" s="360"/>
      <c r="P162" s="360"/>
      <c r="Q162" s="360"/>
      <c r="R162" s="360"/>
    </row>
    <row r="163" customFormat="false" ht="39.75" hidden="false" customHeight="true" outlineLevel="0" collapsed="false">
      <c r="A163" s="562" t="n">
        <v>157</v>
      </c>
      <c r="B163" s="574" t="n">
        <v>44881</v>
      </c>
      <c r="C163" s="562" t="s">
        <v>707</v>
      </c>
      <c r="D163" s="562" t="s">
        <v>726</v>
      </c>
      <c r="E163" s="562"/>
      <c r="F163" s="567" t="s">
        <v>158</v>
      </c>
      <c r="G163" s="563" t="s">
        <v>300</v>
      </c>
      <c r="H163" s="564" t="s">
        <v>1711</v>
      </c>
      <c r="I163" s="565" t="s">
        <v>1712</v>
      </c>
      <c r="J163" s="575" t="s">
        <v>95</v>
      </c>
      <c r="K163" s="360" t="s">
        <v>1713</v>
      </c>
      <c r="L163" s="360"/>
      <c r="M163" s="360"/>
      <c r="N163" s="360"/>
      <c r="O163" s="360"/>
      <c r="P163" s="360"/>
      <c r="Q163" s="360"/>
      <c r="R163" s="360"/>
    </row>
    <row r="164" customFormat="false" ht="39.75" hidden="false" customHeight="true" outlineLevel="0" collapsed="false">
      <c r="A164" s="562" t="n">
        <v>158</v>
      </c>
      <c r="B164" s="574" t="n">
        <v>44881</v>
      </c>
      <c r="C164" s="562" t="s">
        <v>691</v>
      </c>
      <c r="D164" s="562" t="s">
        <v>598</v>
      </c>
      <c r="E164" s="562"/>
      <c r="F164" s="567" t="s">
        <v>158</v>
      </c>
      <c r="G164" s="563" t="s">
        <v>300</v>
      </c>
      <c r="H164" s="564" t="n">
        <v>0.044</v>
      </c>
      <c r="I164" s="579" t="s">
        <v>158</v>
      </c>
      <c r="J164" s="575" t="s">
        <v>95</v>
      </c>
      <c r="K164" s="360" t="s">
        <v>1713</v>
      </c>
      <c r="L164" s="360"/>
      <c r="M164" s="360"/>
      <c r="N164" s="360"/>
      <c r="O164" s="360"/>
      <c r="P164" s="360"/>
      <c r="Q164" s="360"/>
      <c r="R164" s="360"/>
    </row>
    <row r="165" customFormat="false" ht="62.25" hidden="false" customHeight="true" outlineLevel="0" collapsed="false">
      <c r="A165" s="562" t="n">
        <v>159</v>
      </c>
      <c r="B165" s="574" t="n">
        <v>44886</v>
      </c>
      <c r="C165" s="562" t="s">
        <v>103</v>
      </c>
      <c r="D165" s="577" t="s">
        <v>1688</v>
      </c>
      <c r="E165" s="562"/>
      <c r="F165" s="567" t="s">
        <v>158</v>
      </c>
      <c r="G165" s="568" t="s">
        <v>1603</v>
      </c>
      <c r="H165" s="571" t="s">
        <v>1714</v>
      </c>
      <c r="I165" s="565" t="s">
        <v>1690</v>
      </c>
      <c r="J165" s="578" t="s">
        <v>1409</v>
      </c>
      <c r="K165" s="360" t="s">
        <v>1715</v>
      </c>
      <c r="L165" s="360"/>
      <c r="M165" s="360"/>
      <c r="N165" s="360"/>
      <c r="O165" s="360"/>
      <c r="P165" s="360"/>
      <c r="Q165" s="360"/>
      <c r="R165" s="360"/>
    </row>
    <row r="166" customFormat="false" ht="62.25" hidden="false" customHeight="true" outlineLevel="0" collapsed="false">
      <c r="A166" s="562" t="n">
        <v>160</v>
      </c>
      <c r="B166" s="574" t="n">
        <v>44887</v>
      </c>
      <c r="C166" s="562" t="s">
        <v>103</v>
      </c>
      <c r="D166" s="577" t="s">
        <v>1688</v>
      </c>
      <c r="E166" s="562"/>
      <c r="F166" s="567" t="s">
        <v>158</v>
      </c>
      <c r="G166" s="568" t="s">
        <v>1716</v>
      </c>
      <c r="H166" s="571" t="s">
        <v>1717</v>
      </c>
      <c r="I166" s="565" t="s">
        <v>1690</v>
      </c>
      <c r="J166" s="578" t="s">
        <v>1409</v>
      </c>
      <c r="K166" s="360" t="s">
        <v>1718</v>
      </c>
      <c r="L166" s="360"/>
      <c r="M166" s="360"/>
      <c r="N166" s="360"/>
      <c r="O166" s="360"/>
      <c r="P166" s="360"/>
      <c r="Q166" s="360"/>
      <c r="R166" s="360"/>
    </row>
    <row r="167" customFormat="false" ht="62.25" hidden="false" customHeight="true" outlineLevel="0" collapsed="false">
      <c r="A167" s="562" t="n">
        <v>161</v>
      </c>
      <c r="B167" s="574" t="n">
        <v>44888</v>
      </c>
      <c r="C167" s="562" t="s">
        <v>96</v>
      </c>
      <c r="D167" s="562" t="s">
        <v>682</v>
      </c>
      <c r="E167" s="562"/>
      <c r="F167" s="567" t="s">
        <v>158</v>
      </c>
      <c r="G167" s="568" t="s">
        <v>1394</v>
      </c>
      <c r="H167" s="571" t="s">
        <v>1719</v>
      </c>
      <c r="I167" s="565" t="n">
        <v>2.5</v>
      </c>
      <c r="J167" s="575" t="s">
        <v>95</v>
      </c>
      <c r="K167" s="360" t="s">
        <v>1720</v>
      </c>
      <c r="L167" s="360"/>
      <c r="M167" s="360"/>
      <c r="N167" s="360"/>
      <c r="O167" s="360"/>
      <c r="P167" s="360"/>
      <c r="Q167" s="360"/>
      <c r="R167" s="360"/>
    </row>
    <row r="168" customFormat="false" ht="39.75" hidden="false" customHeight="true" outlineLevel="0" collapsed="false">
      <c r="A168" s="562" t="n">
        <v>162</v>
      </c>
      <c r="B168" s="574" t="n">
        <v>44888</v>
      </c>
      <c r="C168" s="562" t="s">
        <v>1579</v>
      </c>
      <c r="D168" s="562" t="s">
        <v>1721</v>
      </c>
      <c r="E168" s="562"/>
      <c r="F168" s="567" t="s">
        <v>158</v>
      </c>
      <c r="G168" s="563" t="s">
        <v>303</v>
      </c>
      <c r="H168" s="564" t="n">
        <v>0.0375</v>
      </c>
      <c r="I168" s="565" t="s">
        <v>303</v>
      </c>
      <c r="J168" s="575" t="s">
        <v>95</v>
      </c>
      <c r="K168" s="360" t="s">
        <v>1722</v>
      </c>
      <c r="L168" s="360"/>
      <c r="M168" s="360"/>
      <c r="N168" s="360"/>
      <c r="O168" s="360"/>
      <c r="P168" s="360"/>
      <c r="Q168" s="360"/>
      <c r="R168" s="360"/>
    </row>
    <row r="169" customFormat="false" ht="62.25" hidden="false" customHeight="true" outlineLevel="0" collapsed="false">
      <c r="A169" s="562" t="n">
        <v>163</v>
      </c>
      <c r="B169" s="574" t="n">
        <v>44889</v>
      </c>
      <c r="C169" s="562" t="s">
        <v>103</v>
      </c>
      <c r="D169" s="577" t="s">
        <v>1688</v>
      </c>
      <c r="E169" s="562"/>
      <c r="F169" s="567" t="s">
        <v>158</v>
      </c>
      <c r="G169" s="568" t="s">
        <v>1723</v>
      </c>
      <c r="H169" s="571" t="s">
        <v>1724</v>
      </c>
      <c r="I169" s="565" t="s">
        <v>1690</v>
      </c>
      <c r="J169" s="578" t="s">
        <v>1409</v>
      </c>
      <c r="K169" s="360" t="s">
        <v>1725</v>
      </c>
      <c r="L169" s="360"/>
      <c r="M169" s="360"/>
      <c r="N169" s="360"/>
      <c r="O169" s="360"/>
      <c r="P169" s="360"/>
      <c r="Q169" s="360"/>
      <c r="R169" s="360"/>
    </row>
    <row r="170" customFormat="false" ht="46.5" hidden="false" customHeight="true" outlineLevel="0" collapsed="false">
      <c r="A170" s="562" t="n">
        <v>164</v>
      </c>
      <c r="B170" s="574" t="n">
        <v>44889</v>
      </c>
      <c r="C170" s="562" t="s">
        <v>1172</v>
      </c>
      <c r="D170" s="562" t="s">
        <v>1726</v>
      </c>
      <c r="E170" s="562"/>
      <c r="F170" s="567" t="s">
        <v>158</v>
      </c>
      <c r="G170" s="568" t="s">
        <v>1603</v>
      </c>
      <c r="H170" s="571" t="s">
        <v>1727</v>
      </c>
      <c r="I170" s="565" t="s">
        <v>303</v>
      </c>
      <c r="J170" s="578" t="s">
        <v>1728</v>
      </c>
      <c r="K170" s="360" t="s">
        <v>1729</v>
      </c>
      <c r="L170" s="360"/>
      <c r="M170" s="360"/>
      <c r="N170" s="360"/>
      <c r="O170" s="360"/>
      <c r="P170" s="360"/>
      <c r="Q170" s="360"/>
      <c r="R170" s="360"/>
    </row>
    <row r="171" customFormat="false" ht="62.25" hidden="false" customHeight="true" outlineLevel="0" collapsed="false">
      <c r="A171" s="562" t="n">
        <v>165</v>
      </c>
      <c r="B171" s="574" t="n">
        <v>44890</v>
      </c>
      <c r="C171" s="577" t="s">
        <v>1730</v>
      </c>
      <c r="D171" s="562" t="s">
        <v>1731</v>
      </c>
      <c r="E171" s="562"/>
      <c r="F171" s="563"/>
      <c r="G171" s="568" t="s">
        <v>1570</v>
      </c>
      <c r="H171" s="571" t="s">
        <v>1732</v>
      </c>
      <c r="I171" s="565"/>
      <c r="J171" s="575" t="s">
        <v>95</v>
      </c>
      <c r="K171" s="360"/>
      <c r="L171" s="360"/>
      <c r="M171" s="360"/>
      <c r="N171" s="360"/>
      <c r="O171" s="360"/>
      <c r="P171" s="360"/>
      <c r="Q171" s="360"/>
      <c r="R171" s="360"/>
    </row>
    <row r="172" customFormat="false" ht="59.25" hidden="false" customHeight="true" outlineLevel="0" collapsed="false">
      <c r="A172" s="562" t="n">
        <v>166</v>
      </c>
      <c r="B172" s="574" t="n">
        <v>44890</v>
      </c>
      <c r="C172" s="562" t="s">
        <v>707</v>
      </c>
      <c r="D172" s="562" t="s">
        <v>445</v>
      </c>
      <c r="E172" s="562"/>
      <c r="F172" s="567" t="s">
        <v>158</v>
      </c>
      <c r="G172" s="563" t="s">
        <v>303</v>
      </c>
      <c r="H172" s="564" t="n">
        <v>0.039</v>
      </c>
      <c r="I172" s="565" t="s">
        <v>1733</v>
      </c>
      <c r="J172" s="575" t="s">
        <v>95</v>
      </c>
      <c r="K172" s="360" t="s">
        <v>1734</v>
      </c>
      <c r="L172" s="360"/>
      <c r="M172" s="360"/>
      <c r="N172" s="360"/>
      <c r="O172" s="360"/>
      <c r="P172" s="360"/>
      <c r="Q172" s="360"/>
      <c r="R172" s="360"/>
    </row>
    <row r="173" customFormat="false" ht="62.25" hidden="false" customHeight="true" outlineLevel="0" collapsed="false">
      <c r="A173" s="562" t="n">
        <v>167</v>
      </c>
      <c r="B173" s="574" t="n">
        <v>44893</v>
      </c>
      <c r="C173" s="562" t="s">
        <v>103</v>
      </c>
      <c r="D173" s="577" t="s">
        <v>1688</v>
      </c>
      <c r="E173" s="562"/>
      <c r="F173" s="567" t="s">
        <v>158</v>
      </c>
      <c r="G173" s="568" t="s">
        <v>1723</v>
      </c>
      <c r="H173" s="571" t="s">
        <v>1735</v>
      </c>
      <c r="I173" s="565" t="s">
        <v>1690</v>
      </c>
      <c r="J173" s="578" t="s">
        <v>1409</v>
      </c>
      <c r="K173" s="360" t="s">
        <v>1736</v>
      </c>
      <c r="L173" s="360"/>
      <c r="M173" s="360"/>
      <c r="N173" s="360"/>
      <c r="O173" s="360"/>
      <c r="P173" s="360"/>
      <c r="Q173" s="360"/>
      <c r="R173" s="360"/>
    </row>
    <row r="174" customFormat="false" ht="76.5" hidden="false" customHeight="true" outlineLevel="0" collapsed="false">
      <c r="A174" s="562" t="n">
        <v>168</v>
      </c>
      <c r="B174" s="574" t="n">
        <v>44893</v>
      </c>
      <c r="C174" s="562" t="s">
        <v>96</v>
      </c>
      <c r="D174" s="577" t="s">
        <v>767</v>
      </c>
      <c r="E174" s="562"/>
      <c r="F174" s="567" t="s">
        <v>158</v>
      </c>
      <c r="G174" s="568" t="s">
        <v>1737</v>
      </c>
      <c r="H174" s="571" t="s">
        <v>1738</v>
      </c>
      <c r="I174" s="579" t="s">
        <v>158</v>
      </c>
      <c r="J174" s="578" t="s">
        <v>1409</v>
      </c>
      <c r="K174" s="360" t="s">
        <v>1739</v>
      </c>
      <c r="L174" s="360"/>
      <c r="M174" s="360"/>
      <c r="N174" s="360"/>
      <c r="O174" s="360"/>
      <c r="P174" s="360"/>
      <c r="Q174" s="360"/>
      <c r="R174" s="360"/>
    </row>
    <row r="175" customFormat="false" ht="62.25" hidden="false" customHeight="true" outlineLevel="0" collapsed="false">
      <c r="A175" s="562" t="n">
        <v>169</v>
      </c>
      <c r="B175" s="574" t="n">
        <v>44894</v>
      </c>
      <c r="C175" s="577" t="s">
        <v>616</v>
      </c>
      <c r="D175" s="562" t="s">
        <v>686</v>
      </c>
      <c r="E175" s="562"/>
      <c r="F175" s="563" t="n">
        <v>44896</v>
      </c>
      <c r="G175" s="568" t="s">
        <v>1570</v>
      </c>
      <c r="H175" s="571" t="s">
        <v>1732</v>
      </c>
      <c r="I175" s="565"/>
      <c r="J175" s="575" t="s">
        <v>95</v>
      </c>
      <c r="K175" s="360" t="s">
        <v>1740</v>
      </c>
      <c r="L175" s="360"/>
      <c r="M175" s="360"/>
      <c r="N175" s="360"/>
      <c r="O175" s="360"/>
      <c r="P175" s="360"/>
      <c r="Q175" s="360"/>
      <c r="R175" s="360"/>
    </row>
    <row r="176" customFormat="false" ht="62.25" hidden="false" customHeight="true" outlineLevel="0" collapsed="false">
      <c r="A176" s="562" t="n">
        <v>170</v>
      </c>
      <c r="B176" s="574" t="n">
        <v>44896</v>
      </c>
      <c r="C176" s="577" t="s">
        <v>124</v>
      </c>
      <c r="D176" s="562" t="s">
        <v>1741</v>
      </c>
      <c r="E176" s="562"/>
      <c r="F176" s="567" t="s">
        <v>158</v>
      </c>
      <c r="G176" s="568" t="s">
        <v>1591</v>
      </c>
      <c r="H176" s="571" t="s">
        <v>1742</v>
      </c>
      <c r="I176" s="572" t="s">
        <v>1743</v>
      </c>
      <c r="J176" s="575" t="s">
        <v>95</v>
      </c>
      <c r="K176" s="360" t="s">
        <v>1744</v>
      </c>
      <c r="L176" s="360"/>
      <c r="M176" s="360"/>
      <c r="N176" s="360"/>
      <c r="O176" s="360"/>
      <c r="P176" s="360"/>
      <c r="Q176" s="360"/>
      <c r="R176" s="360"/>
    </row>
    <row r="177" customFormat="false" ht="62.25" hidden="false" customHeight="true" outlineLevel="0" collapsed="false">
      <c r="A177" s="562" t="n">
        <v>171</v>
      </c>
      <c r="B177" s="574" t="n">
        <v>44896</v>
      </c>
      <c r="C177" s="562" t="s">
        <v>103</v>
      </c>
      <c r="D177" s="577" t="s">
        <v>1688</v>
      </c>
      <c r="E177" s="562"/>
      <c r="F177" s="567" t="s">
        <v>158</v>
      </c>
      <c r="G177" s="568" t="s">
        <v>1723</v>
      </c>
      <c r="H177" s="571" t="s">
        <v>1745</v>
      </c>
      <c r="I177" s="565" t="s">
        <v>1690</v>
      </c>
      <c r="J177" s="578" t="s">
        <v>1409</v>
      </c>
      <c r="K177" s="360" t="s">
        <v>1746</v>
      </c>
      <c r="L177" s="360"/>
      <c r="M177" s="360"/>
      <c r="N177" s="360"/>
      <c r="O177" s="360"/>
      <c r="P177" s="360"/>
      <c r="Q177" s="360"/>
      <c r="R177" s="360"/>
    </row>
    <row r="178" customFormat="false" ht="39.75" hidden="false" customHeight="true" outlineLevel="0" collapsed="false">
      <c r="A178" s="562" t="n">
        <v>172</v>
      </c>
      <c r="B178" s="574" t="n">
        <v>44903</v>
      </c>
      <c r="C178" s="562" t="s">
        <v>89</v>
      </c>
      <c r="D178" s="562" t="s">
        <v>665</v>
      </c>
      <c r="E178" s="562"/>
      <c r="F178" s="563" t="n">
        <v>44903</v>
      </c>
      <c r="G178" s="563" t="s">
        <v>99</v>
      </c>
      <c r="H178" s="564" t="n">
        <v>0.03</v>
      </c>
      <c r="I178" s="565"/>
      <c r="J178" s="575"/>
      <c r="K178" s="360"/>
      <c r="L178" s="360"/>
      <c r="M178" s="360"/>
      <c r="N178" s="360"/>
      <c r="O178" s="360"/>
      <c r="P178" s="360"/>
      <c r="Q178" s="360"/>
      <c r="R178" s="360"/>
    </row>
    <row r="179" customFormat="false" ht="62.25" hidden="false" customHeight="true" outlineLevel="0" collapsed="false">
      <c r="A179" s="562" t="n">
        <v>173</v>
      </c>
      <c r="B179" s="574" t="n">
        <v>44903</v>
      </c>
      <c r="C179" s="562" t="s">
        <v>103</v>
      </c>
      <c r="D179" s="577" t="s">
        <v>1688</v>
      </c>
      <c r="E179" s="562"/>
      <c r="F179" s="567" t="s">
        <v>158</v>
      </c>
      <c r="G179" s="568" t="s">
        <v>1723</v>
      </c>
      <c r="H179" s="571" t="s">
        <v>1747</v>
      </c>
      <c r="I179" s="565" t="s">
        <v>1690</v>
      </c>
      <c r="J179" s="578" t="s">
        <v>1409</v>
      </c>
      <c r="K179" s="360" t="s">
        <v>1748</v>
      </c>
      <c r="L179" s="360"/>
      <c r="M179" s="360"/>
      <c r="N179" s="360"/>
      <c r="O179" s="360"/>
      <c r="P179" s="360"/>
      <c r="Q179" s="360"/>
      <c r="R179" s="360"/>
    </row>
    <row r="180" customFormat="false" ht="62.25" hidden="false" customHeight="true" outlineLevel="0" collapsed="false">
      <c r="A180" s="562" t="n">
        <v>174</v>
      </c>
      <c r="B180" s="574" t="n">
        <v>44903</v>
      </c>
      <c r="C180" s="562" t="s">
        <v>691</v>
      </c>
      <c r="D180" s="577" t="s">
        <v>598</v>
      </c>
      <c r="E180" s="562"/>
      <c r="F180" s="563" t="n">
        <v>44904</v>
      </c>
      <c r="G180" s="568" t="s">
        <v>1397</v>
      </c>
      <c r="H180" s="571" t="s">
        <v>1749</v>
      </c>
      <c r="I180" s="565" t="n">
        <v>1.5</v>
      </c>
      <c r="J180" s="576" t="s">
        <v>95</v>
      </c>
      <c r="K180" s="360" t="s">
        <v>1750</v>
      </c>
      <c r="L180" s="360"/>
      <c r="M180" s="360"/>
      <c r="N180" s="360"/>
      <c r="O180" s="360"/>
      <c r="P180" s="360"/>
      <c r="Q180" s="360"/>
      <c r="R180" s="360"/>
    </row>
    <row r="181" customFormat="false" ht="62.25" hidden="false" customHeight="true" outlineLevel="0" collapsed="false">
      <c r="A181" s="562" t="n">
        <v>175</v>
      </c>
      <c r="B181" s="574" t="n">
        <v>44903</v>
      </c>
      <c r="C181" s="560" t="s">
        <v>1663</v>
      </c>
      <c r="D181" s="577" t="s">
        <v>674</v>
      </c>
      <c r="E181" s="562"/>
      <c r="F181" s="563" t="n">
        <v>44907</v>
      </c>
      <c r="G181" s="568" t="s">
        <v>303</v>
      </c>
      <c r="H181" s="571" t="n">
        <v>0.0395</v>
      </c>
      <c r="I181" s="565" t="n">
        <v>3</v>
      </c>
      <c r="J181" s="576" t="s">
        <v>95</v>
      </c>
      <c r="K181" s="360" t="s">
        <v>1751</v>
      </c>
      <c r="L181" s="360"/>
      <c r="M181" s="360"/>
      <c r="N181" s="360"/>
      <c r="O181" s="360"/>
      <c r="P181" s="360"/>
      <c r="Q181" s="360"/>
      <c r="R181" s="360"/>
    </row>
    <row r="182" customFormat="false" ht="62.25" hidden="false" customHeight="true" outlineLevel="0" collapsed="false">
      <c r="A182" s="562" t="n">
        <v>176</v>
      </c>
      <c r="B182" s="574" t="n">
        <v>44907</v>
      </c>
      <c r="C182" s="560" t="s">
        <v>1663</v>
      </c>
      <c r="D182" s="577" t="s">
        <v>674</v>
      </c>
      <c r="E182" s="562"/>
      <c r="F182" s="563" t="n">
        <v>44907</v>
      </c>
      <c r="G182" s="568" t="s">
        <v>303</v>
      </c>
      <c r="H182" s="571" t="n">
        <v>0.0395</v>
      </c>
      <c r="I182" s="565" t="n">
        <v>3</v>
      </c>
      <c r="J182" s="576" t="s">
        <v>95</v>
      </c>
      <c r="K182" s="360" t="s">
        <v>1752</v>
      </c>
      <c r="L182" s="360"/>
      <c r="M182" s="360"/>
      <c r="N182" s="360"/>
      <c r="O182" s="360"/>
      <c r="P182" s="360"/>
      <c r="Q182" s="360"/>
      <c r="R182" s="360"/>
    </row>
    <row r="183" customFormat="false" ht="62.25" hidden="false" customHeight="true" outlineLevel="0" collapsed="false">
      <c r="A183" s="562" t="n">
        <v>177</v>
      </c>
      <c r="B183" s="574" t="n">
        <v>44908</v>
      </c>
      <c r="C183" s="562" t="s">
        <v>96</v>
      </c>
      <c r="D183" s="577" t="s">
        <v>767</v>
      </c>
      <c r="E183" s="562"/>
      <c r="F183" s="567" t="s">
        <v>158</v>
      </c>
      <c r="G183" s="568" t="s">
        <v>1394</v>
      </c>
      <c r="H183" s="571" t="s">
        <v>1753</v>
      </c>
      <c r="I183" s="565" t="n">
        <v>10</v>
      </c>
      <c r="J183" s="576" t="s">
        <v>95</v>
      </c>
      <c r="K183" s="360" t="s">
        <v>1754</v>
      </c>
      <c r="L183" s="360"/>
      <c r="M183" s="360"/>
      <c r="N183" s="360"/>
      <c r="O183" s="360"/>
      <c r="P183" s="360"/>
      <c r="Q183" s="360"/>
      <c r="R183" s="360"/>
    </row>
    <row r="184" customFormat="false" ht="39.75" hidden="false" customHeight="true" outlineLevel="0" collapsed="false">
      <c r="A184" s="562" t="n">
        <v>178</v>
      </c>
      <c r="B184" s="574" t="n">
        <v>44909</v>
      </c>
      <c r="C184" s="562" t="s">
        <v>644</v>
      </c>
      <c r="D184" s="562" t="s">
        <v>645</v>
      </c>
      <c r="E184" s="562"/>
      <c r="F184" s="563" t="n">
        <v>44909</v>
      </c>
      <c r="G184" s="563" t="s">
        <v>303</v>
      </c>
      <c r="H184" s="564" t="n">
        <v>0.0427</v>
      </c>
      <c r="I184" s="565" t="s">
        <v>1441</v>
      </c>
      <c r="J184" s="575" t="s">
        <v>95</v>
      </c>
      <c r="K184" s="360" t="s">
        <v>1755</v>
      </c>
      <c r="L184" s="360"/>
      <c r="M184" s="360"/>
      <c r="N184" s="360"/>
      <c r="O184" s="360"/>
      <c r="P184" s="360"/>
      <c r="Q184" s="360"/>
      <c r="R184" s="360"/>
    </row>
    <row r="185" customFormat="false" ht="62.25" hidden="false" customHeight="true" outlineLevel="0" collapsed="false">
      <c r="A185" s="562" t="n">
        <v>179</v>
      </c>
      <c r="B185" s="574" t="n">
        <v>44909</v>
      </c>
      <c r="C185" s="562" t="s">
        <v>616</v>
      </c>
      <c r="D185" s="577" t="s">
        <v>719</v>
      </c>
      <c r="E185" s="562"/>
      <c r="F185" s="567" t="s">
        <v>158</v>
      </c>
      <c r="G185" s="568" t="s">
        <v>1570</v>
      </c>
      <c r="H185" s="571" t="s">
        <v>1756</v>
      </c>
      <c r="I185" s="565" t="n">
        <v>10</v>
      </c>
      <c r="J185" s="576" t="s">
        <v>95</v>
      </c>
      <c r="K185" s="360" t="s">
        <v>1754</v>
      </c>
      <c r="L185" s="360"/>
      <c r="M185" s="360"/>
      <c r="N185" s="360"/>
      <c r="O185" s="360"/>
      <c r="P185" s="360"/>
      <c r="Q185" s="360"/>
      <c r="R185" s="360"/>
    </row>
    <row r="186" customFormat="false" ht="63.75" hidden="false" customHeight="true" outlineLevel="0" collapsed="false">
      <c r="A186" s="562" t="n">
        <v>180</v>
      </c>
      <c r="B186" s="574" t="n">
        <v>44910</v>
      </c>
      <c r="C186" s="562" t="s">
        <v>616</v>
      </c>
      <c r="D186" s="577" t="s">
        <v>719</v>
      </c>
      <c r="E186" s="562"/>
      <c r="F186" s="567" t="s">
        <v>158</v>
      </c>
      <c r="G186" s="568" t="s">
        <v>1570</v>
      </c>
      <c r="H186" s="571" t="s">
        <v>1757</v>
      </c>
      <c r="I186" s="565" t="n">
        <v>10</v>
      </c>
      <c r="J186" s="576" t="s">
        <v>95</v>
      </c>
      <c r="K186" s="360" t="s">
        <v>1758</v>
      </c>
      <c r="L186" s="360"/>
      <c r="M186" s="360"/>
      <c r="N186" s="360"/>
      <c r="O186" s="360"/>
      <c r="P186" s="360"/>
      <c r="Q186" s="360"/>
      <c r="R186" s="360"/>
    </row>
    <row r="187" customFormat="false" ht="63.75" hidden="false" customHeight="true" outlineLevel="0" collapsed="false">
      <c r="A187" s="562" t="n">
        <v>181</v>
      </c>
      <c r="B187" s="574" t="n">
        <v>44910</v>
      </c>
      <c r="C187" s="562" t="s">
        <v>209</v>
      </c>
      <c r="D187" s="577" t="s">
        <v>722</v>
      </c>
      <c r="E187" s="562"/>
      <c r="F187" s="567" t="s">
        <v>158</v>
      </c>
      <c r="G187" s="568" t="s">
        <v>303</v>
      </c>
      <c r="H187" s="571" t="n">
        <v>0.04</v>
      </c>
      <c r="I187" s="565" t="n">
        <v>1</v>
      </c>
      <c r="J187" s="576" t="s">
        <v>95</v>
      </c>
      <c r="K187" s="360" t="s">
        <v>1759</v>
      </c>
      <c r="L187" s="360"/>
      <c r="M187" s="360"/>
      <c r="N187" s="360"/>
      <c r="O187" s="360"/>
      <c r="P187" s="360"/>
      <c r="Q187" s="360"/>
      <c r="R187" s="360"/>
    </row>
    <row r="188" customFormat="false" ht="89.25" hidden="false" customHeight="true" outlineLevel="0" collapsed="false">
      <c r="A188" s="562" t="n">
        <v>182</v>
      </c>
      <c r="B188" s="574" t="n">
        <v>44914</v>
      </c>
      <c r="C188" s="577" t="s">
        <v>1730</v>
      </c>
      <c r="D188" s="562" t="s">
        <v>1731</v>
      </c>
      <c r="E188" s="562"/>
      <c r="F188" s="563"/>
      <c r="G188" s="568" t="s">
        <v>1760</v>
      </c>
      <c r="H188" s="571" t="s">
        <v>1761</v>
      </c>
      <c r="I188" s="565"/>
      <c r="J188" s="575"/>
      <c r="K188" s="360" t="s">
        <v>1762</v>
      </c>
      <c r="L188" s="360"/>
      <c r="M188" s="360"/>
      <c r="N188" s="360"/>
      <c r="O188" s="360"/>
      <c r="P188" s="360"/>
      <c r="Q188" s="360"/>
      <c r="R188" s="360"/>
    </row>
    <row r="189" customFormat="false" ht="89.25" hidden="false" customHeight="true" outlineLevel="0" collapsed="false">
      <c r="A189" s="562" t="n">
        <v>183</v>
      </c>
      <c r="B189" s="574" t="n">
        <v>44914</v>
      </c>
      <c r="C189" s="577" t="s">
        <v>707</v>
      </c>
      <c r="D189" s="562" t="s">
        <v>726</v>
      </c>
      <c r="E189" s="562"/>
      <c r="F189" s="563" t="n">
        <v>44921</v>
      </c>
      <c r="G189" s="568" t="s">
        <v>1397</v>
      </c>
      <c r="H189" s="571" t="s">
        <v>1763</v>
      </c>
      <c r="I189" s="565"/>
      <c r="J189" s="575"/>
      <c r="K189" s="360" t="s">
        <v>1764</v>
      </c>
      <c r="L189" s="360"/>
      <c r="M189" s="360"/>
      <c r="N189" s="360"/>
      <c r="O189" s="360"/>
      <c r="P189" s="360"/>
      <c r="Q189" s="360"/>
      <c r="R189" s="360"/>
    </row>
    <row r="190" customFormat="false" ht="89.25" hidden="false" customHeight="true" outlineLevel="0" collapsed="false">
      <c r="A190" s="562" t="n">
        <v>184</v>
      </c>
      <c r="B190" s="574" t="n">
        <v>44915</v>
      </c>
      <c r="C190" s="577"/>
      <c r="D190" s="562"/>
      <c r="E190" s="562"/>
      <c r="F190" s="563"/>
      <c r="G190" s="568" t="s">
        <v>1760</v>
      </c>
      <c r="H190" s="571" t="s">
        <v>1765</v>
      </c>
      <c r="I190" s="565"/>
      <c r="J190" s="575"/>
      <c r="K190" s="360" t="s">
        <v>1766</v>
      </c>
      <c r="L190" s="360"/>
      <c r="M190" s="360"/>
      <c r="N190" s="360"/>
      <c r="O190" s="360"/>
      <c r="P190" s="360"/>
      <c r="Q190" s="360"/>
      <c r="R190" s="360"/>
    </row>
    <row r="191" customFormat="false" ht="89.25" hidden="false" customHeight="true" outlineLevel="0" collapsed="false">
      <c r="A191" s="562" t="n">
        <v>185</v>
      </c>
      <c r="B191" s="574" t="n">
        <v>44916</v>
      </c>
      <c r="C191" s="577"/>
      <c r="D191" s="562"/>
      <c r="E191" s="562"/>
      <c r="F191" s="563"/>
      <c r="G191" s="568" t="s">
        <v>1760</v>
      </c>
      <c r="H191" s="571" t="s">
        <v>1765</v>
      </c>
      <c r="I191" s="565"/>
      <c r="J191" s="575"/>
      <c r="K191" s="360" t="s">
        <v>1767</v>
      </c>
      <c r="L191" s="360"/>
      <c r="M191" s="360"/>
      <c r="N191" s="360"/>
      <c r="O191" s="360"/>
      <c r="P191" s="360"/>
      <c r="Q191" s="360"/>
      <c r="R191" s="360"/>
    </row>
    <row r="192" customFormat="false" ht="89.25" hidden="false" customHeight="true" outlineLevel="0" collapsed="false">
      <c r="A192" s="562" t="n">
        <v>186</v>
      </c>
      <c r="B192" s="574" t="n">
        <v>44917</v>
      </c>
      <c r="C192" s="577" t="s">
        <v>707</v>
      </c>
      <c r="D192" s="562" t="s">
        <v>726</v>
      </c>
      <c r="E192" s="562"/>
      <c r="F192" s="563" t="n">
        <v>44921</v>
      </c>
      <c r="G192" s="568" t="s">
        <v>1397</v>
      </c>
      <c r="H192" s="571" t="s">
        <v>1768</v>
      </c>
      <c r="I192" s="565"/>
      <c r="J192" s="575"/>
      <c r="K192" s="360" t="s">
        <v>1769</v>
      </c>
      <c r="L192" s="360"/>
      <c r="M192" s="360"/>
      <c r="N192" s="360"/>
      <c r="O192" s="360"/>
      <c r="P192" s="360"/>
      <c r="Q192" s="360"/>
      <c r="R192" s="360"/>
    </row>
    <row r="193" customFormat="false" ht="89.25" hidden="false" customHeight="true" outlineLevel="0" collapsed="false">
      <c r="A193" s="562" t="n">
        <v>187</v>
      </c>
      <c r="B193" s="574" t="n">
        <v>44918</v>
      </c>
      <c r="C193" s="577"/>
      <c r="D193" s="562"/>
      <c r="E193" s="562"/>
      <c r="F193" s="563"/>
      <c r="G193" s="568" t="s">
        <v>1760</v>
      </c>
      <c r="H193" s="571" t="s">
        <v>1765</v>
      </c>
      <c r="I193" s="565"/>
      <c r="J193" s="575"/>
      <c r="K193" s="360" t="s">
        <v>1770</v>
      </c>
      <c r="L193" s="360"/>
      <c r="M193" s="360"/>
      <c r="N193" s="360"/>
      <c r="O193" s="360"/>
      <c r="P193" s="360"/>
      <c r="Q193" s="360"/>
      <c r="R193" s="360"/>
    </row>
    <row r="194" customFormat="false" ht="39.75" hidden="false" customHeight="true" outlineLevel="0" collapsed="false">
      <c r="A194" s="562" t="n">
        <v>188</v>
      </c>
      <c r="B194" s="574" t="n">
        <v>44921</v>
      </c>
      <c r="C194" s="562" t="s">
        <v>96</v>
      </c>
      <c r="D194" s="562" t="s">
        <v>1548</v>
      </c>
      <c r="E194" s="562"/>
      <c r="F194" s="563"/>
      <c r="G194" s="568" t="s">
        <v>1554</v>
      </c>
      <c r="H194" s="571" t="s">
        <v>1771</v>
      </c>
      <c r="I194" s="565" t="s">
        <v>1551</v>
      </c>
      <c r="J194" s="575"/>
      <c r="K194" s="360" t="s">
        <v>1772</v>
      </c>
      <c r="L194" s="360"/>
      <c r="M194" s="360"/>
      <c r="N194" s="360"/>
      <c r="O194" s="360"/>
      <c r="P194" s="360"/>
      <c r="Q194" s="360"/>
      <c r="R194" s="360"/>
    </row>
    <row r="195" customFormat="false" ht="89.25" hidden="false" customHeight="true" outlineLevel="0" collapsed="false">
      <c r="A195" s="562" t="n">
        <v>189</v>
      </c>
      <c r="B195" s="574" t="n">
        <v>44922</v>
      </c>
      <c r="C195" s="577" t="s">
        <v>707</v>
      </c>
      <c r="D195" s="562" t="s">
        <v>726</v>
      </c>
      <c r="E195" s="562"/>
      <c r="F195" s="563" t="n">
        <v>44923</v>
      </c>
      <c r="G195" s="568" t="s">
        <v>303</v>
      </c>
      <c r="H195" s="571" t="n">
        <v>0.0435</v>
      </c>
      <c r="I195" s="565"/>
      <c r="J195" s="575"/>
      <c r="K195" s="360" t="s">
        <v>1773</v>
      </c>
      <c r="L195" s="360"/>
      <c r="M195" s="360"/>
      <c r="N195" s="360"/>
      <c r="O195" s="360"/>
      <c r="P195" s="360"/>
      <c r="Q195" s="360"/>
      <c r="R195" s="360"/>
    </row>
    <row r="196" customFormat="false" ht="89.25" hidden="false" customHeight="true" outlineLevel="0" collapsed="false">
      <c r="A196" s="562" t="n">
        <v>190</v>
      </c>
      <c r="B196" s="574" t="n">
        <v>44923</v>
      </c>
      <c r="C196" s="577" t="s">
        <v>707</v>
      </c>
      <c r="D196" s="562" t="s">
        <v>726</v>
      </c>
      <c r="E196" s="562"/>
      <c r="F196" s="563" t="n">
        <v>44923</v>
      </c>
      <c r="G196" s="568" t="s">
        <v>303</v>
      </c>
      <c r="H196" s="571" t="n">
        <v>0.0435</v>
      </c>
      <c r="I196" s="565"/>
      <c r="J196" s="575"/>
      <c r="K196" s="360" t="s">
        <v>1774</v>
      </c>
      <c r="L196" s="360"/>
      <c r="M196" s="360"/>
      <c r="N196" s="360"/>
      <c r="O196" s="360"/>
      <c r="P196" s="360"/>
      <c r="Q196" s="360"/>
      <c r="R196" s="360"/>
    </row>
    <row r="197" customFormat="false" ht="89.25" hidden="false" customHeight="true" outlineLevel="0" collapsed="false">
      <c r="A197" s="562" t="n">
        <v>191</v>
      </c>
      <c r="B197" s="574" t="n">
        <v>44923</v>
      </c>
      <c r="C197" s="577" t="s">
        <v>96</v>
      </c>
      <c r="D197" s="562" t="s">
        <v>682</v>
      </c>
      <c r="E197" s="562"/>
      <c r="F197" s="567" t="s">
        <v>158</v>
      </c>
      <c r="G197" s="568" t="s">
        <v>1394</v>
      </c>
      <c r="H197" s="571" t="s">
        <v>1775</v>
      </c>
      <c r="I197" s="565"/>
      <c r="J197" s="575"/>
      <c r="K197" s="360" t="s">
        <v>1776</v>
      </c>
      <c r="L197" s="360"/>
      <c r="M197" s="360"/>
      <c r="N197" s="360"/>
      <c r="O197" s="360"/>
      <c r="P197" s="360"/>
      <c r="Q197" s="360"/>
      <c r="R197" s="360"/>
    </row>
    <row r="198" customFormat="false" ht="89.25" hidden="false" customHeight="true" outlineLevel="0" collapsed="false">
      <c r="A198" s="562" t="n">
        <v>192</v>
      </c>
      <c r="B198" s="574" t="n">
        <v>44924</v>
      </c>
      <c r="C198" s="577" t="s">
        <v>993</v>
      </c>
      <c r="D198" s="562" t="s">
        <v>1777</v>
      </c>
      <c r="E198" s="562"/>
      <c r="F198" s="563" t="n">
        <v>44925</v>
      </c>
      <c r="G198" s="568" t="s">
        <v>396</v>
      </c>
      <c r="H198" s="571" t="n">
        <v>0.0505</v>
      </c>
      <c r="I198" s="565" t="n">
        <v>1</v>
      </c>
      <c r="J198" s="575"/>
      <c r="K198" s="360" t="s">
        <v>1778</v>
      </c>
      <c r="L198" s="360"/>
      <c r="M198" s="360"/>
      <c r="N198" s="360"/>
      <c r="O198" s="360"/>
      <c r="P198" s="360"/>
      <c r="Q198" s="360"/>
      <c r="R198" s="360"/>
    </row>
    <row r="199" customFormat="false" ht="89.25" hidden="false" customHeight="true" outlineLevel="0" collapsed="false">
      <c r="A199" s="562" t="n">
        <v>193</v>
      </c>
      <c r="B199" s="574" t="n">
        <v>44925</v>
      </c>
      <c r="C199" s="577" t="s">
        <v>993</v>
      </c>
      <c r="D199" s="562" t="s">
        <v>1779</v>
      </c>
      <c r="E199" s="562"/>
      <c r="F199" s="563" t="n">
        <v>44925</v>
      </c>
      <c r="G199" s="568" t="s">
        <v>396</v>
      </c>
      <c r="H199" s="571" t="n">
        <v>0.0525</v>
      </c>
      <c r="I199" s="565" t="n">
        <v>1</v>
      </c>
      <c r="J199" s="575"/>
      <c r="K199" s="360" t="s">
        <v>1780</v>
      </c>
      <c r="L199" s="360"/>
      <c r="M199" s="360"/>
      <c r="N199" s="360"/>
      <c r="O199" s="360"/>
      <c r="P199" s="360"/>
      <c r="Q199" s="360"/>
      <c r="R199" s="360"/>
    </row>
    <row r="200" customFormat="false" ht="89.25" hidden="false" customHeight="true" outlineLevel="0" collapsed="false">
      <c r="A200" s="562" t="n">
        <v>194</v>
      </c>
      <c r="B200" s="574" t="n">
        <v>44925</v>
      </c>
      <c r="C200" s="577" t="s">
        <v>993</v>
      </c>
      <c r="D200" s="562" t="s">
        <v>1779</v>
      </c>
      <c r="E200" s="562"/>
      <c r="F200" s="563" t="n">
        <v>44925</v>
      </c>
      <c r="G200" s="568" t="s">
        <v>396</v>
      </c>
      <c r="H200" s="571" t="n">
        <v>0.053</v>
      </c>
      <c r="I200" s="565" t="n">
        <v>1</v>
      </c>
      <c r="J200" s="575"/>
      <c r="K200" s="360" t="s">
        <v>1781</v>
      </c>
      <c r="L200" s="360"/>
      <c r="M200" s="360"/>
      <c r="N200" s="360"/>
      <c r="O200" s="360"/>
      <c r="P200" s="360"/>
      <c r="Q200" s="360"/>
      <c r="R200" s="360"/>
    </row>
    <row r="201" customFormat="false" ht="89.25" hidden="false" customHeight="true" outlineLevel="0" collapsed="false">
      <c r="A201" s="562" t="n">
        <v>195</v>
      </c>
      <c r="B201" s="574" t="n">
        <v>44928</v>
      </c>
      <c r="C201" s="577" t="s">
        <v>616</v>
      </c>
      <c r="D201" s="562" t="s">
        <v>686</v>
      </c>
      <c r="E201" s="562"/>
      <c r="F201" s="567" t="s">
        <v>158</v>
      </c>
      <c r="G201" s="568" t="s">
        <v>1570</v>
      </c>
      <c r="H201" s="571" t="s">
        <v>1782</v>
      </c>
      <c r="I201" s="565"/>
      <c r="J201" s="575"/>
      <c r="K201" s="360" t="s">
        <v>1783</v>
      </c>
      <c r="L201" s="360"/>
      <c r="M201" s="360"/>
      <c r="N201" s="360"/>
      <c r="O201" s="360"/>
      <c r="P201" s="360"/>
      <c r="Q201" s="360"/>
      <c r="R201" s="360"/>
    </row>
    <row r="202" customFormat="false" ht="62.25" hidden="false" customHeight="true" outlineLevel="0" collapsed="false">
      <c r="A202" s="562" t="n">
        <v>196</v>
      </c>
      <c r="B202" s="574" t="n">
        <v>44935</v>
      </c>
      <c r="C202" s="562" t="s">
        <v>691</v>
      </c>
      <c r="D202" s="577" t="s">
        <v>598</v>
      </c>
      <c r="E202" s="562"/>
      <c r="F202" s="563" t="n">
        <v>44935</v>
      </c>
      <c r="G202" s="568" t="s">
        <v>1397</v>
      </c>
      <c r="H202" s="571" t="s">
        <v>1784</v>
      </c>
      <c r="I202" s="565" t="n">
        <v>1.5</v>
      </c>
      <c r="J202" s="576" t="s">
        <v>95</v>
      </c>
      <c r="K202" s="360" t="s">
        <v>1785</v>
      </c>
      <c r="L202" s="360"/>
      <c r="M202" s="360"/>
      <c r="N202" s="360"/>
      <c r="O202" s="360"/>
      <c r="P202" s="360"/>
      <c r="Q202" s="360"/>
      <c r="R202" s="360"/>
    </row>
    <row r="203" customFormat="false" ht="62.25" hidden="false" customHeight="true" outlineLevel="0" collapsed="false">
      <c r="A203" s="562" t="n">
        <v>197</v>
      </c>
      <c r="B203" s="574" t="n">
        <v>44935</v>
      </c>
      <c r="C203" s="562" t="s">
        <v>209</v>
      </c>
      <c r="D203" s="577" t="s">
        <v>735</v>
      </c>
      <c r="E203" s="562"/>
      <c r="F203" s="563" t="n">
        <v>44935</v>
      </c>
      <c r="G203" s="568" t="s">
        <v>303</v>
      </c>
      <c r="H203" s="571" t="n">
        <v>0.041</v>
      </c>
      <c r="I203" s="565" t="n">
        <v>4</v>
      </c>
      <c r="J203" s="576" t="s">
        <v>95</v>
      </c>
      <c r="K203" s="360" t="s">
        <v>1785</v>
      </c>
      <c r="L203" s="360"/>
      <c r="M203" s="360"/>
      <c r="N203" s="360"/>
      <c r="O203" s="360"/>
      <c r="P203" s="360"/>
      <c r="Q203" s="360"/>
      <c r="R203" s="360"/>
    </row>
    <row r="204" customFormat="false" ht="62.25" hidden="false" customHeight="true" outlineLevel="0" collapsed="false">
      <c r="A204" s="562" t="n">
        <v>198</v>
      </c>
      <c r="B204" s="574" t="n">
        <v>44936</v>
      </c>
      <c r="C204" s="562" t="s">
        <v>691</v>
      </c>
      <c r="D204" s="577" t="s">
        <v>598</v>
      </c>
      <c r="E204" s="562"/>
      <c r="F204" s="563" t="n">
        <v>44945</v>
      </c>
      <c r="G204" s="568" t="s">
        <v>396</v>
      </c>
      <c r="H204" s="571" t="n">
        <v>0.051</v>
      </c>
      <c r="I204" s="565" t="n">
        <v>2.4</v>
      </c>
      <c r="J204" s="576" t="s">
        <v>95</v>
      </c>
      <c r="K204" s="360" t="s">
        <v>1786</v>
      </c>
      <c r="L204" s="360"/>
      <c r="M204" s="360"/>
      <c r="N204" s="360"/>
      <c r="O204" s="360"/>
      <c r="P204" s="360"/>
      <c r="Q204" s="360"/>
      <c r="R204" s="360"/>
    </row>
    <row r="205" customFormat="false" ht="62.25" hidden="false" customHeight="true" outlineLevel="0" collapsed="false">
      <c r="A205" s="562" t="n">
        <v>199</v>
      </c>
      <c r="B205" s="574" t="n">
        <v>44937</v>
      </c>
      <c r="C205" s="560" t="s">
        <v>1663</v>
      </c>
      <c r="D205" s="577" t="s">
        <v>674</v>
      </c>
      <c r="E205" s="562"/>
      <c r="F205" s="563" t="n">
        <v>44938</v>
      </c>
      <c r="G205" s="568" t="s">
        <v>303</v>
      </c>
      <c r="H205" s="571" t="n">
        <v>0.041</v>
      </c>
      <c r="I205" s="565" t="n">
        <v>3</v>
      </c>
      <c r="J205" s="576" t="s">
        <v>95</v>
      </c>
      <c r="K205" s="360" t="s">
        <v>1787</v>
      </c>
      <c r="L205" s="360"/>
      <c r="M205" s="360"/>
      <c r="N205" s="360"/>
      <c r="O205" s="360"/>
      <c r="P205" s="360"/>
      <c r="Q205" s="360"/>
      <c r="R205" s="360"/>
    </row>
    <row r="206" customFormat="false" ht="62.25" hidden="false" customHeight="true" outlineLevel="0" collapsed="false">
      <c r="A206" s="562" t="n">
        <v>200</v>
      </c>
      <c r="B206" s="574" t="n">
        <v>44937</v>
      </c>
      <c r="C206" s="562" t="s">
        <v>707</v>
      </c>
      <c r="D206" s="577" t="s">
        <v>726</v>
      </c>
      <c r="E206" s="562"/>
      <c r="F206" s="567" t="s">
        <v>158</v>
      </c>
      <c r="G206" s="568" t="s">
        <v>1397</v>
      </c>
      <c r="H206" s="571" t="s">
        <v>1788</v>
      </c>
      <c r="I206" s="565" t="n">
        <v>1</v>
      </c>
      <c r="J206" s="576" t="s">
        <v>95</v>
      </c>
      <c r="K206" s="360" t="s">
        <v>1789</v>
      </c>
      <c r="L206" s="360"/>
      <c r="M206" s="360"/>
      <c r="N206" s="360"/>
      <c r="O206" s="360"/>
      <c r="P206" s="360"/>
      <c r="Q206" s="360"/>
      <c r="R206" s="360"/>
    </row>
    <row r="207" customFormat="false" ht="39.75" hidden="false" customHeight="true" outlineLevel="0" collapsed="false">
      <c r="A207" s="562" t="n">
        <v>201</v>
      </c>
      <c r="B207" s="574" t="n">
        <v>44942</v>
      </c>
      <c r="C207" s="562" t="s">
        <v>644</v>
      </c>
      <c r="D207" s="562" t="s">
        <v>1790</v>
      </c>
      <c r="E207" s="562"/>
      <c r="F207" s="563" t="n">
        <v>44942</v>
      </c>
      <c r="G207" s="563" t="s">
        <v>303</v>
      </c>
      <c r="H207" s="564" t="n">
        <v>0.042</v>
      </c>
      <c r="I207" s="565" t="s">
        <v>1441</v>
      </c>
      <c r="J207" s="575" t="s">
        <v>95</v>
      </c>
      <c r="K207" s="360" t="s">
        <v>1791</v>
      </c>
      <c r="L207" s="360"/>
      <c r="M207" s="360"/>
      <c r="N207" s="360"/>
      <c r="O207" s="360"/>
      <c r="P207" s="360"/>
      <c r="Q207" s="360"/>
      <c r="R207" s="360"/>
    </row>
    <row r="208" customFormat="false" ht="39.75" hidden="false" customHeight="true" outlineLevel="0" collapsed="false">
      <c r="A208" s="562" t="n">
        <v>202</v>
      </c>
      <c r="B208" s="574" t="n">
        <v>44942</v>
      </c>
      <c r="C208" s="562" t="s">
        <v>209</v>
      </c>
      <c r="D208" s="562" t="s">
        <v>735</v>
      </c>
      <c r="E208" s="562"/>
      <c r="F208" s="563" t="n">
        <v>44942</v>
      </c>
      <c r="G208" s="563" t="s">
        <v>303</v>
      </c>
      <c r="H208" s="564" t="n">
        <v>0.0415</v>
      </c>
      <c r="I208" s="565" t="s">
        <v>1441</v>
      </c>
      <c r="J208" s="575" t="s">
        <v>95</v>
      </c>
      <c r="K208" s="360" t="s">
        <v>1792</v>
      </c>
      <c r="L208" s="360"/>
      <c r="M208" s="360"/>
      <c r="N208" s="360"/>
      <c r="O208" s="360"/>
      <c r="P208" s="360"/>
      <c r="Q208" s="360"/>
      <c r="R208" s="360"/>
    </row>
    <row r="209" customFormat="false" ht="89.25" hidden="false" customHeight="true" outlineLevel="0" collapsed="false">
      <c r="A209" s="562" t="n">
        <v>203</v>
      </c>
      <c r="B209" s="574" t="n">
        <v>44942</v>
      </c>
      <c r="C209" s="577" t="s">
        <v>707</v>
      </c>
      <c r="D209" s="562" t="s">
        <v>1793</v>
      </c>
      <c r="E209" s="562"/>
      <c r="F209" s="567" t="s">
        <v>158</v>
      </c>
      <c r="G209" s="568" t="s">
        <v>1381</v>
      </c>
      <c r="H209" s="571" t="s">
        <v>1794</v>
      </c>
      <c r="I209" s="565" t="n">
        <v>5</v>
      </c>
      <c r="J209" s="575"/>
      <c r="K209" s="360" t="s">
        <v>1795</v>
      </c>
      <c r="L209" s="360"/>
      <c r="M209" s="360"/>
      <c r="N209" s="360"/>
      <c r="O209" s="360"/>
      <c r="P209" s="360"/>
      <c r="Q209" s="360"/>
      <c r="R209" s="360"/>
    </row>
    <row r="210" customFormat="false" ht="89.25" hidden="false" customHeight="true" outlineLevel="0" collapsed="false">
      <c r="A210" s="562" t="n">
        <v>204</v>
      </c>
      <c r="B210" s="574" t="n">
        <v>44943</v>
      </c>
      <c r="C210" s="577"/>
      <c r="D210" s="562"/>
      <c r="E210" s="562"/>
      <c r="F210" s="563"/>
      <c r="G210" s="568" t="s">
        <v>1760</v>
      </c>
      <c r="H210" s="571" t="s">
        <v>1796</v>
      </c>
      <c r="I210" s="565"/>
      <c r="J210" s="575"/>
      <c r="K210" s="360" t="s">
        <v>1797</v>
      </c>
      <c r="L210" s="360"/>
      <c r="M210" s="360"/>
      <c r="N210" s="360"/>
      <c r="O210" s="360"/>
      <c r="P210" s="360"/>
      <c r="Q210" s="360"/>
      <c r="R210" s="360"/>
    </row>
    <row r="211" customFormat="false" ht="89.25" hidden="false" customHeight="true" outlineLevel="0" collapsed="false">
      <c r="A211" s="562" t="n">
        <v>205</v>
      </c>
      <c r="B211" s="574" t="n">
        <v>44944</v>
      </c>
      <c r="C211" s="577" t="s">
        <v>201</v>
      </c>
      <c r="D211" s="562" t="s">
        <v>104</v>
      </c>
      <c r="E211" s="562"/>
      <c r="F211" s="563"/>
      <c r="G211" s="568" t="s">
        <v>1798</v>
      </c>
      <c r="H211" s="571" t="s">
        <v>1799</v>
      </c>
      <c r="I211" s="565"/>
      <c r="J211" s="575"/>
      <c r="K211" s="360" t="s">
        <v>1800</v>
      </c>
      <c r="L211" s="360"/>
      <c r="M211" s="360"/>
      <c r="N211" s="360"/>
      <c r="O211" s="360"/>
      <c r="P211" s="360"/>
      <c r="Q211" s="360"/>
      <c r="R211" s="360"/>
    </row>
    <row r="212" customFormat="false" ht="89.25" hidden="false" customHeight="true" outlineLevel="0" collapsed="false">
      <c r="A212" s="562" t="n">
        <v>206</v>
      </c>
      <c r="B212" s="574" t="n">
        <v>44945</v>
      </c>
      <c r="C212" s="577" t="s">
        <v>691</v>
      </c>
      <c r="D212" s="562" t="s">
        <v>598</v>
      </c>
      <c r="E212" s="562"/>
      <c r="F212" s="563" t="n">
        <v>44945</v>
      </c>
      <c r="G212" s="568" t="s">
        <v>1381</v>
      </c>
      <c r="H212" s="571" t="s">
        <v>1801</v>
      </c>
      <c r="I212" s="565" t="n">
        <v>2.4</v>
      </c>
      <c r="J212" s="575"/>
      <c r="K212" s="360" t="s">
        <v>1802</v>
      </c>
      <c r="L212" s="360"/>
      <c r="M212" s="360"/>
      <c r="N212" s="360"/>
      <c r="O212" s="360"/>
      <c r="P212" s="360"/>
      <c r="Q212" s="360"/>
      <c r="R212" s="360"/>
    </row>
    <row r="213" customFormat="false" ht="89.25" hidden="false" customHeight="true" outlineLevel="0" collapsed="false">
      <c r="A213" s="562" t="n">
        <v>207</v>
      </c>
      <c r="B213" s="574" t="n">
        <v>44945</v>
      </c>
      <c r="C213" s="577" t="s">
        <v>96</v>
      </c>
      <c r="D213" s="562" t="s">
        <v>661</v>
      </c>
      <c r="E213" s="562"/>
      <c r="F213" s="563" t="n">
        <v>44964</v>
      </c>
      <c r="G213" s="568" t="s">
        <v>1447</v>
      </c>
      <c r="H213" s="571" t="s">
        <v>1803</v>
      </c>
      <c r="I213" s="565" t="n">
        <v>10</v>
      </c>
      <c r="J213" s="575"/>
      <c r="K213" s="360" t="s">
        <v>1802</v>
      </c>
      <c r="L213" s="360"/>
      <c r="M213" s="360"/>
      <c r="N213" s="360"/>
      <c r="O213" s="360"/>
      <c r="P213" s="360"/>
      <c r="Q213" s="360"/>
      <c r="R213" s="360"/>
    </row>
    <row r="214" customFormat="false" ht="89.25" hidden="false" customHeight="true" outlineLevel="0" collapsed="false">
      <c r="A214" s="562" t="n">
        <v>208</v>
      </c>
      <c r="B214" s="574" t="n">
        <v>44945</v>
      </c>
      <c r="C214" s="577" t="s">
        <v>96</v>
      </c>
      <c r="D214" s="562" t="s">
        <v>661</v>
      </c>
      <c r="E214" s="562"/>
      <c r="F214" s="563" t="n">
        <v>44964</v>
      </c>
      <c r="G214" s="568" t="s">
        <v>337</v>
      </c>
      <c r="H214" s="571" t="n">
        <v>0.0485</v>
      </c>
      <c r="I214" s="565" t="n">
        <v>10</v>
      </c>
      <c r="J214" s="575"/>
      <c r="K214" s="360" t="s">
        <v>1804</v>
      </c>
      <c r="L214" s="360"/>
      <c r="M214" s="360"/>
      <c r="N214" s="360"/>
      <c r="O214" s="360"/>
      <c r="P214" s="360"/>
      <c r="Q214" s="360"/>
      <c r="R214" s="360"/>
    </row>
    <row r="215" customFormat="false" ht="89.25" hidden="false" customHeight="true" outlineLevel="0" collapsed="false">
      <c r="A215" s="562" t="n">
        <v>209</v>
      </c>
      <c r="B215" s="574" t="n">
        <v>44945</v>
      </c>
      <c r="C215" s="577" t="s">
        <v>96</v>
      </c>
      <c r="D215" s="562" t="s">
        <v>661</v>
      </c>
      <c r="E215" s="562"/>
      <c r="F215" s="563" t="n">
        <v>44964</v>
      </c>
      <c r="G215" s="568" t="s">
        <v>303</v>
      </c>
      <c r="H215" s="571" t="n">
        <v>0.043</v>
      </c>
      <c r="I215" s="565" t="n">
        <v>10</v>
      </c>
      <c r="J215" s="575"/>
      <c r="K215" s="360" t="s">
        <v>1805</v>
      </c>
      <c r="L215" s="360"/>
      <c r="M215" s="360"/>
      <c r="N215" s="360"/>
      <c r="O215" s="360"/>
      <c r="P215" s="360"/>
      <c r="Q215" s="360"/>
      <c r="R215" s="360"/>
    </row>
    <row r="216" customFormat="false" ht="89.25" hidden="false" customHeight="true" outlineLevel="0" collapsed="false">
      <c r="A216" s="562" t="n">
        <v>210</v>
      </c>
      <c r="B216" s="574" t="n">
        <v>44946</v>
      </c>
      <c r="C216" s="577" t="s">
        <v>707</v>
      </c>
      <c r="D216" s="562" t="s">
        <v>726</v>
      </c>
      <c r="E216" s="562"/>
      <c r="F216" s="567" t="s">
        <v>158</v>
      </c>
      <c r="G216" s="568" t="s">
        <v>1394</v>
      </c>
      <c r="H216" s="571" t="s">
        <v>1806</v>
      </c>
      <c r="I216" s="565" t="n">
        <v>1</v>
      </c>
      <c r="J216" s="575"/>
      <c r="K216" s="360" t="s">
        <v>1807</v>
      </c>
      <c r="L216" s="360"/>
      <c r="M216" s="360"/>
      <c r="N216" s="360"/>
      <c r="O216" s="360"/>
      <c r="P216" s="360"/>
      <c r="Q216" s="360"/>
      <c r="R216" s="360"/>
    </row>
    <row r="217" customFormat="false" ht="74.25" hidden="false" customHeight="true" outlineLevel="0" collapsed="false">
      <c r="A217" s="562" t="n">
        <v>211</v>
      </c>
      <c r="B217" s="574" t="n">
        <v>44951</v>
      </c>
      <c r="C217" s="562" t="s">
        <v>616</v>
      </c>
      <c r="D217" s="562" t="s">
        <v>611</v>
      </c>
      <c r="E217" s="562"/>
      <c r="F217" s="563" t="n">
        <v>44952</v>
      </c>
      <c r="G217" s="568" t="s">
        <v>1554</v>
      </c>
      <c r="H217" s="571" t="s">
        <v>1808</v>
      </c>
      <c r="I217" s="565" t="n">
        <v>1</v>
      </c>
      <c r="J217" s="575"/>
      <c r="K217" s="360" t="s">
        <v>1809</v>
      </c>
      <c r="L217" s="360"/>
      <c r="M217" s="360"/>
      <c r="N217" s="360"/>
      <c r="O217" s="360"/>
      <c r="P217" s="360"/>
      <c r="Q217" s="360"/>
      <c r="R217" s="360"/>
    </row>
    <row r="218" customFormat="false" ht="85.5" hidden="false" customHeight="true" outlineLevel="0" collapsed="false">
      <c r="A218" s="562" t="n">
        <v>212</v>
      </c>
      <c r="B218" s="574" t="n">
        <v>44951</v>
      </c>
      <c r="C218" s="562" t="s">
        <v>96</v>
      </c>
      <c r="D218" s="562" t="s">
        <v>759</v>
      </c>
      <c r="E218" s="562"/>
      <c r="F218" s="567" t="s">
        <v>158</v>
      </c>
      <c r="G218" s="568" t="s">
        <v>1549</v>
      </c>
      <c r="H218" s="571" t="s">
        <v>1810</v>
      </c>
      <c r="I218" s="565" t="s">
        <v>1694</v>
      </c>
      <c r="J218" s="566" t="s">
        <v>95</v>
      </c>
      <c r="K218" s="360" t="s">
        <v>1811</v>
      </c>
      <c r="L218" s="360"/>
      <c r="M218" s="360"/>
      <c r="N218" s="360"/>
      <c r="O218" s="360"/>
      <c r="P218" s="360"/>
      <c r="Q218" s="360"/>
      <c r="R218" s="360"/>
    </row>
    <row r="219" customFormat="false" ht="89.25" hidden="false" customHeight="true" outlineLevel="0" collapsed="false">
      <c r="A219" s="562" t="n">
        <v>213</v>
      </c>
      <c r="B219" s="574" t="n">
        <v>44952</v>
      </c>
      <c r="C219" s="577" t="s">
        <v>96</v>
      </c>
      <c r="D219" s="562" t="s">
        <v>661</v>
      </c>
      <c r="E219" s="562"/>
      <c r="F219" s="563" t="n">
        <v>44953</v>
      </c>
      <c r="G219" s="568" t="s">
        <v>337</v>
      </c>
      <c r="H219" s="571" t="n">
        <v>0.048</v>
      </c>
      <c r="I219" s="565" t="n">
        <v>10</v>
      </c>
      <c r="J219" s="575"/>
      <c r="K219" s="360" t="s">
        <v>1812</v>
      </c>
      <c r="L219" s="360"/>
      <c r="M219" s="360"/>
      <c r="N219" s="360"/>
      <c r="O219" s="360"/>
      <c r="P219" s="360"/>
      <c r="Q219" s="360"/>
      <c r="R219" s="360"/>
    </row>
    <row r="220" customFormat="false" ht="85.5" hidden="false" customHeight="true" outlineLevel="0" collapsed="false">
      <c r="A220" s="562" t="n">
        <v>214</v>
      </c>
      <c r="B220" s="574" t="n">
        <v>44952</v>
      </c>
      <c r="C220" s="562" t="s">
        <v>96</v>
      </c>
      <c r="D220" s="562" t="s">
        <v>682</v>
      </c>
      <c r="E220" s="562"/>
      <c r="F220" s="563" t="n">
        <v>44956</v>
      </c>
      <c r="G220" s="568" t="s">
        <v>1394</v>
      </c>
      <c r="H220" s="571" t="s">
        <v>1813</v>
      </c>
      <c r="I220" s="565" t="n">
        <v>4</v>
      </c>
      <c r="J220" s="566" t="s">
        <v>95</v>
      </c>
      <c r="K220" s="360" t="s">
        <v>1814</v>
      </c>
      <c r="L220" s="360"/>
      <c r="M220" s="360"/>
      <c r="N220" s="360"/>
      <c r="O220" s="360"/>
      <c r="P220" s="360"/>
      <c r="Q220" s="360"/>
      <c r="R220" s="360"/>
    </row>
    <row r="221" customFormat="false" ht="89.25" hidden="false" customHeight="true" outlineLevel="0" collapsed="false">
      <c r="A221" s="562" t="n">
        <v>215</v>
      </c>
      <c r="B221" s="574" t="n">
        <v>44952</v>
      </c>
      <c r="C221" s="577" t="s">
        <v>96</v>
      </c>
      <c r="D221" s="562" t="s">
        <v>661</v>
      </c>
      <c r="E221" s="562"/>
      <c r="F221" s="563" t="n">
        <v>44953</v>
      </c>
      <c r="G221" s="568" t="s">
        <v>337</v>
      </c>
      <c r="H221" s="571" t="n">
        <v>0.0485</v>
      </c>
      <c r="I221" s="565" t="n">
        <v>10</v>
      </c>
      <c r="J221" s="575"/>
      <c r="K221" s="360" t="s">
        <v>1815</v>
      </c>
      <c r="L221" s="360"/>
      <c r="M221" s="360"/>
      <c r="N221" s="360"/>
      <c r="O221" s="360"/>
      <c r="P221" s="360"/>
      <c r="Q221" s="360"/>
      <c r="R221" s="360"/>
    </row>
    <row r="222" customFormat="false" ht="85.5" hidden="false" customHeight="true" outlineLevel="0" collapsed="false">
      <c r="A222" s="562" t="n">
        <v>216</v>
      </c>
      <c r="B222" s="574" t="n">
        <v>44953</v>
      </c>
      <c r="C222" s="562" t="s">
        <v>707</v>
      </c>
      <c r="D222" s="562" t="s">
        <v>726</v>
      </c>
      <c r="E222" s="562"/>
      <c r="F222" s="563" t="n">
        <v>44956</v>
      </c>
      <c r="G222" s="568" t="s">
        <v>1397</v>
      </c>
      <c r="H222" s="571" t="s">
        <v>1816</v>
      </c>
      <c r="I222" s="565" t="n">
        <v>4</v>
      </c>
      <c r="J222" s="566" t="s">
        <v>95</v>
      </c>
      <c r="K222" s="360" t="s">
        <v>1817</v>
      </c>
      <c r="L222" s="360"/>
      <c r="M222" s="360"/>
      <c r="N222" s="360"/>
      <c r="O222" s="360"/>
      <c r="P222" s="360"/>
      <c r="Q222" s="360"/>
      <c r="R222" s="360"/>
    </row>
    <row r="223" customFormat="false" ht="85.5" hidden="false" customHeight="true" outlineLevel="0" collapsed="false">
      <c r="A223" s="562" t="n">
        <v>217</v>
      </c>
      <c r="B223" s="574" t="n">
        <v>44956</v>
      </c>
      <c r="C223" s="562" t="s">
        <v>707</v>
      </c>
      <c r="D223" s="562" t="s">
        <v>726</v>
      </c>
      <c r="E223" s="562"/>
      <c r="F223" s="563" t="n">
        <v>44956</v>
      </c>
      <c r="G223" s="568" t="s">
        <v>303</v>
      </c>
      <c r="H223" s="571" t="n">
        <v>0.0435</v>
      </c>
      <c r="I223" s="565" t="n">
        <v>4</v>
      </c>
      <c r="J223" s="566" t="s">
        <v>95</v>
      </c>
      <c r="K223" s="360" t="s">
        <v>1818</v>
      </c>
      <c r="L223" s="360"/>
      <c r="M223" s="360"/>
      <c r="N223" s="360"/>
      <c r="O223" s="360"/>
      <c r="P223" s="360"/>
      <c r="Q223" s="360"/>
      <c r="R223" s="360"/>
    </row>
    <row r="224" customFormat="false" ht="85.5" hidden="false" customHeight="true" outlineLevel="0" collapsed="false">
      <c r="A224" s="562" t="n">
        <v>218</v>
      </c>
      <c r="B224" s="574" t="n">
        <v>44956</v>
      </c>
      <c r="C224" s="562" t="s">
        <v>96</v>
      </c>
      <c r="D224" s="562" t="s">
        <v>682</v>
      </c>
      <c r="E224" s="562"/>
      <c r="F224" s="563" t="n">
        <v>44956</v>
      </c>
      <c r="G224" s="568" t="s">
        <v>300</v>
      </c>
      <c r="H224" s="571" t="n">
        <v>0.0455</v>
      </c>
      <c r="I224" s="565" t="n">
        <v>4</v>
      </c>
      <c r="J224" s="566" t="s">
        <v>95</v>
      </c>
      <c r="K224" s="360" t="s">
        <v>1819</v>
      </c>
      <c r="L224" s="360"/>
      <c r="M224" s="360"/>
      <c r="N224" s="360"/>
      <c r="O224" s="360"/>
      <c r="P224" s="360"/>
      <c r="Q224" s="360"/>
      <c r="R224" s="360"/>
    </row>
    <row r="225" customFormat="false" ht="85.5" hidden="false" customHeight="true" outlineLevel="0" collapsed="false">
      <c r="A225" s="562" t="n">
        <v>219</v>
      </c>
      <c r="B225" s="574" t="n">
        <v>44964</v>
      </c>
      <c r="C225" s="562" t="s">
        <v>96</v>
      </c>
      <c r="D225" s="562" t="s">
        <v>759</v>
      </c>
      <c r="E225" s="562"/>
      <c r="F225" s="567" t="s">
        <v>158</v>
      </c>
      <c r="G225" s="568" t="s">
        <v>1549</v>
      </c>
      <c r="H225" s="571" t="s">
        <v>1820</v>
      </c>
      <c r="I225" s="565" t="s">
        <v>1821</v>
      </c>
      <c r="J225" s="566" t="s">
        <v>95</v>
      </c>
      <c r="K225" s="360" t="s">
        <v>1822</v>
      </c>
      <c r="L225" s="360"/>
      <c r="M225" s="360"/>
      <c r="N225" s="360"/>
      <c r="O225" s="360"/>
      <c r="P225" s="360"/>
      <c r="Q225" s="360"/>
      <c r="R225" s="360"/>
    </row>
    <row r="226" customFormat="false" ht="85.5" hidden="false" customHeight="true" outlineLevel="0" collapsed="false">
      <c r="A226" s="562" t="n">
        <v>220</v>
      </c>
      <c r="B226" s="574" t="n">
        <v>44965</v>
      </c>
      <c r="C226" s="562" t="s">
        <v>96</v>
      </c>
      <c r="D226" s="562" t="s">
        <v>753</v>
      </c>
      <c r="E226" s="562"/>
      <c r="F226" s="563" t="n">
        <v>44967</v>
      </c>
      <c r="G226" s="568" t="s">
        <v>300</v>
      </c>
      <c r="H226" s="571" t="n">
        <v>0.046</v>
      </c>
      <c r="I226" s="565" t="n">
        <v>5</v>
      </c>
      <c r="J226" s="566" t="s">
        <v>95</v>
      </c>
      <c r="K226" s="360" t="s">
        <v>1823</v>
      </c>
      <c r="L226" s="360"/>
      <c r="M226" s="360"/>
      <c r="N226" s="360"/>
      <c r="O226" s="360"/>
      <c r="P226" s="360"/>
      <c r="Q226" s="360"/>
      <c r="R226" s="360"/>
    </row>
    <row r="227" customFormat="false" ht="39.75" hidden="false" customHeight="true" outlineLevel="0" collapsed="false">
      <c r="A227" s="562" t="n">
        <v>221</v>
      </c>
      <c r="B227" s="574" t="n">
        <v>44966</v>
      </c>
      <c r="C227" s="562" t="s">
        <v>209</v>
      </c>
      <c r="D227" s="562" t="s">
        <v>735</v>
      </c>
      <c r="E227" s="562"/>
      <c r="F227" s="563" t="n">
        <v>44966</v>
      </c>
      <c r="G227" s="563" t="s">
        <v>303</v>
      </c>
      <c r="H227" s="564" t="n">
        <v>0.043</v>
      </c>
      <c r="I227" s="565" t="s">
        <v>1457</v>
      </c>
      <c r="J227" s="575" t="s">
        <v>95</v>
      </c>
      <c r="K227" s="360" t="s">
        <v>1824</v>
      </c>
      <c r="L227" s="360"/>
      <c r="M227" s="360"/>
      <c r="N227" s="360"/>
      <c r="O227" s="360"/>
      <c r="P227" s="360"/>
      <c r="Q227" s="360"/>
      <c r="R227" s="360"/>
    </row>
    <row r="228" customFormat="false" ht="89.25" hidden="false" customHeight="true" outlineLevel="0" collapsed="false">
      <c r="A228" s="562" t="n">
        <v>222</v>
      </c>
      <c r="B228" s="574" t="n">
        <v>44966</v>
      </c>
      <c r="C228" s="577" t="s">
        <v>1129</v>
      </c>
      <c r="D228" s="562" t="s">
        <v>1675</v>
      </c>
      <c r="E228" s="562"/>
      <c r="F228" s="567" t="s">
        <v>158</v>
      </c>
      <c r="G228" s="568" t="s">
        <v>1570</v>
      </c>
      <c r="H228" s="571" t="s">
        <v>1825</v>
      </c>
      <c r="I228" s="565" t="s">
        <v>1821</v>
      </c>
      <c r="J228" s="575" t="s">
        <v>95</v>
      </c>
      <c r="K228" s="360" t="s">
        <v>1826</v>
      </c>
      <c r="L228" s="360"/>
      <c r="M228" s="360"/>
      <c r="N228" s="360"/>
      <c r="O228" s="360"/>
      <c r="P228" s="360"/>
      <c r="Q228" s="360"/>
      <c r="R228" s="360"/>
    </row>
    <row r="229" customFormat="false" ht="85.5" hidden="false" customHeight="true" outlineLevel="0" collapsed="false">
      <c r="A229" s="562" t="n">
        <v>223</v>
      </c>
      <c r="B229" s="574" t="n">
        <v>44967</v>
      </c>
      <c r="C229" s="562" t="s">
        <v>96</v>
      </c>
      <c r="D229" s="562" t="s">
        <v>759</v>
      </c>
      <c r="E229" s="562"/>
      <c r="F229" s="567" t="s">
        <v>158</v>
      </c>
      <c r="G229" s="568" t="s">
        <v>1394</v>
      </c>
      <c r="H229" s="571" t="s">
        <v>1827</v>
      </c>
      <c r="I229" s="565" t="n">
        <v>2</v>
      </c>
      <c r="J229" s="566" t="s">
        <v>95</v>
      </c>
      <c r="K229" s="360" t="s">
        <v>1828</v>
      </c>
      <c r="L229" s="360"/>
      <c r="M229" s="360"/>
      <c r="N229" s="360"/>
      <c r="O229" s="360"/>
      <c r="P229" s="360"/>
      <c r="Q229" s="360"/>
      <c r="R229" s="360"/>
    </row>
    <row r="230" customFormat="false" ht="89.25" hidden="false" customHeight="true" outlineLevel="0" collapsed="false">
      <c r="A230" s="562" t="n">
        <v>224</v>
      </c>
      <c r="B230" s="574" t="n">
        <v>44973</v>
      </c>
      <c r="C230" s="577" t="s">
        <v>96</v>
      </c>
      <c r="D230" s="562" t="s">
        <v>661</v>
      </c>
      <c r="E230" s="562"/>
      <c r="F230" s="563" t="n">
        <v>44977</v>
      </c>
      <c r="G230" s="568" t="s">
        <v>1582</v>
      </c>
      <c r="H230" s="571" t="s">
        <v>1829</v>
      </c>
      <c r="I230" s="565" t="n">
        <v>10</v>
      </c>
      <c r="J230" s="575" t="s">
        <v>95</v>
      </c>
      <c r="K230" s="360" t="s">
        <v>1830</v>
      </c>
      <c r="L230" s="360"/>
      <c r="M230" s="360"/>
      <c r="N230" s="360"/>
      <c r="O230" s="360"/>
      <c r="P230" s="360"/>
      <c r="Q230" s="360"/>
      <c r="R230" s="360"/>
    </row>
    <row r="231" customFormat="false" ht="89.25" hidden="false" customHeight="true" outlineLevel="0" collapsed="false">
      <c r="A231" s="562" t="n">
        <v>225</v>
      </c>
      <c r="B231" s="574" t="n">
        <v>44973</v>
      </c>
      <c r="C231" s="577" t="s">
        <v>96</v>
      </c>
      <c r="D231" s="562" t="s">
        <v>661</v>
      </c>
      <c r="E231" s="562"/>
      <c r="F231" s="563" t="n">
        <v>44977</v>
      </c>
      <c r="G231" s="568" t="s">
        <v>337</v>
      </c>
      <c r="H231" s="571" t="n">
        <v>0.0485</v>
      </c>
      <c r="I231" s="565" t="n">
        <v>10</v>
      </c>
      <c r="J231" s="575" t="s">
        <v>95</v>
      </c>
      <c r="K231" s="360" t="s">
        <v>1831</v>
      </c>
      <c r="L231" s="360"/>
      <c r="M231" s="360"/>
      <c r="N231" s="360"/>
      <c r="O231" s="360"/>
      <c r="P231" s="360"/>
      <c r="Q231" s="360"/>
      <c r="R231" s="360"/>
    </row>
    <row r="232" customFormat="false" ht="89.25" hidden="false" customHeight="true" outlineLevel="0" collapsed="false">
      <c r="A232" s="562" t="n">
        <v>226</v>
      </c>
      <c r="B232" s="574" t="n">
        <v>44977</v>
      </c>
      <c r="C232" s="577" t="s">
        <v>96</v>
      </c>
      <c r="D232" s="562" t="s">
        <v>661</v>
      </c>
      <c r="E232" s="562"/>
      <c r="F232" s="563" t="n">
        <v>44977</v>
      </c>
      <c r="G232" s="568" t="s">
        <v>303</v>
      </c>
      <c r="H232" s="571" t="n">
        <v>0.0435</v>
      </c>
      <c r="I232" s="565" t="n">
        <v>10</v>
      </c>
      <c r="J232" s="575" t="s">
        <v>95</v>
      </c>
      <c r="K232" s="360" t="s">
        <v>1832</v>
      </c>
      <c r="L232" s="360"/>
      <c r="M232" s="360"/>
      <c r="N232" s="360"/>
      <c r="O232" s="360"/>
      <c r="P232" s="360"/>
      <c r="Q232" s="360"/>
      <c r="R232" s="360"/>
    </row>
    <row r="233" customFormat="false" ht="89.25" hidden="false" customHeight="true" outlineLevel="0" collapsed="false">
      <c r="A233" s="562" t="n">
        <v>227</v>
      </c>
      <c r="B233" s="574" t="n">
        <v>44977</v>
      </c>
      <c r="C233" s="577" t="s">
        <v>691</v>
      </c>
      <c r="D233" s="562" t="s">
        <v>761</v>
      </c>
      <c r="E233" s="562"/>
      <c r="F233" s="563" t="n">
        <v>44977</v>
      </c>
      <c r="G233" s="568" t="s">
        <v>1381</v>
      </c>
      <c r="H233" s="571" t="s">
        <v>1833</v>
      </c>
      <c r="I233" s="565" t="n">
        <v>10</v>
      </c>
      <c r="J233" s="575" t="s">
        <v>95</v>
      </c>
      <c r="K233" s="360" t="s">
        <v>1834</v>
      </c>
      <c r="L233" s="360"/>
      <c r="M233" s="360"/>
      <c r="N233" s="360"/>
      <c r="O233" s="360"/>
      <c r="P233" s="360"/>
      <c r="Q233" s="360"/>
      <c r="R233" s="360"/>
    </row>
    <row r="234" customFormat="false" ht="89.25" hidden="false" customHeight="true" outlineLevel="0" collapsed="false">
      <c r="A234" s="562" t="n">
        <v>228</v>
      </c>
      <c r="B234" s="574" t="n">
        <v>44979</v>
      </c>
      <c r="C234" s="577" t="s">
        <v>770</v>
      </c>
      <c r="D234" s="562" t="s">
        <v>772</v>
      </c>
      <c r="E234" s="562"/>
      <c r="F234" s="567" t="s">
        <v>158</v>
      </c>
      <c r="G234" s="568" t="s">
        <v>1447</v>
      </c>
      <c r="H234" s="571" t="s">
        <v>1835</v>
      </c>
      <c r="I234" s="565" t="n">
        <v>10</v>
      </c>
      <c r="J234" s="575" t="s">
        <v>95</v>
      </c>
      <c r="K234" s="360" t="s">
        <v>1836</v>
      </c>
      <c r="L234" s="360"/>
      <c r="M234" s="360"/>
      <c r="N234" s="360"/>
      <c r="O234" s="360"/>
      <c r="P234" s="360"/>
      <c r="Q234" s="360"/>
      <c r="R234" s="360"/>
    </row>
    <row r="235" customFormat="false" ht="89.25" hidden="false" customHeight="true" outlineLevel="0" collapsed="false">
      <c r="A235" s="562" t="n">
        <v>229</v>
      </c>
      <c r="B235" s="574" t="n">
        <v>44979</v>
      </c>
      <c r="C235" s="577" t="s">
        <v>770</v>
      </c>
      <c r="D235" s="562" t="s">
        <v>772</v>
      </c>
      <c r="E235" s="562"/>
      <c r="F235" s="567" t="s">
        <v>158</v>
      </c>
      <c r="G235" s="568" t="s">
        <v>1447</v>
      </c>
      <c r="H235" s="571" t="s">
        <v>1837</v>
      </c>
      <c r="I235" s="565" t="n">
        <v>10</v>
      </c>
      <c r="J235" s="575" t="s">
        <v>95</v>
      </c>
      <c r="K235" s="360" t="s">
        <v>1838</v>
      </c>
      <c r="L235" s="360"/>
      <c r="M235" s="360"/>
      <c r="N235" s="360"/>
      <c r="O235" s="360"/>
      <c r="P235" s="360"/>
      <c r="Q235" s="360"/>
      <c r="R235" s="360"/>
    </row>
    <row r="236" customFormat="false" ht="89.25" hidden="false" customHeight="true" outlineLevel="0" collapsed="false">
      <c r="A236" s="562" t="n">
        <v>230</v>
      </c>
      <c r="B236" s="574" t="n">
        <v>44980</v>
      </c>
      <c r="C236" s="577" t="s">
        <v>770</v>
      </c>
      <c r="D236" s="577" t="s">
        <v>1839</v>
      </c>
      <c r="E236" s="562"/>
      <c r="F236" s="563" t="n">
        <v>44981</v>
      </c>
      <c r="G236" s="568" t="s">
        <v>337</v>
      </c>
      <c r="H236" s="571" t="n">
        <v>0.05</v>
      </c>
      <c r="I236" s="565" t="n">
        <v>1</v>
      </c>
      <c r="J236" s="575" t="s">
        <v>95</v>
      </c>
      <c r="K236" s="360" t="s">
        <v>1840</v>
      </c>
      <c r="L236" s="360"/>
      <c r="M236" s="360"/>
      <c r="N236" s="360"/>
      <c r="O236" s="360"/>
      <c r="P236" s="360"/>
      <c r="Q236" s="360"/>
      <c r="R236" s="360"/>
    </row>
    <row r="237" customFormat="false" ht="89.25" hidden="false" customHeight="true" outlineLevel="0" collapsed="false">
      <c r="A237" s="562" t="n">
        <v>231</v>
      </c>
      <c r="B237" s="574" t="n">
        <v>44984</v>
      </c>
      <c r="C237" s="577" t="s">
        <v>707</v>
      </c>
      <c r="D237" s="562" t="s">
        <v>726</v>
      </c>
      <c r="E237" s="562"/>
      <c r="F237" s="563" t="n">
        <v>44985</v>
      </c>
      <c r="G237" s="568" t="s">
        <v>1397</v>
      </c>
      <c r="H237" s="571" t="s">
        <v>1841</v>
      </c>
      <c r="I237" s="565" t="n">
        <v>4</v>
      </c>
      <c r="J237" s="575" t="s">
        <v>95</v>
      </c>
      <c r="K237" s="360" t="s">
        <v>1842</v>
      </c>
      <c r="L237" s="360"/>
      <c r="M237" s="360"/>
      <c r="N237" s="360"/>
      <c r="O237" s="360"/>
      <c r="P237" s="360"/>
      <c r="Q237" s="360"/>
      <c r="R237" s="360"/>
    </row>
    <row r="238" customFormat="false" ht="89.25" hidden="false" customHeight="true" outlineLevel="0" collapsed="false">
      <c r="A238" s="562" t="n">
        <v>232</v>
      </c>
      <c r="B238" s="574" t="n">
        <v>44985</v>
      </c>
      <c r="C238" s="577" t="s">
        <v>100</v>
      </c>
      <c r="D238" s="562" t="s">
        <v>625</v>
      </c>
      <c r="E238" s="562"/>
      <c r="F238" s="563" t="n">
        <v>44985</v>
      </c>
      <c r="G238" s="568" t="s">
        <v>303</v>
      </c>
      <c r="H238" s="571" t="n">
        <v>0.044</v>
      </c>
      <c r="I238" s="565" t="n">
        <v>4</v>
      </c>
      <c r="J238" s="575" t="s">
        <v>95</v>
      </c>
      <c r="K238" s="360" t="s">
        <v>1843</v>
      </c>
      <c r="L238" s="360"/>
      <c r="M238" s="360"/>
      <c r="N238" s="360"/>
      <c r="O238" s="360"/>
      <c r="P238" s="360"/>
      <c r="Q238" s="360"/>
      <c r="R238" s="360"/>
    </row>
    <row r="239" customFormat="false" ht="68.25" hidden="false" customHeight="true" outlineLevel="0" collapsed="false">
      <c r="A239" s="562" t="n">
        <v>233</v>
      </c>
      <c r="B239" s="574" t="n">
        <v>44987</v>
      </c>
      <c r="C239" s="562" t="s">
        <v>770</v>
      </c>
      <c r="D239" s="562" t="s">
        <v>771</v>
      </c>
      <c r="E239" s="562"/>
      <c r="F239" s="563"/>
      <c r="G239" s="568" t="s">
        <v>1554</v>
      </c>
      <c r="H239" s="571" t="s">
        <v>1844</v>
      </c>
      <c r="I239" s="565" t="n">
        <v>2</v>
      </c>
      <c r="J239" s="575" t="s">
        <v>95</v>
      </c>
      <c r="K239" s="360" t="s">
        <v>1845</v>
      </c>
      <c r="L239" s="360"/>
      <c r="M239" s="360"/>
      <c r="N239" s="360"/>
      <c r="O239" s="360"/>
      <c r="P239" s="360"/>
      <c r="Q239" s="360"/>
      <c r="R239" s="360"/>
    </row>
    <row r="240" customFormat="false" ht="89.25" hidden="false" customHeight="true" outlineLevel="0" collapsed="false">
      <c r="A240" s="562" t="n">
        <v>234</v>
      </c>
      <c r="B240" s="574" t="n">
        <v>44991</v>
      </c>
      <c r="C240" s="577" t="s">
        <v>707</v>
      </c>
      <c r="D240" s="562" t="s">
        <v>445</v>
      </c>
      <c r="E240" s="562"/>
      <c r="F240" s="567" t="s">
        <v>158</v>
      </c>
      <c r="G240" s="568" t="s">
        <v>1397</v>
      </c>
      <c r="H240" s="571" t="s">
        <v>1846</v>
      </c>
      <c r="I240" s="565" t="n">
        <v>3</v>
      </c>
      <c r="J240" s="575" t="s">
        <v>95</v>
      </c>
      <c r="K240" s="360" t="s">
        <v>1847</v>
      </c>
      <c r="L240" s="360"/>
      <c r="M240" s="360"/>
      <c r="N240" s="360"/>
      <c r="O240" s="360"/>
      <c r="P240" s="360"/>
      <c r="Q240" s="360"/>
      <c r="R240" s="360"/>
    </row>
    <row r="241" customFormat="false" ht="89.25" hidden="false" customHeight="true" outlineLevel="0" collapsed="false">
      <c r="A241" s="562" t="n">
        <v>235</v>
      </c>
      <c r="B241" s="574" t="n">
        <v>44994</v>
      </c>
      <c r="C241" s="577" t="s">
        <v>209</v>
      </c>
      <c r="D241" s="562" t="s">
        <v>735</v>
      </c>
      <c r="E241" s="562"/>
      <c r="F241" s="563" t="n">
        <v>44994</v>
      </c>
      <c r="G241" s="568" t="s">
        <v>303</v>
      </c>
      <c r="H241" s="571" t="n">
        <v>0.0445</v>
      </c>
      <c r="I241" s="565" t="n">
        <v>4</v>
      </c>
      <c r="J241" s="575" t="s">
        <v>95</v>
      </c>
      <c r="K241" s="360" t="s">
        <v>1848</v>
      </c>
      <c r="L241" s="360"/>
      <c r="M241" s="360"/>
      <c r="N241" s="360"/>
      <c r="O241" s="360"/>
      <c r="P241" s="360"/>
      <c r="Q241" s="360"/>
      <c r="R241" s="360"/>
    </row>
    <row r="242" customFormat="false" ht="97.5" hidden="false" customHeight="true" outlineLevel="0" collapsed="false">
      <c r="A242" s="562" t="n">
        <v>236</v>
      </c>
      <c r="B242" s="574" t="n">
        <v>44994</v>
      </c>
      <c r="C242" s="562" t="s">
        <v>96</v>
      </c>
      <c r="D242" s="562" t="s">
        <v>759</v>
      </c>
      <c r="E242" s="562"/>
      <c r="F242" s="567" t="s">
        <v>158</v>
      </c>
      <c r="G242" s="568" t="s">
        <v>1760</v>
      </c>
      <c r="H242" s="571" t="s">
        <v>1849</v>
      </c>
      <c r="I242" s="565" t="s">
        <v>1457</v>
      </c>
      <c r="J242" s="566" t="s">
        <v>95</v>
      </c>
      <c r="K242" s="360" t="s">
        <v>1850</v>
      </c>
      <c r="L242" s="360"/>
      <c r="M242" s="360"/>
      <c r="N242" s="360"/>
      <c r="O242" s="360"/>
      <c r="P242" s="360"/>
      <c r="Q242" s="360"/>
      <c r="R242" s="360"/>
    </row>
    <row r="243" customFormat="false" ht="97.5" hidden="false" customHeight="true" outlineLevel="0" collapsed="false">
      <c r="A243" s="562" t="n">
        <v>237</v>
      </c>
      <c r="B243" s="574" t="n">
        <v>44998</v>
      </c>
      <c r="C243" s="562" t="s">
        <v>96</v>
      </c>
      <c r="D243" s="562" t="s">
        <v>661</v>
      </c>
      <c r="E243" s="562"/>
      <c r="F243" s="567" t="s">
        <v>158</v>
      </c>
      <c r="G243" s="568" t="s">
        <v>1851</v>
      </c>
      <c r="H243" s="571" t="s">
        <v>1852</v>
      </c>
      <c r="I243" s="565" t="n">
        <v>10</v>
      </c>
      <c r="J243" s="566" t="s">
        <v>95</v>
      </c>
      <c r="K243" s="360" t="s">
        <v>1853</v>
      </c>
      <c r="L243" s="360"/>
      <c r="M243" s="360"/>
      <c r="N243" s="360"/>
      <c r="O243" s="360"/>
      <c r="P243" s="360"/>
      <c r="Q243" s="360"/>
      <c r="R243" s="360"/>
    </row>
    <row r="244" customFormat="false" ht="89.25" hidden="false" customHeight="true" outlineLevel="0" collapsed="false">
      <c r="A244" s="562" t="n">
        <v>238</v>
      </c>
      <c r="B244" s="574" t="n">
        <v>44998</v>
      </c>
      <c r="C244" s="577" t="s">
        <v>707</v>
      </c>
      <c r="D244" s="562" t="s">
        <v>445</v>
      </c>
      <c r="E244" s="562"/>
      <c r="F244" s="563" t="n">
        <v>45000</v>
      </c>
      <c r="G244" s="568" t="s">
        <v>1397</v>
      </c>
      <c r="H244" s="571" t="s">
        <v>1854</v>
      </c>
      <c r="I244" s="565" t="n">
        <v>3</v>
      </c>
      <c r="J244" s="575" t="s">
        <v>95</v>
      </c>
      <c r="K244" s="360" t="s">
        <v>1855</v>
      </c>
      <c r="L244" s="360"/>
      <c r="M244" s="360"/>
      <c r="N244" s="360"/>
      <c r="O244" s="360"/>
      <c r="P244" s="360"/>
      <c r="Q244" s="360"/>
      <c r="R244" s="360"/>
    </row>
    <row r="245" customFormat="false" ht="97.5" hidden="false" customHeight="true" outlineLevel="0" collapsed="false">
      <c r="A245" s="562" t="n">
        <v>239</v>
      </c>
      <c r="B245" s="574" t="n">
        <v>44999</v>
      </c>
      <c r="C245" s="562" t="s">
        <v>96</v>
      </c>
      <c r="D245" s="562" t="s">
        <v>759</v>
      </c>
      <c r="E245" s="562"/>
      <c r="F245" s="567" t="s">
        <v>158</v>
      </c>
      <c r="G245" s="568" t="s">
        <v>1760</v>
      </c>
      <c r="H245" s="571" t="s">
        <v>1856</v>
      </c>
      <c r="I245" s="565" t="s">
        <v>1491</v>
      </c>
      <c r="J245" s="566" t="s">
        <v>95</v>
      </c>
      <c r="K245" s="360" t="s">
        <v>1857</v>
      </c>
      <c r="L245" s="360"/>
      <c r="M245" s="360"/>
      <c r="N245" s="360"/>
      <c r="O245" s="360"/>
      <c r="P245" s="360"/>
      <c r="Q245" s="360"/>
      <c r="R245" s="360"/>
    </row>
    <row r="246" customFormat="false" ht="97.5" hidden="false" customHeight="true" outlineLevel="0" collapsed="false">
      <c r="A246" s="562" t="n">
        <v>240</v>
      </c>
      <c r="B246" s="574" t="n">
        <v>45000</v>
      </c>
      <c r="C246" s="562" t="s">
        <v>616</v>
      </c>
      <c r="D246" s="562" t="s">
        <v>782</v>
      </c>
      <c r="E246" s="562"/>
      <c r="F246" s="567" t="s">
        <v>158</v>
      </c>
      <c r="G246" s="568" t="s">
        <v>1570</v>
      </c>
      <c r="H246" s="571" t="s">
        <v>1858</v>
      </c>
      <c r="I246" s="565" t="n">
        <v>3</v>
      </c>
      <c r="J246" s="566" t="s">
        <v>95</v>
      </c>
      <c r="K246" s="360" t="s">
        <v>1859</v>
      </c>
      <c r="L246" s="360"/>
      <c r="M246" s="360"/>
      <c r="N246" s="360"/>
      <c r="O246" s="360"/>
      <c r="P246" s="360"/>
      <c r="Q246" s="360"/>
      <c r="R246" s="360"/>
    </row>
    <row r="247" customFormat="false" ht="89.25" hidden="false" customHeight="true" outlineLevel="0" collapsed="false">
      <c r="A247" s="562" t="n">
        <v>241</v>
      </c>
      <c r="B247" s="574" t="n">
        <v>45000</v>
      </c>
      <c r="C247" s="577" t="s">
        <v>707</v>
      </c>
      <c r="D247" s="562" t="s">
        <v>445</v>
      </c>
      <c r="E247" s="562"/>
      <c r="F247" s="563" t="n">
        <v>45000</v>
      </c>
      <c r="G247" s="568" t="s">
        <v>1397</v>
      </c>
      <c r="H247" s="571" t="s">
        <v>1860</v>
      </c>
      <c r="I247" s="565" t="n">
        <v>6</v>
      </c>
      <c r="J247" s="575" t="s">
        <v>95</v>
      </c>
      <c r="K247" s="360" t="s">
        <v>1861</v>
      </c>
      <c r="L247" s="360"/>
      <c r="M247" s="360"/>
      <c r="N247" s="360"/>
      <c r="O247" s="360"/>
      <c r="P247" s="360"/>
      <c r="Q247" s="360"/>
      <c r="R247" s="360"/>
    </row>
    <row r="248" customFormat="false" ht="97.5" hidden="false" customHeight="true" outlineLevel="0" collapsed="false">
      <c r="A248" s="562" t="n">
        <v>242</v>
      </c>
      <c r="B248" s="574" t="n">
        <v>45000</v>
      </c>
      <c r="C248" s="562" t="s">
        <v>96</v>
      </c>
      <c r="D248" s="562" t="s">
        <v>661</v>
      </c>
      <c r="E248" s="562"/>
      <c r="F248" s="567" t="s">
        <v>158</v>
      </c>
      <c r="G248" s="568" t="s">
        <v>1381</v>
      </c>
      <c r="H248" s="571" t="s">
        <v>1862</v>
      </c>
      <c r="I248" s="565" t="n">
        <v>10</v>
      </c>
      <c r="J248" s="566" t="s">
        <v>95</v>
      </c>
      <c r="K248" s="360" t="s">
        <v>1859</v>
      </c>
      <c r="L248" s="360"/>
      <c r="M248" s="360"/>
      <c r="N248" s="360"/>
      <c r="O248" s="360"/>
      <c r="P248" s="360"/>
      <c r="Q248" s="360"/>
      <c r="R248" s="360"/>
    </row>
    <row r="249" customFormat="false" ht="97.5" hidden="false" customHeight="true" outlineLevel="0" collapsed="false">
      <c r="A249" s="562" t="n">
        <v>243</v>
      </c>
      <c r="B249" s="574" t="n">
        <v>45001</v>
      </c>
      <c r="C249" s="562" t="s">
        <v>96</v>
      </c>
      <c r="D249" s="562" t="s">
        <v>661</v>
      </c>
      <c r="E249" s="562"/>
      <c r="F249" s="567" t="s">
        <v>158</v>
      </c>
      <c r="G249" s="568" t="s">
        <v>303</v>
      </c>
      <c r="H249" s="571" t="n">
        <v>0.0445</v>
      </c>
      <c r="I249" s="565" t="n">
        <v>10</v>
      </c>
      <c r="J249" s="566" t="s">
        <v>95</v>
      </c>
      <c r="K249" s="360" t="s">
        <v>1863</v>
      </c>
      <c r="L249" s="360"/>
      <c r="M249" s="360"/>
      <c r="N249" s="360"/>
      <c r="O249" s="360"/>
      <c r="P249" s="360"/>
      <c r="Q249" s="360"/>
      <c r="R249" s="360"/>
    </row>
    <row r="250" customFormat="false" ht="97.5" hidden="false" customHeight="true" outlineLevel="0" collapsed="false">
      <c r="A250" s="562" t="n">
        <v>244</v>
      </c>
      <c r="B250" s="574" t="n">
        <v>45001</v>
      </c>
      <c r="C250" s="562" t="s">
        <v>770</v>
      </c>
      <c r="D250" s="562" t="s">
        <v>771</v>
      </c>
      <c r="E250" s="562"/>
      <c r="F250" s="567" t="s">
        <v>158</v>
      </c>
      <c r="G250" s="568" t="s">
        <v>303</v>
      </c>
      <c r="H250" s="571" t="n">
        <v>0.0445</v>
      </c>
      <c r="I250" s="565" t="n">
        <v>2</v>
      </c>
      <c r="J250" s="566" t="s">
        <v>95</v>
      </c>
      <c r="K250" s="360" t="s">
        <v>1864</v>
      </c>
      <c r="L250" s="360"/>
      <c r="M250" s="360"/>
      <c r="N250" s="360"/>
      <c r="O250" s="360"/>
      <c r="P250" s="360"/>
      <c r="Q250" s="360"/>
      <c r="R250" s="360"/>
    </row>
    <row r="251" customFormat="false" ht="97.5" hidden="false" customHeight="true" outlineLevel="0" collapsed="false">
      <c r="A251" s="562" t="n">
        <v>245</v>
      </c>
      <c r="B251" s="574" t="n">
        <v>45001</v>
      </c>
      <c r="C251" s="562" t="s">
        <v>209</v>
      </c>
      <c r="D251" s="562" t="s">
        <v>735</v>
      </c>
      <c r="E251" s="562"/>
      <c r="F251" s="563" t="n">
        <v>45001</v>
      </c>
      <c r="G251" s="568" t="s">
        <v>303</v>
      </c>
      <c r="H251" s="571" t="n">
        <v>0.0445</v>
      </c>
      <c r="I251" s="565" t="n">
        <v>1</v>
      </c>
      <c r="J251" s="566" t="s">
        <v>95</v>
      </c>
      <c r="K251" s="360" t="s">
        <v>1865</v>
      </c>
      <c r="L251" s="360"/>
      <c r="M251" s="360"/>
      <c r="N251" s="360"/>
      <c r="O251" s="360"/>
      <c r="P251" s="360"/>
      <c r="Q251" s="360"/>
      <c r="R251" s="360"/>
    </row>
    <row r="252" customFormat="false" ht="97.5" hidden="false" customHeight="true" outlineLevel="0" collapsed="false">
      <c r="A252" s="562" t="n">
        <v>246</v>
      </c>
      <c r="B252" s="574" t="n">
        <v>45002</v>
      </c>
      <c r="C252" s="562" t="s">
        <v>96</v>
      </c>
      <c r="D252" s="562" t="s">
        <v>1866</v>
      </c>
      <c r="E252" s="562"/>
      <c r="F252" s="567" t="s">
        <v>158</v>
      </c>
      <c r="G252" s="568" t="s">
        <v>1570</v>
      </c>
      <c r="H252" s="571" t="s">
        <v>1867</v>
      </c>
      <c r="I252" s="565" t="n">
        <v>10</v>
      </c>
      <c r="J252" s="566" t="s">
        <v>95</v>
      </c>
      <c r="K252" s="360" t="s">
        <v>1868</v>
      </c>
      <c r="L252" s="360"/>
      <c r="M252" s="360"/>
      <c r="N252" s="360"/>
      <c r="O252" s="360"/>
      <c r="P252" s="360"/>
      <c r="Q252" s="360"/>
      <c r="R252" s="360"/>
    </row>
    <row r="253" customFormat="false" ht="97.5" hidden="false" customHeight="true" outlineLevel="0" collapsed="false">
      <c r="A253" s="562" t="n">
        <v>247</v>
      </c>
      <c r="B253" s="574" t="n">
        <v>45002</v>
      </c>
      <c r="C253" s="562" t="s">
        <v>770</v>
      </c>
      <c r="D253" s="562" t="s">
        <v>771</v>
      </c>
      <c r="E253" s="562"/>
      <c r="F253" s="567" t="s">
        <v>158</v>
      </c>
      <c r="G253" s="568" t="s">
        <v>1381</v>
      </c>
      <c r="H253" s="571" t="s">
        <v>1869</v>
      </c>
      <c r="I253" s="565" t="n">
        <v>2</v>
      </c>
      <c r="J253" s="566" t="s">
        <v>95</v>
      </c>
      <c r="K253" s="360" t="s">
        <v>1870</v>
      </c>
      <c r="L253" s="360"/>
      <c r="M253" s="360"/>
      <c r="N253" s="360"/>
      <c r="O253" s="360"/>
      <c r="P253" s="360"/>
      <c r="Q253" s="360"/>
      <c r="R253" s="360"/>
    </row>
    <row r="254" customFormat="false" ht="97.5" hidden="false" customHeight="true" outlineLevel="0" collapsed="false">
      <c r="A254" s="562" t="n">
        <v>248</v>
      </c>
      <c r="B254" s="574" t="n">
        <v>45005</v>
      </c>
      <c r="C254" s="562" t="s">
        <v>770</v>
      </c>
      <c r="D254" s="562" t="s">
        <v>772</v>
      </c>
      <c r="E254" s="562"/>
      <c r="F254" s="567" t="s">
        <v>158</v>
      </c>
      <c r="G254" s="568" t="s">
        <v>1554</v>
      </c>
      <c r="H254" s="571" t="s">
        <v>1871</v>
      </c>
      <c r="I254" s="565" t="n">
        <v>2</v>
      </c>
      <c r="J254" s="566" t="s">
        <v>95</v>
      </c>
      <c r="K254" s="360" t="s">
        <v>1872</v>
      </c>
      <c r="L254" s="360"/>
      <c r="M254" s="360"/>
      <c r="N254" s="360"/>
      <c r="O254" s="360"/>
      <c r="P254" s="360"/>
      <c r="Q254" s="360"/>
      <c r="R254" s="360"/>
    </row>
    <row r="255" customFormat="false" ht="97.5" hidden="false" customHeight="true" outlineLevel="0" collapsed="false">
      <c r="A255" s="562" t="n">
        <v>249</v>
      </c>
      <c r="B255" s="574" t="n">
        <v>45005</v>
      </c>
      <c r="C255" s="562" t="s">
        <v>691</v>
      </c>
      <c r="D255" s="562" t="s">
        <v>761</v>
      </c>
      <c r="E255" s="562"/>
      <c r="F255" s="563" t="n">
        <v>45005</v>
      </c>
      <c r="G255" s="568" t="s">
        <v>1381</v>
      </c>
      <c r="H255" s="571" t="s">
        <v>1873</v>
      </c>
      <c r="I255" s="565" t="n">
        <v>2</v>
      </c>
      <c r="J255" s="566" t="s">
        <v>95</v>
      </c>
      <c r="K255" s="360" t="s">
        <v>1874</v>
      </c>
      <c r="L255" s="360"/>
      <c r="M255" s="360"/>
      <c r="N255" s="360"/>
      <c r="O255" s="360"/>
      <c r="P255" s="360"/>
      <c r="Q255" s="360"/>
      <c r="R255" s="360"/>
    </row>
    <row r="256" customFormat="false" ht="97.5" hidden="false" customHeight="true" outlineLevel="0" collapsed="false">
      <c r="A256" s="562" t="n">
        <v>250</v>
      </c>
      <c r="B256" s="574" t="n">
        <v>45006</v>
      </c>
      <c r="C256" s="562" t="s">
        <v>770</v>
      </c>
      <c r="D256" s="562" t="s">
        <v>771</v>
      </c>
      <c r="E256" s="562"/>
      <c r="F256" s="563" t="n">
        <v>45006</v>
      </c>
      <c r="G256" s="568" t="s">
        <v>300</v>
      </c>
      <c r="H256" s="571" t="n">
        <v>0.049</v>
      </c>
      <c r="I256" s="565" t="n">
        <v>2</v>
      </c>
      <c r="J256" s="566" t="s">
        <v>95</v>
      </c>
      <c r="K256" s="360" t="s">
        <v>792</v>
      </c>
      <c r="L256" s="360"/>
      <c r="M256" s="360"/>
      <c r="N256" s="360"/>
      <c r="O256" s="360"/>
      <c r="P256" s="360"/>
      <c r="Q256" s="360"/>
      <c r="R256" s="360"/>
    </row>
    <row r="257" customFormat="false" ht="97.5" hidden="false" customHeight="true" outlineLevel="0" collapsed="false">
      <c r="A257" s="562" t="n">
        <v>251</v>
      </c>
      <c r="B257" s="574" t="n">
        <v>45006</v>
      </c>
      <c r="C257" s="562" t="s">
        <v>96</v>
      </c>
      <c r="D257" s="562" t="s">
        <v>661</v>
      </c>
      <c r="E257" s="562"/>
      <c r="F257" s="563" t="n">
        <v>45007</v>
      </c>
      <c r="G257" s="568" t="s">
        <v>1875</v>
      </c>
      <c r="H257" s="571" t="s">
        <v>1876</v>
      </c>
      <c r="I257" s="565" t="n">
        <v>10</v>
      </c>
      <c r="J257" s="566" t="s">
        <v>95</v>
      </c>
      <c r="K257" s="360" t="s">
        <v>1877</v>
      </c>
      <c r="L257" s="360"/>
      <c r="M257" s="360"/>
      <c r="N257" s="360"/>
      <c r="O257" s="360"/>
      <c r="P257" s="360"/>
      <c r="Q257" s="360"/>
      <c r="R257" s="360"/>
    </row>
    <row r="258" customFormat="false" ht="97.5" hidden="false" customHeight="true" outlineLevel="0" collapsed="false">
      <c r="A258" s="562" t="n">
        <v>252</v>
      </c>
      <c r="B258" s="574" t="n">
        <v>45006</v>
      </c>
      <c r="C258" s="562" t="s">
        <v>862</v>
      </c>
      <c r="D258" s="562" t="s">
        <v>863</v>
      </c>
      <c r="E258" s="562"/>
      <c r="F258" s="567" t="s">
        <v>158</v>
      </c>
      <c r="G258" s="568" t="s">
        <v>99</v>
      </c>
      <c r="H258" s="571" t="s">
        <v>1878</v>
      </c>
      <c r="I258" s="565" t="n">
        <v>1</v>
      </c>
      <c r="J258" s="564" t="s">
        <v>99</v>
      </c>
      <c r="K258" s="360" t="s">
        <v>1879</v>
      </c>
      <c r="L258" s="360"/>
      <c r="M258" s="360"/>
      <c r="N258" s="360"/>
      <c r="O258" s="360"/>
      <c r="P258" s="360"/>
      <c r="Q258" s="360"/>
      <c r="R258" s="360"/>
    </row>
    <row r="259" customFormat="false" ht="97.5" hidden="false" customHeight="true" outlineLevel="0" collapsed="false">
      <c r="A259" s="562" t="n">
        <v>253</v>
      </c>
      <c r="B259" s="574" t="n">
        <v>45007</v>
      </c>
      <c r="C259" s="562" t="s">
        <v>96</v>
      </c>
      <c r="D259" s="562" t="s">
        <v>661</v>
      </c>
      <c r="E259" s="562"/>
      <c r="F259" s="563" t="n">
        <v>45007</v>
      </c>
      <c r="G259" s="568" t="s">
        <v>1875</v>
      </c>
      <c r="H259" s="571" t="s">
        <v>1876</v>
      </c>
      <c r="I259" s="565" t="n">
        <v>10</v>
      </c>
      <c r="J259" s="566" t="s">
        <v>95</v>
      </c>
      <c r="K259" s="360" t="s">
        <v>1880</v>
      </c>
      <c r="L259" s="360"/>
      <c r="M259" s="360"/>
      <c r="N259" s="360"/>
      <c r="O259" s="360"/>
      <c r="P259" s="360"/>
      <c r="Q259" s="360"/>
      <c r="R259" s="360"/>
    </row>
    <row r="260" customFormat="false" ht="97.5" hidden="false" customHeight="true" outlineLevel="0" collapsed="false">
      <c r="A260" s="562" t="n">
        <v>254</v>
      </c>
      <c r="B260" s="574" t="n">
        <v>45012</v>
      </c>
      <c r="C260" s="562" t="s">
        <v>96</v>
      </c>
      <c r="D260" s="562" t="s">
        <v>759</v>
      </c>
      <c r="E260" s="562"/>
      <c r="F260" s="567" t="s">
        <v>158</v>
      </c>
      <c r="G260" s="568" t="s">
        <v>1375</v>
      </c>
      <c r="H260" s="571" t="s">
        <v>1881</v>
      </c>
      <c r="I260" s="565" t="n">
        <v>3.5</v>
      </c>
      <c r="J260" s="566" t="s">
        <v>95</v>
      </c>
      <c r="K260" s="360" t="s">
        <v>1882</v>
      </c>
      <c r="L260" s="360"/>
      <c r="M260" s="360"/>
      <c r="N260" s="360"/>
      <c r="O260" s="360"/>
      <c r="P260" s="360"/>
      <c r="Q260" s="360"/>
      <c r="R260" s="360"/>
    </row>
    <row r="261" customFormat="false" ht="97.5" hidden="false" customHeight="true" outlineLevel="0" collapsed="false">
      <c r="A261" s="562" t="n">
        <v>255</v>
      </c>
      <c r="B261" s="574" t="n">
        <v>45014</v>
      </c>
      <c r="C261" s="562" t="s">
        <v>96</v>
      </c>
      <c r="D261" s="562" t="s">
        <v>759</v>
      </c>
      <c r="E261" s="562"/>
      <c r="F261" s="567" t="s">
        <v>158</v>
      </c>
      <c r="G261" s="568" t="s">
        <v>1760</v>
      </c>
      <c r="H261" s="571" t="s">
        <v>1883</v>
      </c>
      <c r="I261" s="565" t="n">
        <v>8</v>
      </c>
      <c r="J261" s="566" t="s">
        <v>95</v>
      </c>
      <c r="K261" s="360" t="s">
        <v>1884</v>
      </c>
      <c r="L261" s="360"/>
      <c r="M261" s="360"/>
      <c r="N261" s="360"/>
      <c r="O261" s="360"/>
      <c r="P261" s="360"/>
      <c r="Q261" s="360"/>
      <c r="R261" s="360"/>
    </row>
    <row r="262" customFormat="false" ht="97.5" hidden="false" customHeight="true" outlineLevel="0" collapsed="false">
      <c r="A262" s="562" t="n">
        <v>256</v>
      </c>
      <c r="B262" s="574" t="n">
        <v>45016</v>
      </c>
      <c r="C262" s="562" t="s">
        <v>103</v>
      </c>
      <c r="D262" s="562" t="s">
        <v>1230</v>
      </c>
      <c r="E262" s="562"/>
      <c r="F262" s="567" t="s">
        <v>158</v>
      </c>
      <c r="G262" s="568" t="s">
        <v>1375</v>
      </c>
      <c r="H262" s="571" t="s">
        <v>1885</v>
      </c>
      <c r="I262" s="565" t="n">
        <v>3.5</v>
      </c>
      <c r="J262" s="566" t="s">
        <v>95</v>
      </c>
      <c r="K262" s="360" t="s">
        <v>1886</v>
      </c>
      <c r="L262" s="360"/>
      <c r="M262" s="360"/>
      <c r="N262" s="360"/>
      <c r="O262" s="360"/>
      <c r="P262" s="360"/>
      <c r="Q262" s="360"/>
      <c r="R262" s="360"/>
    </row>
    <row r="263" customFormat="false" ht="97.5" hidden="false" customHeight="true" outlineLevel="0" collapsed="false">
      <c r="A263" s="562" t="n">
        <v>257</v>
      </c>
      <c r="B263" s="574" t="n">
        <v>45026</v>
      </c>
      <c r="C263" s="562" t="s">
        <v>691</v>
      </c>
      <c r="D263" s="562" t="s">
        <v>761</v>
      </c>
      <c r="E263" s="562"/>
      <c r="F263" s="563" t="n">
        <v>45026</v>
      </c>
      <c r="G263" s="568" t="s">
        <v>1381</v>
      </c>
      <c r="H263" s="571" t="s">
        <v>1887</v>
      </c>
      <c r="I263" s="565" t="n">
        <v>1.5</v>
      </c>
      <c r="J263" s="566" t="s">
        <v>95</v>
      </c>
      <c r="K263" s="360" t="s">
        <v>1888</v>
      </c>
      <c r="L263" s="360"/>
      <c r="M263" s="360"/>
      <c r="N263" s="360"/>
      <c r="O263" s="360"/>
      <c r="P263" s="360"/>
      <c r="Q263" s="360"/>
      <c r="R263" s="360"/>
    </row>
    <row r="264" customFormat="false" ht="97.5" hidden="false" customHeight="true" outlineLevel="0" collapsed="false">
      <c r="A264" s="562" t="n">
        <v>258</v>
      </c>
      <c r="B264" s="574" t="n">
        <v>45026</v>
      </c>
      <c r="C264" s="562" t="s">
        <v>209</v>
      </c>
      <c r="D264" s="562" t="s">
        <v>735</v>
      </c>
      <c r="E264" s="562"/>
      <c r="F264" s="563" t="n">
        <v>45026</v>
      </c>
      <c r="G264" s="568" t="s">
        <v>303</v>
      </c>
      <c r="H264" s="571" t="n">
        <v>0.045</v>
      </c>
      <c r="I264" s="565" t="n">
        <v>4</v>
      </c>
      <c r="J264" s="566" t="s">
        <v>95</v>
      </c>
      <c r="K264" s="360" t="s">
        <v>1889</v>
      </c>
      <c r="L264" s="360"/>
      <c r="M264" s="360"/>
      <c r="N264" s="360"/>
      <c r="O264" s="360"/>
      <c r="P264" s="360"/>
      <c r="Q264" s="360"/>
      <c r="R264" s="360"/>
    </row>
    <row r="265" customFormat="false" ht="97.5" hidden="false" customHeight="true" outlineLevel="0" collapsed="false">
      <c r="A265" s="562" t="n">
        <v>259</v>
      </c>
      <c r="B265" s="574" t="n">
        <v>45026</v>
      </c>
      <c r="C265" s="562" t="s">
        <v>707</v>
      </c>
      <c r="D265" s="562" t="s">
        <v>726</v>
      </c>
      <c r="E265" s="562"/>
      <c r="F265" s="567" t="s">
        <v>158</v>
      </c>
      <c r="G265" s="568" t="s">
        <v>1570</v>
      </c>
      <c r="H265" s="571" t="s">
        <v>1890</v>
      </c>
      <c r="I265" s="565" t="n">
        <v>4</v>
      </c>
      <c r="J265" s="566" t="s">
        <v>95</v>
      </c>
      <c r="K265" s="360" t="s">
        <v>1891</v>
      </c>
      <c r="L265" s="360"/>
      <c r="M265" s="360"/>
      <c r="N265" s="360"/>
      <c r="O265" s="360"/>
      <c r="P265" s="360"/>
      <c r="Q265" s="360"/>
      <c r="R265" s="360"/>
    </row>
    <row r="266" customFormat="false" ht="97.5" hidden="false" customHeight="true" outlineLevel="0" collapsed="false">
      <c r="A266" s="562" t="n">
        <v>260</v>
      </c>
      <c r="B266" s="574" t="n">
        <v>45028</v>
      </c>
      <c r="C266" s="562" t="s">
        <v>96</v>
      </c>
      <c r="D266" s="562" t="s">
        <v>661</v>
      </c>
      <c r="E266" s="562"/>
      <c r="F266" s="563" t="n">
        <v>45033</v>
      </c>
      <c r="G266" s="568" t="s">
        <v>1394</v>
      </c>
      <c r="H266" s="571" t="s">
        <v>1892</v>
      </c>
      <c r="I266" s="565" t="n">
        <v>10</v>
      </c>
      <c r="J266" s="566" t="s">
        <v>95</v>
      </c>
      <c r="K266" s="360" t="s">
        <v>1893</v>
      </c>
      <c r="L266" s="360"/>
      <c r="M266" s="360"/>
      <c r="N266" s="360"/>
      <c r="O266" s="360"/>
      <c r="P266" s="360"/>
      <c r="Q266" s="360"/>
      <c r="R266" s="360"/>
    </row>
    <row r="267" customFormat="false" ht="97.5" hidden="false" customHeight="true" outlineLevel="0" collapsed="false">
      <c r="A267" s="562" t="n">
        <v>261</v>
      </c>
      <c r="B267" s="574" t="n">
        <v>45030</v>
      </c>
      <c r="C267" s="562" t="s">
        <v>96</v>
      </c>
      <c r="D267" s="562" t="s">
        <v>661</v>
      </c>
      <c r="E267" s="562"/>
      <c r="F267" s="563" t="n">
        <v>45033</v>
      </c>
      <c r="G267" s="568" t="s">
        <v>1394</v>
      </c>
      <c r="H267" s="571" t="s">
        <v>1892</v>
      </c>
      <c r="I267" s="565" t="n">
        <v>10</v>
      </c>
      <c r="J267" s="566" t="s">
        <v>95</v>
      </c>
      <c r="K267" s="360" t="s">
        <v>1894</v>
      </c>
      <c r="L267" s="360"/>
      <c r="M267" s="360"/>
      <c r="N267" s="360"/>
      <c r="O267" s="360"/>
      <c r="P267" s="360"/>
      <c r="Q267" s="360"/>
      <c r="R267" s="360"/>
    </row>
    <row r="268" customFormat="false" ht="97.5" hidden="false" customHeight="true" outlineLevel="0" collapsed="false">
      <c r="A268" s="562" t="n">
        <v>262</v>
      </c>
      <c r="B268" s="574" t="n">
        <v>45033</v>
      </c>
      <c r="C268" s="562" t="s">
        <v>616</v>
      </c>
      <c r="D268" s="562" t="s">
        <v>799</v>
      </c>
      <c r="E268" s="562"/>
      <c r="F268" s="563" t="n">
        <v>45033</v>
      </c>
      <c r="G268" s="568" t="s">
        <v>1570</v>
      </c>
      <c r="H268" s="571" t="s">
        <v>1895</v>
      </c>
      <c r="I268" s="565" t="n">
        <v>2.8</v>
      </c>
      <c r="J268" s="566" t="s">
        <v>95</v>
      </c>
      <c r="K268" s="360" t="s">
        <v>1896</v>
      </c>
      <c r="L268" s="360"/>
      <c r="M268" s="360"/>
      <c r="N268" s="360"/>
      <c r="O268" s="360"/>
      <c r="P268" s="360"/>
      <c r="Q268" s="360"/>
      <c r="R268" s="360"/>
    </row>
    <row r="269" customFormat="false" ht="97.5" hidden="false" customHeight="true" outlineLevel="0" collapsed="false">
      <c r="A269" s="562" t="n">
        <v>263</v>
      </c>
      <c r="B269" s="574" t="n">
        <v>45034</v>
      </c>
      <c r="C269" s="562" t="s">
        <v>597</v>
      </c>
      <c r="D269" s="562" t="s">
        <v>634</v>
      </c>
      <c r="E269" s="562"/>
      <c r="F269" s="567" t="s">
        <v>158</v>
      </c>
      <c r="G269" s="568" t="s">
        <v>1554</v>
      </c>
      <c r="H269" s="571" t="s">
        <v>1897</v>
      </c>
      <c r="I269" s="565" t="n">
        <v>50</v>
      </c>
      <c r="J269" s="566" t="s">
        <v>95</v>
      </c>
      <c r="K269" s="360" t="s">
        <v>1898</v>
      </c>
      <c r="L269" s="360"/>
      <c r="M269" s="360"/>
      <c r="N269" s="360"/>
      <c r="O269" s="360"/>
      <c r="P269" s="360"/>
      <c r="Q269" s="360"/>
      <c r="R269" s="360"/>
    </row>
    <row r="270" customFormat="false" ht="97.5" hidden="false" customHeight="true" outlineLevel="0" collapsed="false">
      <c r="A270" s="562" t="n">
        <v>264</v>
      </c>
      <c r="B270" s="574" t="n">
        <v>45034</v>
      </c>
      <c r="C270" s="562" t="s">
        <v>597</v>
      </c>
      <c r="D270" s="562" t="s">
        <v>634</v>
      </c>
      <c r="E270" s="562"/>
      <c r="F270" s="567" t="s">
        <v>158</v>
      </c>
      <c r="G270" s="568" t="s">
        <v>1447</v>
      </c>
      <c r="H270" s="571" t="s">
        <v>1899</v>
      </c>
      <c r="I270" s="565" t="n">
        <v>50</v>
      </c>
      <c r="J270" s="566" t="s">
        <v>95</v>
      </c>
      <c r="K270" s="360" t="s">
        <v>1900</v>
      </c>
      <c r="L270" s="360"/>
      <c r="M270" s="360"/>
      <c r="N270" s="360"/>
      <c r="O270" s="360"/>
      <c r="P270" s="360"/>
      <c r="Q270" s="360"/>
      <c r="R270" s="360"/>
    </row>
    <row r="271" customFormat="false" ht="97.5" hidden="false" customHeight="true" outlineLevel="0" collapsed="false">
      <c r="A271" s="562" t="n">
        <v>265</v>
      </c>
      <c r="B271" s="574" t="n">
        <v>45036</v>
      </c>
      <c r="C271" s="562" t="s">
        <v>691</v>
      </c>
      <c r="D271" s="562" t="s">
        <v>761</v>
      </c>
      <c r="E271" s="562"/>
      <c r="F271" s="563" t="n">
        <v>45036</v>
      </c>
      <c r="G271" s="568" t="s">
        <v>1381</v>
      </c>
      <c r="H271" s="571" t="s">
        <v>1901</v>
      </c>
      <c r="I271" s="565" t="n">
        <v>1.2</v>
      </c>
      <c r="J271" s="566" t="s">
        <v>95</v>
      </c>
      <c r="K271" s="360" t="s">
        <v>1902</v>
      </c>
      <c r="L271" s="360"/>
      <c r="M271" s="360"/>
      <c r="N271" s="360"/>
      <c r="O271" s="360"/>
      <c r="P271" s="360"/>
      <c r="Q271" s="360"/>
      <c r="R271" s="360"/>
    </row>
    <row r="272" customFormat="false" ht="97.5" hidden="false" customHeight="true" outlineLevel="0" collapsed="false">
      <c r="A272" s="562" t="n">
        <v>266</v>
      </c>
      <c r="B272" s="574" t="n">
        <v>45040</v>
      </c>
      <c r="C272" s="562" t="s">
        <v>100</v>
      </c>
      <c r="D272" s="562" t="s">
        <v>625</v>
      </c>
      <c r="E272" s="562" t="s">
        <v>1903</v>
      </c>
      <c r="F272" s="563" t="n">
        <v>45040</v>
      </c>
      <c r="G272" s="568" t="s">
        <v>303</v>
      </c>
      <c r="H272" s="571" t="n">
        <v>0.047</v>
      </c>
      <c r="I272" s="565" t="n">
        <v>20</v>
      </c>
      <c r="J272" s="566" t="s">
        <v>95</v>
      </c>
      <c r="K272" s="360" t="s">
        <v>1904</v>
      </c>
      <c r="L272" s="360"/>
      <c r="M272" s="360"/>
      <c r="N272" s="360"/>
      <c r="O272" s="360"/>
      <c r="P272" s="360"/>
      <c r="Q272" s="360"/>
      <c r="R272" s="360"/>
    </row>
    <row r="273" customFormat="false" ht="97.5" hidden="false" customHeight="true" outlineLevel="0" collapsed="false">
      <c r="A273" s="562" t="n">
        <v>267</v>
      </c>
      <c r="B273" s="574" t="n">
        <v>45040</v>
      </c>
      <c r="C273" s="562" t="s">
        <v>100</v>
      </c>
      <c r="D273" s="562" t="s">
        <v>625</v>
      </c>
      <c r="E273" s="562" t="s">
        <v>619</v>
      </c>
      <c r="F273" s="563" t="n">
        <v>45040</v>
      </c>
      <c r="G273" s="568" t="s">
        <v>303</v>
      </c>
      <c r="H273" s="571" t="n">
        <v>0.045</v>
      </c>
      <c r="I273" s="565" t="n">
        <v>6</v>
      </c>
      <c r="J273" s="566" t="s">
        <v>95</v>
      </c>
      <c r="K273" s="360" t="s">
        <v>1905</v>
      </c>
      <c r="L273" s="360"/>
      <c r="M273" s="360"/>
      <c r="N273" s="360"/>
      <c r="O273" s="360"/>
      <c r="P273" s="360"/>
      <c r="Q273" s="360"/>
      <c r="R273" s="360"/>
    </row>
    <row r="274" customFormat="false" ht="97.5" hidden="false" customHeight="true" outlineLevel="0" collapsed="false">
      <c r="A274" s="562" t="n">
        <v>268</v>
      </c>
      <c r="B274" s="574" t="n">
        <v>45041</v>
      </c>
      <c r="C274" s="562" t="s">
        <v>96</v>
      </c>
      <c r="D274" s="562" t="s">
        <v>767</v>
      </c>
      <c r="E274" s="562"/>
      <c r="F274" s="567" t="s">
        <v>158</v>
      </c>
      <c r="G274" s="568" t="s">
        <v>1760</v>
      </c>
      <c r="H274" s="571" t="s">
        <v>1906</v>
      </c>
      <c r="I274" s="565" t="n">
        <v>8</v>
      </c>
      <c r="J274" s="566" t="s">
        <v>95</v>
      </c>
      <c r="K274" s="360" t="s">
        <v>1907</v>
      </c>
      <c r="L274" s="360"/>
      <c r="M274" s="360"/>
      <c r="N274" s="360"/>
      <c r="O274" s="360"/>
      <c r="P274" s="360"/>
      <c r="Q274" s="360"/>
      <c r="R274" s="360"/>
    </row>
    <row r="275" customFormat="false" ht="97.5" hidden="false" customHeight="true" outlineLevel="0" collapsed="false">
      <c r="A275" s="562" t="n">
        <v>269</v>
      </c>
      <c r="B275" s="574" t="n">
        <v>45044</v>
      </c>
      <c r="C275" s="562" t="s">
        <v>96</v>
      </c>
      <c r="D275" s="562" t="s">
        <v>759</v>
      </c>
      <c r="E275" s="562"/>
      <c r="F275" s="563" t="n">
        <v>45048</v>
      </c>
      <c r="G275" s="568" t="s">
        <v>300</v>
      </c>
      <c r="H275" s="571" t="n">
        <v>0.049</v>
      </c>
      <c r="I275" s="565" t="n">
        <v>3.9</v>
      </c>
      <c r="J275" s="566" t="s">
        <v>95</v>
      </c>
      <c r="K275" s="360" t="s">
        <v>1908</v>
      </c>
      <c r="L275" s="360"/>
      <c r="M275" s="360"/>
      <c r="N275" s="360"/>
      <c r="O275" s="360"/>
      <c r="P275" s="360"/>
      <c r="Q275" s="360"/>
      <c r="R275" s="360"/>
    </row>
    <row r="276" customFormat="false" ht="97.5" hidden="false" customHeight="true" outlineLevel="0" collapsed="false">
      <c r="A276" s="562" t="n">
        <v>270</v>
      </c>
      <c r="B276" s="574" t="n">
        <v>45044</v>
      </c>
      <c r="C276" s="562" t="s">
        <v>96</v>
      </c>
      <c r="D276" s="562" t="s">
        <v>759</v>
      </c>
      <c r="E276" s="562"/>
      <c r="F276" s="563" t="n">
        <v>45048</v>
      </c>
      <c r="G276" s="568" t="s">
        <v>337</v>
      </c>
      <c r="H276" s="571" t="n">
        <v>0.0495</v>
      </c>
      <c r="I276" s="565" t="n">
        <v>3.9</v>
      </c>
      <c r="J276" s="566" t="s">
        <v>95</v>
      </c>
      <c r="K276" s="360" t="s">
        <v>1909</v>
      </c>
      <c r="L276" s="360"/>
      <c r="M276" s="360"/>
      <c r="N276" s="360"/>
      <c r="O276" s="360"/>
      <c r="P276" s="360"/>
      <c r="Q276" s="360"/>
      <c r="R276" s="360"/>
    </row>
    <row r="277" customFormat="false" ht="97.5" hidden="false" customHeight="true" outlineLevel="0" collapsed="false">
      <c r="A277" s="562" t="n">
        <v>271</v>
      </c>
      <c r="B277" s="574" t="n">
        <v>45049</v>
      </c>
      <c r="C277" s="562" t="s">
        <v>616</v>
      </c>
      <c r="D277" s="562" t="s">
        <v>611</v>
      </c>
      <c r="E277" s="562"/>
      <c r="F277" s="563" t="n">
        <v>45049</v>
      </c>
      <c r="G277" s="568" t="s">
        <v>300</v>
      </c>
      <c r="H277" s="571" t="n">
        <v>0.049</v>
      </c>
      <c r="I277" s="565" t="n">
        <v>1.2</v>
      </c>
      <c r="J277" s="566" t="s">
        <v>95</v>
      </c>
      <c r="K277" s="360" t="s">
        <v>1910</v>
      </c>
      <c r="L277" s="360"/>
      <c r="M277" s="360"/>
      <c r="N277" s="360"/>
      <c r="O277" s="360"/>
      <c r="P277" s="360"/>
      <c r="Q277" s="360"/>
      <c r="R277" s="360"/>
    </row>
    <row r="278" customFormat="false" ht="97.5" hidden="false" customHeight="true" outlineLevel="0" collapsed="false">
      <c r="A278" s="562" t="n">
        <v>272</v>
      </c>
      <c r="B278" s="574" t="n">
        <v>45054</v>
      </c>
      <c r="C278" s="562" t="s">
        <v>96</v>
      </c>
      <c r="D278" s="562" t="s">
        <v>759</v>
      </c>
      <c r="E278" s="562"/>
      <c r="F278" s="567" t="s">
        <v>158</v>
      </c>
      <c r="G278" s="568" t="s">
        <v>1447</v>
      </c>
      <c r="H278" s="571" t="s">
        <v>1911</v>
      </c>
      <c r="I278" s="565" t="n">
        <v>3.9</v>
      </c>
      <c r="J278" s="566" t="s">
        <v>95</v>
      </c>
      <c r="K278" s="360" t="s">
        <v>1912</v>
      </c>
      <c r="L278" s="360"/>
      <c r="M278" s="360"/>
      <c r="N278" s="360"/>
      <c r="O278" s="360"/>
      <c r="P278" s="360"/>
      <c r="Q278" s="360"/>
      <c r="R278" s="360"/>
    </row>
    <row r="279" customFormat="false" ht="39.75" hidden="false" customHeight="true" outlineLevel="0" collapsed="false">
      <c r="A279" s="562" t="n">
        <v>273</v>
      </c>
      <c r="B279" s="574" t="n">
        <v>45055</v>
      </c>
      <c r="C279" s="562" t="s">
        <v>96</v>
      </c>
      <c r="D279" s="562" t="s">
        <v>759</v>
      </c>
      <c r="E279" s="562"/>
      <c r="F279" s="567" t="s">
        <v>158</v>
      </c>
      <c r="G279" s="568" t="s">
        <v>1447</v>
      </c>
      <c r="H279" s="571" t="s">
        <v>1913</v>
      </c>
      <c r="I279" s="565" t="n">
        <v>3.9</v>
      </c>
      <c r="J279" s="566" t="s">
        <v>95</v>
      </c>
      <c r="K279" s="360" t="s">
        <v>1914</v>
      </c>
      <c r="L279" s="360"/>
      <c r="M279" s="360"/>
      <c r="N279" s="360"/>
      <c r="O279" s="360"/>
      <c r="P279" s="360"/>
      <c r="Q279" s="360"/>
      <c r="R279" s="360"/>
    </row>
    <row r="280" customFormat="false" ht="39.75" hidden="false" customHeight="true" outlineLevel="0" collapsed="false">
      <c r="A280" s="562" t="n">
        <v>274</v>
      </c>
      <c r="B280" s="574" t="n">
        <v>45055</v>
      </c>
      <c r="C280" s="562" t="s">
        <v>96</v>
      </c>
      <c r="D280" s="562" t="s">
        <v>753</v>
      </c>
      <c r="E280" s="562"/>
      <c r="F280" s="567" t="s">
        <v>158</v>
      </c>
      <c r="G280" s="568" t="s">
        <v>1447</v>
      </c>
      <c r="H280" s="571" t="s">
        <v>1913</v>
      </c>
      <c r="I280" s="565" t="s">
        <v>1551</v>
      </c>
      <c r="J280" s="566" t="s">
        <v>95</v>
      </c>
      <c r="K280" s="360" t="s">
        <v>1914</v>
      </c>
      <c r="L280" s="360"/>
      <c r="M280" s="360"/>
      <c r="N280" s="360"/>
      <c r="O280" s="360"/>
      <c r="P280" s="360"/>
      <c r="Q280" s="360"/>
      <c r="R280" s="360"/>
    </row>
    <row r="281" customFormat="false" ht="39.75" hidden="false" customHeight="true" outlineLevel="0" collapsed="false">
      <c r="A281" s="562" t="n">
        <v>275</v>
      </c>
      <c r="B281" s="574" t="n">
        <v>45056</v>
      </c>
      <c r="C281" s="562" t="s">
        <v>96</v>
      </c>
      <c r="D281" s="562" t="s">
        <v>753</v>
      </c>
      <c r="E281" s="562"/>
      <c r="F281" s="563" t="n">
        <v>45056</v>
      </c>
      <c r="G281" s="568" t="s">
        <v>300</v>
      </c>
      <c r="H281" s="571" t="n">
        <v>0.0493</v>
      </c>
      <c r="I281" s="565" t="s">
        <v>1551</v>
      </c>
      <c r="J281" s="566" t="s">
        <v>95</v>
      </c>
      <c r="K281" s="360" t="s">
        <v>1915</v>
      </c>
      <c r="L281" s="360"/>
      <c r="M281" s="360"/>
      <c r="N281" s="360"/>
      <c r="O281" s="360"/>
      <c r="P281" s="360"/>
      <c r="Q281" s="360"/>
      <c r="R281" s="360"/>
    </row>
    <row r="282" customFormat="false" ht="39.75" hidden="false" customHeight="true" outlineLevel="0" collapsed="false">
      <c r="A282" s="562" t="n">
        <v>276</v>
      </c>
      <c r="B282" s="574" t="n">
        <v>45056</v>
      </c>
      <c r="C282" s="562" t="s">
        <v>209</v>
      </c>
      <c r="D282" s="562" t="s">
        <v>735</v>
      </c>
      <c r="E282" s="562"/>
      <c r="F282" s="563" t="n">
        <v>45056</v>
      </c>
      <c r="G282" s="563" t="s">
        <v>303</v>
      </c>
      <c r="H282" s="564" t="n">
        <v>0.0475</v>
      </c>
      <c r="I282" s="565" t="n">
        <v>4</v>
      </c>
      <c r="J282" s="575" t="s">
        <v>95</v>
      </c>
      <c r="K282" s="360" t="s">
        <v>1916</v>
      </c>
      <c r="L282" s="360"/>
      <c r="M282" s="360"/>
      <c r="N282" s="360"/>
      <c r="O282" s="360"/>
      <c r="P282" s="360"/>
      <c r="Q282" s="360"/>
      <c r="R282" s="360"/>
    </row>
    <row r="283" customFormat="false" ht="97.5" hidden="false" customHeight="true" outlineLevel="0" collapsed="false">
      <c r="A283" s="562" t="n">
        <v>277</v>
      </c>
      <c r="B283" s="574" t="n">
        <v>45056</v>
      </c>
      <c r="C283" s="562" t="s">
        <v>597</v>
      </c>
      <c r="D283" s="562" t="s">
        <v>634</v>
      </c>
      <c r="E283" s="562"/>
      <c r="F283" s="573" t="s">
        <v>1917</v>
      </c>
      <c r="G283" s="568" t="s">
        <v>1603</v>
      </c>
      <c r="H283" s="571" t="s">
        <v>1918</v>
      </c>
      <c r="I283" s="565" t="n">
        <v>50</v>
      </c>
      <c r="J283" s="566" t="s">
        <v>95</v>
      </c>
      <c r="K283" s="360" t="s">
        <v>1919</v>
      </c>
      <c r="L283" s="360"/>
      <c r="M283" s="360"/>
      <c r="N283" s="360"/>
      <c r="O283" s="360"/>
      <c r="P283" s="360"/>
      <c r="Q283" s="360"/>
      <c r="R283" s="360"/>
    </row>
    <row r="284" customFormat="false" ht="39.75" hidden="false" customHeight="true" outlineLevel="0" collapsed="false">
      <c r="A284" s="562" t="n">
        <v>278</v>
      </c>
      <c r="B284" s="574" t="n">
        <v>45064</v>
      </c>
      <c r="C284" s="562" t="s">
        <v>103</v>
      </c>
      <c r="D284" s="562" t="s">
        <v>900</v>
      </c>
      <c r="E284" s="562"/>
      <c r="F284" s="567" t="s">
        <v>158</v>
      </c>
      <c r="G284" s="568" t="s">
        <v>1591</v>
      </c>
      <c r="H284" s="571" t="s">
        <v>1920</v>
      </c>
      <c r="I284" s="565" t="n">
        <v>3.9</v>
      </c>
      <c r="J284" s="566" t="s">
        <v>95</v>
      </c>
      <c r="K284" s="360" t="s">
        <v>1921</v>
      </c>
      <c r="L284" s="360"/>
      <c r="M284" s="360"/>
      <c r="N284" s="360"/>
      <c r="O284" s="360"/>
      <c r="P284" s="360"/>
      <c r="Q284" s="360"/>
      <c r="R284" s="360"/>
    </row>
    <row r="285" customFormat="false" ht="97.5" hidden="false" customHeight="true" outlineLevel="0" collapsed="false">
      <c r="A285" s="562" t="n">
        <v>279</v>
      </c>
      <c r="B285" s="574" t="n">
        <v>45064</v>
      </c>
      <c r="C285" s="562" t="s">
        <v>597</v>
      </c>
      <c r="D285" s="562" t="s">
        <v>634</v>
      </c>
      <c r="E285" s="562"/>
      <c r="F285" s="568" t="n">
        <v>45069</v>
      </c>
      <c r="G285" s="568" t="s">
        <v>300</v>
      </c>
      <c r="H285" s="571" t="n">
        <v>0.0517</v>
      </c>
      <c r="I285" s="565" t="n">
        <v>25</v>
      </c>
      <c r="J285" s="566" t="s">
        <v>95</v>
      </c>
      <c r="K285" s="360" t="s">
        <v>1922</v>
      </c>
      <c r="L285" s="360"/>
      <c r="M285" s="360"/>
      <c r="N285" s="360"/>
      <c r="O285" s="360"/>
      <c r="P285" s="360"/>
      <c r="Q285" s="360"/>
      <c r="R285" s="360"/>
    </row>
    <row r="286" customFormat="false" ht="97.5" hidden="false" customHeight="true" outlineLevel="0" collapsed="false">
      <c r="A286" s="562" t="n">
        <v>280</v>
      </c>
      <c r="B286" s="574" t="n">
        <v>45068</v>
      </c>
      <c r="C286" s="562" t="s">
        <v>691</v>
      </c>
      <c r="D286" s="562" t="s">
        <v>761</v>
      </c>
      <c r="E286" s="562"/>
      <c r="F286" s="563" t="n">
        <v>45068</v>
      </c>
      <c r="G286" s="568" t="s">
        <v>1381</v>
      </c>
      <c r="H286" s="571" t="s">
        <v>1923</v>
      </c>
      <c r="I286" s="565" t="n">
        <v>1.2</v>
      </c>
      <c r="J286" s="566" t="s">
        <v>95</v>
      </c>
      <c r="K286" s="360" t="s">
        <v>1924</v>
      </c>
      <c r="L286" s="360"/>
      <c r="M286" s="360"/>
      <c r="N286" s="360"/>
      <c r="O286" s="360"/>
      <c r="P286" s="360"/>
      <c r="Q286" s="360"/>
      <c r="R286" s="360"/>
    </row>
    <row r="287" customFormat="false" ht="97.5" hidden="false" customHeight="true" outlineLevel="0" collapsed="false">
      <c r="A287" s="562" t="n">
        <v>281</v>
      </c>
      <c r="B287" s="574" t="n">
        <v>45072</v>
      </c>
      <c r="C287" s="562" t="s">
        <v>96</v>
      </c>
      <c r="D287" s="562" t="s">
        <v>682</v>
      </c>
      <c r="E287" s="562"/>
      <c r="F287" s="573" t="s">
        <v>1925</v>
      </c>
      <c r="G287" s="568" t="s">
        <v>1394</v>
      </c>
      <c r="H287" s="571" t="s">
        <v>1926</v>
      </c>
      <c r="I287" s="565" t="n">
        <v>3.9</v>
      </c>
      <c r="J287" s="566" t="s">
        <v>95</v>
      </c>
      <c r="K287" s="360" t="s">
        <v>1927</v>
      </c>
      <c r="L287" s="360"/>
      <c r="M287" s="360"/>
      <c r="N287" s="360"/>
      <c r="O287" s="360"/>
      <c r="P287" s="360"/>
      <c r="Q287" s="360"/>
      <c r="R287" s="360"/>
    </row>
    <row r="288" customFormat="false" ht="39.75" hidden="false" customHeight="true" outlineLevel="0" collapsed="false">
      <c r="A288" s="562" t="n">
        <v>282</v>
      </c>
      <c r="B288" s="574" t="n">
        <v>45077</v>
      </c>
      <c r="C288" s="562" t="s">
        <v>89</v>
      </c>
      <c r="D288" s="562" t="s">
        <v>665</v>
      </c>
      <c r="E288" s="562"/>
      <c r="F288" s="567" t="s">
        <v>158</v>
      </c>
      <c r="G288" s="568" t="s">
        <v>1716</v>
      </c>
      <c r="H288" s="571" t="s">
        <v>1928</v>
      </c>
      <c r="I288" s="565" t="n">
        <v>1</v>
      </c>
      <c r="J288" s="575"/>
      <c r="K288" s="360" t="s">
        <v>1929</v>
      </c>
      <c r="L288" s="360"/>
      <c r="M288" s="360"/>
      <c r="N288" s="360"/>
      <c r="O288" s="360"/>
      <c r="P288" s="360"/>
      <c r="Q288" s="360"/>
      <c r="R288" s="360"/>
    </row>
    <row r="289" customFormat="false" ht="39.75" hidden="false" customHeight="true" outlineLevel="0" collapsed="false">
      <c r="A289" s="562" t="n">
        <v>283</v>
      </c>
      <c r="B289" s="574" t="n">
        <v>45079</v>
      </c>
      <c r="C289" s="562" t="s">
        <v>862</v>
      </c>
      <c r="D289" s="562" t="s">
        <v>863</v>
      </c>
      <c r="E289" s="562"/>
      <c r="F289" s="567" t="s">
        <v>158</v>
      </c>
      <c r="G289" s="563" t="s">
        <v>99</v>
      </c>
      <c r="H289" s="564" t="n">
        <v>0.041</v>
      </c>
      <c r="I289" s="579" t="s">
        <v>158</v>
      </c>
      <c r="J289" s="575"/>
      <c r="K289" s="361" t="s">
        <v>1930</v>
      </c>
      <c r="L289" s="361"/>
      <c r="M289" s="361"/>
      <c r="N289" s="361"/>
      <c r="O289" s="361"/>
      <c r="P289" s="361"/>
      <c r="Q289" s="361"/>
      <c r="R289" s="361"/>
    </row>
    <row r="290" customFormat="false" ht="39.75" hidden="false" customHeight="true" outlineLevel="0" collapsed="false">
      <c r="A290" s="562" t="n">
        <v>284</v>
      </c>
      <c r="B290" s="574" t="n">
        <v>45079</v>
      </c>
      <c r="C290" s="562" t="s">
        <v>89</v>
      </c>
      <c r="D290" s="562" t="s">
        <v>805</v>
      </c>
      <c r="E290" s="562"/>
      <c r="F290" s="567" t="s">
        <v>158</v>
      </c>
      <c r="G290" s="563" t="s">
        <v>300</v>
      </c>
      <c r="H290" s="564" t="n">
        <v>0.051</v>
      </c>
      <c r="I290" s="565" t="n">
        <v>1</v>
      </c>
      <c r="J290" s="575"/>
      <c r="K290" s="360" t="s">
        <v>1931</v>
      </c>
      <c r="L290" s="360"/>
      <c r="M290" s="360"/>
      <c r="N290" s="360"/>
      <c r="O290" s="360"/>
      <c r="P290" s="360"/>
      <c r="Q290" s="360"/>
      <c r="R290" s="360"/>
    </row>
    <row r="291" customFormat="false" ht="39.75" hidden="false" customHeight="true" outlineLevel="0" collapsed="false">
      <c r="A291" s="562" t="n">
        <v>285</v>
      </c>
      <c r="B291" s="574" t="n">
        <v>45086</v>
      </c>
      <c r="C291" s="562" t="s">
        <v>209</v>
      </c>
      <c r="D291" s="562" t="s">
        <v>735</v>
      </c>
      <c r="E291" s="562"/>
      <c r="F291" s="563" t="n">
        <v>45086</v>
      </c>
      <c r="G291" s="563" t="s">
        <v>303</v>
      </c>
      <c r="H291" s="564" t="n">
        <v>0.0505</v>
      </c>
      <c r="I291" s="565" t="n">
        <v>4</v>
      </c>
      <c r="J291" s="575"/>
      <c r="K291" s="360" t="s">
        <v>1932</v>
      </c>
      <c r="L291" s="360"/>
      <c r="M291" s="360"/>
      <c r="N291" s="360"/>
      <c r="O291" s="360"/>
      <c r="P291" s="360"/>
      <c r="Q291" s="360"/>
      <c r="R291" s="360"/>
    </row>
    <row r="292" customFormat="false" ht="97.5" hidden="false" customHeight="true" outlineLevel="0" collapsed="false">
      <c r="A292" s="562" t="n">
        <v>286</v>
      </c>
      <c r="B292" s="574" t="n">
        <v>45089</v>
      </c>
      <c r="C292" s="562" t="s">
        <v>96</v>
      </c>
      <c r="D292" s="562" t="s">
        <v>759</v>
      </c>
      <c r="E292" s="562" t="s">
        <v>1933</v>
      </c>
      <c r="F292" s="567" t="s">
        <v>158</v>
      </c>
      <c r="G292" s="568" t="s">
        <v>300</v>
      </c>
      <c r="H292" s="571" t="n">
        <v>0.051</v>
      </c>
      <c r="I292" s="565" t="n">
        <v>2</v>
      </c>
      <c r="J292" s="566" t="s">
        <v>95</v>
      </c>
      <c r="K292" s="360" t="s">
        <v>1934</v>
      </c>
      <c r="L292" s="360"/>
      <c r="M292" s="360"/>
      <c r="N292" s="360"/>
      <c r="O292" s="360"/>
      <c r="P292" s="360"/>
      <c r="Q292" s="360"/>
      <c r="R292" s="360"/>
    </row>
    <row r="293" customFormat="false" ht="97.5" hidden="false" customHeight="true" outlineLevel="0" collapsed="false">
      <c r="A293" s="562" t="n">
        <v>287</v>
      </c>
      <c r="B293" s="574" t="n">
        <v>45097</v>
      </c>
      <c r="C293" s="562" t="s">
        <v>691</v>
      </c>
      <c r="D293" s="562" t="s">
        <v>761</v>
      </c>
      <c r="E293" s="562"/>
      <c r="F293" s="563" t="n">
        <v>45097</v>
      </c>
      <c r="G293" s="568" t="s">
        <v>1381</v>
      </c>
      <c r="H293" s="571" t="s">
        <v>1935</v>
      </c>
      <c r="I293" s="565" t="n">
        <v>1.2</v>
      </c>
      <c r="J293" s="566" t="s">
        <v>95</v>
      </c>
      <c r="K293" s="360" t="s">
        <v>1936</v>
      </c>
      <c r="L293" s="360"/>
      <c r="M293" s="360"/>
      <c r="N293" s="360"/>
      <c r="O293" s="360"/>
      <c r="P293" s="360"/>
      <c r="Q293" s="360"/>
      <c r="R293" s="360"/>
    </row>
    <row r="294" customFormat="false" ht="97.5" hidden="false" customHeight="true" outlineLevel="0" collapsed="false">
      <c r="A294" s="562" t="n">
        <v>288</v>
      </c>
      <c r="B294" s="574" t="n">
        <v>45098</v>
      </c>
      <c r="C294" s="562" t="s">
        <v>1937</v>
      </c>
      <c r="D294" s="562" t="s">
        <v>1938</v>
      </c>
      <c r="E294" s="562"/>
      <c r="F294" s="567" t="s">
        <v>158</v>
      </c>
      <c r="G294" s="568" t="s">
        <v>1397</v>
      </c>
      <c r="H294" s="571" t="s">
        <v>1939</v>
      </c>
      <c r="I294" s="565" t="n">
        <v>1</v>
      </c>
      <c r="J294" s="566" t="s">
        <v>95</v>
      </c>
      <c r="K294" s="360" t="s">
        <v>1940</v>
      </c>
      <c r="L294" s="360"/>
      <c r="M294" s="360"/>
      <c r="N294" s="360"/>
      <c r="O294" s="360"/>
      <c r="P294" s="360"/>
      <c r="Q294" s="360"/>
      <c r="R294" s="360"/>
    </row>
    <row r="295" customFormat="false" ht="97.5" hidden="false" customHeight="true" outlineLevel="0" collapsed="false">
      <c r="A295" s="562" t="n">
        <v>289</v>
      </c>
      <c r="B295" s="574" t="n">
        <v>45099</v>
      </c>
      <c r="C295" s="562" t="s">
        <v>691</v>
      </c>
      <c r="D295" s="562" t="s">
        <v>761</v>
      </c>
      <c r="E295" s="562"/>
      <c r="F295" s="563" t="n">
        <v>45099</v>
      </c>
      <c r="G295" s="568" t="s">
        <v>1381</v>
      </c>
      <c r="H295" s="571" t="s">
        <v>1935</v>
      </c>
      <c r="I295" s="565" t="n">
        <v>1.2</v>
      </c>
      <c r="J295" s="566" t="s">
        <v>95</v>
      </c>
      <c r="K295" s="360" t="s">
        <v>1941</v>
      </c>
      <c r="L295" s="360"/>
      <c r="M295" s="360"/>
      <c r="N295" s="360"/>
      <c r="O295" s="360"/>
      <c r="P295" s="360"/>
      <c r="Q295" s="360"/>
      <c r="R295" s="360"/>
    </row>
    <row r="296" customFormat="false" ht="39.75" hidden="false" customHeight="true" outlineLevel="0" collapsed="false">
      <c r="A296" s="562" t="n">
        <v>290</v>
      </c>
      <c r="B296" s="574" t="n">
        <v>45100</v>
      </c>
      <c r="C296" s="562" t="s">
        <v>862</v>
      </c>
      <c r="D296" s="562" t="s">
        <v>863</v>
      </c>
      <c r="E296" s="562"/>
      <c r="F296" s="567" t="s">
        <v>158</v>
      </c>
      <c r="G296" s="563" t="s">
        <v>99</v>
      </c>
      <c r="H296" s="564" t="n">
        <v>0.041</v>
      </c>
      <c r="I296" s="579" t="s">
        <v>158</v>
      </c>
      <c r="J296" s="575"/>
      <c r="K296" s="361" t="s">
        <v>1930</v>
      </c>
      <c r="L296" s="361"/>
      <c r="M296" s="361"/>
      <c r="N296" s="361"/>
      <c r="O296" s="361"/>
      <c r="P296" s="361"/>
      <c r="Q296" s="361"/>
      <c r="R296" s="361"/>
    </row>
    <row r="297" customFormat="false" ht="60" hidden="false" customHeight="true" outlineLevel="0" collapsed="false">
      <c r="A297" s="562" t="n">
        <v>291</v>
      </c>
      <c r="B297" s="574" t="n">
        <v>45104</v>
      </c>
      <c r="C297" s="562" t="s">
        <v>100</v>
      </c>
      <c r="D297" s="562" t="s">
        <v>625</v>
      </c>
      <c r="E297" s="562"/>
      <c r="F297" s="568" t="s">
        <v>1942</v>
      </c>
      <c r="G297" s="568" t="s">
        <v>1943</v>
      </c>
      <c r="H297" s="564" t="n">
        <v>0.0485</v>
      </c>
      <c r="I297" s="565" t="n">
        <v>30</v>
      </c>
      <c r="J297" s="575" t="s">
        <v>95</v>
      </c>
      <c r="K297" s="360" t="s">
        <v>1944</v>
      </c>
      <c r="L297" s="360"/>
      <c r="M297" s="360"/>
      <c r="N297" s="360"/>
      <c r="O297" s="360"/>
      <c r="P297" s="360"/>
      <c r="Q297" s="360"/>
      <c r="R297" s="360"/>
    </row>
    <row r="298" customFormat="false" ht="60" hidden="false" customHeight="true" outlineLevel="0" collapsed="false">
      <c r="A298" s="562" t="n">
        <v>292</v>
      </c>
      <c r="B298" s="574" t="n">
        <v>45104</v>
      </c>
      <c r="C298" s="562" t="s">
        <v>100</v>
      </c>
      <c r="D298" s="562" t="s">
        <v>625</v>
      </c>
      <c r="E298" s="562"/>
      <c r="F298" s="568" t="s">
        <v>1945</v>
      </c>
      <c r="G298" s="568" t="s">
        <v>1946</v>
      </c>
      <c r="H298" s="564" t="n">
        <v>0.049</v>
      </c>
      <c r="I298" s="565" t="n">
        <v>20</v>
      </c>
      <c r="J298" s="575" t="s">
        <v>95</v>
      </c>
      <c r="K298" s="360" t="s">
        <v>1947</v>
      </c>
      <c r="L298" s="360"/>
      <c r="M298" s="360"/>
      <c r="N298" s="360"/>
      <c r="O298" s="360"/>
      <c r="P298" s="360"/>
      <c r="Q298" s="360"/>
      <c r="R298" s="360"/>
    </row>
    <row r="299" customFormat="false" ht="39.75" hidden="false" customHeight="true" outlineLevel="0" collapsed="false">
      <c r="A299" s="562" t="n">
        <v>293</v>
      </c>
      <c r="B299" s="574" t="n">
        <v>45113</v>
      </c>
      <c r="C299" s="562" t="s">
        <v>209</v>
      </c>
      <c r="D299" s="562" t="s">
        <v>830</v>
      </c>
      <c r="E299" s="562"/>
      <c r="F299" s="563" t="n">
        <v>45113</v>
      </c>
      <c r="G299" s="563" t="s">
        <v>303</v>
      </c>
      <c r="H299" s="564" t="n">
        <v>0.0495</v>
      </c>
      <c r="I299" s="565" t="n">
        <v>1</v>
      </c>
      <c r="J299" s="575"/>
      <c r="K299" s="360" t="s">
        <v>1948</v>
      </c>
      <c r="L299" s="360"/>
      <c r="M299" s="360"/>
      <c r="N299" s="360"/>
      <c r="O299" s="360"/>
      <c r="P299" s="360"/>
      <c r="Q299" s="360"/>
      <c r="R299" s="360"/>
    </row>
    <row r="300" customFormat="false" ht="39.75" hidden="false" customHeight="true" outlineLevel="0" collapsed="false">
      <c r="A300" s="562" t="n">
        <v>294</v>
      </c>
      <c r="B300" s="574" t="n">
        <v>45114</v>
      </c>
      <c r="C300" s="562" t="s">
        <v>209</v>
      </c>
      <c r="D300" s="562" t="s">
        <v>735</v>
      </c>
      <c r="E300" s="562"/>
      <c r="F300" s="563" t="n">
        <v>45114</v>
      </c>
      <c r="G300" s="563" t="s">
        <v>303</v>
      </c>
      <c r="H300" s="564" t="n">
        <v>0.0495</v>
      </c>
      <c r="I300" s="572" t="n">
        <v>1</v>
      </c>
      <c r="J300" s="575"/>
      <c r="K300" s="360" t="s">
        <v>1949</v>
      </c>
      <c r="L300" s="360"/>
      <c r="M300" s="360"/>
      <c r="N300" s="360"/>
      <c r="O300" s="360"/>
      <c r="P300" s="360"/>
      <c r="Q300" s="360"/>
      <c r="R300" s="360"/>
    </row>
    <row r="301" customFormat="false" ht="39.75" hidden="false" customHeight="true" outlineLevel="0" collapsed="false">
      <c r="A301" s="562" t="n">
        <v>295</v>
      </c>
      <c r="B301" s="574" t="n">
        <v>45114</v>
      </c>
      <c r="C301" s="562" t="s">
        <v>209</v>
      </c>
      <c r="D301" s="562" t="s">
        <v>735</v>
      </c>
      <c r="E301" s="562"/>
      <c r="F301" s="563" t="n">
        <v>45114</v>
      </c>
      <c r="G301" s="563" t="s">
        <v>303</v>
      </c>
      <c r="H301" s="564" t="n">
        <v>0.0495</v>
      </c>
      <c r="I301" s="572" t="n">
        <v>4</v>
      </c>
      <c r="J301" s="575"/>
      <c r="K301" s="360" t="s">
        <v>1949</v>
      </c>
      <c r="L301" s="360"/>
      <c r="M301" s="360"/>
      <c r="N301" s="360"/>
      <c r="O301" s="360"/>
      <c r="P301" s="360"/>
      <c r="Q301" s="360"/>
      <c r="R301" s="360"/>
    </row>
    <row r="302" customFormat="false" ht="39.75" hidden="false" customHeight="true" outlineLevel="0" collapsed="false">
      <c r="A302" s="562" t="n">
        <v>296</v>
      </c>
      <c r="B302" s="574" t="n">
        <v>45117</v>
      </c>
      <c r="C302" s="562" t="s">
        <v>691</v>
      </c>
      <c r="D302" s="562" t="s">
        <v>761</v>
      </c>
      <c r="E302" s="562"/>
      <c r="F302" s="563" t="n">
        <v>45117</v>
      </c>
      <c r="G302" s="568" t="s">
        <v>1381</v>
      </c>
      <c r="H302" s="571" t="s">
        <v>1950</v>
      </c>
      <c r="I302" s="565" t="s">
        <v>1951</v>
      </c>
      <c r="J302" s="575"/>
      <c r="K302" s="360" t="s">
        <v>1952</v>
      </c>
      <c r="L302" s="360"/>
      <c r="M302" s="360"/>
      <c r="N302" s="360"/>
      <c r="O302" s="360"/>
      <c r="P302" s="360"/>
      <c r="Q302" s="360"/>
      <c r="R302" s="360"/>
    </row>
    <row r="303" customFormat="false" ht="39.75" hidden="false" customHeight="true" outlineLevel="0" collapsed="false">
      <c r="A303" s="562" t="n">
        <v>297</v>
      </c>
      <c r="B303" s="574" t="n">
        <v>45125</v>
      </c>
      <c r="C303" s="562" t="s">
        <v>103</v>
      </c>
      <c r="D303" s="562" t="s">
        <v>1953</v>
      </c>
      <c r="E303" s="562"/>
      <c r="F303" s="567" t="s">
        <v>158</v>
      </c>
      <c r="G303" s="563" t="s">
        <v>396</v>
      </c>
      <c r="H303" s="564" t="n">
        <v>0.0545</v>
      </c>
      <c r="I303" s="565" t="n">
        <v>50</v>
      </c>
      <c r="J303" s="575"/>
      <c r="K303" s="360" t="s">
        <v>1954</v>
      </c>
      <c r="L303" s="360"/>
      <c r="M303" s="360"/>
      <c r="N303" s="360"/>
      <c r="O303" s="360"/>
      <c r="P303" s="360"/>
      <c r="Q303" s="360"/>
      <c r="R303" s="360"/>
    </row>
    <row r="304" customFormat="false" ht="39.75" hidden="false" customHeight="true" outlineLevel="0" collapsed="false">
      <c r="A304" s="562" t="n">
        <v>298</v>
      </c>
      <c r="B304" s="574" t="n">
        <v>45128</v>
      </c>
      <c r="C304" s="562" t="s">
        <v>691</v>
      </c>
      <c r="D304" s="562" t="s">
        <v>761</v>
      </c>
      <c r="E304" s="562"/>
      <c r="F304" s="563" t="n">
        <v>45128</v>
      </c>
      <c r="G304" s="568" t="s">
        <v>1381</v>
      </c>
      <c r="H304" s="571" t="s">
        <v>1935</v>
      </c>
      <c r="I304" s="565" t="s">
        <v>1951</v>
      </c>
      <c r="J304" s="575"/>
      <c r="K304" s="360" t="s">
        <v>1955</v>
      </c>
      <c r="L304" s="360"/>
      <c r="M304" s="360"/>
      <c r="N304" s="360"/>
      <c r="O304" s="360"/>
      <c r="P304" s="360"/>
      <c r="Q304" s="360"/>
      <c r="R304" s="360"/>
    </row>
    <row r="305" customFormat="false" ht="52.5" hidden="false" customHeight="true" outlineLevel="0" collapsed="false">
      <c r="A305" s="562" t="n">
        <v>299</v>
      </c>
      <c r="B305" s="574" t="n">
        <v>45133</v>
      </c>
      <c r="C305" s="562" t="s">
        <v>96</v>
      </c>
      <c r="D305" s="562" t="s">
        <v>661</v>
      </c>
      <c r="E305" s="562"/>
      <c r="F305" s="563" t="n">
        <v>45134</v>
      </c>
      <c r="G305" s="568" t="s">
        <v>1394</v>
      </c>
      <c r="H305" s="571" t="s">
        <v>1956</v>
      </c>
      <c r="I305" s="565" t="n">
        <v>10</v>
      </c>
      <c r="J305" s="575"/>
      <c r="K305" s="360" t="s">
        <v>1957</v>
      </c>
      <c r="L305" s="360"/>
      <c r="M305" s="360"/>
      <c r="N305" s="360"/>
      <c r="O305" s="360"/>
      <c r="P305" s="360"/>
      <c r="Q305" s="360"/>
      <c r="R305" s="360"/>
    </row>
    <row r="306" customFormat="false" ht="52.5" hidden="false" customHeight="true" outlineLevel="0" collapsed="false">
      <c r="A306" s="562" t="n">
        <v>300</v>
      </c>
      <c r="B306" s="574" t="n">
        <v>45134</v>
      </c>
      <c r="C306" s="562" t="s">
        <v>96</v>
      </c>
      <c r="D306" s="562" t="s">
        <v>661</v>
      </c>
      <c r="E306" s="562"/>
      <c r="F306" s="563" t="n">
        <v>45134</v>
      </c>
      <c r="G306" s="568" t="s">
        <v>1394</v>
      </c>
      <c r="H306" s="571" t="s">
        <v>1956</v>
      </c>
      <c r="I306" s="565" t="n">
        <v>10</v>
      </c>
      <c r="J306" s="575"/>
      <c r="K306" s="360" t="s">
        <v>1958</v>
      </c>
      <c r="L306" s="360"/>
      <c r="M306" s="360"/>
      <c r="N306" s="360"/>
      <c r="O306" s="360"/>
      <c r="P306" s="360"/>
      <c r="Q306" s="360"/>
      <c r="R306" s="360"/>
    </row>
    <row r="307" customFormat="false" ht="60" hidden="false" customHeight="true" outlineLevel="0" collapsed="false">
      <c r="A307" s="562" t="n">
        <v>301</v>
      </c>
      <c r="B307" s="574" t="n">
        <v>45134</v>
      </c>
      <c r="C307" s="562" t="s">
        <v>100</v>
      </c>
      <c r="D307" s="562" t="s">
        <v>625</v>
      </c>
      <c r="E307" s="562"/>
      <c r="F307" s="568" t="s">
        <v>1959</v>
      </c>
      <c r="G307" s="568" t="s">
        <v>1960</v>
      </c>
      <c r="H307" s="564" t="n">
        <v>0.0485</v>
      </c>
      <c r="I307" s="565" t="n">
        <v>30</v>
      </c>
      <c r="J307" s="575" t="s">
        <v>95</v>
      </c>
      <c r="K307" s="360" t="s">
        <v>1961</v>
      </c>
      <c r="L307" s="360"/>
      <c r="M307" s="360"/>
      <c r="N307" s="360"/>
      <c r="O307" s="360"/>
      <c r="P307" s="360"/>
      <c r="Q307" s="360"/>
      <c r="R307" s="360"/>
    </row>
    <row r="308" customFormat="false" ht="60" hidden="false" customHeight="true" outlineLevel="0" collapsed="false">
      <c r="A308" s="562" t="n">
        <v>302</v>
      </c>
      <c r="B308" s="574" t="n">
        <v>45134</v>
      </c>
      <c r="C308" s="562" t="s">
        <v>100</v>
      </c>
      <c r="D308" s="562" t="s">
        <v>625</v>
      </c>
      <c r="E308" s="562"/>
      <c r="F308" s="568" t="s">
        <v>1962</v>
      </c>
      <c r="G308" s="568" t="s">
        <v>1963</v>
      </c>
      <c r="H308" s="564" t="n">
        <v>0.049</v>
      </c>
      <c r="I308" s="565" t="n">
        <v>30</v>
      </c>
      <c r="J308" s="575" t="s">
        <v>95</v>
      </c>
      <c r="K308" s="360" t="s">
        <v>1964</v>
      </c>
      <c r="L308" s="360"/>
      <c r="M308" s="360"/>
      <c r="N308" s="360"/>
      <c r="O308" s="360"/>
      <c r="P308" s="360"/>
      <c r="Q308" s="360"/>
      <c r="R308" s="360"/>
    </row>
    <row r="309" customFormat="false" ht="39.75" hidden="false" customHeight="true" outlineLevel="0" collapsed="false">
      <c r="A309" s="562" t="n">
        <v>303</v>
      </c>
      <c r="B309" s="574" t="n">
        <v>45145</v>
      </c>
      <c r="C309" s="562" t="s">
        <v>209</v>
      </c>
      <c r="D309" s="562" t="s">
        <v>735</v>
      </c>
      <c r="E309" s="562" t="s">
        <v>1965</v>
      </c>
      <c r="F309" s="563" t="n">
        <v>45145</v>
      </c>
      <c r="G309" s="563" t="s">
        <v>303</v>
      </c>
      <c r="H309" s="564" t="n">
        <v>0.0505</v>
      </c>
      <c r="I309" s="572" t="n">
        <v>6</v>
      </c>
      <c r="J309" s="575"/>
      <c r="K309" s="360" t="s">
        <v>1966</v>
      </c>
      <c r="L309" s="360"/>
      <c r="M309" s="360"/>
      <c r="N309" s="360"/>
      <c r="O309" s="360"/>
      <c r="P309" s="360"/>
      <c r="Q309" s="360"/>
      <c r="R309" s="360"/>
    </row>
    <row r="310" customFormat="false" ht="97.5" hidden="false" customHeight="true" outlineLevel="0" collapsed="false">
      <c r="A310" s="562" t="n">
        <v>304</v>
      </c>
      <c r="B310" s="574" t="n">
        <v>45145</v>
      </c>
      <c r="C310" s="562" t="s">
        <v>96</v>
      </c>
      <c r="D310" s="562" t="s">
        <v>480</v>
      </c>
      <c r="E310" s="562" t="s">
        <v>1967</v>
      </c>
      <c r="F310" s="563" t="n">
        <v>45148</v>
      </c>
      <c r="G310" s="568" t="s">
        <v>1447</v>
      </c>
      <c r="H310" s="571" t="s">
        <v>1968</v>
      </c>
      <c r="I310" s="565" t="n">
        <v>5</v>
      </c>
      <c r="J310" s="566" t="s">
        <v>95</v>
      </c>
      <c r="K310" s="360" t="s">
        <v>1969</v>
      </c>
      <c r="L310" s="360"/>
      <c r="M310" s="360"/>
      <c r="N310" s="360"/>
      <c r="O310" s="360"/>
      <c r="P310" s="360"/>
      <c r="Q310" s="360"/>
      <c r="R310" s="360"/>
    </row>
    <row r="311" customFormat="false" ht="39.75" hidden="false" customHeight="true" outlineLevel="0" collapsed="false">
      <c r="A311" s="562" t="n">
        <v>305</v>
      </c>
      <c r="B311" s="574" t="n">
        <v>45145</v>
      </c>
      <c r="C311" s="562" t="s">
        <v>209</v>
      </c>
      <c r="D311" s="562" t="s">
        <v>735</v>
      </c>
      <c r="E311" s="562" t="s">
        <v>1965</v>
      </c>
      <c r="F311" s="563" t="n">
        <v>45145</v>
      </c>
      <c r="G311" s="563" t="s">
        <v>303</v>
      </c>
      <c r="H311" s="564" t="n">
        <v>0.051</v>
      </c>
      <c r="I311" s="572" t="n">
        <v>6</v>
      </c>
      <c r="J311" s="575"/>
      <c r="K311" s="360" t="s">
        <v>1970</v>
      </c>
      <c r="L311" s="360"/>
      <c r="M311" s="360"/>
      <c r="N311" s="360"/>
      <c r="O311" s="360"/>
      <c r="P311" s="360"/>
      <c r="Q311" s="360"/>
      <c r="R311" s="360"/>
    </row>
    <row r="312" customFormat="false" ht="97.5" hidden="false" customHeight="true" outlineLevel="0" collapsed="false">
      <c r="A312" s="562" t="n">
        <v>306</v>
      </c>
      <c r="B312" s="574" t="n">
        <v>45147</v>
      </c>
      <c r="C312" s="562" t="s">
        <v>96</v>
      </c>
      <c r="D312" s="562" t="s">
        <v>480</v>
      </c>
      <c r="E312" s="562" t="s">
        <v>1967</v>
      </c>
      <c r="F312" s="563" t="n">
        <v>45148</v>
      </c>
      <c r="G312" s="568" t="s">
        <v>300</v>
      </c>
      <c r="H312" s="571" t="n">
        <v>0.053</v>
      </c>
      <c r="I312" s="565" t="n">
        <v>5</v>
      </c>
      <c r="J312" s="566" t="s">
        <v>95</v>
      </c>
      <c r="K312" s="360" t="s">
        <v>1971</v>
      </c>
      <c r="L312" s="360"/>
      <c r="M312" s="360"/>
      <c r="N312" s="360"/>
      <c r="O312" s="360"/>
      <c r="P312" s="360"/>
      <c r="Q312" s="360"/>
      <c r="R312" s="360"/>
    </row>
    <row r="313" customFormat="false" ht="97.5" hidden="false" customHeight="true" outlineLevel="0" collapsed="false">
      <c r="A313" s="562" t="n">
        <v>307</v>
      </c>
      <c r="B313" s="574" t="n">
        <v>45148</v>
      </c>
      <c r="C313" s="562" t="s">
        <v>1184</v>
      </c>
      <c r="D313" s="562" t="s">
        <v>1972</v>
      </c>
      <c r="E313" s="562"/>
      <c r="F313" s="567" t="s">
        <v>158</v>
      </c>
      <c r="G313" s="568" t="s">
        <v>300</v>
      </c>
      <c r="H313" s="571" t="n">
        <v>0.0515</v>
      </c>
      <c r="I313" s="565" t="n">
        <v>10</v>
      </c>
      <c r="J313" s="566" t="s">
        <v>95</v>
      </c>
      <c r="K313" s="360" t="s">
        <v>1973</v>
      </c>
      <c r="L313" s="360"/>
      <c r="M313" s="360"/>
      <c r="N313" s="360"/>
      <c r="O313" s="360"/>
      <c r="P313" s="360"/>
      <c r="Q313" s="360"/>
      <c r="R313" s="360"/>
    </row>
    <row r="314" customFormat="false" ht="97.5" hidden="false" customHeight="true" outlineLevel="0" collapsed="false">
      <c r="A314" s="562" t="n">
        <v>307</v>
      </c>
      <c r="B314" s="574" t="n">
        <v>45148</v>
      </c>
      <c r="C314" s="562" t="s">
        <v>1184</v>
      </c>
      <c r="D314" s="562" t="s">
        <v>1972</v>
      </c>
      <c r="E314" s="562"/>
      <c r="F314" s="567" t="s">
        <v>158</v>
      </c>
      <c r="G314" s="568" t="s">
        <v>300</v>
      </c>
      <c r="H314" s="571" t="n">
        <v>0.053</v>
      </c>
      <c r="I314" s="565" t="n">
        <v>10</v>
      </c>
      <c r="J314" s="566" t="s">
        <v>95</v>
      </c>
      <c r="K314" s="360" t="s">
        <v>1974</v>
      </c>
      <c r="L314" s="360"/>
      <c r="M314" s="360"/>
      <c r="N314" s="360"/>
      <c r="O314" s="360"/>
      <c r="P314" s="360"/>
      <c r="Q314" s="360"/>
      <c r="R314" s="360"/>
    </row>
    <row r="315" customFormat="false" ht="97.5" hidden="false" customHeight="true" outlineLevel="0" collapsed="false">
      <c r="A315" s="562" t="n">
        <v>308</v>
      </c>
      <c r="B315" s="574" t="n">
        <v>45148</v>
      </c>
      <c r="C315" s="562" t="s">
        <v>691</v>
      </c>
      <c r="D315" s="562" t="s">
        <v>761</v>
      </c>
      <c r="E315" s="562"/>
      <c r="F315" s="563" t="n">
        <v>45148</v>
      </c>
      <c r="G315" s="568" t="s">
        <v>1381</v>
      </c>
      <c r="H315" s="571" t="s">
        <v>1975</v>
      </c>
      <c r="I315" s="565" t="n">
        <v>5</v>
      </c>
      <c r="J315" s="566" t="s">
        <v>95</v>
      </c>
      <c r="K315" s="360"/>
      <c r="L315" s="360"/>
      <c r="M315" s="360"/>
      <c r="N315" s="360"/>
      <c r="O315" s="360"/>
      <c r="P315" s="360"/>
      <c r="Q315" s="360"/>
      <c r="R315" s="360"/>
    </row>
    <row r="316" customFormat="false" ht="97.5" hidden="false" customHeight="true" outlineLevel="0" collapsed="false">
      <c r="A316" s="562" t="n">
        <v>309</v>
      </c>
      <c r="B316" s="574" t="n">
        <v>45152</v>
      </c>
      <c r="C316" s="562" t="s">
        <v>1184</v>
      </c>
      <c r="D316" s="562" t="s">
        <v>1976</v>
      </c>
      <c r="E316" s="562"/>
      <c r="F316" s="567" t="s">
        <v>158</v>
      </c>
      <c r="G316" s="568" t="s">
        <v>300</v>
      </c>
      <c r="H316" s="571" t="n">
        <v>0.054</v>
      </c>
      <c r="I316" s="565" t="n">
        <v>50</v>
      </c>
      <c r="J316" s="566" t="s">
        <v>95</v>
      </c>
      <c r="K316" s="360" t="s">
        <v>1977</v>
      </c>
      <c r="L316" s="360"/>
      <c r="M316" s="360"/>
      <c r="N316" s="360"/>
      <c r="O316" s="360"/>
      <c r="P316" s="360"/>
      <c r="Q316" s="360"/>
      <c r="R316" s="360"/>
    </row>
    <row r="317" customFormat="false" ht="97.5" hidden="false" customHeight="true" outlineLevel="0" collapsed="false">
      <c r="A317" s="562" t="n">
        <v>310</v>
      </c>
      <c r="B317" s="574" t="n">
        <v>45154</v>
      </c>
      <c r="C317" s="562" t="s">
        <v>1184</v>
      </c>
      <c r="D317" s="562" t="s">
        <v>1978</v>
      </c>
      <c r="E317" s="562" t="s">
        <v>1187</v>
      </c>
      <c r="F317" s="567" t="s">
        <v>158</v>
      </c>
      <c r="G317" s="568" t="s">
        <v>1397</v>
      </c>
      <c r="H317" s="571" t="s">
        <v>1979</v>
      </c>
      <c r="I317" s="565" t="n">
        <v>10</v>
      </c>
      <c r="J317" s="566" t="s">
        <v>95</v>
      </c>
      <c r="K317" s="360" t="s">
        <v>1980</v>
      </c>
      <c r="L317" s="360"/>
      <c r="M317" s="360"/>
      <c r="N317" s="360"/>
      <c r="O317" s="360"/>
      <c r="P317" s="360"/>
      <c r="Q317" s="360"/>
      <c r="R317" s="360"/>
    </row>
    <row r="318" customFormat="false" ht="97.5" hidden="false" customHeight="true" outlineLevel="0" collapsed="false">
      <c r="A318" s="562" t="n">
        <v>311</v>
      </c>
      <c r="B318" s="574" t="n">
        <v>45154</v>
      </c>
      <c r="C318" s="562" t="s">
        <v>1184</v>
      </c>
      <c r="D318" s="562" t="s">
        <v>1978</v>
      </c>
      <c r="E318" s="562" t="s">
        <v>1187</v>
      </c>
      <c r="F318" s="567" t="s">
        <v>158</v>
      </c>
      <c r="G318" s="568" t="s">
        <v>1397</v>
      </c>
      <c r="H318" s="571" t="s">
        <v>1981</v>
      </c>
      <c r="I318" s="565" t="n">
        <v>10</v>
      </c>
      <c r="J318" s="566" t="s">
        <v>95</v>
      </c>
      <c r="K318" s="360" t="s">
        <v>1982</v>
      </c>
      <c r="L318" s="360"/>
      <c r="M318" s="360"/>
      <c r="N318" s="360"/>
      <c r="O318" s="360"/>
      <c r="P318" s="360"/>
      <c r="Q318" s="360"/>
      <c r="R318" s="360"/>
    </row>
    <row r="319" customFormat="false" ht="97.5" hidden="false" customHeight="true" outlineLevel="0" collapsed="false">
      <c r="A319" s="562" t="n">
        <v>312</v>
      </c>
      <c r="B319" s="574" t="n">
        <v>45154</v>
      </c>
      <c r="C319" s="562" t="s">
        <v>862</v>
      </c>
      <c r="D319" s="562" t="s">
        <v>863</v>
      </c>
      <c r="E319" s="562"/>
      <c r="F319" s="567" t="s">
        <v>158</v>
      </c>
      <c r="G319" s="568" t="s">
        <v>99</v>
      </c>
      <c r="H319" s="571" t="n">
        <v>0.0435</v>
      </c>
      <c r="I319" s="565" t="n">
        <v>10</v>
      </c>
      <c r="J319" s="566" t="s">
        <v>95</v>
      </c>
      <c r="K319" s="360" t="s">
        <v>1983</v>
      </c>
      <c r="L319" s="360"/>
      <c r="M319" s="360"/>
      <c r="N319" s="360"/>
      <c r="O319" s="360"/>
      <c r="P319" s="360"/>
      <c r="Q319" s="360"/>
      <c r="R319" s="360"/>
    </row>
    <row r="320" customFormat="false" ht="97.5" hidden="false" customHeight="true" outlineLevel="0" collapsed="false">
      <c r="A320" s="562" t="n">
        <v>313</v>
      </c>
      <c r="B320" s="574" t="n">
        <v>45155</v>
      </c>
      <c r="C320" s="562" t="s">
        <v>1184</v>
      </c>
      <c r="D320" s="562" t="s">
        <v>1978</v>
      </c>
      <c r="E320" s="562" t="s">
        <v>1187</v>
      </c>
      <c r="F320" s="567" t="s">
        <v>158</v>
      </c>
      <c r="G320" s="568" t="s">
        <v>1397</v>
      </c>
      <c r="H320" s="571" t="s">
        <v>1981</v>
      </c>
      <c r="I320" s="565" t="n">
        <v>10</v>
      </c>
      <c r="J320" s="566" t="s">
        <v>95</v>
      </c>
      <c r="K320" s="360" t="s">
        <v>1984</v>
      </c>
      <c r="L320" s="360"/>
      <c r="M320" s="360"/>
      <c r="N320" s="360"/>
      <c r="O320" s="360"/>
      <c r="P320" s="360"/>
      <c r="Q320" s="360"/>
      <c r="R320" s="360"/>
    </row>
    <row r="321" customFormat="false" ht="39.75" hidden="false" customHeight="true" outlineLevel="0" collapsed="false">
      <c r="A321" s="562" t="n">
        <v>314</v>
      </c>
      <c r="B321" s="574" t="n">
        <v>45155</v>
      </c>
      <c r="C321" s="562" t="s">
        <v>1184</v>
      </c>
      <c r="D321" s="562" t="s">
        <v>1985</v>
      </c>
      <c r="E321" s="562" t="s">
        <v>1187</v>
      </c>
      <c r="F321" s="567" t="s">
        <v>158</v>
      </c>
      <c r="G321" s="568" t="s">
        <v>300</v>
      </c>
      <c r="H321" s="571" t="n">
        <v>0.0537</v>
      </c>
      <c r="I321" s="565" t="n">
        <v>10</v>
      </c>
      <c r="J321" s="566" t="s">
        <v>95</v>
      </c>
      <c r="K321" s="360" t="s">
        <v>1986</v>
      </c>
      <c r="L321" s="360"/>
      <c r="M321" s="360"/>
      <c r="N321" s="360"/>
      <c r="O321" s="360"/>
      <c r="P321" s="360"/>
      <c r="Q321" s="360"/>
      <c r="R321" s="360"/>
    </row>
    <row r="322" customFormat="false" ht="75.75" hidden="false" customHeight="true" outlineLevel="0" collapsed="false">
      <c r="A322" s="562" t="n">
        <v>315</v>
      </c>
      <c r="B322" s="574" t="n">
        <v>45156</v>
      </c>
      <c r="C322" s="562" t="s">
        <v>96</v>
      </c>
      <c r="D322" s="562" t="s">
        <v>661</v>
      </c>
      <c r="E322" s="562"/>
      <c r="F322" s="567" t="s">
        <v>158</v>
      </c>
      <c r="G322" s="568" t="s">
        <v>1570</v>
      </c>
      <c r="H322" s="571" t="s">
        <v>1987</v>
      </c>
      <c r="I322" s="565" t="n">
        <v>5.5</v>
      </c>
      <c r="J322" s="575"/>
      <c r="K322" s="360" t="s">
        <v>1988</v>
      </c>
      <c r="L322" s="360"/>
      <c r="M322" s="360"/>
      <c r="N322" s="360"/>
      <c r="O322" s="360"/>
      <c r="P322" s="360"/>
      <c r="Q322" s="360"/>
      <c r="R322" s="360"/>
    </row>
    <row r="323" customFormat="false" ht="75.75" hidden="false" customHeight="true" outlineLevel="0" collapsed="false">
      <c r="A323" s="562" t="n">
        <v>316</v>
      </c>
      <c r="B323" s="574" t="n">
        <v>45159</v>
      </c>
      <c r="C323" s="562" t="s">
        <v>691</v>
      </c>
      <c r="D323" s="562" t="s">
        <v>761</v>
      </c>
      <c r="E323" s="562"/>
      <c r="F323" s="563" t="n">
        <v>45159</v>
      </c>
      <c r="G323" s="568" t="s">
        <v>1381</v>
      </c>
      <c r="H323" s="571" t="s">
        <v>1989</v>
      </c>
      <c r="I323" s="565" t="n">
        <v>1.2</v>
      </c>
      <c r="J323" s="575"/>
      <c r="K323" s="360" t="s">
        <v>1990</v>
      </c>
      <c r="L323" s="360"/>
      <c r="M323" s="360"/>
      <c r="N323" s="360"/>
      <c r="O323" s="360"/>
      <c r="P323" s="360"/>
      <c r="Q323" s="360"/>
      <c r="R323" s="360"/>
    </row>
    <row r="324" customFormat="false" ht="97.5" hidden="false" customHeight="true" outlineLevel="0" collapsed="false">
      <c r="A324" s="562" t="n">
        <v>317</v>
      </c>
      <c r="B324" s="574" t="n">
        <v>45160</v>
      </c>
      <c r="C324" s="562" t="s">
        <v>1991</v>
      </c>
      <c r="D324" s="562" t="s">
        <v>1992</v>
      </c>
      <c r="E324" s="562"/>
      <c r="F324" s="567" t="s">
        <v>158</v>
      </c>
      <c r="G324" s="568" t="s">
        <v>99</v>
      </c>
      <c r="H324" s="571" t="s">
        <v>1993</v>
      </c>
      <c r="I324" s="565" t="s">
        <v>1994</v>
      </c>
      <c r="J324" s="564" t="s">
        <v>99</v>
      </c>
      <c r="K324" s="360" t="s">
        <v>1995</v>
      </c>
      <c r="L324" s="360"/>
      <c r="M324" s="360"/>
      <c r="N324" s="360"/>
      <c r="O324" s="360"/>
      <c r="P324" s="360"/>
      <c r="Q324" s="360"/>
      <c r="R324" s="360"/>
    </row>
    <row r="325" customFormat="false" ht="97.5" hidden="false" customHeight="true" outlineLevel="0" collapsed="false">
      <c r="A325" s="562" t="n">
        <v>318</v>
      </c>
      <c r="B325" s="574" t="n">
        <v>45173</v>
      </c>
      <c r="C325" s="562" t="s">
        <v>866</v>
      </c>
      <c r="D325" s="562" t="s">
        <v>867</v>
      </c>
      <c r="E325" s="562"/>
      <c r="F325" s="567" t="s">
        <v>158</v>
      </c>
      <c r="G325" s="568" t="s">
        <v>99</v>
      </c>
      <c r="H325" s="571" t="s">
        <v>1993</v>
      </c>
      <c r="I325" s="565" t="n">
        <v>1</v>
      </c>
      <c r="J325" s="564" t="s">
        <v>99</v>
      </c>
      <c r="K325" s="360" t="s">
        <v>1996</v>
      </c>
      <c r="L325" s="360"/>
      <c r="M325" s="360"/>
      <c r="N325" s="360"/>
      <c r="O325" s="360"/>
      <c r="P325" s="360"/>
      <c r="Q325" s="360"/>
      <c r="R325" s="360"/>
    </row>
    <row r="326" customFormat="false" ht="39.75" hidden="false" customHeight="true" outlineLevel="0" collapsed="false">
      <c r="A326" s="562" t="n">
        <v>319</v>
      </c>
      <c r="B326" s="574" t="n">
        <v>45176</v>
      </c>
      <c r="C326" s="562" t="s">
        <v>209</v>
      </c>
      <c r="D326" s="562" t="s">
        <v>735</v>
      </c>
      <c r="E326" s="562" t="s">
        <v>1965</v>
      </c>
      <c r="F326" s="563" t="n">
        <v>45176</v>
      </c>
      <c r="G326" s="563" t="s">
        <v>303</v>
      </c>
      <c r="H326" s="564" t="n">
        <v>0.051</v>
      </c>
      <c r="I326" s="572" t="n">
        <v>6</v>
      </c>
      <c r="J326" s="575"/>
      <c r="K326" s="360" t="s">
        <v>1997</v>
      </c>
      <c r="L326" s="360"/>
      <c r="M326" s="360"/>
      <c r="N326" s="360"/>
      <c r="O326" s="360"/>
      <c r="P326" s="360"/>
      <c r="Q326" s="360"/>
      <c r="R326" s="360"/>
    </row>
    <row r="327" customFormat="false" ht="75.75" hidden="false" customHeight="true" outlineLevel="0" collapsed="false">
      <c r="A327" s="562" t="n">
        <v>320</v>
      </c>
      <c r="B327" s="574" t="n">
        <v>45180</v>
      </c>
      <c r="C327" s="562" t="s">
        <v>691</v>
      </c>
      <c r="D327" s="562" t="s">
        <v>761</v>
      </c>
      <c r="E327" s="562"/>
      <c r="F327" s="563" t="n">
        <v>45180</v>
      </c>
      <c r="G327" s="568" t="s">
        <v>1381</v>
      </c>
      <c r="H327" s="571" t="s">
        <v>1998</v>
      </c>
      <c r="I327" s="565" t="n">
        <v>1</v>
      </c>
      <c r="J327" s="575"/>
      <c r="K327" s="360" t="s">
        <v>1999</v>
      </c>
      <c r="L327" s="360"/>
      <c r="M327" s="360"/>
      <c r="N327" s="360"/>
      <c r="O327" s="360"/>
      <c r="P327" s="360"/>
      <c r="Q327" s="360"/>
      <c r="R327" s="360"/>
    </row>
    <row r="328" customFormat="false" ht="97.5" hidden="false" customHeight="true" outlineLevel="0" collapsed="false">
      <c r="A328" s="562" t="n">
        <v>321</v>
      </c>
      <c r="B328" s="574" t="n">
        <v>45184</v>
      </c>
      <c r="C328" s="562" t="s">
        <v>862</v>
      </c>
      <c r="D328" s="562" t="s">
        <v>863</v>
      </c>
      <c r="E328" s="562"/>
      <c r="F328" s="563" t="n">
        <v>45184</v>
      </c>
      <c r="G328" s="568" t="s">
        <v>99</v>
      </c>
      <c r="H328" s="571" t="n">
        <v>0.0435</v>
      </c>
      <c r="I328" s="565" t="n">
        <v>1</v>
      </c>
      <c r="J328" s="564" t="s">
        <v>99</v>
      </c>
      <c r="K328" s="360" t="s">
        <v>2000</v>
      </c>
      <c r="L328" s="360"/>
      <c r="M328" s="360"/>
      <c r="N328" s="360"/>
      <c r="O328" s="360"/>
      <c r="P328" s="360"/>
      <c r="Q328" s="360"/>
      <c r="R328" s="360"/>
    </row>
    <row r="329" customFormat="false" ht="75.75" hidden="false" customHeight="true" outlineLevel="0" collapsed="false">
      <c r="A329" s="562" t="n">
        <v>322</v>
      </c>
      <c r="B329" s="574" t="n">
        <v>45190</v>
      </c>
      <c r="C329" s="562" t="s">
        <v>691</v>
      </c>
      <c r="D329" s="562" t="s">
        <v>761</v>
      </c>
      <c r="E329" s="562"/>
      <c r="F329" s="563" t="n">
        <v>45190</v>
      </c>
      <c r="G329" s="568" t="s">
        <v>1381</v>
      </c>
      <c r="H329" s="571" t="s">
        <v>1998</v>
      </c>
      <c r="I329" s="565" t="n">
        <v>1</v>
      </c>
      <c r="J329" s="575"/>
      <c r="K329" s="360" t="s">
        <v>2001</v>
      </c>
      <c r="L329" s="360"/>
      <c r="M329" s="360"/>
      <c r="N329" s="360"/>
      <c r="O329" s="360"/>
      <c r="P329" s="360"/>
      <c r="Q329" s="360"/>
      <c r="R329" s="360"/>
    </row>
    <row r="330" customFormat="false" ht="97.5" hidden="false" customHeight="true" outlineLevel="0" collapsed="false">
      <c r="A330" s="562" t="n">
        <v>323</v>
      </c>
      <c r="B330" s="574" t="n">
        <v>45190</v>
      </c>
      <c r="C330" s="562" t="s">
        <v>1991</v>
      </c>
      <c r="D330" s="562" t="s">
        <v>1992</v>
      </c>
      <c r="E330" s="562"/>
      <c r="F330" s="567" t="s">
        <v>158</v>
      </c>
      <c r="G330" s="568" t="s">
        <v>99</v>
      </c>
      <c r="H330" s="571" t="n">
        <v>0.0435</v>
      </c>
      <c r="I330" s="565" t="n">
        <v>40</v>
      </c>
      <c r="J330" s="564" t="s">
        <v>99</v>
      </c>
      <c r="K330" s="360" t="s">
        <v>2002</v>
      </c>
      <c r="L330" s="360"/>
      <c r="M330" s="360"/>
      <c r="N330" s="360"/>
      <c r="O330" s="360"/>
      <c r="P330" s="360"/>
      <c r="Q330" s="360"/>
      <c r="R330" s="360"/>
    </row>
    <row r="331" customFormat="false" ht="39.75" hidden="false" customHeight="true" outlineLevel="0" collapsed="false">
      <c r="A331" s="562" t="n">
        <v>324</v>
      </c>
      <c r="B331" s="574" t="n">
        <v>45204</v>
      </c>
      <c r="C331" s="562" t="s">
        <v>1184</v>
      </c>
      <c r="D331" s="562" t="s">
        <v>2003</v>
      </c>
      <c r="E331" s="562" t="s">
        <v>1187</v>
      </c>
      <c r="F331" s="567" t="s">
        <v>158</v>
      </c>
      <c r="G331" s="568" t="s">
        <v>1397</v>
      </c>
      <c r="H331" s="571" t="s">
        <v>2004</v>
      </c>
      <c r="I331" s="565" t="s">
        <v>1491</v>
      </c>
      <c r="J331" s="575" t="s">
        <v>2005</v>
      </c>
      <c r="K331" s="360" t="s">
        <v>2006</v>
      </c>
      <c r="L331" s="360"/>
      <c r="M331" s="360"/>
      <c r="N331" s="360"/>
      <c r="O331" s="360"/>
      <c r="P331" s="360"/>
      <c r="Q331" s="360"/>
      <c r="R331" s="360"/>
    </row>
    <row r="332" customFormat="false" ht="39.75" hidden="false" customHeight="true" outlineLevel="0" collapsed="false">
      <c r="A332" s="562" t="n">
        <v>325</v>
      </c>
      <c r="B332" s="574" t="n">
        <v>45209</v>
      </c>
      <c r="C332" s="562" t="s">
        <v>209</v>
      </c>
      <c r="D332" s="562" t="s">
        <v>735</v>
      </c>
      <c r="E332" s="562" t="s">
        <v>1965</v>
      </c>
      <c r="F332" s="563" t="n">
        <v>45209</v>
      </c>
      <c r="G332" s="563" t="s">
        <v>303</v>
      </c>
      <c r="H332" s="564" t="n">
        <v>0.0515</v>
      </c>
      <c r="I332" s="572" t="n">
        <v>6</v>
      </c>
      <c r="J332" s="575" t="s">
        <v>2007</v>
      </c>
      <c r="K332" s="360" t="s">
        <v>2008</v>
      </c>
      <c r="L332" s="360"/>
      <c r="M332" s="360"/>
      <c r="N332" s="360"/>
      <c r="O332" s="360"/>
      <c r="P332" s="360"/>
      <c r="Q332" s="360"/>
      <c r="R332" s="360"/>
    </row>
    <row r="333" customFormat="false" ht="97.5" hidden="false" customHeight="true" outlineLevel="0" collapsed="false">
      <c r="A333" s="562" t="n">
        <v>326</v>
      </c>
      <c r="B333" s="574" t="n">
        <v>45215</v>
      </c>
      <c r="C333" s="562" t="s">
        <v>862</v>
      </c>
      <c r="D333" s="562" t="s">
        <v>863</v>
      </c>
      <c r="E333" s="562"/>
      <c r="F333" s="563" t="n">
        <v>45215</v>
      </c>
      <c r="G333" s="568" t="s">
        <v>99</v>
      </c>
      <c r="H333" s="571" t="n">
        <v>0.0435</v>
      </c>
      <c r="I333" s="565" t="n">
        <v>1</v>
      </c>
      <c r="J333" s="564" t="s">
        <v>99</v>
      </c>
      <c r="K333" s="360" t="s">
        <v>2009</v>
      </c>
      <c r="L333" s="360"/>
      <c r="M333" s="360"/>
      <c r="N333" s="360"/>
      <c r="O333" s="360"/>
      <c r="P333" s="360"/>
      <c r="Q333" s="360"/>
      <c r="R333" s="360"/>
    </row>
    <row r="334" customFormat="false" ht="39.75" hidden="false" customHeight="true" outlineLevel="0" collapsed="false">
      <c r="A334" s="562" t="n">
        <v>327</v>
      </c>
      <c r="B334" s="574" t="n">
        <v>45218</v>
      </c>
      <c r="C334" s="562" t="s">
        <v>187</v>
      </c>
      <c r="D334" s="562" t="s">
        <v>2010</v>
      </c>
      <c r="E334" s="562"/>
      <c r="F334" s="567" t="s">
        <v>158</v>
      </c>
      <c r="G334" s="563" t="s">
        <v>303</v>
      </c>
      <c r="H334" s="564" t="n">
        <v>0.052</v>
      </c>
      <c r="I334" s="565" t="n">
        <v>5</v>
      </c>
      <c r="J334" s="575" t="s">
        <v>95</v>
      </c>
      <c r="K334" s="360" t="s">
        <v>2011</v>
      </c>
      <c r="L334" s="360"/>
      <c r="M334" s="360"/>
      <c r="N334" s="360"/>
      <c r="O334" s="360"/>
      <c r="P334" s="360"/>
      <c r="Q334" s="360"/>
      <c r="R334" s="360"/>
    </row>
    <row r="335" customFormat="false" ht="76.5" hidden="false" customHeight="true" outlineLevel="0" collapsed="false">
      <c r="A335" s="562" t="n">
        <v>328</v>
      </c>
      <c r="B335" s="574" t="n">
        <v>45222</v>
      </c>
      <c r="C335" s="562" t="s">
        <v>124</v>
      </c>
      <c r="D335" s="562" t="s">
        <v>884</v>
      </c>
      <c r="E335" s="562"/>
      <c r="F335" s="567" t="s">
        <v>158</v>
      </c>
      <c r="G335" s="568" t="s">
        <v>1554</v>
      </c>
      <c r="H335" s="571" t="s">
        <v>2012</v>
      </c>
      <c r="I335" s="565" t="n">
        <v>1</v>
      </c>
      <c r="J335" s="575" t="s">
        <v>95</v>
      </c>
      <c r="K335" s="360" t="s">
        <v>2013</v>
      </c>
      <c r="L335" s="360"/>
      <c r="M335" s="360"/>
      <c r="N335" s="360"/>
      <c r="O335" s="360"/>
      <c r="P335" s="360"/>
      <c r="Q335" s="360"/>
      <c r="R335" s="360"/>
    </row>
    <row r="336" customFormat="false" ht="76.5" hidden="false" customHeight="true" outlineLevel="0" collapsed="false">
      <c r="A336" s="562" t="n">
        <v>329</v>
      </c>
      <c r="B336" s="574" t="n">
        <v>45223</v>
      </c>
      <c r="C336" s="562" t="s">
        <v>124</v>
      </c>
      <c r="D336" s="577" t="s">
        <v>2014</v>
      </c>
      <c r="E336" s="562"/>
      <c r="F336" s="567" t="s">
        <v>158</v>
      </c>
      <c r="G336" s="568" t="s">
        <v>396</v>
      </c>
      <c r="H336" s="571" t="n">
        <v>0.0565</v>
      </c>
      <c r="I336" s="565" t="n">
        <v>1</v>
      </c>
      <c r="J336" s="575" t="s">
        <v>95</v>
      </c>
      <c r="K336" s="360" t="s">
        <v>2015</v>
      </c>
      <c r="L336" s="360"/>
      <c r="M336" s="360"/>
      <c r="N336" s="360"/>
      <c r="O336" s="360"/>
      <c r="P336" s="360"/>
      <c r="Q336" s="360"/>
      <c r="R336" s="360"/>
    </row>
    <row r="337" customFormat="false" ht="76.5" hidden="false" customHeight="true" outlineLevel="0" collapsed="false">
      <c r="A337" s="562" t="n">
        <v>330</v>
      </c>
      <c r="B337" s="574" t="n">
        <v>45225</v>
      </c>
      <c r="C337" s="562" t="s">
        <v>89</v>
      </c>
      <c r="D337" s="562" t="s">
        <v>805</v>
      </c>
      <c r="E337" s="562" t="s">
        <v>1617</v>
      </c>
      <c r="F337" s="567" t="s">
        <v>158</v>
      </c>
      <c r="G337" s="568" t="s">
        <v>1554</v>
      </c>
      <c r="H337" s="571" t="s">
        <v>2012</v>
      </c>
      <c r="I337" s="565" t="n">
        <v>5</v>
      </c>
      <c r="J337" s="575" t="s">
        <v>95</v>
      </c>
      <c r="K337" s="360" t="s">
        <v>2016</v>
      </c>
      <c r="L337" s="360"/>
      <c r="M337" s="360"/>
      <c r="N337" s="360"/>
      <c r="O337" s="360"/>
      <c r="P337" s="360"/>
      <c r="Q337" s="360"/>
      <c r="R337" s="360"/>
    </row>
    <row r="338" customFormat="false" ht="52.5" hidden="false" customHeight="true" outlineLevel="0" collapsed="false">
      <c r="A338" s="562" t="n">
        <v>331</v>
      </c>
      <c r="B338" s="574" t="n">
        <v>45225</v>
      </c>
      <c r="C338" s="562" t="s">
        <v>96</v>
      </c>
      <c r="D338" s="562" t="s">
        <v>759</v>
      </c>
      <c r="E338" s="562" t="s">
        <v>1637</v>
      </c>
      <c r="F338" s="563" t="n">
        <v>45226</v>
      </c>
      <c r="G338" s="568" t="s">
        <v>1394</v>
      </c>
      <c r="H338" s="571" t="s">
        <v>2017</v>
      </c>
      <c r="I338" s="565" t="n">
        <v>10</v>
      </c>
      <c r="J338" s="575" t="s">
        <v>95</v>
      </c>
      <c r="K338" s="360" t="s">
        <v>2018</v>
      </c>
      <c r="L338" s="360"/>
      <c r="M338" s="360"/>
      <c r="N338" s="360"/>
      <c r="O338" s="360"/>
      <c r="P338" s="360"/>
      <c r="Q338" s="360"/>
      <c r="R338" s="360"/>
    </row>
    <row r="339" customFormat="false" ht="76.5" hidden="false" customHeight="true" outlineLevel="0" collapsed="false">
      <c r="A339" s="562" t="n">
        <v>332</v>
      </c>
      <c r="B339" s="574" t="n">
        <v>45226</v>
      </c>
      <c r="C339" s="562" t="s">
        <v>89</v>
      </c>
      <c r="D339" s="562" t="s">
        <v>849</v>
      </c>
      <c r="E339" s="562"/>
      <c r="F339" s="567" t="s">
        <v>158</v>
      </c>
      <c r="G339" s="568" t="s">
        <v>303</v>
      </c>
      <c r="H339" s="571" t="s">
        <v>2019</v>
      </c>
      <c r="I339" s="565" t="n">
        <v>1.5</v>
      </c>
      <c r="J339" s="575" t="s">
        <v>95</v>
      </c>
      <c r="K339" s="360" t="s">
        <v>2020</v>
      </c>
      <c r="L339" s="360"/>
      <c r="M339" s="360"/>
      <c r="N339" s="360"/>
      <c r="O339" s="360"/>
      <c r="P339" s="360"/>
      <c r="Q339" s="360"/>
      <c r="R339" s="360"/>
    </row>
    <row r="340" customFormat="false" ht="39.75" hidden="false" customHeight="true" outlineLevel="0" collapsed="false">
      <c r="A340" s="562" t="n">
        <v>333</v>
      </c>
      <c r="B340" s="574" t="n">
        <v>45231</v>
      </c>
      <c r="C340" s="562" t="s">
        <v>597</v>
      </c>
      <c r="D340" s="562" t="s">
        <v>728</v>
      </c>
      <c r="E340" s="562"/>
      <c r="F340" s="567" t="s">
        <v>158</v>
      </c>
      <c r="G340" s="568" t="s">
        <v>303</v>
      </c>
      <c r="H340" s="571" t="n">
        <v>0.0515</v>
      </c>
      <c r="I340" s="565" t="n">
        <v>7</v>
      </c>
      <c r="J340" s="575" t="s">
        <v>95</v>
      </c>
      <c r="K340" s="360" t="s">
        <v>2021</v>
      </c>
      <c r="L340" s="360"/>
      <c r="M340" s="360"/>
      <c r="N340" s="360"/>
      <c r="O340" s="360"/>
      <c r="P340" s="360"/>
      <c r="Q340" s="360"/>
      <c r="R340" s="360"/>
    </row>
    <row r="341" customFormat="false" ht="52.5" hidden="false" customHeight="true" outlineLevel="0" collapsed="false">
      <c r="A341" s="562" t="n">
        <v>334</v>
      </c>
      <c r="B341" s="574" t="n">
        <v>45236</v>
      </c>
      <c r="C341" s="562" t="s">
        <v>1184</v>
      </c>
      <c r="D341" s="562" t="s">
        <v>1972</v>
      </c>
      <c r="E341" s="562" t="s">
        <v>2022</v>
      </c>
      <c r="F341" s="567" t="s">
        <v>158</v>
      </c>
      <c r="G341" s="568" t="s">
        <v>1603</v>
      </c>
      <c r="H341" s="571" t="s">
        <v>2023</v>
      </c>
      <c r="I341" s="565" t="n">
        <v>35</v>
      </c>
      <c r="J341" s="575" t="s">
        <v>95</v>
      </c>
      <c r="K341" s="360" t="s">
        <v>2024</v>
      </c>
      <c r="L341" s="360"/>
      <c r="M341" s="360"/>
      <c r="N341" s="360"/>
      <c r="O341" s="360"/>
      <c r="P341" s="360"/>
      <c r="Q341" s="360"/>
      <c r="R341" s="360"/>
    </row>
    <row r="342" customFormat="false" ht="52.5" hidden="false" customHeight="true" outlineLevel="0" collapsed="false">
      <c r="A342" s="562" t="n">
        <v>335</v>
      </c>
      <c r="B342" s="574" t="n">
        <v>45236</v>
      </c>
      <c r="C342" s="562" t="s">
        <v>1184</v>
      </c>
      <c r="D342" s="577" t="s">
        <v>2025</v>
      </c>
      <c r="E342" s="562" t="s">
        <v>2022</v>
      </c>
      <c r="F342" s="567" t="s">
        <v>158</v>
      </c>
      <c r="G342" s="568" t="s">
        <v>1397</v>
      </c>
      <c r="H342" s="571" t="s">
        <v>2026</v>
      </c>
      <c r="I342" s="565" t="n">
        <v>35</v>
      </c>
      <c r="J342" s="575" t="s">
        <v>95</v>
      </c>
      <c r="K342" s="360" t="s">
        <v>2027</v>
      </c>
      <c r="L342" s="360"/>
      <c r="M342" s="360"/>
      <c r="N342" s="360"/>
      <c r="O342" s="360"/>
      <c r="P342" s="360"/>
      <c r="Q342" s="360"/>
      <c r="R342" s="360"/>
    </row>
    <row r="343" customFormat="false" ht="52.5" hidden="false" customHeight="true" outlineLevel="0" collapsed="false">
      <c r="A343" s="562" t="n">
        <v>336</v>
      </c>
      <c r="B343" s="574" t="n">
        <v>45236</v>
      </c>
      <c r="C343" s="562" t="s">
        <v>1184</v>
      </c>
      <c r="D343" s="577" t="s">
        <v>2025</v>
      </c>
      <c r="E343" s="562" t="s">
        <v>2022</v>
      </c>
      <c r="F343" s="567" t="s">
        <v>158</v>
      </c>
      <c r="G343" s="568" t="s">
        <v>1397</v>
      </c>
      <c r="H343" s="571" t="s">
        <v>2028</v>
      </c>
      <c r="I343" s="565" t="n">
        <v>35</v>
      </c>
      <c r="J343" s="575" t="s">
        <v>95</v>
      </c>
      <c r="K343" s="360" t="s">
        <v>2029</v>
      </c>
      <c r="L343" s="360"/>
      <c r="M343" s="360"/>
      <c r="N343" s="360"/>
      <c r="O343" s="360"/>
      <c r="P343" s="360"/>
      <c r="Q343" s="360"/>
      <c r="R343" s="360"/>
    </row>
    <row r="344" customFormat="false" ht="76.5" hidden="false" customHeight="true" outlineLevel="0" collapsed="false">
      <c r="A344" s="562" t="n">
        <v>337</v>
      </c>
      <c r="B344" s="574" t="n">
        <v>45237</v>
      </c>
      <c r="C344" s="562" t="s">
        <v>124</v>
      </c>
      <c r="D344" s="577" t="s">
        <v>2014</v>
      </c>
      <c r="E344" s="562"/>
      <c r="F344" s="563" t="n">
        <v>45237</v>
      </c>
      <c r="G344" s="568" t="s">
        <v>396</v>
      </c>
      <c r="H344" s="571" t="n">
        <v>0.0565</v>
      </c>
      <c r="I344" s="565" t="n">
        <v>1</v>
      </c>
      <c r="J344" s="575" t="s">
        <v>95</v>
      </c>
      <c r="K344" s="360" t="s">
        <v>2030</v>
      </c>
      <c r="L344" s="360"/>
      <c r="M344" s="360"/>
      <c r="N344" s="360"/>
      <c r="O344" s="360"/>
      <c r="P344" s="360"/>
      <c r="Q344" s="360"/>
      <c r="R344" s="360"/>
    </row>
    <row r="345" customFormat="false" ht="64.5" hidden="false" customHeight="true" outlineLevel="0" collapsed="false">
      <c r="A345" s="562" t="n">
        <v>338</v>
      </c>
      <c r="B345" s="574" t="n">
        <v>45239</v>
      </c>
      <c r="C345" s="562" t="s">
        <v>1184</v>
      </c>
      <c r="D345" s="577" t="s">
        <v>2025</v>
      </c>
      <c r="E345" s="562" t="s">
        <v>2022</v>
      </c>
      <c r="F345" s="563" t="n">
        <v>45239</v>
      </c>
      <c r="G345" s="568" t="s">
        <v>1603</v>
      </c>
      <c r="H345" s="571" t="s">
        <v>2031</v>
      </c>
      <c r="I345" s="565" t="n">
        <v>35</v>
      </c>
      <c r="J345" s="575" t="s">
        <v>95</v>
      </c>
      <c r="K345" s="360" t="s">
        <v>2032</v>
      </c>
      <c r="L345" s="360"/>
      <c r="M345" s="360"/>
      <c r="N345" s="360"/>
      <c r="O345" s="360"/>
      <c r="P345" s="360"/>
      <c r="Q345" s="360"/>
      <c r="R345" s="360"/>
    </row>
    <row r="346" customFormat="false" ht="39.75" hidden="false" customHeight="true" outlineLevel="0" collapsed="false">
      <c r="A346" s="562" t="n">
        <v>339</v>
      </c>
      <c r="B346" s="574" t="n">
        <v>45240</v>
      </c>
      <c r="C346" s="562" t="s">
        <v>209</v>
      </c>
      <c r="D346" s="562" t="s">
        <v>735</v>
      </c>
      <c r="E346" s="562" t="s">
        <v>1965</v>
      </c>
      <c r="F346" s="563" t="n">
        <v>45240</v>
      </c>
      <c r="G346" s="563" t="s">
        <v>303</v>
      </c>
      <c r="H346" s="564" t="s">
        <v>2033</v>
      </c>
      <c r="I346" s="572" t="n">
        <v>6</v>
      </c>
      <c r="J346" s="575" t="s">
        <v>2007</v>
      </c>
      <c r="K346" s="360" t="s">
        <v>2034</v>
      </c>
      <c r="L346" s="360"/>
      <c r="M346" s="360"/>
      <c r="N346" s="360"/>
      <c r="O346" s="360"/>
      <c r="P346" s="360"/>
      <c r="Q346" s="360"/>
      <c r="R346" s="360"/>
    </row>
    <row r="347" customFormat="false" ht="39.75" hidden="false" customHeight="true" outlineLevel="0" collapsed="false">
      <c r="A347" s="562" t="n">
        <v>340</v>
      </c>
      <c r="B347" s="574" t="n">
        <v>45243</v>
      </c>
      <c r="C347" s="562" t="s">
        <v>862</v>
      </c>
      <c r="D347" s="562" t="s">
        <v>903</v>
      </c>
      <c r="E347" s="562" t="s">
        <v>2035</v>
      </c>
      <c r="F347" s="563" t="n">
        <v>45243</v>
      </c>
      <c r="G347" s="563"/>
      <c r="H347" s="564" t="n">
        <v>0.0435</v>
      </c>
      <c r="I347" s="565" t="n">
        <v>5</v>
      </c>
      <c r="J347" s="580" t="s">
        <v>99</v>
      </c>
      <c r="K347" s="360"/>
      <c r="L347" s="360"/>
      <c r="M347" s="360"/>
      <c r="N347" s="360"/>
      <c r="O347" s="360"/>
      <c r="P347" s="360"/>
      <c r="Q347" s="360"/>
      <c r="R347" s="360"/>
    </row>
    <row r="348" customFormat="false" ht="39.75" hidden="false" customHeight="true" outlineLevel="0" collapsed="false">
      <c r="A348" s="562" t="n">
        <v>341</v>
      </c>
      <c r="B348" s="574" t="n">
        <v>45244</v>
      </c>
      <c r="C348" s="562" t="s">
        <v>862</v>
      </c>
      <c r="D348" s="562" t="s">
        <v>903</v>
      </c>
      <c r="E348" s="562"/>
      <c r="F348" s="563" t="n">
        <v>45247</v>
      </c>
      <c r="G348" s="563" t="s">
        <v>99</v>
      </c>
      <c r="H348" s="564" t="n">
        <v>0.0435</v>
      </c>
      <c r="I348" s="565" t="n">
        <v>1</v>
      </c>
      <c r="J348" s="580"/>
      <c r="K348" s="360"/>
      <c r="L348" s="360"/>
      <c r="M348" s="360"/>
      <c r="N348" s="360"/>
      <c r="O348" s="360"/>
      <c r="P348" s="360"/>
      <c r="Q348" s="360"/>
      <c r="R348" s="360"/>
    </row>
    <row r="349" customFormat="false" ht="60" hidden="false" customHeight="true" outlineLevel="0" collapsed="false">
      <c r="A349" s="562" t="n">
        <v>342</v>
      </c>
      <c r="B349" s="574" t="n">
        <v>45246</v>
      </c>
      <c r="C349" s="562" t="s">
        <v>100</v>
      </c>
      <c r="D349" s="562" t="s">
        <v>890</v>
      </c>
      <c r="E349" s="562"/>
      <c r="F349" s="568" t="s">
        <v>2036</v>
      </c>
      <c r="G349" s="568" t="s">
        <v>2037</v>
      </c>
      <c r="H349" s="564" t="n">
        <v>0.051</v>
      </c>
      <c r="I349" s="565" t="n">
        <v>100</v>
      </c>
      <c r="J349" s="575" t="s">
        <v>95</v>
      </c>
      <c r="K349" s="360" t="s">
        <v>2038</v>
      </c>
      <c r="L349" s="360"/>
      <c r="M349" s="360"/>
      <c r="N349" s="360"/>
      <c r="O349" s="360"/>
      <c r="P349" s="360"/>
      <c r="Q349" s="360"/>
      <c r="R349" s="360"/>
    </row>
    <row r="350" customFormat="false" ht="39.75" hidden="false" customHeight="true" outlineLevel="0" collapsed="false">
      <c r="A350" s="562" t="n">
        <v>343</v>
      </c>
      <c r="B350" s="574" t="n">
        <v>45250</v>
      </c>
      <c r="C350" s="562" t="s">
        <v>866</v>
      </c>
      <c r="D350" s="562" t="s">
        <v>867</v>
      </c>
      <c r="E350" s="562" t="s">
        <v>2039</v>
      </c>
      <c r="F350" s="563" t="n">
        <v>45250</v>
      </c>
      <c r="G350" s="563" t="s">
        <v>99</v>
      </c>
      <c r="H350" s="564" t="n">
        <v>0.0435</v>
      </c>
      <c r="I350" s="565" t="n">
        <v>1</v>
      </c>
      <c r="J350" s="580" t="s">
        <v>99</v>
      </c>
      <c r="K350" s="360"/>
      <c r="L350" s="360"/>
      <c r="M350" s="360"/>
      <c r="N350" s="360"/>
      <c r="O350" s="360"/>
      <c r="P350" s="360"/>
      <c r="Q350" s="360"/>
      <c r="R350" s="360"/>
    </row>
    <row r="351" customFormat="false" ht="39.75" hidden="false" customHeight="true" outlineLevel="0" collapsed="false">
      <c r="A351" s="562" t="n">
        <v>344</v>
      </c>
      <c r="B351" s="574" t="n">
        <v>45251</v>
      </c>
      <c r="C351" s="562" t="s">
        <v>187</v>
      </c>
      <c r="D351" s="562" t="s">
        <v>2010</v>
      </c>
      <c r="E351" s="562" t="s">
        <v>877</v>
      </c>
      <c r="F351" s="563" t="n">
        <v>45251</v>
      </c>
      <c r="G351" s="563" t="s">
        <v>303</v>
      </c>
      <c r="H351" s="564" t="n">
        <v>0.052</v>
      </c>
      <c r="I351" s="565" t="n">
        <v>4.7</v>
      </c>
      <c r="J351" s="575" t="s">
        <v>95</v>
      </c>
      <c r="K351" s="360" t="s">
        <v>2040</v>
      </c>
      <c r="L351" s="360"/>
      <c r="M351" s="360"/>
      <c r="N351" s="360"/>
      <c r="O351" s="360"/>
      <c r="P351" s="360"/>
      <c r="Q351" s="360"/>
      <c r="R351" s="360"/>
    </row>
    <row r="352" customFormat="false" ht="96" hidden="false" customHeight="true" outlineLevel="0" collapsed="false">
      <c r="A352" s="562" t="n">
        <v>345</v>
      </c>
      <c r="B352" s="574" t="n">
        <v>45251</v>
      </c>
      <c r="C352" s="562" t="s">
        <v>124</v>
      </c>
      <c r="D352" s="577" t="s">
        <v>2014</v>
      </c>
      <c r="E352" s="562"/>
      <c r="F352" s="567" t="s">
        <v>158</v>
      </c>
      <c r="G352" s="568" t="s">
        <v>396</v>
      </c>
      <c r="H352" s="571" t="n">
        <v>0.0565</v>
      </c>
      <c r="I352" s="565" t="n">
        <v>1</v>
      </c>
      <c r="J352" s="575" t="s">
        <v>95</v>
      </c>
      <c r="K352" s="360" t="s">
        <v>2041</v>
      </c>
      <c r="L352" s="360"/>
      <c r="M352" s="360"/>
      <c r="N352" s="360"/>
      <c r="O352" s="360"/>
      <c r="P352" s="360"/>
      <c r="Q352" s="360"/>
      <c r="R352" s="360"/>
    </row>
    <row r="353" customFormat="false" ht="39.75" hidden="false" customHeight="true" outlineLevel="0" collapsed="false">
      <c r="A353" s="562" t="n">
        <v>346</v>
      </c>
      <c r="B353" s="574" t="n">
        <v>45252</v>
      </c>
      <c r="C353" s="562" t="s">
        <v>187</v>
      </c>
      <c r="D353" s="562" t="s">
        <v>2010</v>
      </c>
      <c r="E353" s="562" t="s">
        <v>877</v>
      </c>
      <c r="F353" s="563" t="n">
        <v>45252</v>
      </c>
      <c r="G353" s="563" t="s">
        <v>303</v>
      </c>
      <c r="H353" s="564" t="n">
        <v>0.052</v>
      </c>
      <c r="I353" s="565" t="n">
        <v>2.3</v>
      </c>
      <c r="J353" s="575" t="s">
        <v>95</v>
      </c>
      <c r="K353" s="360" t="s">
        <v>2042</v>
      </c>
      <c r="L353" s="360"/>
      <c r="M353" s="360"/>
      <c r="N353" s="360"/>
      <c r="O353" s="360"/>
      <c r="P353" s="360"/>
      <c r="Q353" s="360"/>
      <c r="R353" s="360"/>
    </row>
    <row r="354" customFormat="false" ht="97.5" hidden="false" customHeight="true" outlineLevel="0" collapsed="false">
      <c r="A354" s="562" t="n">
        <v>347</v>
      </c>
      <c r="B354" s="574" t="n">
        <v>45253</v>
      </c>
      <c r="C354" s="562" t="s">
        <v>1991</v>
      </c>
      <c r="D354" s="562" t="s">
        <v>1992</v>
      </c>
      <c r="E354" s="562" t="s">
        <v>2043</v>
      </c>
      <c r="F354" s="567" t="s">
        <v>158</v>
      </c>
      <c r="G354" s="568" t="s">
        <v>2044</v>
      </c>
      <c r="H354" s="571" t="n">
        <v>0.0435</v>
      </c>
      <c r="I354" s="572" t="s">
        <v>2045</v>
      </c>
      <c r="J354" s="564" t="s">
        <v>99</v>
      </c>
      <c r="K354" s="360" t="s">
        <v>2046</v>
      </c>
      <c r="L354" s="360"/>
      <c r="M354" s="360"/>
      <c r="N354" s="360"/>
      <c r="O354" s="360"/>
      <c r="P354" s="360"/>
      <c r="Q354" s="360"/>
      <c r="R354" s="360"/>
    </row>
    <row r="355" customFormat="false" ht="39.75" hidden="false" customHeight="true" outlineLevel="0" collapsed="false">
      <c r="A355" s="562" t="n">
        <v>348</v>
      </c>
      <c r="B355" s="574" t="n">
        <v>45261</v>
      </c>
      <c r="C355" s="562" t="s">
        <v>597</v>
      </c>
      <c r="D355" s="562" t="s">
        <v>634</v>
      </c>
      <c r="E355" s="562" t="s">
        <v>2047</v>
      </c>
      <c r="F355" s="567" t="s">
        <v>158</v>
      </c>
      <c r="G355" s="563" t="s">
        <v>303</v>
      </c>
      <c r="H355" s="564" t="n">
        <v>0.0518</v>
      </c>
      <c r="I355" s="565" t="n">
        <v>5</v>
      </c>
      <c r="J355" s="575" t="s">
        <v>95</v>
      </c>
      <c r="K355" s="360" t="s">
        <v>2048</v>
      </c>
      <c r="L355" s="360"/>
      <c r="M355" s="360"/>
      <c r="N355" s="360"/>
      <c r="O355" s="360"/>
      <c r="P355" s="360"/>
      <c r="Q355" s="360"/>
      <c r="R355" s="360"/>
    </row>
    <row r="356" customFormat="false" ht="39.75" hidden="false" customHeight="true" outlineLevel="0" collapsed="false">
      <c r="A356" s="562" t="n">
        <v>349</v>
      </c>
      <c r="B356" s="574" t="n">
        <v>45271</v>
      </c>
      <c r="C356" s="562" t="s">
        <v>209</v>
      </c>
      <c r="D356" s="562" t="s">
        <v>735</v>
      </c>
      <c r="E356" s="562" t="s">
        <v>1965</v>
      </c>
      <c r="F356" s="563" t="n">
        <v>45271</v>
      </c>
      <c r="G356" s="563" t="s">
        <v>303</v>
      </c>
      <c r="H356" s="564" t="n">
        <v>0.0525</v>
      </c>
      <c r="I356" s="572" t="n">
        <v>6</v>
      </c>
      <c r="J356" s="575" t="s">
        <v>2007</v>
      </c>
      <c r="K356" s="360" t="s">
        <v>2049</v>
      </c>
      <c r="L356" s="360"/>
      <c r="M356" s="360"/>
      <c r="N356" s="360"/>
      <c r="O356" s="360"/>
      <c r="P356" s="360"/>
      <c r="Q356" s="360"/>
      <c r="R356" s="360"/>
    </row>
    <row r="357" customFormat="false" ht="39.75" hidden="false" customHeight="true" outlineLevel="0" collapsed="false">
      <c r="A357" s="562" t="n">
        <v>350</v>
      </c>
      <c r="B357" s="574" t="n">
        <v>45273</v>
      </c>
      <c r="C357" s="562" t="s">
        <v>103</v>
      </c>
      <c r="D357" s="562" t="s">
        <v>900</v>
      </c>
      <c r="E357" s="562"/>
      <c r="F357" s="563" t="n">
        <v>45273</v>
      </c>
      <c r="G357" s="563" t="s">
        <v>99</v>
      </c>
      <c r="H357" s="564" t="n">
        <v>0.043</v>
      </c>
      <c r="I357" s="565" t="n">
        <v>5</v>
      </c>
      <c r="J357" s="580" t="s">
        <v>99</v>
      </c>
      <c r="K357" s="360" t="s">
        <v>2050</v>
      </c>
      <c r="L357" s="360"/>
      <c r="M357" s="360"/>
      <c r="N357" s="360"/>
      <c r="O357" s="360"/>
      <c r="P357" s="360"/>
      <c r="Q357" s="360"/>
      <c r="R357" s="360"/>
    </row>
    <row r="358" customFormat="false" ht="39.75" hidden="false" customHeight="true" outlineLevel="0" collapsed="false">
      <c r="A358" s="562" t="n">
        <v>351</v>
      </c>
      <c r="B358" s="574" t="n">
        <v>45275</v>
      </c>
      <c r="C358" s="562" t="s">
        <v>597</v>
      </c>
      <c r="D358" s="562" t="s">
        <v>634</v>
      </c>
      <c r="E358" s="562"/>
      <c r="F358" s="567" t="s">
        <v>158</v>
      </c>
      <c r="G358" s="563" t="s">
        <v>303</v>
      </c>
      <c r="H358" s="564" t="n">
        <v>0.0525</v>
      </c>
      <c r="I358" s="565" t="n">
        <v>3.8</v>
      </c>
      <c r="J358" s="575" t="s">
        <v>95</v>
      </c>
      <c r="K358" s="360" t="s">
        <v>2051</v>
      </c>
      <c r="L358" s="360"/>
      <c r="M358" s="360"/>
      <c r="N358" s="360"/>
      <c r="O358" s="360"/>
      <c r="P358" s="360"/>
      <c r="Q358" s="360"/>
      <c r="R358" s="360"/>
    </row>
    <row r="359" customFormat="false" ht="39.75" hidden="false" customHeight="true" outlineLevel="0" collapsed="false">
      <c r="A359" s="562" t="n">
        <v>352</v>
      </c>
      <c r="B359" s="574" t="n">
        <v>45278</v>
      </c>
      <c r="C359" s="562" t="s">
        <v>862</v>
      </c>
      <c r="D359" s="562" t="s">
        <v>903</v>
      </c>
      <c r="E359" s="562"/>
      <c r="F359" s="563" t="n">
        <v>45278</v>
      </c>
      <c r="G359" s="563"/>
      <c r="H359" s="564" t="n">
        <v>0.0435</v>
      </c>
      <c r="I359" s="565" t="n">
        <v>5</v>
      </c>
      <c r="J359" s="580" t="s">
        <v>99</v>
      </c>
      <c r="K359" s="360" t="s">
        <v>2052</v>
      </c>
      <c r="L359" s="360"/>
      <c r="M359" s="360"/>
      <c r="N359" s="360"/>
      <c r="O359" s="360"/>
      <c r="P359" s="360"/>
      <c r="Q359" s="360"/>
      <c r="R359" s="360"/>
    </row>
    <row r="360" customFormat="false" ht="39.75" hidden="false" customHeight="true" outlineLevel="0" collapsed="false">
      <c r="A360" s="562" t="n">
        <v>353</v>
      </c>
      <c r="B360" s="574" t="n">
        <v>45278</v>
      </c>
      <c r="C360" s="562" t="s">
        <v>862</v>
      </c>
      <c r="D360" s="562" t="s">
        <v>905</v>
      </c>
      <c r="E360" s="562"/>
      <c r="F360" s="563" t="n">
        <v>45278</v>
      </c>
      <c r="G360" s="563"/>
      <c r="H360" s="564" t="n">
        <v>0.0435</v>
      </c>
      <c r="I360" s="565" t="n">
        <v>2</v>
      </c>
      <c r="J360" s="580" t="s">
        <v>99</v>
      </c>
      <c r="K360" s="360" t="s">
        <v>2052</v>
      </c>
      <c r="L360" s="360"/>
      <c r="M360" s="360"/>
      <c r="N360" s="360"/>
      <c r="O360" s="360"/>
      <c r="P360" s="360"/>
      <c r="Q360" s="360"/>
      <c r="R360" s="360"/>
    </row>
    <row r="361" customFormat="false" ht="39.75" hidden="false" customHeight="true" outlineLevel="0" collapsed="false">
      <c r="A361" s="562" t="n">
        <v>354</v>
      </c>
      <c r="B361" s="574" t="n">
        <v>45278</v>
      </c>
      <c r="C361" s="562" t="s">
        <v>597</v>
      </c>
      <c r="D361" s="562" t="s">
        <v>634</v>
      </c>
      <c r="E361" s="562"/>
      <c r="F361" s="567" t="s">
        <v>158</v>
      </c>
      <c r="G361" s="563" t="s">
        <v>303</v>
      </c>
      <c r="H361" s="564" t="n">
        <v>0.053</v>
      </c>
      <c r="I361" s="565" t="n">
        <v>5</v>
      </c>
      <c r="J361" s="575" t="s">
        <v>95</v>
      </c>
      <c r="K361" s="360" t="s">
        <v>2053</v>
      </c>
      <c r="L361" s="360"/>
      <c r="M361" s="360"/>
      <c r="N361" s="360"/>
      <c r="O361" s="360"/>
      <c r="P361" s="360"/>
      <c r="Q361" s="360"/>
      <c r="R361" s="360"/>
    </row>
    <row r="362" customFormat="false" ht="76.5" hidden="false" customHeight="true" outlineLevel="0" collapsed="false">
      <c r="A362" s="562" t="n">
        <v>355</v>
      </c>
      <c r="B362" s="574" t="n">
        <v>45281</v>
      </c>
      <c r="C362" s="562" t="s">
        <v>977</v>
      </c>
      <c r="D362" s="562" t="s">
        <v>979</v>
      </c>
      <c r="E362" s="562"/>
      <c r="F362" s="567" t="s">
        <v>158</v>
      </c>
      <c r="G362" s="568" t="s">
        <v>1798</v>
      </c>
      <c r="H362" s="571" t="s">
        <v>2054</v>
      </c>
      <c r="I362" s="565" t="n">
        <v>1</v>
      </c>
      <c r="J362" s="575" t="s">
        <v>95</v>
      </c>
      <c r="K362" s="360" t="s">
        <v>2055</v>
      </c>
      <c r="L362" s="360"/>
      <c r="M362" s="360"/>
      <c r="N362" s="360"/>
      <c r="O362" s="360"/>
      <c r="P362" s="360"/>
      <c r="Q362" s="360"/>
      <c r="R362" s="360"/>
    </row>
    <row r="363" customFormat="false" ht="39.75" hidden="false" customHeight="true" outlineLevel="0" collapsed="false">
      <c r="A363" s="562" t="n">
        <v>356</v>
      </c>
      <c r="B363" s="574" t="n">
        <v>45289</v>
      </c>
      <c r="C363" s="562" t="s">
        <v>1184</v>
      </c>
      <c r="D363" s="562" t="s">
        <v>2003</v>
      </c>
      <c r="E363" s="562" t="s">
        <v>1187</v>
      </c>
      <c r="F363" s="567" t="s">
        <v>158</v>
      </c>
      <c r="G363" s="568" t="s">
        <v>1397</v>
      </c>
      <c r="H363" s="571" t="s">
        <v>2056</v>
      </c>
      <c r="I363" s="565" t="s">
        <v>1491</v>
      </c>
      <c r="J363" s="575" t="s">
        <v>95</v>
      </c>
      <c r="K363" s="360"/>
      <c r="L363" s="360"/>
      <c r="M363" s="360"/>
      <c r="N363" s="360"/>
      <c r="O363" s="360"/>
      <c r="P363" s="360"/>
      <c r="Q363" s="360"/>
      <c r="R363" s="360"/>
    </row>
    <row r="364" customFormat="false" ht="50.25" hidden="false" customHeight="true" outlineLevel="0" collapsed="false">
      <c r="A364" s="562" t="n">
        <v>357</v>
      </c>
      <c r="B364" s="574" t="n">
        <v>45293</v>
      </c>
      <c r="C364" s="562" t="s">
        <v>187</v>
      </c>
      <c r="D364" s="562" t="s">
        <v>911</v>
      </c>
      <c r="E364" s="562"/>
      <c r="F364" s="567" t="s">
        <v>158</v>
      </c>
      <c r="G364" s="563" t="s">
        <v>396</v>
      </c>
      <c r="H364" s="564" t="n">
        <v>0.051</v>
      </c>
      <c r="I364" s="565" t="n">
        <v>1</v>
      </c>
      <c r="J364" s="575" t="s">
        <v>95</v>
      </c>
      <c r="K364" s="360" t="s">
        <v>2057</v>
      </c>
      <c r="L364" s="360"/>
      <c r="M364" s="360"/>
      <c r="N364" s="360"/>
      <c r="O364" s="360"/>
      <c r="P364" s="360"/>
      <c r="Q364" s="360"/>
      <c r="R364" s="360"/>
    </row>
    <row r="365" customFormat="false" ht="39.75" hidden="false" customHeight="true" outlineLevel="0" collapsed="false">
      <c r="A365" s="562" t="n">
        <v>358</v>
      </c>
      <c r="B365" s="574" t="n">
        <v>45299</v>
      </c>
      <c r="C365" s="562" t="s">
        <v>916</v>
      </c>
      <c r="D365" s="562" t="s">
        <v>918</v>
      </c>
      <c r="E365" s="562"/>
      <c r="F365" s="567" t="s">
        <v>158</v>
      </c>
      <c r="G365" s="568" t="s">
        <v>1554</v>
      </c>
      <c r="H365" s="571" t="s">
        <v>2058</v>
      </c>
      <c r="I365" s="565" t="n">
        <v>3</v>
      </c>
      <c r="J365" s="575" t="s">
        <v>95</v>
      </c>
      <c r="K365" s="360" t="s">
        <v>2059</v>
      </c>
      <c r="L365" s="360"/>
      <c r="M365" s="360"/>
      <c r="N365" s="360"/>
      <c r="O365" s="360"/>
      <c r="P365" s="360"/>
      <c r="Q365" s="360"/>
      <c r="R365" s="360"/>
    </row>
    <row r="366" customFormat="false" ht="39.75" hidden="false" customHeight="true" outlineLevel="0" collapsed="false">
      <c r="A366" s="562" t="n">
        <v>359</v>
      </c>
      <c r="B366" s="574" t="n">
        <v>45299</v>
      </c>
      <c r="C366" s="562" t="s">
        <v>209</v>
      </c>
      <c r="D366" s="562" t="s">
        <v>735</v>
      </c>
      <c r="E366" s="562"/>
      <c r="F366" s="567" t="s">
        <v>158</v>
      </c>
      <c r="G366" s="563" t="s">
        <v>99</v>
      </c>
      <c r="H366" s="564" t="n">
        <v>0.044</v>
      </c>
      <c r="I366" s="565"/>
      <c r="J366" s="580" t="s">
        <v>99</v>
      </c>
      <c r="K366" s="361" t="s">
        <v>2060</v>
      </c>
      <c r="L366" s="361"/>
      <c r="M366" s="361"/>
      <c r="N366" s="361"/>
      <c r="O366" s="361"/>
      <c r="P366" s="361"/>
      <c r="Q366" s="361"/>
      <c r="R366" s="361"/>
    </row>
    <row r="367" customFormat="false" ht="39.75" hidden="false" customHeight="true" outlineLevel="0" collapsed="false">
      <c r="A367" s="562" t="n">
        <v>360</v>
      </c>
      <c r="B367" s="574" t="n">
        <v>45303</v>
      </c>
      <c r="C367" s="562" t="s">
        <v>916</v>
      </c>
      <c r="D367" s="562" t="s">
        <v>918</v>
      </c>
      <c r="E367" s="562"/>
      <c r="F367" s="567" t="s">
        <v>158</v>
      </c>
      <c r="G367" s="568" t="s">
        <v>920</v>
      </c>
      <c r="H367" s="571" t="n">
        <v>0.0515</v>
      </c>
      <c r="I367" s="565" t="n">
        <v>2.48</v>
      </c>
      <c r="J367" s="575" t="s">
        <v>95</v>
      </c>
      <c r="K367" s="360" t="s">
        <v>2061</v>
      </c>
      <c r="L367" s="360"/>
      <c r="M367" s="360"/>
      <c r="N367" s="360"/>
      <c r="O367" s="360"/>
      <c r="P367" s="360"/>
      <c r="Q367" s="360"/>
      <c r="R367" s="360"/>
    </row>
    <row r="368" customFormat="false" ht="39.75" hidden="false" customHeight="true" outlineLevel="0" collapsed="false">
      <c r="A368" s="562" t="n">
        <v>361</v>
      </c>
      <c r="B368" s="574" t="n">
        <v>45307</v>
      </c>
      <c r="C368" s="562" t="s">
        <v>100</v>
      </c>
      <c r="D368" s="562" t="s">
        <v>923</v>
      </c>
      <c r="E368" s="562" t="s">
        <v>826</v>
      </c>
      <c r="F368" s="567" t="s">
        <v>158</v>
      </c>
      <c r="G368" s="563" t="s">
        <v>305</v>
      </c>
      <c r="H368" s="564" t="n">
        <v>0.0505</v>
      </c>
      <c r="I368" s="565" t="n">
        <v>20</v>
      </c>
      <c r="J368" s="575" t="s">
        <v>95</v>
      </c>
      <c r="K368" s="360" t="s">
        <v>2062</v>
      </c>
      <c r="L368" s="360"/>
      <c r="M368" s="360"/>
      <c r="N368" s="360"/>
      <c r="O368" s="360"/>
      <c r="P368" s="360"/>
      <c r="Q368" s="360"/>
      <c r="R368" s="360"/>
    </row>
    <row r="369" customFormat="false" ht="39.75" hidden="false" customHeight="true" outlineLevel="0" collapsed="false">
      <c r="A369" s="562" t="n">
        <v>362</v>
      </c>
      <c r="B369" s="574" t="n">
        <v>45307</v>
      </c>
      <c r="C369" s="562" t="s">
        <v>96</v>
      </c>
      <c r="D369" s="562" t="s">
        <v>682</v>
      </c>
      <c r="E369" s="562"/>
      <c r="F369" s="567" t="s">
        <v>158</v>
      </c>
      <c r="G369" s="563" t="s">
        <v>300</v>
      </c>
      <c r="H369" s="564" t="n">
        <v>0.0528</v>
      </c>
      <c r="I369" s="565" t="n">
        <v>2</v>
      </c>
      <c r="J369" s="575" t="s">
        <v>95</v>
      </c>
      <c r="K369" s="360" t="s">
        <v>2063</v>
      </c>
      <c r="L369" s="360"/>
      <c r="M369" s="360"/>
      <c r="N369" s="360"/>
      <c r="O369" s="360"/>
      <c r="P369" s="360"/>
      <c r="Q369" s="360"/>
      <c r="R369" s="360"/>
    </row>
    <row r="370" customFormat="false" ht="39.75" hidden="false" customHeight="true" outlineLevel="0" collapsed="false">
      <c r="A370" s="562" t="n">
        <v>363</v>
      </c>
      <c r="B370" s="574" t="n">
        <v>45307</v>
      </c>
      <c r="C370" s="562" t="s">
        <v>1184</v>
      </c>
      <c r="D370" s="562" t="s">
        <v>2064</v>
      </c>
      <c r="E370" s="562" t="s">
        <v>1187</v>
      </c>
      <c r="F370" s="567" t="s">
        <v>158</v>
      </c>
      <c r="G370" s="568" t="s">
        <v>1397</v>
      </c>
      <c r="H370" s="571" t="s">
        <v>1968</v>
      </c>
      <c r="I370" s="565" t="n">
        <v>10</v>
      </c>
      <c r="J370" s="575" t="s">
        <v>95</v>
      </c>
      <c r="K370" s="360"/>
      <c r="L370" s="360"/>
      <c r="M370" s="360"/>
      <c r="N370" s="360"/>
      <c r="O370" s="360"/>
      <c r="P370" s="360"/>
      <c r="Q370" s="360"/>
      <c r="R370" s="360"/>
    </row>
    <row r="371" customFormat="false" ht="39.75" hidden="false" customHeight="true" outlineLevel="0" collapsed="false">
      <c r="A371" s="562" t="n">
        <v>364</v>
      </c>
      <c r="B371" s="574" t="n">
        <v>45313</v>
      </c>
      <c r="C371" s="562" t="s">
        <v>644</v>
      </c>
      <c r="D371" s="562" t="s">
        <v>1015</v>
      </c>
      <c r="E371" s="562"/>
      <c r="F371" s="563"/>
      <c r="G371" s="563" t="s">
        <v>303</v>
      </c>
      <c r="H371" s="564" t="s">
        <v>2065</v>
      </c>
      <c r="I371" s="565"/>
      <c r="J371" s="580"/>
      <c r="K371" s="360"/>
      <c r="L371" s="360"/>
      <c r="M371" s="360"/>
      <c r="N371" s="360"/>
      <c r="O371" s="360"/>
      <c r="P371" s="360"/>
      <c r="Q371" s="360"/>
      <c r="R371" s="360"/>
    </row>
    <row r="372" customFormat="false" ht="39.75" hidden="false" customHeight="true" outlineLevel="0" collapsed="false">
      <c r="A372" s="562" t="n">
        <v>365</v>
      </c>
      <c r="B372" s="574" t="n">
        <v>45329</v>
      </c>
      <c r="C372" s="562" t="s">
        <v>1184</v>
      </c>
      <c r="D372" s="562" t="s">
        <v>2064</v>
      </c>
      <c r="E372" s="562"/>
      <c r="F372" s="563"/>
      <c r="G372" s="568" t="s">
        <v>1397</v>
      </c>
      <c r="H372" s="571" t="s">
        <v>2066</v>
      </c>
      <c r="I372" s="565" t="n">
        <v>10</v>
      </c>
      <c r="J372" s="575" t="s">
        <v>95</v>
      </c>
      <c r="K372" s="360" t="s">
        <v>2067</v>
      </c>
      <c r="L372" s="360"/>
      <c r="M372" s="360"/>
      <c r="N372" s="360"/>
      <c r="O372" s="360"/>
      <c r="P372" s="360"/>
      <c r="Q372" s="360"/>
      <c r="R372" s="360"/>
    </row>
    <row r="373" customFormat="false" ht="39.75" hidden="false" customHeight="true" outlineLevel="0" collapsed="false">
      <c r="A373" s="562" t="n">
        <v>366</v>
      </c>
      <c r="B373" s="574" t="n">
        <v>45341</v>
      </c>
      <c r="C373" s="562" t="s">
        <v>925</v>
      </c>
      <c r="D373" s="562" t="s">
        <v>445</v>
      </c>
      <c r="E373" s="562"/>
      <c r="F373" s="563"/>
      <c r="G373" s="563" t="s">
        <v>303</v>
      </c>
      <c r="H373" s="564" t="n">
        <v>0.052</v>
      </c>
      <c r="I373" s="565" t="n">
        <v>1</v>
      </c>
      <c r="J373" s="575" t="s">
        <v>95</v>
      </c>
      <c r="K373" s="360" t="s">
        <v>2068</v>
      </c>
      <c r="L373" s="360"/>
      <c r="M373" s="360"/>
      <c r="N373" s="360"/>
      <c r="O373" s="360"/>
      <c r="P373" s="360"/>
      <c r="Q373" s="360"/>
      <c r="R373" s="360"/>
    </row>
    <row r="374" customFormat="false" ht="68.25" hidden="false" customHeight="true" outlineLevel="0" collapsed="false">
      <c r="A374" s="562" t="n">
        <v>367</v>
      </c>
      <c r="B374" s="574" t="n">
        <v>45343</v>
      </c>
      <c r="C374" s="562" t="s">
        <v>96</v>
      </c>
      <c r="D374" s="562" t="s">
        <v>935</v>
      </c>
      <c r="E374" s="562"/>
      <c r="F374" s="567" t="s">
        <v>158</v>
      </c>
      <c r="G374" s="568" t="s">
        <v>1375</v>
      </c>
      <c r="H374" s="571" t="s">
        <v>2069</v>
      </c>
      <c r="I374" s="565" t="n">
        <v>10</v>
      </c>
      <c r="J374" s="575" t="s">
        <v>95</v>
      </c>
      <c r="K374" s="360" t="s">
        <v>2070</v>
      </c>
      <c r="L374" s="360"/>
      <c r="M374" s="360"/>
      <c r="N374" s="360"/>
      <c r="O374" s="360"/>
      <c r="P374" s="360"/>
      <c r="Q374" s="360"/>
      <c r="R374" s="360"/>
    </row>
    <row r="375" customFormat="false" ht="39.75" hidden="false" customHeight="true" outlineLevel="0" collapsed="false">
      <c r="A375" s="562" t="n">
        <v>368</v>
      </c>
      <c r="B375" s="574" t="n">
        <v>45356</v>
      </c>
      <c r="C375" s="562" t="s">
        <v>209</v>
      </c>
      <c r="D375" s="562" t="s">
        <v>2071</v>
      </c>
      <c r="E375" s="562" t="s">
        <v>2072</v>
      </c>
      <c r="F375" s="563"/>
      <c r="G375" s="563" t="s">
        <v>303</v>
      </c>
      <c r="H375" s="564" t="n">
        <v>0.052</v>
      </c>
      <c r="I375" s="565" t="n">
        <v>7</v>
      </c>
      <c r="J375" s="575" t="s">
        <v>95</v>
      </c>
      <c r="K375" s="360" t="s">
        <v>2073</v>
      </c>
      <c r="L375" s="360"/>
      <c r="M375" s="360"/>
      <c r="N375" s="360"/>
      <c r="O375" s="360"/>
      <c r="P375" s="360"/>
      <c r="Q375" s="360"/>
      <c r="R375" s="360"/>
    </row>
    <row r="376" customFormat="false" ht="39.75" hidden="false" customHeight="true" outlineLevel="0" collapsed="false">
      <c r="A376" s="562" t="n">
        <v>369</v>
      </c>
      <c r="B376" s="574" t="n">
        <v>45343</v>
      </c>
      <c r="C376" s="562" t="s">
        <v>96</v>
      </c>
      <c r="D376" s="562" t="s">
        <v>935</v>
      </c>
      <c r="E376" s="562" t="s">
        <v>1637</v>
      </c>
      <c r="F376" s="567" t="s">
        <v>158</v>
      </c>
      <c r="G376" s="568" t="s">
        <v>1381</v>
      </c>
      <c r="H376" s="571" t="s">
        <v>2074</v>
      </c>
      <c r="I376" s="565" t="n">
        <v>10</v>
      </c>
      <c r="J376" s="575" t="s">
        <v>95</v>
      </c>
      <c r="K376" s="360" t="s">
        <v>2075</v>
      </c>
      <c r="L376" s="360"/>
      <c r="M376" s="360"/>
      <c r="N376" s="360"/>
      <c r="O376" s="360"/>
      <c r="P376" s="360"/>
      <c r="Q376" s="360"/>
      <c r="R376" s="360"/>
    </row>
    <row r="377" customFormat="false" ht="39.75" hidden="false" customHeight="true" outlineLevel="0" collapsed="false">
      <c r="A377" s="562" t="n">
        <v>370</v>
      </c>
      <c r="B377" s="574" t="n">
        <v>45370</v>
      </c>
      <c r="C377" s="562" t="s">
        <v>925</v>
      </c>
      <c r="D377" s="562" t="s">
        <v>939</v>
      </c>
      <c r="E377" s="562"/>
      <c r="F377" s="563"/>
      <c r="G377" s="568" t="s">
        <v>1397</v>
      </c>
      <c r="H377" s="571" t="s">
        <v>2076</v>
      </c>
      <c r="I377" s="565"/>
      <c r="J377" s="575" t="s">
        <v>95</v>
      </c>
      <c r="K377" s="360" t="s">
        <v>2077</v>
      </c>
      <c r="L377" s="360"/>
      <c r="M377" s="360"/>
      <c r="N377" s="360"/>
      <c r="O377" s="360"/>
      <c r="P377" s="360"/>
      <c r="Q377" s="360"/>
      <c r="R377" s="360"/>
    </row>
    <row r="378" customFormat="false" ht="39.75" hidden="false" customHeight="true" outlineLevel="0" collapsed="false">
      <c r="A378" s="562" t="n">
        <v>371</v>
      </c>
      <c r="B378" s="574" t="n">
        <v>45401</v>
      </c>
      <c r="C378" s="562" t="s">
        <v>96</v>
      </c>
      <c r="D378" s="562" t="s">
        <v>935</v>
      </c>
      <c r="E378" s="562"/>
      <c r="F378" s="563"/>
      <c r="G378" s="568" t="s">
        <v>1394</v>
      </c>
      <c r="H378" s="571" t="s">
        <v>2078</v>
      </c>
      <c r="I378" s="565" t="n">
        <v>10</v>
      </c>
      <c r="J378" s="575" t="s">
        <v>95</v>
      </c>
      <c r="K378" s="360" t="s">
        <v>2079</v>
      </c>
      <c r="L378" s="360"/>
      <c r="M378" s="360"/>
      <c r="N378" s="360"/>
      <c r="O378" s="360"/>
      <c r="P378" s="360"/>
      <c r="Q378" s="360"/>
      <c r="R378" s="360"/>
    </row>
    <row r="379" customFormat="false" ht="54" hidden="false" customHeight="true" outlineLevel="0" collapsed="false">
      <c r="A379" s="562" t="n">
        <v>372</v>
      </c>
      <c r="B379" s="574" t="n">
        <v>45460</v>
      </c>
      <c r="C379" s="562" t="s">
        <v>1149</v>
      </c>
      <c r="D379" s="562" t="s">
        <v>2080</v>
      </c>
      <c r="E379" s="562" t="s">
        <v>2081</v>
      </c>
      <c r="F379" s="563"/>
      <c r="G379" s="568" t="s">
        <v>1570</v>
      </c>
      <c r="H379" s="571" t="s">
        <v>2082</v>
      </c>
      <c r="I379" s="565"/>
      <c r="J379" s="575" t="s">
        <v>95</v>
      </c>
      <c r="K379" s="360"/>
      <c r="L379" s="360"/>
      <c r="M379" s="360"/>
      <c r="N379" s="360"/>
      <c r="O379" s="360"/>
      <c r="P379" s="360"/>
      <c r="Q379" s="360"/>
      <c r="R379" s="360"/>
    </row>
    <row r="380" customFormat="false" ht="39.75" hidden="false" customHeight="true" outlineLevel="0" collapsed="false">
      <c r="A380" s="562" t="n">
        <v>373</v>
      </c>
      <c r="B380" s="574" t="n">
        <v>45464</v>
      </c>
      <c r="C380" s="562" t="s">
        <v>925</v>
      </c>
      <c r="D380" s="562" t="s">
        <v>939</v>
      </c>
      <c r="E380" s="562"/>
      <c r="F380" s="563"/>
      <c r="G380" s="563" t="s">
        <v>303</v>
      </c>
      <c r="H380" s="564" t="n">
        <v>0.052</v>
      </c>
      <c r="I380" s="565" t="n">
        <v>12</v>
      </c>
      <c r="J380" s="575" t="s">
        <v>95</v>
      </c>
      <c r="K380" s="360"/>
      <c r="L380" s="360"/>
      <c r="M380" s="360"/>
      <c r="N380" s="360"/>
      <c r="O380" s="360"/>
      <c r="P380" s="360"/>
      <c r="Q380" s="360"/>
      <c r="R380" s="360"/>
    </row>
    <row r="381" customFormat="false" ht="39.75" hidden="false" customHeight="true" outlineLevel="0" collapsed="false">
      <c r="A381" s="562" t="n">
        <v>374</v>
      </c>
      <c r="B381" s="574" t="n">
        <v>45481</v>
      </c>
      <c r="C381" s="562" t="s">
        <v>209</v>
      </c>
      <c r="D381" s="562" t="s">
        <v>2083</v>
      </c>
      <c r="E381" s="562" t="s">
        <v>2072</v>
      </c>
      <c r="F381" s="563"/>
      <c r="G381" s="563" t="s">
        <v>303</v>
      </c>
      <c r="H381" s="564" t="n">
        <v>0.052</v>
      </c>
      <c r="I381" s="565" t="n">
        <v>8</v>
      </c>
      <c r="J381" s="575" t="s">
        <v>95</v>
      </c>
      <c r="K381" s="360" t="s">
        <v>2084</v>
      </c>
      <c r="L381" s="360"/>
      <c r="M381" s="360"/>
      <c r="N381" s="360"/>
      <c r="O381" s="360"/>
      <c r="P381" s="360"/>
      <c r="Q381" s="360"/>
      <c r="R381" s="360"/>
    </row>
    <row r="382" customFormat="false" ht="39.75" hidden="false" customHeight="true" outlineLevel="0" collapsed="false">
      <c r="A382" s="562" t="n">
        <v>375</v>
      </c>
      <c r="B382" s="574" t="n">
        <v>45483</v>
      </c>
      <c r="C382" s="562" t="s">
        <v>100</v>
      </c>
      <c r="D382" s="562" t="s">
        <v>2085</v>
      </c>
      <c r="E382" s="562" t="s">
        <v>826</v>
      </c>
      <c r="F382" s="563"/>
      <c r="G382" s="568" t="s">
        <v>2086</v>
      </c>
      <c r="H382" s="564" t="n">
        <v>0.05</v>
      </c>
      <c r="I382" s="565" t="s">
        <v>2087</v>
      </c>
      <c r="J382" s="575" t="s">
        <v>95</v>
      </c>
      <c r="K382" s="360" t="s">
        <v>2088</v>
      </c>
      <c r="L382" s="360"/>
      <c r="M382" s="360"/>
      <c r="N382" s="360"/>
      <c r="O382" s="360"/>
      <c r="P382" s="360"/>
      <c r="Q382" s="360"/>
      <c r="R382" s="360"/>
    </row>
    <row r="383" customFormat="false" ht="39.75" hidden="false" customHeight="true" outlineLevel="0" collapsed="false">
      <c r="A383" s="562" t="n">
        <v>376</v>
      </c>
      <c r="B383" s="574" t="n">
        <v>45485</v>
      </c>
      <c r="C383" s="562" t="s">
        <v>862</v>
      </c>
      <c r="D383" s="562" t="s">
        <v>2089</v>
      </c>
      <c r="E383" s="562" t="s">
        <v>2035</v>
      </c>
      <c r="F383" s="563"/>
      <c r="G383" s="563" t="s">
        <v>255</v>
      </c>
      <c r="H383" s="564" t="n">
        <v>0.0435</v>
      </c>
      <c r="I383" s="565" t="n">
        <v>2</v>
      </c>
      <c r="J383" s="580" t="s">
        <v>2090</v>
      </c>
      <c r="K383" s="360" t="s">
        <v>2091</v>
      </c>
      <c r="L383" s="360"/>
      <c r="M383" s="360"/>
      <c r="N383" s="360"/>
      <c r="O383" s="360"/>
      <c r="P383" s="360"/>
      <c r="Q383" s="360"/>
      <c r="R383" s="360"/>
    </row>
    <row r="384" customFormat="false" ht="39.75" hidden="false" customHeight="true" outlineLevel="0" collapsed="false">
      <c r="A384" s="562" t="n">
        <v>377</v>
      </c>
      <c r="B384" s="574" t="n">
        <v>45485</v>
      </c>
      <c r="C384" s="562" t="s">
        <v>862</v>
      </c>
      <c r="D384" s="562" t="s">
        <v>2089</v>
      </c>
      <c r="E384" s="562" t="s">
        <v>2092</v>
      </c>
      <c r="F384" s="563"/>
      <c r="G384" s="563" t="s">
        <v>255</v>
      </c>
      <c r="H384" s="564" t="n">
        <v>0.044</v>
      </c>
      <c r="I384" s="565" t="n">
        <v>2</v>
      </c>
      <c r="J384" s="580" t="s">
        <v>2090</v>
      </c>
      <c r="K384" s="360" t="s">
        <v>2093</v>
      </c>
      <c r="L384" s="360"/>
      <c r="M384" s="360"/>
      <c r="N384" s="360"/>
      <c r="O384" s="360"/>
      <c r="P384" s="360"/>
      <c r="Q384" s="360"/>
      <c r="R384" s="360"/>
    </row>
    <row r="385" customFormat="false" ht="39.75" hidden="false" customHeight="true" outlineLevel="0" collapsed="false">
      <c r="A385" s="562" t="n">
        <v>378</v>
      </c>
      <c r="B385" s="574" t="n">
        <v>45488</v>
      </c>
      <c r="C385" s="562" t="s">
        <v>862</v>
      </c>
      <c r="D385" s="562" t="s">
        <v>2089</v>
      </c>
      <c r="E385" s="562" t="s">
        <v>2035</v>
      </c>
      <c r="F385" s="563"/>
      <c r="G385" s="563" t="s">
        <v>255</v>
      </c>
      <c r="H385" s="564" t="n">
        <v>0.0435</v>
      </c>
      <c r="I385" s="565" t="n">
        <v>2</v>
      </c>
      <c r="J385" s="580" t="s">
        <v>2090</v>
      </c>
      <c r="K385" s="360" t="s">
        <v>2094</v>
      </c>
      <c r="L385" s="360"/>
      <c r="M385" s="360"/>
      <c r="N385" s="360"/>
      <c r="O385" s="360"/>
      <c r="P385" s="360"/>
      <c r="Q385" s="360"/>
      <c r="R385" s="360"/>
    </row>
    <row r="386" customFormat="false" ht="39.75" hidden="false" customHeight="true" outlineLevel="0" collapsed="false">
      <c r="A386" s="562" t="n">
        <v>379</v>
      </c>
      <c r="B386" s="574" t="n">
        <v>45490</v>
      </c>
      <c r="C386" s="562" t="s">
        <v>96</v>
      </c>
      <c r="D386" s="562" t="s">
        <v>935</v>
      </c>
      <c r="E386" s="562" t="s">
        <v>1637</v>
      </c>
      <c r="F386" s="563"/>
      <c r="G386" s="568" t="s">
        <v>1394</v>
      </c>
      <c r="H386" s="571" t="s">
        <v>2095</v>
      </c>
      <c r="I386" s="565" t="s">
        <v>2096</v>
      </c>
      <c r="J386" s="575" t="s">
        <v>95</v>
      </c>
      <c r="K386" s="360" t="s">
        <v>2097</v>
      </c>
      <c r="L386" s="360"/>
      <c r="M386" s="360"/>
      <c r="N386" s="360"/>
      <c r="O386" s="360"/>
      <c r="P386" s="360"/>
      <c r="Q386" s="360"/>
      <c r="R386" s="360"/>
    </row>
    <row r="387" customFormat="false" ht="39.75" hidden="false" customHeight="true" outlineLevel="0" collapsed="false">
      <c r="A387" s="562" t="n">
        <v>380</v>
      </c>
      <c r="B387" s="574" t="n">
        <v>45492</v>
      </c>
      <c r="C387" s="562" t="s">
        <v>96</v>
      </c>
      <c r="D387" s="562" t="s">
        <v>2098</v>
      </c>
      <c r="E387" s="562" t="s">
        <v>1637</v>
      </c>
      <c r="F387" s="563"/>
      <c r="G387" s="563" t="s">
        <v>255</v>
      </c>
      <c r="H387" s="564" t="n">
        <v>0.0522</v>
      </c>
      <c r="I387" s="565" t="s">
        <v>2096</v>
      </c>
      <c r="J387" s="575" t="s">
        <v>95</v>
      </c>
      <c r="K387" s="360" t="s">
        <v>2099</v>
      </c>
      <c r="L387" s="360"/>
      <c r="M387" s="360"/>
      <c r="N387" s="360"/>
      <c r="O387" s="360"/>
      <c r="P387" s="360"/>
      <c r="Q387" s="360"/>
      <c r="R387" s="360"/>
    </row>
    <row r="388" customFormat="false" ht="39.75" hidden="false" customHeight="true" outlineLevel="0" collapsed="false">
      <c r="A388" s="562" t="n">
        <v>381</v>
      </c>
      <c r="B388" s="574" t="n">
        <v>45495</v>
      </c>
      <c r="C388" s="562" t="s">
        <v>96</v>
      </c>
      <c r="D388" s="562" t="s">
        <v>935</v>
      </c>
      <c r="E388" s="562" t="s">
        <v>1637</v>
      </c>
      <c r="F388" s="563"/>
      <c r="G388" s="563" t="s">
        <v>255</v>
      </c>
      <c r="H388" s="564" t="n">
        <v>0.0517</v>
      </c>
      <c r="I388" s="565" t="n">
        <v>10</v>
      </c>
      <c r="J388" s="575" t="s">
        <v>95</v>
      </c>
      <c r="K388" s="360" t="s">
        <v>2099</v>
      </c>
      <c r="L388" s="360"/>
      <c r="M388" s="360"/>
      <c r="N388" s="360"/>
      <c r="O388" s="360"/>
      <c r="P388" s="360"/>
      <c r="Q388" s="360"/>
      <c r="R388" s="360"/>
    </row>
    <row r="389" customFormat="false" ht="39.75" hidden="false" customHeight="true" outlineLevel="0" collapsed="false">
      <c r="A389" s="562" t="n">
        <v>382</v>
      </c>
      <c r="B389" s="574" t="n">
        <v>45504</v>
      </c>
      <c r="C389" s="562" t="s">
        <v>100</v>
      </c>
      <c r="D389" s="562" t="s">
        <v>923</v>
      </c>
      <c r="E389" s="562" t="s">
        <v>826</v>
      </c>
      <c r="F389" s="563"/>
      <c r="G389" s="563" t="s">
        <v>271</v>
      </c>
      <c r="H389" s="564" t="n">
        <v>0.05</v>
      </c>
      <c r="I389" s="565" t="n">
        <v>19</v>
      </c>
      <c r="J389" s="575" t="s">
        <v>95</v>
      </c>
      <c r="K389" s="360"/>
      <c r="L389" s="360"/>
      <c r="M389" s="360"/>
      <c r="N389" s="360"/>
      <c r="O389" s="360"/>
      <c r="P389" s="360"/>
      <c r="Q389" s="360"/>
      <c r="R389" s="360"/>
    </row>
    <row r="390" customFormat="false" ht="39.75" hidden="false" customHeight="true" outlineLevel="0" collapsed="false">
      <c r="A390" s="562" t="n">
        <v>383</v>
      </c>
      <c r="B390" s="574" t="n">
        <v>45512</v>
      </c>
      <c r="C390" s="562" t="s">
        <v>100</v>
      </c>
      <c r="D390" s="562" t="s">
        <v>923</v>
      </c>
      <c r="E390" s="562" t="s">
        <v>826</v>
      </c>
      <c r="F390" s="563"/>
      <c r="G390" s="563" t="s">
        <v>2100</v>
      </c>
      <c r="H390" s="564" t="n">
        <v>0.05</v>
      </c>
      <c r="I390" s="565"/>
      <c r="J390" s="575" t="s">
        <v>95</v>
      </c>
      <c r="K390" s="360" t="s">
        <v>2101</v>
      </c>
      <c r="L390" s="360"/>
      <c r="M390" s="360"/>
      <c r="N390" s="360"/>
      <c r="O390" s="360"/>
      <c r="P390" s="360"/>
      <c r="Q390" s="360"/>
      <c r="R390" s="360"/>
    </row>
    <row r="391" customFormat="false" ht="39.75" hidden="false" customHeight="true" outlineLevel="0" collapsed="false">
      <c r="A391" s="562" t="n">
        <v>384</v>
      </c>
      <c r="B391" s="574" t="n">
        <v>45516</v>
      </c>
      <c r="C391" s="562" t="s">
        <v>96</v>
      </c>
      <c r="D391" s="562" t="s">
        <v>2102</v>
      </c>
      <c r="E391" s="562" t="s">
        <v>1933</v>
      </c>
      <c r="F391" s="563"/>
      <c r="G391" s="563" t="s">
        <v>300</v>
      </c>
      <c r="H391" s="564" t="n">
        <v>0.0505</v>
      </c>
      <c r="I391" s="565"/>
      <c r="J391" s="575" t="s">
        <v>95</v>
      </c>
      <c r="K391" s="360" t="s">
        <v>2103</v>
      </c>
      <c r="L391" s="360"/>
      <c r="M391" s="360"/>
      <c r="N391" s="360"/>
      <c r="O391" s="360"/>
      <c r="P391" s="360"/>
      <c r="Q391" s="360"/>
      <c r="R391" s="360"/>
    </row>
    <row r="392" customFormat="false" ht="39.75" hidden="false" customHeight="true" outlineLevel="0" collapsed="false">
      <c r="A392" s="562" t="n">
        <v>384</v>
      </c>
      <c r="B392" s="574" t="n">
        <v>45516</v>
      </c>
      <c r="C392" s="562" t="s">
        <v>96</v>
      </c>
      <c r="D392" s="562" t="s">
        <v>2102</v>
      </c>
      <c r="E392" s="562" t="s">
        <v>1933</v>
      </c>
      <c r="F392" s="563"/>
      <c r="G392" s="563" t="s">
        <v>300</v>
      </c>
      <c r="H392" s="564" t="n">
        <v>0.0505</v>
      </c>
      <c r="I392" s="565"/>
      <c r="J392" s="575" t="s">
        <v>95</v>
      </c>
      <c r="K392" s="360" t="s">
        <v>2103</v>
      </c>
      <c r="L392" s="360"/>
      <c r="M392" s="360"/>
      <c r="N392" s="360"/>
      <c r="O392" s="360"/>
      <c r="P392" s="360"/>
      <c r="Q392" s="360"/>
      <c r="R392" s="360"/>
    </row>
    <row r="393" customFormat="false" ht="39.75" hidden="false" customHeight="true" outlineLevel="0" collapsed="false">
      <c r="A393" s="562" t="n">
        <v>385</v>
      </c>
      <c r="B393" s="574" t="n">
        <v>45518</v>
      </c>
      <c r="C393" s="562" t="s">
        <v>96</v>
      </c>
      <c r="D393" s="562" t="s">
        <v>805</v>
      </c>
      <c r="E393" s="562" t="s">
        <v>1967</v>
      </c>
      <c r="F393" s="563"/>
      <c r="G393" s="563" t="s">
        <v>300</v>
      </c>
      <c r="H393" s="564" t="n">
        <v>0.05</v>
      </c>
      <c r="I393" s="565"/>
      <c r="J393" s="575" t="s">
        <v>95</v>
      </c>
      <c r="K393" s="360" t="s">
        <v>2104</v>
      </c>
      <c r="L393" s="360"/>
      <c r="M393" s="360"/>
      <c r="N393" s="360"/>
      <c r="O393" s="360"/>
      <c r="P393" s="360"/>
      <c r="Q393" s="360"/>
      <c r="R393" s="360"/>
    </row>
    <row r="394" customFormat="false" ht="39.75" hidden="false" customHeight="true" outlineLevel="0" collapsed="false">
      <c r="A394" s="562" t="n">
        <v>386</v>
      </c>
      <c r="B394" s="574" t="n">
        <v>45530</v>
      </c>
      <c r="C394" s="562" t="s">
        <v>2105</v>
      </c>
      <c r="D394" s="562" t="s">
        <v>2106</v>
      </c>
      <c r="E394" s="562"/>
      <c r="F394" s="563"/>
      <c r="G394" s="563" t="s">
        <v>2090</v>
      </c>
      <c r="H394" s="564" t="n">
        <v>0.046</v>
      </c>
      <c r="I394" s="565"/>
      <c r="J394" s="580"/>
      <c r="K394" s="360" t="s">
        <v>2107</v>
      </c>
      <c r="L394" s="360"/>
      <c r="M394" s="360"/>
      <c r="N394" s="360"/>
      <c r="O394" s="360"/>
      <c r="P394" s="360"/>
      <c r="Q394" s="360"/>
      <c r="R394" s="360"/>
    </row>
    <row r="395" customFormat="false" ht="39.75" hidden="false" customHeight="true" outlineLevel="0" collapsed="false">
      <c r="A395" s="562" t="n">
        <v>387</v>
      </c>
      <c r="B395" s="574" t="n">
        <v>45590</v>
      </c>
      <c r="C395" s="562" t="s">
        <v>644</v>
      </c>
      <c r="D395" s="562" t="s">
        <v>2108</v>
      </c>
      <c r="E395" s="562" t="s">
        <v>2109</v>
      </c>
      <c r="F395" s="563"/>
      <c r="G395" s="563"/>
      <c r="H395" s="564"/>
      <c r="I395" s="565"/>
      <c r="J395" s="580"/>
      <c r="K395" s="360" t="s">
        <v>2110</v>
      </c>
      <c r="L395" s="360"/>
      <c r="M395" s="360"/>
      <c r="N395" s="360"/>
      <c r="O395" s="360"/>
      <c r="P395" s="360"/>
      <c r="Q395" s="360"/>
      <c r="R395" s="360"/>
    </row>
    <row r="396" customFormat="false" ht="39.75" hidden="false" customHeight="true" outlineLevel="0" collapsed="false">
      <c r="A396" s="562" t="n">
        <v>388</v>
      </c>
      <c r="B396" s="574" t="n">
        <v>45597</v>
      </c>
      <c r="C396" s="562" t="s">
        <v>100</v>
      </c>
      <c r="D396" s="562" t="s">
        <v>923</v>
      </c>
      <c r="E396" s="562" t="s">
        <v>826</v>
      </c>
      <c r="F396" s="563"/>
      <c r="G396" s="563" t="s">
        <v>2111</v>
      </c>
      <c r="H396" s="564" t="n">
        <v>0.045</v>
      </c>
      <c r="I396" s="565"/>
      <c r="J396" s="575" t="s">
        <v>95</v>
      </c>
      <c r="K396" s="360" t="s">
        <v>2112</v>
      </c>
      <c r="L396" s="360"/>
      <c r="M396" s="360"/>
      <c r="N396" s="360"/>
      <c r="O396" s="360"/>
      <c r="P396" s="360"/>
      <c r="Q396" s="360"/>
      <c r="R396" s="360"/>
    </row>
    <row r="397" customFormat="false" ht="39.75" hidden="false" customHeight="true" outlineLevel="0" collapsed="false">
      <c r="A397" s="562" t="n">
        <v>389</v>
      </c>
      <c r="B397" s="574" t="n">
        <v>45604</v>
      </c>
      <c r="C397" s="562" t="s">
        <v>862</v>
      </c>
      <c r="D397" s="562" t="s">
        <v>2089</v>
      </c>
      <c r="E397" s="562" t="s">
        <v>2035</v>
      </c>
      <c r="F397" s="563"/>
      <c r="G397" s="563" t="s">
        <v>255</v>
      </c>
      <c r="H397" s="564" t="n">
        <v>0.04</v>
      </c>
      <c r="I397" s="565" t="n">
        <v>5</v>
      </c>
      <c r="J397" s="580" t="s">
        <v>2090</v>
      </c>
      <c r="K397" s="360" t="s">
        <v>2113</v>
      </c>
      <c r="L397" s="360"/>
      <c r="M397" s="360"/>
      <c r="N397" s="360"/>
      <c r="O397" s="360"/>
      <c r="P397" s="360"/>
      <c r="Q397" s="360"/>
      <c r="R397" s="360"/>
    </row>
    <row r="398" customFormat="false" ht="39.75" hidden="false" customHeight="true" outlineLevel="0" collapsed="false">
      <c r="A398" s="562" t="n">
        <v>390</v>
      </c>
      <c r="B398" s="574" t="n">
        <v>45625</v>
      </c>
      <c r="C398" s="562" t="s">
        <v>644</v>
      </c>
      <c r="D398" s="562" t="s">
        <v>2108</v>
      </c>
      <c r="E398" s="562" t="s">
        <v>2109</v>
      </c>
      <c r="F398" s="563"/>
      <c r="G398" s="563"/>
      <c r="H398" s="564"/>
      <c r="I398" s="565"/>
      <c r="J398" s="580"/>
      <c r="K398" s="360" t="s">
        <v>2114</v>
      </c>
      <c r="L398" s="360"/>
      <c r="M398" s="360"/>
      <c r="N398" s="360"/>
      <c r="O398" s="360"/>
      <c r="P398" s="360"/>
      <c r="Q398" s="360"/>
      <c r="R398" s="360"/>
    </row>
    <row r="399" customFormat="false" ht="39.75" hidden="false" customHeight="true" outlineLevel="0" collapsed="false">
      <c r="A399" s="562" t="n">
        <v>391</v>
      </c>
      <c r="B399" s="574" t="n">
        <v>45629</v>
      </c>
      <c r="C399" s="562" t="s">
        <v>770</v>
      </c>
      <c r="D399" s="562" t="s">
        <v>1009</v>
      </c>
      <c r="E399" s="562" t="s">
        <v>2115</v>
      </c>
      <c r="F399" s="563"/>
      <c r="G399" s="563"/>
      <c r="H399" s="564"/>
      <c r="I399" s="565"/>
      <c r="J399" s="580"/>
      <c r="K399" s="360" t="s">
        <v>2116</v>
      </c>
      <c r="L399" s="360"/>
      <c r="M399" s="360"/>
      <c r="N399" s="360"/>
      <c r="O399" s="360"/>
      <c r="P399" s="360"/>
      <c r="Q399" s="360"/>
      <c r="R399" s="360"/>
    </row>
    <row r="400" customFormat="false" ht="39.75" hidden="false" customHeight="true" outlineLevel="0" collapsed="false">
      <c r="A400" s="562" t="n">
        <v>392</v>
      </c>
      <c r="B400" s="574" t="n">
        <v>45645</v>
      </c>
      <c r="C400" s="562" t="s">
        <v>100</v>
      </c>
      <c r="D400" s="562" t="s">
        <v>923</v>
      </c>
      <c r="E400" s="562" t="s">
        <v>826</v>
      </c>
      <c r="F400" s="563"/>
      <c r="G400" s="563" t="s">
        <v>2117</v>
      </c>
      <c r="H400" s="564" t="n">
        <v>0.04</v>
      </c>
      <c r="I400" s="565"/>
      <c r="J400" s="575" t="s">
        <v>95</v>
      </c>
      <c r="K400" s="360" t="s">
        <v>2118</v>
      </c>
      <c r="L400" s="360"/>
      <c r="M400" s="360"/>
      <c r="N400" s="360"/>
      <c r="O400" s="360"/>
      <c r="P400" s="360"/>
      <c r="Q400" s="360"/>
      <c r="R400" s="360"/>
    </row>
    <row r="401" customFormat="false" ht="39.75" hidden="false" customHeight="true" outlineLevel="0" collapsed="false">
      <c r="A401" s="562" t="n">
        <v>393</v>
      </c>
      <c r="B401" s="574" t="n">
        <v>45677</v>
      </c>
      <c r="C401" s="562" t="s">
        <v>2119</v>
      </c>
      <c r="D401" s="562" t="s">
        <v>1074</v>
      </c>
      <c r="E401" s="562" t="s">
        <v>2120</v>
      </c>
      <c r="F401" s="563"/>
      <c r="G401" s="563" t="s">
        <v>641</v>
      </c>
      <c r="H401" s="564" t="n">
        <v>0.042</v>
      </c>
      <c r="I401" s="565"/>
      <c r="J401" s="575" t="s">
        <v>95</v>
      </c>
      <c r="K401" s="360" t="s">
        <v>2121</v>
      </c>
      <c r="L401" s="360"/>
      <c r="M401" s="360"/>
      <c r="N401" s="360"/>
      <c r="O401" s="360"/>
      <c r="P401" s="360"/>
      <c r="Q401" s="360"/>
      <c r="R401" s="360"/>
    </row>
    <row r="402" customFormat="false" ht="39.75" hidden="false" customHeight="true" outlineLevel="0" collapsed="false">
      <c r="A402" s="562" t="n">
        <v>394</v>
      </c>
      <c r="B402" s="574" t="n">
        <v>45678</v>
      </c>
      <c r="C402" s="562" t="s">
        <v>2105</v>
      </c>
      <c r="D402" s="562" t="s">
        <v>763</v>
      </c>
      <c r="E402" s="562" t="s">
        <v>2122</v>
      </c>
      <c r="F402" s="563"/>
      <c r="G402" s="563" t="s">
        <v>255</v>
      </c>
      <c r="H402" s="564" t="n">
        <v>0.0386</v>
      </c>
      <c r="I402" s="565"/>
      <c r="J402" s="580" t="s">
        <v>2090</v>
      </c>
      <c r="K402" s="360" t="s">
        <v>2123</v>
      </c>
      <c r="L402" s="360"/>
      <c r="M402" s="360"/>
      <c r="N402" s="360"/>
      <c r="O402" s="360"/>
      <c r="P402" s="360"/>
      <c r="Q402" s="360"/>
      <c r="R402" s="360"/>
    </row>
    <row r="403" customFormat="false" ht="39.75" hidden="false" customHeight="true" outlineLevel="0" collapsed="false">
      <c r="A403" s="562" t="n">
        <v>395</v>
      </c>
      <c r="B403" s="574"/>
      <c r="C403" s="562"/>
      <c r="D403" s="562"/>
      <c r="E403" s="562"/>
      <c r="F403" s="563"/>
      <c r="G403" s="563"/>
      <c r="H403" s="564"/>
      <c r="I403" s="565"/>
      <c r="J403" s="580"/>
      <c r="K403" s="360"/>
      <c r="L403" s="360"/>
      <c r="M403" s="360"/>
      <c r="N403" s="360"/>
      <c r="O403" s="360"/>
      <c r="P403" s="360"/>
      <c r="Q403" s="360"/>
      <c r="R403" s="360"/>
    </row>
    <row r="404" customFormat="false" ht="39.75" hidden="false" customHeight="true" outlineLevel="0" collapsed="false">
      <c r="A404" s="562" t="n">
        <v>396</v>
      </c>
      <c r="B404" s="574"/>
      <c r="C404" s="562"/>
      <c r="D404" s="562"/>
      <c r="E404" s="562"/>
      <c r="F404" s="563"/>
      <c r="G404" s="563"/>
      <c r="H404" s="564"/>
      <c r="I404" s="565"/>
      <c r="J404" s="580"/>
      <c r="K404" s="360"/>
      <c r="L404" s="360"/>
      <c r="M404" s="360"/>
      <c r="N404" s="360"/>
      <c r="O404" s="360"/>
      <c r="P404" s="360"/>
      <c r="Q404" s="360"/>
      <c r="R404" s="360"/>
    </row>
    <row r="405" customFormat="false" ht="39.75" hidden="false" customHeight="true" outlineLevel="0" collapsed="false">
      <c r="A405" s="562" t="n">
        <v>397</v>
      </c>
      <c r="B405" s="574"/>
      <c r="C405" s="562"/>
      <c r="D405" s="562"/>
      <c r="E405" s="562"/>
      <c r="F405" s="563"/>
      <c r="G405" s="563"/>
      <c r="H405" s="564"/>
      <c r="I405" s="565"/>
      <c r="J405" s="580"/>
      <c r="K405" s="360"/>
      <c r="L405" s="360"/>
      <c r="M405" s="360"/>
      <c r="N405" s="360"/>
      <c r="O405" s="360"/>
      <c r="P405" s="360"/>
      <c r="Q405" s="360"/>
      <c r="R405" s="360"/>
    </row>
    <row r="406" customFormat="false" ht="39.75" hidden="false" customHeight="true" outlineLevel="0" collapsed="false">
      <c r="A406" s="562" t="n">
        <v>398</v>
      </c>
      <c r="B406" s="574"/>
      <c r="C406" s="562"/>
      <c r="D406" s="562"/>
      <c r="E406" s="562"/>
      <c r="F406" s="563"/>
      <c r="G406" s="563"/>
      <c r="H406" s="564"/>
      <c r="I406" s="565"/>
      <c r="J406" s="580"/>
      <c r="K406" s="360"/>
      <c r="L406" s="360"/>
      <c r="M406" s="360"/>
      <c r="N406" s="360"/>
      <c r="O406" s="360"/>
      <c r="P406" s="360"/>
      <c r="Q406" s="360"/>
      <c r="R406" s="360"/>
    </row>
    <row r="407" customFormat="false" ht="39.75" hidden="false" customHeight="true" outlineLevel="0" collapsed="false">
      <c r="A407" s="562" t="n">
        <v>399</v>
      </c>
      <c r="B407" s="574"/>
      <c r="C407" s="562"/>
      <c r="D407" s="562"/>
      <c r="E407" s="562"/>
      <c r="F407" s="563"/>
      <c r="G407" s="563"/>
      <c r="H407" s="564"/>
      <c r="I407" s="565"/>
      <c r="J407" s="580"/>
      <c r="K407" s="360"/>
      <c r="L407" s="360"/>
      <c r="M407" s="360"/>
      <c r="N407" s="360"/>
      <c r="O407" s="360"/>
      <c r="P407" s="360"/>
      <c r="Q407" s="360"/>
      <c r="R407" s="360"/>
    </row>
    <row r="408" customFormat="false" ht="39.75" hidden="false" customHeight="true" outlineLevel="0" collapsed="false">
      <c r="A408" s="562" t="n">
        <v>400</v>
      </c>
      <c r="B408" s="574"/>
      <c r="C408" s="562"/>
      <c r="D408" s="562"/>
      <c r="E408" s="562"/>
      <c r="F408" s="563"/>
      <c r="G408" s="563"/>
      <c r="H408" s="564"/>
      <c r="I408" s="565"/>
      <c r="J408" s="580"/>
      <c r="K408" s="360"/>
      <c r="L408" s="360"/>
      <c r="M408" s="360"/>
      <c r="N408" s="360"/>
      <c r="O408" s="360"/>
      <c r="P408" s="360"/>
      <c r="Q408" s="360"/>
      <c r="R408" s="360"/>
    </row>
    <row r="409" customFormat="false" ht="39.75" hidden="false" customHeight="true" outlineLevel="0" collapsed="false">
      <c r="A409" s="562"/>
      <c r="B409" s="574"/>
      <c r="C409" s="562"/>
      <c r="D409" s="562"/>
      <c r="E409" s="562"/>
      <c r="F409" s="563"/>
      <c r="G409" s="563"/>
      <c r="H409" s="564"/>
      <c r="I409" s="565"/>
      <c r="J409" s="580"/>
      <c r="K409" s="360"/>
      <c r="L409" s="360"/>
      <c r="M409" s="360"/>
      <c r="N409" s="360"/>
      <c r="O409" s="360"/>
      <c r="P409" s="360"/>
      <c r="Q409" s="360"/>
      <c r="R409" s="360"/>
    </row>
    <row r="410" customFormat="false" ht="39.75" hidden="false" customHeight="true" outlineLevel="0" collapsed="false">
      <c r="A410" s="562"/>
      <c r="B410" s="574"/>
      <c r="C410" s="562"/>
      <c r="D410" s="562"/>
      <c r="E410" s="562"/>
      <c r="F410" s="563"/>
      <c r="G410" s="563"/>
      <c r="H410" s="564"/>
      <c r="I410" s="565"/>
      <c r="J410" s="580"/>
      <c r="K410" s="360"/>
      <c r="L410" s="360"/>
      <c r="M410" s="360"/>
      <c r="N410" s="360"/>
      <c r="O410" s="360"/>
      <c r="P410" s="360"/>
      <c r="Q410" s="360"/>
      <c r="R410" s="360"/>
    </row>
    <row r="411" customFormat="false" ht="39.75" hidden="false" customHeight="true" outlineLevel="0" collapsed="false">
      <c r="A411" s="562"/>
      <c r="B411" s="574"/>
      <c r="C411" s="562"/>
      <c r="D411" s="562"/>
      <c r="E411" s="562"/>
      <c r="F411" s="563"/>
      <c r="G411" s="563"/>
      <c r="H411" s="564"/>
      <c r="I411" s="565"/>
      <c r="J411" s="580"/>
      <c r="K411" s="360"/>
      <c r="L411" s="360"/>
      <c r="M411" s="360"/>
      <c r="N411" s="360"/>
      <c r="O411" s="360"/>
      <c r="P411" s="360"/>
      <c r="Q411" s="360"/>
      <c r="R411" s="360"/>
    </row>
    <row r="412" customFormat="false" ht="39.75" hidden="false" customHeight="true" outlineLevel="0" collapsed="false">
      <c r="A412" s="562"/>
      <c r="B412" s="574"/>
      <c r="C412" s="562"/>
      <c r="D412" s="562"/>
      <c r="E412" s="562"/>
      <c r="F412" s="563"/>
      <c r="G412" s="563"/>
      <c r="H412" s="564"/>
      <c r="I412" s="565"/>
      <c r="J412" s="580"/>
      <c r="K412" s="360"/>
      <c r="L412" s="360"/>
      <c r="M412" s="360"/>
      <c r="N412" s="360"/>
      <c r="O412" s="360"/>
      <c r="P412" s="360"/>
      <c r="Q412" s="360"/>
      <c r="R412" s="360"/>
    </row>
    <row r="413" customFormat="false" ht="39.75" hidden="false" customHeight="true" outlineLevel="0" collapsed="false">
      <c r="A413" s="562"/>
      <c r="B413" s="574"/>
      <c r="C413" s="562"/>
      <c r="D413" s="562"/>
      <c r="E413" s="562"/>
      <c r="F413" s="563"/>
      <c r="G413" s="563"/>
      <c r="H413" s="564"/>
      <c r="I413" s="565"/>
      <c r="J413" s="580"/>
      <c r="K413" s="360"/>
      <c r="L413" s="360"/>
      <c r="M413" s="360"/>
      <c r="N413" s="360"/>
      <c r="O413" s="360"/>
      <c r="P413" s="360"/>
      <c r="Q413" s="360"/>
      <c r="R413" s="360"/>
    </row>
    <row r="414" customFormat="false" ht="39.75" hidden="false" customHeight="true" outlineLevel="0" collapsed="false">
      <c r="A414" s="562"/>
      <c r="B414" s="574"/>
      <c r="C414" s="562"/>
      <c r="D414" s="562"/>
      <c r="E414" s="562"/>
      <c r="F414" s="563"/>
      <c r="G414" s="563"/>
      <c r="H414" s="564"/>
      <c r="I414" s="565"/>
      <c r="J414" s="580"/>
      <c r="K414" s="360"/>
      <c r="L414" s="360"/>
      <c r="M414" s="360"/>
      <c r="N414" s="360"/>
      <c r="O414" s="360"/>
      <c r="P414" s="360"/>
      <c r="Q414" s="360"/>
      <c r="R414" s="360"/>
    </row>
    <row r="415" customFormat="false" ht="39.75" hidden="false" customHeight="true" outlineLevel="0" collapsed="false">
      <c r="A415" s="562"/>
      <c r="B415" s="574"/>
      <c r="C415" s="562"/>
      <c r="D415" s="562"/>
      <c r="E415" s="562"/>
      <c r="F415" s="563"/>
      <c r="G415" s="563"/>
      <c r="H415" s="564"/>
      <c r="I415" s="565"/>
      <c r="J415" s="580"/>
      <c r="K415" s="360"/>
      <c r="L415" s="360"/>
      <c r="M415" s="360"/>
      <c r="N415" s="360"/>
      <c r="O415" s="360"/>
      <c r="P415" s="360"/>
      <c r="Q415" s="360"/>
      <c r="R415" s="360"/>
    </row>
    <row r="416" customFormat="false" ht="39.75" hidden="false" customHeight="true" outlineLevel="0" collapsed="false">
      <c r="A416" s="562"/>
      <c r="B416" s="574"/>
      <c r="C416" s="562"/>
      <c r="D416" s="562"/>
      <c r="E416" s="562"/>
      <c r="F416" s="563"/>
      <c r="G416" s="563"/>
      <c r="H416" s="564"/>
      <c r="I416" s="565"/>
      <c r="J416" s="580"/>
      <c r="K416" s="360"/>
      <c r="L416" s="360"/>
      <c r="M416" s="360"/>
      <c r="N416" s="360"/>
      <c r="O416" s="360"/>
      <c r="P416" s="360"/>
      <c r="Q416" s="360"/>
      <c r="R416" s="360"/>
    </row>
    <row r="417" customFormat="false" ht="39.75" hidden="false" customHeight="true" outlineLevel="0" collapsed="false">
      <c r="A417" s="562"/>
      <c r="B417" s="574"/>
      <c r="C417" s="562"/>
      <c r="D417" s="562"/>
      <c r="E417" s="562"/>
      <c r="F417" s="563"/>
      <c r="G417" s="563"/>
      <c r="H417" s="564"/>
      <c r="I417" s="565"/>
      <c r="J417" s="580"/>
      <c r="K417" s="360"/>
      <c r="L417" s="360"/>
      <c r="M417" s="360"/>
      <c r="N417" s="360"/>
      <c r="O417" s="360"/>
      <c r="P417" s="360"/>
      <c r="Q417" s="360"/>
      <c r="R417" s="360"/>
    </row>
    <row r="418" customFormat="false" ht="39.75" hidden="false" customHeight="true" outlineLevel="0" collapsed="false">
      <c r="A418" s="562"/>
      <c r="B418" s="574"/>
      <c r="C418" s="562"/>
      <c r="D418" s="562"/>
      <c r="E418" s="562"/>
      <c r="F418" s="563"/>
      <c r="G418" s="563"/>
      <c r="H418" s="564"/>
      <c r="I418" s="565"/>
      <c r="J418" s="580"/>
      <c r="K418" s="360"/>
      <c r="L418" s="360"/>
      <c r="M418" s="360"/>
      <c r="N418" s="360"/>
      <c r="O418" s="360"/>
      <c r="P418" s="360"/>
      <c r="Q418" s="360"/>
      <c r="R418" s="360"/>
    </row>
    <row r="419" customFormat="false" ht="39.75" hidden="false" customHeight="true" outlineLevel="0" collapsed="false">
      <c r="A419" s="562"/>
      <c r="B419" s="574"/>
      <c r="C419" s="562"/>
      <c r="D419" s="562"/>
      <c r="E419" s="562"/>
      <c r="F419" s="563"/>
      <c r="G419" s="563"/>
      <c r="H419" s="564"/>
      <c r="I419" s="565"/>
      <c r="J419" s="580"/>
      <c r="K419" s="360"/>
      <c r="L419" s="360"/>
      <c r="M419" s="360"/>
      <c r="N419" s="360"/>
      <c r="O419" s="360"/>
      <c r="P419" s="360"/>
      <c r="Q419" s="360"/>
      <c r="R419" s="360"/>
    </row>
    <row r="420" customFormat="false" ht="39.75" hidden="false" customHeight="true" outlineLevel="0" collapsed="false">
      <c r="A420" s="562"/>
      <c r="B420" s="574"/>
      <c r="C420" s="562"/>
      <c r="D420" s="562"/>
      <c r="E420" s="562"/>
      <c r="F420" s="563"/>
      <c r="G420" s="563"/>
      <c r="H420" s="564"/>
      <c r="I420" s="565"/>
      <c r="J420" s="580"/>
      <c r="K420" s="360"/>
      <c r="L420" s="360"/>
      <c r="M420" s="360"/>
      <c r="N420" s="360"/>
      <c r="O420" s="360"/>
      <c r="P420" s="360"/>
      <c r="Q420" s="360"/>
      <c r="R420" s="360"/>
    </row>
    <row r="421" customFormat="false" ht="39.75" hidden="false" customHeight="true" outlineLevel="0" collapsed="false">
      <c r="A421" s="562"/>
      <c r="B421" s="574"/>
      <c r="C421" s="562"/>
      <c r="D421" s="562"/>
      <c r="E421" s="562"/>
      <c r="F421" s="563"/>
      <c r="G421" s="563"/>
      <c r="H421" s="564"/>
      <c r="I421" s="565"/>
      <c r="J421" s="580"/>
      <c r="K421" s="360"/>
      <c r="L421" s="360"/>
      <c r="M421" s="360"/>
      <c r="N421" s="360"/>
      <c r="O421" s="360"/>
      <c r="P421" s="360"/>
      <c r="Q421" s="360"/>
      <c r="R421" s="360"/>
    </row>
    <row r="422" customFormat="false" ht="39.75" hidden="false" customHeight="true" outlineLevel="0" collapsed="false">
      <c r="A422" s="562"/>
      <c r="B422" s="574"/>
      <c r="C422" s="562"/>
      <c r="D422" s="562"/>
      <c r="E422" s="562"/>
      <c r="F422" s="563"/>
      <c r="G422" s="563"/>
      <c r="H422" s="564"/>
      <c r="I422" s="565"/>
      <c r="J422" s="580"/>
      <c r="K422" s="360"/>
      <c r="L422" s="360"/>
      <c r="M422" s="360"/>
      <c r="N422" s="360"/>
      <c r="O422" s="360"/>
      <c r="P422" s="360"/>
      <c r="Q422" s="360"/>
      <c r="R422" s="360"/>
    </row>
    <row r="423" customFormat="false" ht="39.75" hidden="false" customHeight="true" outlineLevel="0" collapsed="false">
      <c r="A423" s="562"/>
      <c r="B423" s="574"/>
      <c r="C423" s="562"/>
      <c r="D423" s="562"/>
      <c r="E423" s="562"/>
      <c r="F423" s="563"/>
      <c r="G423" s="563"/>
      <c r="H423" s="564"/>
      <c r="I423" s="565"/>
      <c r="J423" s="580"/>
      <c r="K423" s="360"/>
      <c r="L423" s="360"/>
      <c r="M423" s="360"/>
      <c r="N423" s="360"/>
      <c r="O423" s="360"/>
      <c r="P423" s="360"/>
      <c r="Q423" s="360"/>
      <c r="R423" s="360"/>
    </row>
    <row r="424" customFormat="false" ht="39.75" hidden="false" customHeight="true" outlineLevel="0" collapsed="false">
      <c r="A424" s="562"/>
      <c r="B424" s="574"/>
      <c r="C424" s="562"/>
      <c r="D424" s="562"/>
      <c r="E424" s="562"/>
      <c r="F424" s="563"/>
      <c r="G424" s="563"/>
      <c r="H424" s="564"/>
      <c r="I424" s="565"/>
      <c r="J424" s="580"/>
      <c r="K424" s="360"/>
      <c r="L424" s="360"/>
      <c r="M424" s="360"/>
      <c r="N424" s="360"/>
      <c r="O424" s="360"/>
      <c r="P424" s="360"/>
      <c r="Q424" s="360"/>
      <c r="R424" s="360"/>
    </row>
    <row r="425" customFormat="false" ht="39.75" hidden="false" customHeight="true" outlineLevel="0" collapsed="false">
      <c r="A425" s="562"/>
      <c r="B425" s="574"/>
      <c r="C425" s="562"/>
      <c r="D425" s="562"/>
      <c r="E425" s="562"/>
      <c r="F425" s="563"/>
      <c r="G425" s="563"/>
      <c r="H425" s="564"/>
      <c r="I425" s="565"/>
      <c r="J425" s="580"/>
      <c r="K425" s="360"/>
      <c r="L425" s="360"/>
      <c r="M425" s="360"/>
      <c r="N425" s="360"/>
      <c r="O425" s="360"/>
      <c r="P425" s="360"/>
      <c r="Q425" s="360"/>
      <c r="R425" s="360"/>
    </row>
    <row r="426" customFormat="false" ht="39.75" hidden="false" customHeight="true" outlineLevel="0" collapsed="false">
      <c r="A426" s="562"/>
      <c r="B426" s="574"/>
      <c r="C426" s="562"/>
      <c r="D426" s="562"/>
      <c r="E426" s="562"/>
      <c r="F426" s="563"/>
      <c r="G426" s="563"/>
      <c r="H426" s="564"/>
      <c r="I426" s="565"/>
      <c r="J426" s="580"/>
      <c r="K426" s="360"/>
      <c r="L426" s="360"/>
      <c r="M426" s="360"/>
      <c r="N426" s="360"/>
      <c r="O426" s="360"/>
      <c r="P426" s="360"/>
      <c r="Q426" s="360"/>
      <c r="R426" s="360"/>
    </row>
    <row r="427" customFormat="false" ht="39.75" hidden="false" customHeight="true" outlineLevel="0" collapsed="false">
      <c r="A427" s="562"/>
      <c r="B427" s="574"/>
      <c r="C427" s="562"/>
      <c r="D427" s="562"/>
      <c r="E427" s="562"/>
      <c r="F427" s="563"/>
      <c r="G427" s="563"/>
      <c r="H427" s="564"/>
      <c r="I427" s="565"/>
      <c r="J427" s="580"/>
      <c r="K427" s="360"/>
      <c r="L427" s="360"/>
      <c r="M427" s="360"/>
      <c r="N427" s="360"/>
      <c r="O427" s="360"/>
      <c r="P427" s="360"/>
      <c r="Q427" s="360"/>
      <c r="R427" s="360"/>
    </row>
    <row r="428" customFormat="false" ht="39.75" hidden="false" customHeight="true" outlineLevel="0" collapsed="false">
      <c r="A428" s="562"/>
      <c r="B428" s="574"/>
      <c r="C428" s="562"/>
      <c r="D428" s="562"/>
      <c r="E428" s="562"/>
      <c r="F428" s="563"/>
      <c r="G428" s="563"/>
      <c r="H428" s="564"/>
      <c r="I428" s="565"/>
      <c r="J428" s="580"/>
      <c r="K428" s="360"/>
      <c r="L428" s="360"/>
      <c r="M428" s="360"/>
      <c r="N428" s="360"/>
      <c r="O428" s="360"/>
      <c r="P428" s="360"/>
      <c r="Q428" s="360"/>
      <c r="R428" s="360"/>
    </row>
    <row r="429" customFormat="false" ht="39.75" hidden="false" customHeight="true" outlineLevel="0" collapsed="false">
      <c r="A429" s="562"/>
      <c r="B429" s="574"/>
      <c r="C429" s="562"/>
      <c r="D429" s="562"/>
      <c r="E429" s="562"/>
      <c r="F429" s="563"/>
      <c r="G429" s="563"/>
      <c r="H429" s="564"/>
      <c r="I429" s="565"/>
      <c r="J429" s="580"/>
      <c r="K429" s="360"/>
      <c r="L429" s="360"/>
      <c r="M429" s="360"/>
      <c r="N429" s="360"/>
      <c r="O429" s="360"/>
      <c r="P429" s="360"/>
      <c r="Q429" s="360"/>
      <c r="R429" s="360"/>
    </row>
    <row r="430" customFormat="false" ht="39.75" hidden="false" customHeight="true" outlineLevel="0" collapsed="false">
      <c r="A430" s="562"/>
      <c r="B430" s="574"/>
      <c r="C430" s="562"/>
      <c r="D430" s="562"/>
      <c r="E430" s="562"/>
      <c r="F430" s="563"/>
      <c r="G430" s="563"/>
      <c r="H430" s="564"/>
      <c r="I430" s="565"/>
      <c r="J430" s="580"/>
      <c r="K430" s="360"/>
      <c r="L430" s="360"/>
      <c r="M430" s="360"/>
      <c r="N430" s="360"/>
      <c r="O430" s="360"/>
      <c r="P430" s="360"/>
      <c r="Q430" s="360"/>
      <c r="R430" s="360"/>
    </row>
    <row r="431" customFormat="false" ht="39.75" hidden="false" customHeight="true" outlineLevel="0" collapsed="false">
      <c r="A431" s="562"/>
      <c r="B431" s="574"/>
      <c r="C431" s="562"/>
      <c r="D431" s="562"/>
      <c r="E431" s="562"/>
      <c r="F431" s="563"/>
      <c r="G431" s="563"/>
      <c r="H431" s="564"/>
      <c r="I431" s="565"/>
      <c r="J431" s="580"/>
      <c r="K431" s="360"/>
      <c r="L431" s="360"/>
      <c r="M431" s="360"/>
      <c r="N431" s="360"/>
      <c r="O431" s="360"/>
      <c r="P431" s="360"/>
      <c r="Q431" s="360"/>
      <c r="R431" s="360"/>
    </row>
    <row r="432" customFormat="false" ht="39.75" hidden="false" customHeight="true" outlineLevel="0" collapsed="false">
      <c r="A432" s="562"/>
      <c r="B432" s="574"/>
      <c r="C432" s="562"/>
      <c r="D432" s="562"/>
      <c r="E432" s="562"/>
      <c r="F432" s="563"/>
      <c r="G432" s="563"/>
      <c r="H432" s="564"/>
      <c r="I432" s="565"/>
      <c r="J432" s="580"/>
      <c r="K432" s="360"/>
      <c r="L432" s="360"/>
      <c r="M432" s="360"/>
      <c r="N432" s="360"/>
      <c r="O432" s="360"/>
      <c r="P432" s="360"/>
      <c r="Q432" s="360"/>
      <c r="R432" s="360"/>
    </row>
    <row r="433" customFormat="false" ht="39.75" hidden="false" customHeight="true" outlineLevel="0" collapsed="false">
      <c r="A433" s="562"/>
      <c r="B433" s="574"/>
      <c r="C433" s="562"/>
      <c r="D433" s="562"/>
      <c r="E433" s="562"/>
      <c r="F433" s="563"/>
      <c r="G433" s="563"/>
      <c r="H433" s="564"/>
      <c r="I433" s="565"/>
      <c r="J433" s="580"/>
      <c r="K433" s="360"/>
      <c r="L433" s="360"/>
      <c r="M433" s="360"/>
      <c r="N433" s="360"/>
      <c r="O433" s="360"/>
      <c r="P433" s="360"/>
      <c r="Q433" s="360"/>
      <c r="R433" s="360"/>
    </row>
    <row r="434" customFormat="false" ht="39.75" hidden="false" customHeight="true" outlineLevel="0" collapsed="false">
      <c r="A434" s="562"/>
      <c r="B434" s="574"/>
      <c r="C434" s="562"/>
      <c r="D434" s="562"/>
      <c r="E434" s="562"/>
      <c r="F434" s="563"/>
      <c r="G434" s="563"/>
      <c r="H434" s="564"/>
      <c r="I434" s="565"/>
      <c r="J434" s="580"/>
      <c r="K434" s="360"/>
      <c r="L434" s="360"/>
      <c r="M434" s="360"/>
      <c r="N434" s="360"/>
      <c r="O434" s="360"/>
      <c r="P434" s="360"/>
      <c r="Q434" s="360"/>
      <c r="R434" s="360"/>
    </row>
    <row r="435" customFormat="false" ht="39.75" hidden="false" customHeight="true" outlineLevel="0" collapsed="false">
      <c r="A435" s="562"/>
      <c r="B435" s="574"/>
      <c r="C435" s="562"/>
      <c r="D435" s="562"/>
      <c r="E435" s="562"/>
      <c r="F435" s="563"/>
      <c r="G435" s="563"/>
      <c r="H435" s="564"/>
      <c r="I435" s="565"/>
      <c r="J435" s="580"/>
      <c r="K435" s="360"/>
      <c r="L435" s="360"/>
      <c r="M435" s="360"/>
      <c r="N435" s="360"/>
      <c r="O435" s="360"/>
      <c r="P435" s="360"/>
      <c r="Q435" s="360"/>
      <c r="R435" s="360"/>
    </row>
    <row r="436" customFormat="false" ht="39.75" hidden="false" customHeight="true" outlineLevel="0" collapsed="false">
      <c r="A436" s="562"/>
      <c r="B436" s="574"/>
      <c r="C436" s="562"/>
      <c r="D436" s="562"/>
      <c r="E436" s="562"/>
      <c r="F436" s="563"/>
      <c r="G436" s="563"/>
      <c r="H436" s="564"/>
      <c r="I436" s="565"/>
      <c r="J436" s="580"/>
      <c r="K436" s="360"/>
      <c r="L436" s="360"/>
      <c r="M436" s="360"/>
      <c r="N436" s="360"/>
      <c r="O436" s="360"/>
      <c r="P436" s="360"/>
      <c r="Q436" s="360"/>
      <c r="R436" s="360"/>
    </row>
    <row r="437" customFormat="false" ht="39.75" hidden="false" customHeight="true" outlineLevel="0" collapsed="false">
      <c r="A437" s="562"/>
      <c r="B437" s="574"/>
      <c r="C437" s="562"/>
      <c r="D437" s="562"/>
      <c r="E437" s="562"/>
      <c r="F437" s="563"/>
      <c r="G437" s="563"/>
      <c r="H437" s="564"/>
      <c r="I437" s="565"/>
      <c r="J437" s="580"/>
      <c r="K437" s="360"/>
      <c r="L437" s="360"/>
      <c r="M437" s="360"/>
      <c r="N437" s="360"/>
      <c r="O437" s="360"/>
      <c r="P437" s="360"/>
      <c r="Q437" s="360"/>
      <c r="R437" s="360"/>
    </row>
    <row r="438" customFormat="false" ht="39.75" hidden="false" customHeight="true" outlineLevel="0" collapsed="false">
      <c r="A438" s="562"/>
      <c r="B438" s="574"/>
      <c r="C438" s="562"/>
      <c r="D438" s="562"/>
      <c r="E438" s="562"/>
      <c r="F438" s="563"/>
      <c r="G438" s="563"/>
      <c r="H438" s="564"/>
      <c r="I438" s="565"/>
      <c r="J438" s="580"/>
      <c r="K438" s="360"/>
      <c r="L438" s="360"/>
      <c r="M438" s="360"/>
      <c r="N438" s="360"/>
      <c r="O438" s="360"/>
      <c r="P438" s="360"/>
      <c r="Q438" s="360"/>
      <c r="R438" s="360"/>
    </row>
    <row r="439" customFormat="false" ht="39.75" hidden="false" customHeight="true" outlineLevel="0" collapsed="false">
      <c r="A439" s="562"/>
      <c r="B439" s="574"/>
      <c r="C439" s="562"/>
      <c r="D439" s="562"/>
      <c r="E439" s="562"/>
      <c r="F439" s="563"/>
      <c r="G439" s="563"/>
      <c r="H439" s="564"/>
      <c r="I439" s="565"/>
      <c r="J439" s="580"/>
      <c r="K439" s="360"/>
      <c r="L439" s="360"/>
      <c r="M439" s="360"/>
      <c r="N439" s="360"/>
      <c r="O439" s="360"/>
      <c r="P439" s="360"/>
      <c r="Q439" s="360"/>
      <c r="R439" s="360"/>
    </row>
    <row r="440" customFormat="false" ht="39.75" hidden="false" customHeight="true" outlineLevel="0" collapsed="false">
      <c r="A440" s="562"/>
      <c r="B440" s="574"/>
      <c r="C440" s="562"/>
      <c r="D440" s="562"/>
      <c r="E440" s="562"/>
      <c r="F440" s="563"/>
      <c r="G440" s="563"/>
      <c r="H440" s="564"/>
      <c r="I440" s="565"/>
      <c r="J440" s="580"/>
      <c r="K440" s="360"/>
      <c r="L440" s="360"/>
      <c r="M440" s="360"/>
      <c r="N440" s="360"/>
      <c r="O440" s="360"/>
      <c r="P440" s="360"/>
      <c r="Q440" s="360"/>
      <c r="R440" s="360"/>
    </row>
    <row r="441" customFormat="false" ht="39.75" hidden="false" customHeight="true" outlineLevel="0" collapsed="false">
      <c r="A441" s="562"/>
      <c r="B441" s="574"/>
      <c r="C441" s="562"/>
      <c r="D441" s="562"/>
      <c r="E441" s="562"/>
      <c r="F441" s="563"/>
      <c r="G441" s="563"/>
      <c r="H441" s="564"/>
      <c r="I441" s="565"/>
      <c r="J441" s="580"/>
      <c r="K441" s="360"/>
      <c r="L441" s="360"/>
      <c r="M441" s="360"/>
      <c r="N441" s="360"/>
      <c r="O441" s="360"/>
      <c r="P441" s="360"/>
      <c r="Q441" s="360"/>
      <c r="R441" s="360"/>
    </row>
    <row r="442" customFormat="false" ht="39.75" hidden="false" customHeight="true" outlineLevel="0" collapsed="false">
      <c r="A442" s="562"/>
      <c r="B442" s="574"/>
      <c r="C442" s="562"/>
      <c r="D442" s="562"/>
      <c r="E442" s="562"/>
      <c r="F442" s="563"/>
      <c r="G442" s="563"/>
      <c r="H442" s="564"/>
      <c r="I442" s="565"/>
      <c r="J442" s="580"/>
      <c r="K442" s="360"/>
      <c r="L442" s="360"/>
      <c r="M442" s="360"/>
      <c r="N442" s="360"/>
      <c r="O442" s="360"/>
      <c r="P442" s="360"/>
      <c r="Q442" s="360"/>
      <c r="R442" s="360"/>
    </row>
    <row r="443" customFormat="false" ht="39.75" hidden="false" customHeight="true" outlineLevel="0" collapsed="false">
      <c r="A443" s="562"/>
      <c r="B443" s="574"/>
      <c r="C443" s="562"/>
      <c r="D443" s="562"/>
      <c r="E443" s="562"/>
      <c r="F443" s="563"/>
      <c r="G443" s="563"/>
      <c r="H443" s="564"/>
      <c r="I443" s="565"/>
      <c r="J443" s="580"/>
      <c r="K443" s="360"/>
      <c r="L443" s="360"/>
      <c r="M443" s="360"/>
      <c r="N443" s="360"/>
      <c r="O443" s="360"/>
      <c r="P443" s="360"/>
      <c r="Q443" s="360"/>
      <c r="R443" s="360"/>
    </row>
    <row r="444" customFormat="false" ht="39.75" hidden="false" customHeight="true" outlineLevel="0" collapsed="false">
      <c r="A444" s="562"/>
      <c r="B444" s="574"/>
      <c r="C444" s="562"/>
      <c r="D444" s="562"/>
      <c r="E444" s="562"/>
      <c r="F444" s="563"/>
      <c r="G444" s="563"/>
      <c r="H444" s="564"/>
      <c r="I444" s="565"/>
      <c r="J444" s="580"/>
      <c r="K444" s="360"/>
      <c r="L444" s="360"/>
      <c r="M444" s="360"/>
      <c r="N444" s="360"/>
      <c r="O444" s="360"/>
      <c r="P444" s="360"/>
      <c r="Q444" s="360"/>
      <c r="R444" s="360"/>
    </row>
    <row r="445" customFormat="false" ht="39.75" hidden="false" customHeight="true" outlineLevel="0" collapsed="false">
      <c r="A445" s="562"/>
      <c r="B445" s="574"/>
      <c r="C445" s="562"/>
      <c r="D445" s="562"/>
      <c r="E445" s="562"/>
      <c r="F445" s="563"/>
      <c r="G445" s="563"/>
      <c r="H445" s="564"/>
      <c r="I445" s="565"/>
      <c r="J445" s="580"/>
      <c r="K445" s="360"/>
      <c r="L445" s="360"/>
      <c r="M445" s="360"/>
      <c r="N445" s="360"/>
      <c r="O445" s="360"/>
      <c r="P445" s="360"/>
      <c r="Q445" s="360"/>
      <c r="R445" s="360"/>
    </row>
    <row r="446" customFormat="false" ht="39.75" hidden="false" customHeight="true" outlineLevel="0" collapsed="false">
      <c r="A446" s="562"/>
      <c r="B446" s="574"/>
      <c r="C446" s="562"/>
      <c r="D446" s="562"/>
      <c r="E446" s="562"/>
      <c r="F446" s="563"/>
      <c r="G446" s="563"/>
      <c r="H446" s="564"/>
      <c r="I446" s="565"/>
      <c r="J446" s="580"/>
      <c r="K446" s="360"/>
      <c r="L446" s="360"/>
      <c r="M446" s="360"/>
      <c r="N446" s="360"/>
      <c r="O446" s="360"/>
      <c r="P446" s="360"/>
      <c r="Q446" s="360"/>
      <c r="R446" s="360"/>
    </row>
    <row r="447" customFormat="false" ht="39.75" hidden="false" customHeight="true" outlineLevel="0" collapsed="false">
      <c r="A447" s="562"/>
      <c r="B447" s="574"/>
      <c r="C447" s="562"/>
      <c r="D447" s="562"/>
      <c r="E447" s="562"/>
      <c r="F447" s="563"/>
      <c r="G447" s="563"/>
      <c r="H447" s="564"/>
      <c r="I447" s="565"/>
      <c r="J447" s="580"/>
      <c r="K447" s="360"/>
      <c r="L447" s="360"/>
      <c r="M447" s="360"/>
      <c r="N447" s="360"/>
      <c r="O447" s="360"/>
      <c r="P447" s="360"/>
      <c r="Q447" s="360"/>
      <c r="R447" s="360"/>
    </row>
    <row r="448" customFormat="false" ht="39.75" hidden="false" customHeight="true" outlineLevel="0" collapsed="false">
      <c r="A448" s="562"/>
      <c r="B448" s="574"/>
      <c r="C448" s="562"/>
      <c r="D448" s="562"/>
      <c r="E448" s="562"/>
      <c r="F448" s="563"/>
      <c r="G448" s="563"/>
      <c r="H448" s="564"/>
      <c r="I448" s="565"/>
      <c r="J448" s="580"/>
      <c r="K448" s="360"/>
      <c r="L448" s="360"/>
      <c r="M448" s="360"/>
      <c r="N448" s="360"/>
      <c r="O448" s="360"/>
      <c r="P448" s="360"/>
      <c r="Q448" s="360"/>
      <c r="R448" s="360"/>
    </row>
    <row r="449" customFormat="false" ht="39.75" hidden="false" customHeight="true" outlineLevel="0" collapsed="false">
      <c r="A449" s="562"/>
      <c r="B449" s="574"/>
      <c r="C449" s="562"/>
      <c r="D449" s="562"/>
      <c r="E449" s="562"/>
      <c r="F449" s="563"/>
      <c r="G449" s="563"/>
      <c r="H449" s="564"/>
      <c r="I449" s="565"/>
      <c r="J449" s="580"/>
      <c r="K449" s="360"/>
      <c r="L449" s="360"/>
      <c r="M449" s="360"/>
      <c r="N449" s="360"/>
      <c r="O449" s="360"/>
      <c r="P449" s="360"/>
      <c r="Q449" s="360"/>
      <c r="R449" s="360"/>
    </row>
    <row r="450" customFormat="false" ht="39.75" hidden="false" customHeight="true" outlineLevel="0" collapsed="false">
      <c r="A450" s="562"/>
      <c r="B450" s="574"/>
      <c r="C450" s="562"/>
      <c r="D450" s="562"/>
      <c r="E450" s="562"/>
      <c r="F450" s="563"/>
      <c r="G450" s="563"/>
      <c r="H450" s="564"/>
      <c r="I450" s="565"/>
      <c r="J450" s="580"/>
      <c r="K450" s="360"/>
      <c r="L450" s="360"/>
      <c r="M450" s="360"/>
      <c r="N450" s="360"/>
      <c r="O450" s="360"/>
      <c r="P450" s="360"/>
      <c r="Q450" s="360"/>
      <c r="R450" s="360"/>
    </row>
    <row r="451" customFormat="false" ht="39.75" hidden="false" customHeight="true" outlineLevel="0" collapsed="false">
      <c r="A451" s="562"/>
      <c r="B451" s="574"/>
      <c r="C451" s="562"/>
      <c r="D451" s="562"/>
      <c r="E451" s="562"/>
      <c r="F451" s="563"/>
      <c r="G451" s="563"/>
      <c r="H451" s="564"/>
      <c r="I451" s="565"/>
      <c r="J451" s="580"/>
      <c r="K451" s="360"/>
      <c r="L451" s="360"/>
      <c r="M451" s="360"/>
      <c r="N451" s="360"/>
      <c r="O451" s="360"/>
      <c r="P451" s="360"/>
      <c r="Q451" s="360"/>
      <c r="R451" s="360"/>
    </row>
    <row r="452" customFormat="false" ht="39.75" hidden="false" customHeight="true" outlineLevel="0" collapsed="false">
      <c r="A452" s="562"/>
      <c r="B452" s="574"/>
      <c r="C452" s="562"/>
      <c r="D452" s="562"/>
      <c r="E452" s="562"/>
      <c r="F452" s="563"/>
      <c r="G452" s="563"/>
      <c r="H452" s="564"/>
      <c r="I452" s="565"/>
      <c r="J452" s="580"/>
      <c r="K452" s="360"/>
      <c r="L452" s="360"/>
      <c r="M452" s="360"/>
      <c r="N452" s="360"/>
      <c r="O452" s="360"/>
      <c r="P452" s="360"/>
      <c r="Q452" s="360"/>
      <c r="R452" s="360"/>
    </row>
    <row r="453" customFormat="false" ht="39.75" hidden="false" customHeight="true" outlineLevel="0" collapsed="false">
      <c r="A453" s="562"/>
      <c r="B453" s="574"/>
      <c r="C453" s="562"/>
      <c r="D453" s="562"/>
      <c r="E453" s="562"/>
      <c r="F453" s="563"/>
      <c r="G453" s="563"/>
      <c r="H453" s="564"/>
      <c r="I453" s="565"/>
      <c r="J453" s="580"/>
      <c r="K453" s="360"/>
      <c r="L453" s="360"/>
      <c r="M453" s="360"/>
      <c r="N453" s="360"/>
      <c r="O453" s="360"/>
      <c r="P453" s="360"/>
      <c r="Q453" s="360"/>
      <c r="R453" s="360"/>
    </row>
    <row r="454" customFormat="false" ht="39.75" hidden="false" customHeight="true" outlineLevel="0" collapsed="false">
      <c r="A454" s="562"/>
      <c r="B454" s="574"/>
      <c r="C454" s="562"/>
      <c r="D454" s="562"/>
      <c r="E454" s="562"/>
      <c r="F454" s="563"/>
      <c r="G454" s="563"/>
      <c r="H454" s="564"/>
      <c r="I454" s="565"/>
      <c r="J454" s="580"/>
      <c r="K454" s="360"/>
      <c r="L454" s="360"/>
      <c r="M454" s="360"/>
      <c r="N454" s="360"/>
      <c r="O454" s="360"/>
      <c r="P454" s="360"/>
      <c r="Q454" s="360"/>
      <c r="R454" s="360"/>
    </row>
    <row r="455" customFormat="false" ht="39.75" hidden="false" customHeight="true" outlineLevel="0" collapsed="false">
      <c r="A455" s="562"/>
      <c r="B455" s="574"/>
      <c r="C455" s="562"/>
      <c r="D455" s="562"/>
      <c r="E455" s="562"/>
      <c r="F455" s="563"/>
      <c r="G455" s="563"/>
      <c r="H455" s="564"/>
      <c r="I455" s="565"/>
      <c r="J455" s="580"/>
      <c r="K455" s="360"/>
      <c r="L455" s="360"/>
      <c r="M455" s="360"/>
      <c r="N455" s="360"/>
      <c r="O455" s="360"/>
      <c r="P455" s="360"/>
      <c r="Q455" s="360"/>
      <c r="R455" s="360"/>
    </row>
    <row r="456" customFormat="false" ht="39.75" hidden="false" customHeight="true" outlineLevel="0" collapsed="false">
      <c r="A456" s="562"/>
      <c r="B456" s="574"/>
      <c r="C456" s="562"/>
      <c r="D456" s="562"/>
      <c r="E456" s="562"/>
      <c r="F456" s="563"/>
      <c r="G456" s="563"/>
      <c r="H456" s="564"/>
      <c r="I456" s="565"/>
      <c r="J456" s="580"/>
      <c r="K456" s="360"/>
      <c r="L456" s="360"/>
      <c r="M456" s="360"/>
      <c r="N456" s="360"/>
      <c r="O456" s="360"/>
      <c r="P456" s="360"/>
      <c r="Q456" s="360"/>
      <c r="R456" s="360"/>
    </row>
    <row r="457" customFormat="false" ht="39.75" hidden="false" customHeight="true" outlineLevel="0" collapsed="false">
      <c r="A457" s="562"/>
      <c r="B457" s="574"/>
      <c r="C457" s="562"/>
      <c r="D457" s="562"/>
      <c r="E457" s="562"/>
      <c r="F457" s="563"/>
      <c r="G457" s="563"/>
      <c r="H457" s="564"/>
      <c r="I457" s="565"/>
      <c r="J457" s="580"/>
      <c r="K457" s="360"/>
      <c r="L457" s="360"/>
      <c r="M457" s="360"/>
      <c r="N457" s="360"/>
      <c r="O457" s="360"/>
      <c r="P457" s="360"/>
      <c r="Q457" s="360"/>
      <c r="R457" s="360"/>
    </row>
    <row r="458" customFormat="false" ht="39.75" hidden="false" customHeight="true" outlineLevel="0" collapsed="false">
      <c r="A458" s="562"/>
      <c r="B458" s="574"/>
      <c r="C458" s="562"/>
      <c r="D458" s="562"/>
      <c r="E458" s="562"/>
      <c r="F458" s="563"/>
      <c r="G458" s="563"/>
      <c r="H458" s="564"/>
      <c r="I458" s="565"/>
      <c r="J458" s="580"/>
      <c r="K458" s="360"/>
      <c r="L458" s="360"/>
      <c r="M458" s="360"/>
      <c r="N458" s="360"/>
      <c r="O458" s="360"/>
      <c r="P458" s="360"/>
      <c r="Q458" s="360"/>
      <c r="R458" s="360"/>
    </row>
    <row r="459" customFormat="false" ht="39.75" hidden="false" customHeight="true" outlineLevel="0" collapsed="false">
      <c r="A459" s="562"/>
      <c r="B459" s="574"/>
      <c r="C459" s="562"/>
      <c r="D459" s="562"/>
      <c r="E459" s="562"/>
      <c r="F459" s="563"/>
      <c r="G459" s="563"/>
      <c r="H459" s="564"/>
      <c r="I459" s="565"/>
      <c r="J459" s="580"/>
      <c r="K459" s="360"/>
      <c r="L459" s="360"/>
      <c r="M459" s="360"/>
      <c r="N459" s="360"/>
      <c r="O459" s="360"/>
      <c r="P459" s="360"/>
      <c r="Q459" s="360"/>
      <c r="R459" s="360"/>
    </row>
    <row r="460" customFormat="false" ht="39.75" hidden="false" customHeight="true" outlineLevel="0" collapsed="false">
      <c r="A460" s="562"/>
      <c r="B460" s="574"/>
      <c r="C460" s="562"/>
      <c r="D460" s="562"/>
      <c r="E460" s="562"/>
      <c r="F460" s="563"/>
      <c r="G460" s="563"/>
      <c r="H460" s="564"/>
      <c r="I460" s="565"/>
      <c r="J460" s="580"/>
      <c r="K460" s="360"/>
      <c r="L460" s="360"/>
      <c r="M460" s="360"/>
      <c r="N460" s="360"/>
      <c r="O460" s="360"/>
      <c r="P460" s="360"/>
      <c r="Q460" s="360"/>
      <c r="R460" s="360"/>
    </row>
    <row r="461" customFormat="false" ht="39.75" hidden="false" customHeight="true" outlineLevel="0" collapsed="false">
      <c r="A461" s="562"/>
      <c r="B461" s="574"/>
      <c r="C461" s="562"/>
      <c r="D461" s="562"/>
      <c r="E461" s="562"/>
      <c r="F461" s="563"/>
      <c r="G461" s="563"/>
      <c r="H461" s="564"/>
      <c r="I461" s="565"/>
      <c r="J461" s="580"/>
      <c r="K461" s="360"/>
      <c r="L461" s="360"/>
      <c r="M461" s="360"/>
      <c r="N461" s="360"/>
      <c r="O461" s="360"/>
      <c r="P461" s="360"/>
      <c r="Q461" s="360"/>
      <c r="R461" s="360"/>
    </row>
    <row r="462" customFormat="false" ht="39.75" hidden="false" customHeight="true" outlineLevel="0" collapsed="false">
      <c r="A462" s="562"/>
      <c r="B462" s="574"/>
      <c r="C462" s="562"/>
      <c r="D462" s="562"/>
      <c r="E462" s="562"/>
      <c r="F462" s="563"/>
      <c r="G462" s="563"/>
      <c r="H462" s="564"/>
      <c r="I462" s="565"/>
      <c r="J462" s="580"/>
      <c r="K462" s="360"/>
      <c r="L462" s="360"/>
      <c r="M462" s="360"/>
      <c r="N462" s="360"/>
      <c r="O462" s="360"/>
      <c r="P462" s="360"/>
      <c r="Q462" s="360"/>
      <c r="R462" s="360"/>
    </row>
    <row r="463" customFormat="false" ht="39.75" hidden="false" customHeight="true" outlineLevel="0" collapsed="false">
      <c r="A463" s="562"/>
      <c r="B463" s="574"/>
      <c r="C463" s="562"/>
      <c r="D463" s="562"/>
      <c r="E463" s="562"/>
      <c r="F463" s="563"/>
      <c r="G463" s="563"/>
      <c r="H463" s="564"/>
      <c r="I463" s="565"/>
      <c r="J463" s="580"/>
      <c r="K463" s="360"/>
      <c r="L463" s="360"/>
      <c r="M463" s="360"/>
      <c r="N463" s="360"/>
      <c r="O463" s="360"/>
      <c r="P463" s="360"/>
      <c r="Q463" s="360"/>
      <c r="R463" s="360"/>
    </row>
    <row r="464" customFormat="false" ht="39.75" hidden="false" customHeight="true" outlineLevel="0" collapsed="false">
      <c r="A464" s="562"/>
      <c r="B464" s="574"/>
      <c r="C464" s="562"/>
      <c r="D464" s="562"/>
      <c r="E464" s="562"/>
      <c r="F464" s="563"/>
      <c r="G464" s="563"/>
      <c r="H464" s="564"/>
      <c r="I464" s="565"/>
      <c r="J464" s="580"/>
      <c r="K464" s="360"/>
      <c r="L464" s="360"/>
      <c r="M464" s="360"/>
      <c r="N464" s="360"/>
      <c r="O464" s="360"/>
      <c r="P464" s="360"/>
      <c r="Q464" s="360"/>
      <c r="R464" s="360"/>
    </row>
    <row r="465" customFormat="false" ht="39.75" hidden="false" customHeight="true" outlineLevel="0" collapsed="false">
      <c r="A465" s="562"/>
      <c r="B465" s="574"/>
      <c r="C465" s="562"/>
      <c r="D465" s="562"/>
      <c r="E465" s="562"/>
      <c r="F465" s="563"/>
      <c r="G465" s="563"/>
      <c r="H465" s="564"/>
      <c r="I465" s="565"/>
      <c r="J465" s="580"/>
      <c r="K465" s="360"/>
      <c r="L465" s="360"/>
      <c r="M465" s="360"/>
      <c r="N465" s="360"/>
      <c r="O465" s="360"/>
      <c r="P465" s="360"/>
      <c r="Q465" s="360"/>
      <c r="R465" s="360"/>
    </row>
    <row r="466" customFormat="false" ht="39.75" hidden="false" customHeight="true" outlineLevel="0" collapsed="false">
      <c r="A466" s="562"/>
      <c r="B466" s="574"/>
      <c r="C466" s="562"/>
      <c r="D466" s="562"/>
      <c r="E466" s="562"/>
      <c r="F466" s="563"/>
      <c r="G466" s="563"/>
      <c r="H466" s="564"/>
      <c r="I466" s="565"/>
      <c r="J466" s="580"/>
      <c r="K466" s="360"/>
      <c r="L466" s="360"/>
      <c r="M466" s="360"/>
      <c r="N466" s="360"/>
      <c r="O466" s="360"/>
      <c r="P466" s="360"/>
      <c r="Q466" s="360"/>
      <c r="R466" s="360"/>
    </row>
    <row r="467" customFormat="false" ht="39.75" hidden="false" customHeight="true" outlineLevel="0" collapsed="false">
      <c r="A467" s="562"/>
      <c r="B467" s="574"/>
      <c r="C467" s="562"/>
      <c r="D467" s="562"/>
      <c r="E467" s="562"/>
      <c r="F467" s="563"/>
      <c r="G467" s="563"/>
      <c r="H467" s="564"/>
      <c r="I467" s="565"/>
      <c r="J467" s="580"/>
      <c r="K467" s="360"/>
      <c r="L467" s="360"/>
      <c r="M467" s="360"/>
      <c r="N467" s="360"/>
      <c r="O467" s="360"/>
      <c r="P467" s="360"/>
      <c r="Q467" s="360"/>
      <c r="R467" s="360"/>
    </row>
    <row r="468" customFormat="false" ht="39.75" hidden="false" customHeight="true" outlineLevel="0" collapsed="false">
      <c r="A468" s="562"/>
      <c r="B468" s="574"/>
      <c r="C468" s="562"/>
      <c r="D468" s="562"/>
      <c r="E468" s="562"/>
      <c r="F468" s="563"/>
      <c r="G468" s="563"/>
      <c r="H468" s="564"/>
      <c r="I468" s="565"/>
      <c r="J468" s="580"/>
      <c r="K468" s="360"/>
      <c r="L468" s="360"/>
      <c r="M468" s="360"/>
      <c r="N468" s="360"/>
      <c r="O468" s="360"/>
      <c r="P468" s="360"/>
      <c r="Q468" s="360"/>
      <c r="R468" s="360"/>
    </row>
    <row r="469" customFormat="false" ht="39.75" hidden="false" customHeight="true" outlineLevel="0" collapsed="false">
      <c r="A469" s="562"/>
      <c r="B469" s="574"/>
      <c r="C469" s="562"/>
      <c r="D469" s="562"/>
      <c r="E469" s="562"/>
      <c r="F469" s="563"/>
      <c r="G469" s="563"/>
      <c r="H469" s="564"/>
      <c r="I469" s="565"/>
      <c r="J469" s="580"/>
      <c r="K469" s="360"/>
      <c r="L469" s="360"/>
      <c r="M469" s="360"/>
      <c r="N469" s="360"/>
      <c r="O469" s="360"/>
      <c r="P469" s="360"/>
      <c r="Q469" s="360"/>
      <c r="R469" s="360"/>
    </row>
    <row r="470" customFormat="false" ht="39.75" hidden="false" customHeight="true" outlineLevel="0" collapsed="false">
      <c r="A470" s="562"/>
      <c r="B470" s="574"/>
      <c r="C470" s="562"/>
      <c r="D470" s="562"/>
      <c r="E470" s="562"/>
      <c r="F470" s="563"/>
      <c r="G470" s="563"/>
      <c r="H470" s="564"/>
      <c r="I470" s="565"/>
      <c r="J470" s="580"/>
      <c r="K470" s="360"/>
      <c r="L470" s="360"/>
      <c r="M470" s="360"/>
      <c r="N470" s="360"/>
      <c r="O470" s="360"/>
      <c r="P470" s="360"/>
      <c r="Q470" s="360"/>
      <c r="R470" s="360"/>
    </row>
    <row r="471" customFormat="false" ht="39.75" hidden="false" customHeight="true" outlineLevel="0" collapsed="false">
      <c r="A471" s="562"/>
      <c r="B471" s="574"/>
      <c r="C471" s="562"/>
      <c r="D471" s="562"/>
      <c r="E471" s="562"/>
      <c r="F471" s="563"/>
      <c r="G471" s="563"/>
      <c r="H471" s="564"/>
      <c r="I471" s="565"/>
      <c r="J471" s="580"/>
      <c r="K471" s="360"/>
      <c r="L471" s="360"/>
      <c r="M471" s="360"/>
      <c r="N471" s="360"/>
      <c r="O471" s="360"/>
      <c r="P471" s="360"/>
      <c r="Q471" s="360"/>
      <c r="R471" s="360"/>
    </row>
    <row r="472" customFormat="false" ht="39.75" hidden="false" customHeight="true" outlineLevel="0" collapsed="false">
      <c r="A472" s="562"/>
      <c r="B472" s="574"/>
      <c r="C472" s="562"/>
      <c r="D472" s="562"/>
      <c r="E472" s="562"/>
      <c r="F472" s="563"/>
      <c r="G472" s="563"/>
      <c r="H472" s="564"/>
      <c r="I472" s="565"/>
      <c r="J472" s="580"/>
      <c r="K472" s="360"/>
      <c r="L472" s="360"/>
      <c r="M472" s="360"/>
      <c r="N472" s="360"/>
      <c r="O472" s="360"/>
      <c r="P472" s="360"/>
      <c r="Q472" s="360"/>
      <c r="R472" s="360"/>
    </row>
    <row r="473" customFormat="false" ht="39.75" hidden="false" customHeight="true" outlineLevel="0" collapsed="false">
      <c r="A473" s="562"/>
      <c r="B473" s="574"/>
      <c r="C473" s="562"/>
      <c r="D473" s="562"/>
      <c r="E473" s="562"/>
      <c r="F473" s="563"/>
      <c r="G473" s="563"/>
      <c r="H473" s="564"/>
      <c r="I473" s="565"/>
      <c r="J473" s="580"/>
      <c r="K473" s="360"/>
      <c r="L473" s="360"/>
      <c r="M473" s="360"/>
      <c r="N473" s="360"/>
      <c r="O473" s="360"/>
      <c r="P473" s="360"/>
      <c r="Q473" s="360"/>
      <c r="R473" s="360"/>
    </row>
    <row r="474" customFormat="false" ht="39.75" hidden="false" customHeight="true" outlineLevel="0" collapsed="false">
      <c r="A474" s="562"/>
      <c r="B474" s="574"/>
      <c r="C474" s="562"/>
      <c r="D474" s="562"/>
      <c r="E474" s="562"/>
      <c r="F474" s="563"/>
      <c r="G474" s="563"/>
      <c r="H474" s="564"/>
      <c r="I474" s="565"/>
      <c r="J474" s="580"/>
      <c r="K474" s="360"/>
      <c r="L474" s="360"/>
      <c r="M474" s="360"/>
      <c r="N474" s="360"/>
      <c r="O474" s="360"/>
      <c r="P474" s="360"/>
      <c r="Q474" s="360"/>
      <c r="R474" s="360"/>
    </row>
    <row r="475" customFormat="false" ht="39.75" hidden="false" customHeight="true" outlineLevel="0" collapsed="false">
      <c r="A475" s="562"/>
      <c r="B475" s="574"/>
      <c r="C475" s="562"/>
      <c r="D475" s="562"/>
      <c r="E475" s="562"/>
      <c r="F475" s="563"/>
      <c r="G475" s="563"/>
      <c r="H475" s="564"/>
      <c r="I475" s="565"/>
      <c r="J475" s="580"/>
      <c r="K475" s="360"/>
      <c r="L475" s="360"/>
      <c r="M475" s="360"/>
      <c r="N475" s="360"/>
      <c r="O475" s="360"/>
      <c r="P475" s="360"/>
      <c r="Q475" s="360"/>
      <c r="R475" s="360"/>
    </row>
    <row r="476" customFormat="false" ht="39.75" hidden="false" customHeight="true" outlineLevel="0" collapsed="false">
      <c r="A476" s="562"/>
      <c r="B476" s="574"/>
      <c r="C476" s="562"/>
      <c r="D476" s="562"/>
      <c r="E476" s="562"/>
      <c r="F476" s="563"/>
      <c r="G476" s="563"/>
      <c r="H476" s="564"/>
      <c r="I476" s="565"/>
      <c r="J476" s="580"/>
      <c r="K476" s="360"/>
      <c r="L476" s="360"/>
      <c r="M476" s="360"/>
      <c r="N476" s="360"/>
      <c r="O476" s="360"/>
      <c r="P476" s="360"/>
      <c r="Q476" s="360"/>
      <c r="R476" s="360"/>
    </row>
    <row r="477" customFormat="false" ht="39.75" hidden="false" customHeight="true" outlineLevel="0" collapsed="false">
      <c r="A477" s="562"/>
      <c r="B477" s="574"/>
      <c r="C477" s="562"/>
      <c r="D477" s="562"/>
      <c r="E477" s="562"/>
      <c r="F477" s="563"/>
      <c r="G477" s="563"/>
      <c r="H477" s="564"/>
      <c r="I477" s="565"/>
      <c r="J477" s="580"/>
      <c r="K477" s="360"/>
      <c r="L477" s="360"/>
      <c r="M477" s="360"/>
      <c r="N477" s="360"/>
      <c r="O477" s="360"/>
      <c r="P477" s="360"/>
      <c r="Q477" s="360"/>
      <c r="R477" s="360"/>
    </row>
    <row r="478" customFormat="false" ht="39.75" hidden="false" customHeight="true" outlineLevel="0" collapsed="false">
      <c r="A478" s="562"/>
      <c r="B478" s="574"/>
      <c r="C478" s="562"/>
      <c r="D478" s="562"/>
      <c r="E478" s="562"/>
      <c r="F478" s="563"/>
      <c r="G478" s="563"/>
      <c r="H478" s="564"/>
      <c r="I478" s="565"/>
      <c r="J478" s="580"/>
      <c r="K478" s="360"/>
      <c r="L478" s="360"/>
      <c r="M478" s="360"/>
      <c r="N478" s="360"/>
      <c r="O478" s="360"/>
      <c r="P478" s="360"/>
      <c r="Q478" s="360"/>
      <c r="R478" s="360"/>
    </row>
    <row r="479" customFormat="false" ht="39.75" hidden="false" customHeight="true" outlineLevel="0" collapsed="false">
      <c r="A479" s="562"/>
      <c r="B479" s="574"/>
      <c r="C479" s="562"/>
      <c r="D479" s="562"/>
      <c r="E479" s="562"/>
      <c r="F479" s="563"/>
      <c r="G479" s="563"/>
      <c r="H479" s="564"/>
      <c r="I479" s="565"/>
      <c r="J479" s="580"/>
      <c r="K479" s="360"/>
      <c r="L479" s="360"/>
      <c r="M479" s="360"/>
      <c r="N479" s="360"/>
      <c r="O479" s="360"/>
      <c r="P479" s="360"/>
      <c r="Q479" s="360"/>
      <c r="R479" s="360"/>
    </row>
    <row r="480" customFormat="false" ht="39.75" hidden="false" customHeight="true" outlineLevel="0" collapsed="false">
      <c r="A480" s="562"/>
      <c r="B480" s="574"/>
      <c r="C480" s="562"/>
      <c r="D480" s="562"/>
      <c r="E480" s="562"/>
      <c r="F480" s="563"/>
      <c r="G480" s="563"/>
      <c r="H480" s="564"/>
      <c r="I480" s="565"/>
      <c r="J480" s="580"/>
      <c r="K480" s="360"/>
      <c r="L480" s="360"/>
      <c r="M480" s="360"/>
      <c r="N480" s="360"/>
      <c r="O480" s="360"/>
      <c r="P480" s="360"/>
      <c r="Q480" s="360"/>
      <c r="R480" s="360"/>
    </row>
    <row r="481" customFormat="false" ht="39.75" hidden="false" customHeight="true" outlineLevel="0" collapsed="false">
      <c r="A481" s="562"/>
      <c r="B481" s="574"/>
      <c r="C481" s="562"/>
      <c r="D481" s="562"/>
      <c r="E481" s="562"/>
      <c r="F481" s="563"/>
      <c r="G481" s="563"/>
      <c r="H481" s="564"/>
      <c r="I481" s="565"/>
      <c r="J481" s="580"/>
      <c r="K481" s="360"/>
      <c r="L481" s="360"/>
      <c r="M481" s="360"/>
      <c r="N481" s="360"/>
      <c r="O481" s="360"/>
      <c r="P481" s="360"/>
      <c r="Q481" s="360"/>
      <c r="R481" s="360"/>
    </row>
    <row r="482" customFormat="false" ht="39.75" hidden="false" customHeight="true" outlineLevel="0" collapsed="false">
      <c r="A482" s="562"/>
      <c r="B482" s="574"/>
      <c r="C482" s="562"/>
      <c r="D482" s="562"/>
      <c r="E482" s="562"/>
      <c r="F482" s="563"/>
      <c r="G482" s="563"/>
      <c r="H482" s="564"/>
      <c r="I482" s="565"/>
      <c r="J482" s="580"/>
      <c r="K482" s="360"/>
      <c r="L482" s="360"/>
      <c r="M482" s="360"/>
      <c r="N482" s="360"/>
      <c r="O482" s="360"/>
      <c r="P482" s="360"/>
      <c r="Q482" s="360"/>
      <c r="R482" s="360"/>
    </row>
    <row r="483" customFormat="false" ht="39.75" hidden="false" customHeight="true" outlineLevel="0" collapsed="false">
      <c r="A483" s="562"/>
      <c r="B483" s="574"/>
      <c r="C483" s="562"/>
      <c r="D483" s="562"/>
      <c r="E483" s="562"/>
      <c r="F483" s="563"/>
      <c r="G483" s="563"/>
      <c r="H483" s="564"/>
      <c r="I483" s="565"/>
      <c r="J483" s="580"/>
      <c r="K483" s="360"/>
      <c r="L483" s="360"/>
      <c r="M483" s="360"/>
      <c r="N483" s="360"/>
      <c r="O483" s="360"/>
      <c r="P483" s="360"/>
      <c r="Q483" s="360"/>
      <c r="R483" s="360"/>
    </row>
    <row r="484" customFormat="false" ht="39.75" hidden="false" customHeight="true" outlineLevel="0" collapsed="false">
      <c r="A484" s="562"/>
      <c r="B484" s="574"/>
      <c r="C484" s="562"/>
      <c r="D484" s="562"/>
      <c r="E484" s="562"/>
      <c r="F484" s="563"/>
      <c r="G484" s="563"/>
      <c r="H484" s="564"/>
      <c r="I484" s="565"/>
      <c r="J484" s="580"/>
      <c r="K484" s="360"/>
      <c r="L484" s="360"/>
      <c r="M484" s="360"/>
      <c r="N484" s="360"/>
      <c r="O484" s="360"/>
      <c r="P484" s="360"/>
      <c r="Q484" s="360"/>
      <c r="R484" s="360"/>
    </row>
    <row r="485" customFormat="false" ht="39.75" hidden="false" customHeight="true" outlineLevel="0" collapsed="false">
      <c r="A485" s="562"/>
      <c r="B485" s="574"/>
      <c r="C485" s="562"/>
      <c r="D485" s="562"/>
      <c r="E485" s="562"/>
      <c r="F485" s="563"/>
      <c r="G485" s="563"/>
      <c r="H485" s="564"/>
      <c r="I485" s="565"/>
      <c r="J485" s="580"/>
      <c r="K485" s="360"/>
      <c r="L485" s="360"/>
      <c r="M485" s="360"/>
      <c r="N485" s="360"/>
      <c r="O485" s="360"/>
      <c r="P485" s="360"/>
      <c r="Q485" s="360"/>
      <c r="R485" s="360"/>
    </row>
    <row r="486" customFormat="false" ht="39.75" hidden="false" customHeight="true" outlineLevel="0" collapsed="false">
      <c r="A486" s="562"/>
      <c r="B486" s="574"/>
      <c r="C486" s="562"/>
      <c r="D486" s="562"/>
      <c r="E486" s="562"/>
      <c r="F486" s="563"/>
      <c r="G486" s="563"/>
      <c r="H486" s="564"/>
      <c r="I486" s="565"/>
      <c r="J486" s="580"/>
      <c r="K486" s="360"/>
      <c r="L486" s="360"/>
      <c r="M486" s="360"/>
      <c r="N486" s="360"/>
      <c r="O486" s="360"/>
      <c r="P486" s="360"/>
      <c r="Q486" s="360"/>
      <c r="R486" s="360"/>
    </row>
    <row r="487" customFormat="false" ht="39.75" hidden="false" customHeight="true" outlineLevel="0" collapsed="false">
      <c r="A487" s="562"/>
      <c r="B487" s="574"/>
      <c r="C487" s="562"/>
      <c r="D487" s="562"/>
      <c r="E487" s="562"/>
      <c r="F487" s="563"/>
      <c r="G487" s="563"/>
      <c r="H487" s="564"/>
      <c r="I487" s="565"/>
      <c r="J487" s="580"/>
      <c r="K487" s="360"/>
      <c r="L487" s="360"/>
      <c r="M487" s="360"/>
      <c r="N487" s="360"/>
      <c r="O487" s="360"/>
      <c r="P487" s="360"/>
      <c r="Q487" s="360"/>
      <c r="R487" s="360"/>
    </row>
    <row r="488" customFormat="false" ht="39.75" hidden="false" customHeight="true" outlineLevel="0" collapsed="false">
      <c r="A488" s="562"/>
      <c r="B488" s="574"/>
      <c r="C488" s="562"/>
      <c r="D488" s="562"/>
      <c r="E488" s="562"/>
      <c r="F488" s="563"/>
      <c r="G488" s="563"/>
      <c r="H488" s="564"/>
      <c r="I488" s="565"/>
      <c r="J488" s="580"/>
      <c r="K488" s="360"/>
      <c r="L488" s="360"/>
      <c r="M488" s="360"/>
      <c r="N488" s="360"/>
      <c r="O488" s="360"/>
      <c r="P488" s="360"/>
      <c r="Q488" s="360"/>
      <c r="R488" s="360"/>
    </row>
    <row r="489" customFormat="false" ht="39.75" hidden="false" customHeight="true" outlineLevel="0" collapsed="false">
      <c r="A489" s="562"/>
      <c r="B489" s="574"/>
      <c r="C489" s="562"/>
      <c r="D489" s="562"/>
      <c r="E489" s="562"/>
      <c r="F489" s="563"/>
      <c r="G489" s="563"/>
      <c r="H489" s="564"/>
      <c r="I489" s="565"/>
      <c r="J489" s="580"/>
      <c r="K489" s="360"/>
      <c r="L489" s="360"/>
      <c r="M489" s="360"/>
      <c r="N489" s="360"/>
      <c r="O489" s="360"/>
      <c r="P489" s="360"/>
      <c r="Q489" s="360"/>
      <c r="R489" s="360"/>
    </row>
    <row r="490" customFormat="false" ht="39.75" hidden="false" customHeight="true" outlineLevel="0" collapsed="false">
      <c r="A490" s="562"/>
      <c r="B490" s="574"/>
      <c r="C490" s="562"/>
      <c r="D490" s="562"/>
      <c r="E490" s="562"/>
      <c r="F490" s="563"/>
      <c r="G490" s="563"/>
      <c r="H490" s="564"/>
      <c r="I490" s="565"/>
      <c r="J490" s="580"/>
      <c r="K490" s="360"/>
      <c r="L490" s="360"/>
      <c r="M490" s="360"/>
      <c r="N490" s="360"/>
      <c r="O490" s="360"/>
      <c r="P490" s="360"/>
      <c r="Q490" s="360"/>
      <c r="R490" s="360"/>
    </row>
    <row r="491" customFormat="false" ht="39.75" hidden="false" customHeight="true" outlineLevel="0" collapsed="false">
      <c r="A491" s="562"/>
      <c r="B491" s="574"/>
      <c r="C491" s="562"/>
      <c r="D491" s="562"/>
      <c r="E491" s="562"/>
      <c r="F491" s="563"/>
      <c r="G491" s="563"/>
      <c r="H491" s="564"/>
      <c r="I491" s="565"/>
      <c r="J491" s="580"/>
      <c r="K491" s="360"/>
      <c r="L491" s="360"/>
      <c r="M491" s="360"/>
      <c r="N491" s="360"/>
      <c r="O491" s="360"/>
      <c r="P491" s="360"/>
      <c r="Q491" s="360"/>
      <c r="R491" s="360"/>
    </row>
    <row r="492" customFormat="false" ht="39.75" hidden="false" customHeight="true" outlineLevel="0" collapsed="false">
      <c r="A492" s="562"/>
      <c r="B492" s="574"/>
      <c r="C492" s="562"/>
      <c r="D492" s="562"/>
      <c r="E492" s="562"/>
      <c r="F492" s="563"/>
      <c r="G492" s="563"/>
      <c r="H492" s="564"/>
      <c r="I492" s="565"/>
      <c r="J492" s="580"/>
      <c r="K492" s="360"/>
      <c r="L492" s="360"/>
      <c r="M492" s="360"/>
      <c r="N492" s="360"/>
      <c r="O492" s="360"/>
      <c r="P492" s="360"/>
      <c r="Q492" s="360"/>
      <c r="R492" s="360"/>
    </row>
    <row r="493" customFormat="false" ht="39.75" hidden="false" customHeight="true" outlineLevel="0" collapsed="false">
      <c r="A493" s="562"/>
      <c r="B493" s="574"/>
      <c r="C493" s="562"/>
      <c r="D493" s="562"/>
      <c r="E493" s="562"/>
      <c r="F493" s="563"/>
      <c r="G493" s="563"/>
      <c r="H493" s="564"/>
      <c r="I493" s="565"/>
      <c r="J493" s="580"/>
      <c r="K493" s="360"/>
      <c r="L493" s="360"/>
      <c r="M493" s="360"/>
      <c r="N493" s="360"/>
      <c r="O493" s="360"/>
      <c r="P493" s="360"/>
      <c r="Q493" s="360"/>
      <c r="R493" s="360"/>
    </row>
    <row r="494" customFormat="false" ht="39.75" hidden="false" customHeight="true" outlineLevel="0" collapsed="false">
      <c r="A494" s="562"/>
      <c r="B494" s="574"/>
      <c r="C494" s="562"/>
      <c r="D494" s="562"/>
      <c r="E494" s="562"/>
      <c r="F494" s="563"/>
      <c r="G494" s="563"/>
      <c r="H494" s="564"/>
      <c r="I494" s="565"/>
      <c r="J494" s="580"/>
      <c r="K494" s="360"/>
      <c r="L494" s="360"/>
      <c r="M494" s="360"/>
      <c r="N494" s="360"/>
      <c r="O494" s="360"/>
      <c r="P494" s="360"/>
      <c r="Q494" s="360"/>
      <c r="R494" s="360"/>
    </row>
    <row r="495" customFormat="false" ht="39.75" hidden="false" customHeight="true" outlineLevel="0" collapsed="false">
      <c r="A495" s="562"/>
      <c r="B495" s="574"/>
      <c r="C495" s="562"/>
      <c r="D495" s="562"/>
      <c r="E495" s="562"/>
      <c r="F495" s="563"/>
      <c r="G495" s="563"/>
      <c r="H495" s="564"/>
      <c r="I495" s="565"/>
      <c r="J495" s="580"/>
      <c r="K495" s="360"/>
      <c r="L495" s="360"/>
      <c r="M495" s="360"/>
      <c r="N495" s="360"/>
      <c r="O495" s="360"/>
      <c r="P495" s="360"/>
      <c r="Q495" s="360"/>
      <c r="R495" s="360"/>
    </row>
    <row r="496" customFormat="false" ht="39.75" hidden="false" customHeight="true" outlineLevel="0" collapsed="false">
      <c r="A496" s="562"/>
      <c r="B496" s="574"/>
      <c r="C496" s="562"/>
      <c r="D496" s="562"/>
      <c r="E496" s="562"/>
      <c r="F496" s="563"/>
      <c r="G496" s="563"/>
      <c r="H496" s="564"/>
      <c r="I496" s="565"/>
      <c r="J496" s="580"/>
      <c r="K496" s="360"/>
      <c r="L496" s="360"/>
      <c r="M496" s="360"/>
      <c r="N496" s="360"/>
      <c r="O496" s="360"/>
      <c r="P496" s="360"/>
      <c r="Q496" s="360"/>
      <c r="R496" s="360"/>
    </row>
    <row r="497" customFormat="false" ht="39.75" hidden="false" customHeight="true" outlineLevel="0" collapsed="false">
      <c r="A497" s="562"/>
      <c r="B497" s="574"/>
      <c r="C497" s="562"/>
      <c r="D497" s="562"/>
      <c r="E497" s="562"/>
      <c r="F497" s="563"/>
      <c r="G497" s="563"/>
      <c r="H497" s="564"/>
      <c r="I497" s="565"/>
      <c r="J497" s="580"/>
      <c r="K497" s="360"/>
      <c r="L497" s="360"/>
      <c r="M497" s="360"/>
      <c r="N497" s="360"/>
      <c r="O497" s="360"/>
      <c r="P497" s="360"/>
      <c r="Q497" s="360"/>
      <c r="R497" s="360"/>
    </row>
    <row r="498" customFormat="false" ht="39.75" hidden="false" customHeight="true" outlineLevel="0" collapsed="false">
      <c r="A498" s="562"/>
      <c r="B498" s="574"/>
      <c r="C498" s="562"/>
      <c r="D498" s="562"/>
      <c r="E498" s="562"/>
      <c r="F498" s="563"/>
      <c r="G498" s="563"/>
      <c r="H498" s="564"/>
      <c r="I498" s="565"/>
      <c r="J498" s="580"/>
      <c r="K498" s="360"/>
      <c r="L498" s="360"/>
      <c r="M498" s="360"/>
      <c r="N498" s="360"/>
      <c r="O498" s="360"/>
      <c r="P498" s="360"/>
      <c r="Q498" s="360"/>
      <c r="R498" s="360"/>
    </row>
    <row r="499" customFormat="false" ht="39.75" hidden="false" customHeight="true" outlineLevel="0" collapsed="false">
      <c r="A499" s="562"/>
      <c r="B499" s="574"/>
      <c r="C499" s="562"/>
      <c r="D499" s="562"/>
      <c r="E499" s="562"/>
      <c r="F499" s="563"/>
      <c r="G499" s="563"/>
      <c r="H499" s="564"/>
      <c r="I499" s="565"/>
      <c r="J499" s="580"/>
      <c r="K499" s="360"/>
      <c r="L499" s="360"/>
      <c r="M499" s="360"/>
      <c r="N499" s="360"/>
      <c r="O499" s="360"/>
      <c r="P499" s="360"/>
      <c r="Q499" s="360"/>
      <c r="R499" s="360"/>
    </row>
    <row r="500" customFormat="false" ht="39.75" hidden="false" customHeight="true" outlineLevel="0" collapsed="false">
      <c r="A500" s="562"/>
      <c r="B500" s="574"/>
      <c r="C500" s="562"/>
      <c r="D500" s="562"/>
      <c r="E500" s="562"/>
      <c r="F500" s="563"/>
      <c r="G500" s="563"/>
      <c r="H500" s="564"/>
      <c r="I500" s="565"/>
      <c r="J500" s="580"/>
      <c r="K500" s="360"/>
      <c r="L500" s="360"/>
      <c r="M500" s="360"/>
      <c r="N500" s="360"/>
      <c r="O500" s="360"/>
      <c r="P500" s="360"/>
      <c r="Q500" s="360"/>
      <c r="R500" s="360"/>
    </row>
    <row r="501" customFormat="false" ht="39.75" hidden="false" customHeight="true" outlineLevel="0" collapsed="false">
      <c r="A501" s="562"/>
      <c r="B501" s="574"/>
      <c r="C501" s="562"/>
      <c r="D501" s="562"/>
      <c r="E501" s="562"/>
      <c r="F501" s="563"/>
      <c r="G501" s="563"/>
      <c r="H501" s="564"/>
      <c r="I501" s="565"/>
      <c r="J501" s="580"/>
      <c r="K501" s="360"/>
      <c r="L501" s="360"/>
      <c r="M501" s="360"/>
      <c r="N501" s="360"/>
      <c r="O501" s="360"/>
      <c r="P501" s="360"/>
      <c r="Q501" s="360"/>
      <c r="R501" s="360"/>
    </row>
    <row r="502" customFormat="false" ht="39.75" hidden="false" customHeight="true" outlineLevel="0" collapsed="false">
      <c r="A502" s="562"/>
      <c r="B502" s="574"/>
      <c r="C502" s="562"/>
      <c r="D502" s="562"/>
      <c r="E502" s="562"/>
      <c r="F502" s="563"/>
      <c r="G502" s="563"/>
      <c r="H502" s="564"/>
      <c r="I502" s="565"/>
      <c r="J502" s="580"/>
      <c r="K502" s="360"/>
      <c r="L502" s="360"/>
      <c r="M502" s="360"/>
      <c r="N502" s="360"/>
      <c r="O502" s="360"/>
      <c r="P502" s="360"/>
      <c r="Q502" s="360"/>
      <c r="R502" s="360"/>
    </row>
    <row r="503" customFormat="false" ht="39.75" hidden="false" customHeight="true" outlineLevel="0" collapsed="false">
      <c r="A503" s="562"/>
      <c r="B503" s="574"/>
      <c r="C503" s="562"/>
      <c r="D503" s="562"/>
      <c r="E503" s="562"/>
      <c r="F503" s="563"/>
      <c r="G503" s="563"/>
      <c r="H503" s="564"/>
      <c r="I503" s="565"/>
      <c r="J503" s="580"/>
      <c r="K503" s="360"/>
      <c r="L503" s="360"/>
      <c r="M503" s="360"/>
      <c r="N503" s="360"/>
      <c r="O503" s="360"/>
      <c r="P503" s="360"/>
      <c r="Q503" s="360"/>
      <c r="R503" s="360"/>
    </row>
    <row r="504" customFormat="false" ht="39.75" hidden="false" customHeight="true" outlineLevel="0" collapsed="false">
      <c r="A504" s="562"/>
      <c r="B504" s="574"/>
      <c r="C504" s="562"/>
      <c r="D504" s="562"/>
      <c r="E504" s="562"/>
      <c r="F504" s="563"/>
      <c r="G504" s="563"/>
      <c r="H504" s="564"/>
      <c r="I504" s="565"/>
      <c r="J504" s="580"/>
      <c r="K504" s="360"/>
      <c r="L504" s="360"/>
      <c r="M504" s="360"/>
      <c r="N504" s="360"/>
      <c r="O504" s="360"/>
      <c r="P504" s="360"/>
      <c r="Q504" s="360"/>
      <c r="R504" s="360"/>
    </row>
    <row r="505" customFormat="false" ht="39.75" hidden="false" customHeight="true" outlineLevel="0" collapsed="false">
      <c r="A505" s="562"/>
      <c r="B505" s="574"/>
      <c r="C505" s="562"/>
      <c r="D505" s="562"/>
      <c r="E505" s="562"/>
      <c r="F505" s="563"/>
      <c r="G505" s="563"/>
      <c r="H505" s="564"/>
      <c r="I505" s="565"/>
      <c r="J505" s="580"/>
      <c r="K505" s="360"/>
      <c r="L505" s="360"/>
      <c r="M505" s="360"/>
      <c r="N505" s="360"/>
      <c r="O505" s="360"/>
      <c r="P505" s="360"/>
      <c r="Q505" s="360"/>
      <c r="R505" s="360"/>
    </row>
    <row r="506" customFormat="false" ht="39.75" hidden="false" customHeight="true" outlineLevel="0" collapsed="false">
      <c r="A506" s="562"/>
      <c r="B506" s="574"/>
      <c r="C506" s="562"/>
      <c r="D506" s="562"/>
      <c r="E506" s="562"/>
      <c r="F506" s="563"/>
      <c r="G506" s="563"/>
      <c r="H506" s="564"/>
      <c r="I506" s="565"/>
      <c r="J506" s="580"/>
      <c r="K506" s="360"/>
      <c r="L506" s="360"/>
      <c r="M506" s="360"/>
      <c r="N506" s="360"/>
      <c r="O506" s="360"/>
      <c r="P506" s="360"/>
      <c r="Q506" s="360"/>
      <c r="R506" s="360"/>
    </row>
    <row r="507" customFormat="false" ht="39.75" hidden="false" customHeight="true" outlineLevel="0" collapsed="false">
      <c r="A507" s="562"/>
      <c r="B507" s="574"/>
      <c r="C507" s="562"/>
      <c r="D507" s="562"/>
      <c r="E507" s="562"/>
      <c r="F507" s="563"/>
      <c r="G507" s="563"/>
      <c r="H507" s="564"/>
      <c r="I507" s="565"/>
      <c r="J507" s="580"/>
      <c r="K507" s="360"/>
      <c r="L507" s="360"/>
      <c r="M507" s="360"/>
      <c r="N507" s="360"/>
      <c r="O507" s="360"/>
      <c r="P507" s="360"/>
      <c r="Q507" s="360"/>
      <c r="R507" s="360"/>
    </row>
    <row r="508" customFormat="false" ht="39.75" hidden="false" customHeight="true" outlineLevel="0" collapsed="false">
      <c r="A508" s="562"/>
      <c r="B508" s="574"/>
      <c r="C508" s="562"/>
      <c r="D508" s="562"/>
      <c r="E508" s="562"/>
      <c r="F508" s="563"/>
      <c r="G508" s="563"/>
      <c r="H508" s="564"/>
      <c r="I508" s="565"/>
      <c r="J508" s="580"/>
      <c r="K508" s="360"/>
      <c r="L508" s="360"/>
      <c r="M508" s="360"/>
      <c r="N508" s="360"/>
      <c r="O508" s="360"/>
      <c r="P508" s="360"/>
      <c r="Q508" s="360"/>
      <c r="R508" s="360"/>
    </row>
    <row r="509" customFormat="false" ht="39.75" hidden="false" customHeight="true" outlineLevel="0" collapsed="false">
      <c r="A509" s="562"/>
      <c r="B509" s="574"/>
      <c r="C509" s="562"/>
      <c r="D509" s="562"/>
      <c r="E509" s="562"/>
      <c r="F509" s="563"/>
      <c r="G509" s="563"/>
      <c r="H509" s="564"/>
      <c r="I509" s="565"/>
      <c r="J509" s="580"/>
      <c r="K509" s="360"/>
      <c r="L509" s="360"/>
      <c r="M509" s="360"/>
      <c r="N509" s="360"/>
      <c r="O509" s="360"/>
      <c r="P509" s="360"/>
      <c r="Q509" s="360"/>
      <c r="R509" s="360"/>
    </row>
    <row r="510" customFormat="false" ht="39.75" hidden="false" customHeight="true" outlineLevel="0" collapsed="false">
      <c r="A510" s="562"/>
      <c r="B510" s="574"/>
      <c r="C510" s="562"/>
      <c r="D510" s="562"/>
      <c r="E510" s="562"/>
      <c r="F510" s="563"/>
      <c r="G510" s="563"/>
      <c r="H510" s="564"/>
      <c r="I510" s="565"/>
      <c r="J510" s="580"/>
      <c r="K510" s="360"/>
      <c r="L510" s="360"/>
      <c r="M510" s="360"/>
      <c r="N510" s="360"/>
      <c r="O510" s="360"/>
      <c r="P510" s="360"/>
      <c r="Q510" s="360"/>
      <c r="R510" s="360"/>
    </row>
    <row r="511" customFormat="false" ht="39.75" hidden="false" customHeight="true" outlineLevel="0" collapsed="false">
      <c r="A511" s="562"/>
      <c r="B511" s="574"/>
      <c r="C511" s="562"/>
      <c r="D511" s="562"/>
      <c r="E511" s="562"/>
      <c r="F511" s="563"/>
      <c r="G511" s="563"/>
      <c r="H511" s="564"/>
      <c r="I511" s="565"/>
      <c r="J511" s="580"/>
      <c r="K511" s="360"/>
      <c r="L511" s="360"/>
      <c r="M511" s="360"/>
      <c r="N511" s="360"/>
      <c r="O511" s="360"/>
      <c r="P511" s="360"/>
      <c r="Q511" s="360"/>
      <c r="R511" s="360"/>
    </row>
    <row r="512" customFormat="false" ht="39.75" hidden="false" customHeight="true" outlineLevel="0" collapsed="false">
      <c r="A512" s="562"/>
      <c r="B512" s="574"/>
      <c r="C512" s="562"/>
      <c r="D512" s="562"/>
      <c r="E512" s="562"/>
      <c r="F512" s="563"/>
      <c r="G512" s="563"/>
      <c r="H512" s="564"/>
      <c r="I512" s="565"/>
      <c r="J512" s="580"/>
      <c r="K512" s="360"/>
      <c r="L512" s="360"/>
      <c r="M512" s="360"/>
      <c r="N512" s="360"/>
      <c r="O512" s="360"/>
      <c r="P512" s="360"/>
      <c r="Q512" s="360"/>
      <c r="R512" s="360"/>
    </row>
    <row r="513" customFormat="false" ht="39.75" hidden="false" customHeight="true" outlineLevel="0" collapsed="false">
      <c r="A513" s="562"/>
      <c r="B513" s="574"/>
      <c r="C513" s="562"/>
      <c r="D513" s="562"/>
      <c r="E513" s="562"/>
      <c r="F513" s="563"/>
      <c r="G513" s="563"/>
      <c r="H513" s="564"/>
      <c r="I513" s="565"/>
      <c r="J513" s="580"/>
      <c r="K513" s="360"/>
      <c r="L513" s="360"/>
      <c r="M513" s="360"/>
      <c r="N513" s="360"/>
      <c r="O513" s="360"/>
      <c r="P513" s="360"/>
      <c r="Q513" s="360"/>
      <c r="R513" s="360"/>
    </row>
    <row r="514" customFormat="false" ht="39.75" hidden="false" customHeight="true" outlineLevel="0" collapsed="false">
      <c r="A514" s="562"/>
      <c r="B514" s="574"/>
      <c r="C514" s="562"/>
      <c r="D514" s="562"/>
      <c r="E514" s="562"/>
      <c r="F514" s="563"/>
      <c r="G514" s="563"/>
      <c r="H514" s="564"/>
      <c r="I514" s="565"/>
      <c r="J514" s="580"/>
      <c r="K514" s="360"/>
      <c r="L514" s="360"/>
      <c r="M514" s="360"/>
      <c r="N514" s="360"/>
      <c r="O514" s="360"/>
      <c r="P514" s="360"/>
      <c r="Q514" s="360"/>
      <c r="R514" s="360"/>
    </row>
    <row r="515" customFormat="false" ht="39.75" hidden="false" customHeight="true" outlineLevel="0" collapsed="false">
      <c r="A515" s="562"/>
      <c r="B515" s="574"/>
      <c r="C515" s="562"/>
      <c r="D515" s="562"/>
      <c r="E515" s="562"/>
      <c r="F515" s="563"/>
      <c r="G515" s="563"/>
      <c r="H515" s="564"/>
      <c r="I515" s="565"/>
      <c r="J515" s="580"/>
      <c r="K515" s="360"/>
      <c r="L515" s="360"/>
      <c r="M515" s="360"/>
      <c r="N515" s="360"/>
      <c r="O515" s="360"/>
      <c r="P515" s="360"/>
      <c r="Q515" s="360"/>
      <c r="R515" s="360"/>
    </row>
    <row r="516" customFormat="false" ht="39.75" hidden="false" customHeight="true" outlineLevel="0" collapsed="false">
      <c r="A516" s="562"/>
      <c r="B516" s="574"/>
      <c r="C516" s="562"/>
      <c r="D516" s="562"/>
      <c r="E516" s="562"/>
      <c r="F516" s="563"/>
      <c r="G516" s="563"/>
      <c r="H516" s="564"/>
      <c r="I516" s="565"/>
      <c r="J516" s="580"/>
      <c r="K516" s="360"/>
      <c r="L516" s="360"/>
      <c r="M516" s="360"/>
      <c r="N516" s="360"/>
      <c r="O516" s="360"/>
      <c r="P516" s="360"/>
      <c r="Q516" s="360"/>
      <c r="R516" s="360"/>
    </row>
    <row r="517" customFormat="false" ht="39.75" hidden="false" customHeight="true" outlineLevel="0" collapsed="false">
      <c r="A517" s="562"/>
      <c r="B517" s="574"/>
      <c r="C517" s="562"/>
      <c r="D517" s="562"/>
      <c r="E517" s="562"/>
      <c r="F517" s="563"/>
      <c r="G517" s="563"/>
      <c r="H517" s="564"/>
      <c r="I517" s="565"/>
      <c r="J517" s="580"/>
      <c r="K517" s="360"/>
      <c r="L517" s="360"/>
      <c r="M517" s="360"/>
      <c r="N517" s="360"/>
      <c r="O517" s="360"/>
      <c r="P517" s="360"/>
      <c r="Q517" s="360"/>
      <c r="R517" s="360"/>
    </row>
    <row r="518" customFormat="false" ht="39.75" hidden="false" customHeight="true" outlineLevel="0" collapsed="false">
      <c r="A518" s="562"/>
      <c r="B518" s="574"/>
      <c r="C518" s="562"/>
      <c r="D518" s="562"/>
      <c r="E518" s="562"/>
      <c r="F518" s="563"/>
      <c r="G518" s="563"/>
      <c r="H518" s="564"/>
      <c r="I518" s="565"/>
      <c r="J518" s="580"/>
      <c r="K518" s="360"/>
      <c r="L518" s="360"/>
      <c r="M518" s="360"/>
      <c r="N518" s="360"/>
      <c r="O518" s="360"/>
      <c r="P518" s="360"/>
      <c r="Q518" s="360"/>
      <c r="R518" s="360"/>
    </row>
    <row r="519" customFormat="false" ht="39.75" hidden="false" customHeight="true" outlineLevel="0" collapsed="false">
      <c r="A519" s="562"/>
      <c r="B519" s="574"/>
      <c r="C519" s="562"/>
      <c r="D519" s="562"/>
      <c r="E519" s="562"/>
      <c r="F519" s="563"/>
      <c r="G519" s="563"/>
      <c r="H519" s="564"/>
      <c r="I519" s="565"/>
      <c r="J519" s="580"/>
      <c r="K519" s="360"/>
      <c r="L519" s="360"/>
      <c r="M519" s="360"/>
      <c r="N519" s="360"/>
      <c r="O519" s="360"/>
      <c r="P519" s="360"/>
      <c r="Q519" s="360"/>
      <c r="R519" s="360"/>
    </row>
    <row r="520" customFormat="false" ht="39.75" hidden="false" customHeight="true" outlineLevel="0" collapsed="false">
      <c r="A520" s="562"/>
      <c r="B520" s="574"/>
      <c r="C520" s="562"/>
      <c r="D520" s="562"/>
      <c r="E520" s="562"/>
      <c r="F520" s="563"/>
      <c r="G520" s="563"/>
      <c r="H520" s="564"/>
      <c r="I520" s="565"/>
      <c r="J520" s="580"/>
      <c r="K520" s="360"/>
      <c r="L520" s="360"/>
      <c r="M520" s="360"/>
      <c r="N520" s="360"/>
      <c r="O520" s="360"/>
      <c r="P520" s="360"/>
      <c r="Q520" s="360"/>
      <c r="R520" s="360"/>
    </row>
    <row r="521" customFormat="false" ht="39.75" hidden="false" customHeight="true" outlineLevel="0" collapsed="false">
      <c r="A521" s="562"/>
      <c r="B521" s="574"/>
      <c r="C521" s="562"/>
      <c r="D521" s="562"/>
      <c r="E521" s="562"/>
      <c r="F521" s="563"/>
      <c r="G521" s="563"/>
      <c r="H521" s="564"/>
      <c r="I521" s="565"/>
      <c r="J521" s="580"/>
      <c r="K521" s="360"/>
      <c r="L521" s="360"/>
      <c r="M521" s="360"/>
      <c r="N521" s="360"/>
      <c r="O521" s="360"/>
      <c r="P521" s="360"/>
      <c r="Q521" s="360"/>
      <c r="R521" s="360"/>
    </row>
    <row r="522" customFormat="false" ht="39.75" hidden="false" customHeight="true" outlineLevel="0" collapsed="false">
      <c r="A522" s="562"/>
      <c r="B522" s="574"/>
      <c r="C522" s="562"/>
      <c r="D522" s="562"/>
      <c r="E522" s="562"/>
      <c r="F522" s="563"/>
      <c r="G522" s="563"/>
      <c r="H522" s="564"/>
      <c r="I522" s="565"/>
      <c r="J522" s="580"/>
      <c r="K522" s="360"/>
      <c r="L522" s="360"/>
      <c r="M522" s="360"/>
      <c r="N522" s="360"/>
      <c r="O522" s="360"/>
      <c r="P522" s="360"/>
      <c r="Q522" s="360"/>
      <c r="R522" s="360"/>
    </row>
    <row r="523" customFormat="false" ht="39.75" hidden="false" customHeight="true" outlineLevel="0" collapsed="false">
      <c r="A523" s="562"/>
      <c r="B523" s="574"/>
      <c r="C523" s="562"/>
      <c r="D523" s="562"/>
      <c r="E523" s="562"/>
      <c r="F523" s="563"/>
      <c r="G523" s="563"/>
      <c r="H523" s="564"/>
      <c r="I523" s="565"/>
      <c r="J523" s="580"/>
      <c r="K523" s="360"/>
      <c r="L523" s="360"/>
      <c r="M523" s="360"/>
      <c r="N523" s="360"/>
      <c r="O523" s="360"/>
      <c r="P523" s="360"/>
      <c r="Q523" s="360"/>
      <c r="R523" s="360"/>
    </row>
    <row r="524" customFormat="false" ht="39.75" hidden="false" customHeight="true" outlineLevel="0" collapsed="false">
      <c r="A524" s="562"/>
      <c r="B524" s="574"/>
      <c r="C524" s="562"/>
      <c r="D524" s="562"/>
      <c r="E524" s="562"/>
      <c r="F524" s="563"/>
      <c r="G524" s="563"/>
      <c r="H524" s="564"/>
      <c r="I524" s="565"/>
      <c r="J524" s="580"/>
      <c r="K524" s="360"/>
      <c r="L524" s="360"/>
      <c r="M524" s="360"/>
      <c r="N524" s="360"/>
      <c r="O524" s="360"/>
      <c r="P524" s="360"/>
      <c r="Q524" s="360"/>
      <c r="R524" s="360"/>
    </row>
    <row r="525" customFormat="false" ht="39.75" hidden="false" customHeight="true" outlineLevel="0" collapsed="false">
      <c r="A525" s="562"/>
      <c r="B525" s="574"/>
      <c r="C525" s="562"/>
      <c r="D525" s="562"/>
      <c r="E525" s="562"/>
      <c r="F525" s="563"/>
      <c r="G525" s="563"/>
      <c r="H525" s="564"/>
      <c r="I525" s="565"/>
      <c r="J525" s="580"/>
      <c r="K525" s="360"/>
      <c r="L525" s="360"/>
      <c r="M525" s="360"/>
      <c r="N525" s="360"/>
      <c r="O525" s="360"/>
      <c r="P525" s="360"/>
      <c r="Q525" s="360"/>
      <c r="R525" s="360"/>
    </row>
    <row r="526" customFormat="false" ht="39.75" hidden="false" customHeight="true" outlineLevel="0" collapsed="false">
      <c r="A526" s="562"/>
      <c r="B526" s="574"/>
      <c r="C526" s="562"/>
      <c r="D526" s="562"/>
      <c r="E526" s="562"/>
      <c r="F526" s="563"/>
      <c r="G526" s="563"/>
      <c r="H526" s="564"/>
      <c r="I526" s="565"/>
      <c r="J526" s="580"/>
      <c r="K526" s="360"/>
      <c r="L526" s="360"/>
      <c r="M526" s="360"/>
      <c r="N526" s="360"/>
      <c r="O526" s="360"/>
      <c r="P526" s="360"/>
      <c r="Q526" s="360"/>
      <c r="R526" s="360"/>
    </row>
    <row r="527" customFormat="false" ht="39.75" hidden="false" customHeight="true" outlineLevel="0" collapsed="false">
      <c r="A527" s="562"/>
      <c r="B527" s="574"/>
      <c r="C527" s="562"/>
      <c r="D527" s="562"/>
      <c r="E527" s="562"/>
      <c r="F527" s="563"/>
      <c r="G527" s="563"/>
      <c r="H527" s="564"/>
      <c r="I527" s="565"/>
      <c r="J527" s="580"/>
      <c r="K527" s="360"/>
      <c r="L527" s="360"/>
      <c r="M527" s="360"/>
      <c r="N527" s="360"/>
      <c r="O527" s="360"/>
      <c r="P527" s="360"/>
      <c r="Q527" s="360"/>
      <c r="R527" s="360"/>
    </row>
    <row r="528" customFormat="false" ht="39.75" hidden="false" customHeight="true" outlineLevel="0" collapsed="false">
      <c r="A528" s="562"/>
      <c r="B528" s="574"/>
      <c r="C528" s="562"/>
      <c r="D528" s="562"/>
      <c r="E528" s="562"/>
      <c r="F528" s="563"/>
      <c r="G528" s="563"/>
      <c r="H528" s="564"/>
      <c r="I528" s="565"/>
      <c r="J528" s="580"/>
      <c r="K528" s="360"/>
      <c r="L528" s="360"/>
      <c r="M528" s="360"/>
      <c r="N528" s="360"/>
      <c r="O528" s="360"/>
      <c r="P528" s="360"/>
      <c r="Q528" s="360"/>
      <c r="R528" s="360"/>
    </row>
    <row r="529" customFormat="false" ht="39.75" hidden="false" customHeight="true" outlineLevel="0" collapsed="false">
      <c r="A529" s="562"/>
      <c r="B529" s="574"/>
      <c r="C529" s="562"/>
      <c r="D529" s="562"/>
      <c r="E529" s="562"/>
      <c r="F529" s="563"/>
      <c r="G529" s="563"/>
      <c r="H529" s="564"/>
      <c r="I529" s="565"/>
      <c r="J529" s="580"/>
      <c r="K529" s="360"/>
      <c r="L529" s="360"/>
      <c r="M529" s="360"/>
      <c r="N529" s="360"/>
      <c r="O529" s="360"/>
      <c r="P529" s="360"/>
      <c r="Q529" s="360"/>
      <c r="R529" s="360"/>
    </row>
    <row r="530" customFormat="false" ht="39.75" hidden="false" customHeight="true" outlineLevel="0" collapsed="false">
      <c r="A530" s="562"/>
      <c r="B530" s="574"/>
      <c r="C530" s="562"/>
      <c r="D530" s="562"/>
      <c r="E530" s="562"/>
      <c r="F530" s="563"/>
      <c r="G530" s="563"/>
      <c r="H530" s="564"/>
      <c r="I530" s="565"/>
      <c r="J530" s="580"/>
      <c r="K530" s="360"/>
      <c r="L530" s="360"/>
      <c r="M530" s="360"/>
      <c r="N530" s="360"/>
      <c r="O530" s="360"/>
      <c r="P530" s="360"/>
      <c r="Q530" s="360"/>
      <c r="R530" s="360"/>
    </row>
    <row r="531" customFormat="false" ht="39.75" hidden="false" customHeight="true" outlineLevel="0" collapsed="false">
      <c r="A531" s="562"/>
      <c r="B531" s="574"/>
      <c r="C531" s="562"/>
      <c r="D531" s="562"/>
      <c r="E531" s="562"/>
      <c r="F531" s="563"/>
      <c r="G531" s="563"/>
      <c r="H531" s="564"/>
      <c r="I531" s="565"/>
      <c r="J531" s="580"/>
      <c r="K531" s="360"/>
      <c r="L531" s="360"/>
      <c r="M531" s="360"/>
      <c r="N531" s="360"/>
      <c r="O531" s="360"/>
      <c r="P531" s="360"/>
      <c r="Q531" s="360"/>
      <c r="R531" s="360"/>
    </row>
    <row r="532" customFormat="false" ht="39.75" hidden="false" customHeight="true" outlineLevel="0" collapsed="false">
      <c r="A532" s="562"/>
      <c r="B532" s="574"/>
      <c r="C532" s="562"/>
      <c r="D532" s="562"/>
      <c r="E532" s="562"/>
      <c r="F532" s="563"/>
      <c r="G532" s="563"/>
      <c r="H532" s="564"/>
      <c r="I532" s="565"/>
      <c r="J532" s="580"/>
      <c r="K532" s="360"/>
      <c r="L532" s="360"/>
      <c r="M532" s="360"/>
      <c r="N532" s="360"/>
      <c r="O532" s="360"/>
      <c r="P532" s="360"/>
      <c r="Q532" s="360"/>
      <c r="R532" s="360"/>
    </row>
    <row r="533" customFormat="false" ht="39.75" hidden="false" customHeight="true" outlineLevel="0" collapsed="false">
      <c r="A533" s="562"/>
      <c r="B533" s="574"/>
      <c r="C533" s="562"/>
      <c r="D533" s="562"/>
      <c r="E533" s="562"/>
      <c r="F533" s="563"/>
      <c r="G533" s="563"/>
      <c r="H533" s="564"/>
      <c r="I533" s="565"/>
      <c r="J533" s="580"/>
      <c r="K533" s="360"/>
      <c r="L533" s="360"/>
      <c r="M533" s="360"/>
      <c r="N533" s="360"/>
      <c r="O533" s="360"/>
      <c r="P533" s="360"/>
      <c r="Q533" s="360"/>
      <c r="R533" s="360"/>
    </row>
    <row r="534" customFormat="false" ht="39.75" hidden="false" customHeight="true" outlineLevel="0" collapsed="false">
      <c r="A534" s="562"/>
      <c r="B534" s="574"/>
      <c r="C534" s="562"/>
      <c r="D534" s="562"/>
      <c r="E534" s="562"/>
      <c r="F534" s="563"/>
      <c r="G534" s="563"/>
      <c r="H534" s="564"/>
      <c r="I534" s="565"/>
      <c r="J534" s="580"/>
      <c r="K534" s="360"/>
      <c r="L534" s="360"/>
      <c r="M534" s="360"/>
      <c r="N534" s="360"/>
      <c r="O534" s="360"/>
      <c r="P534" s="360"/>
      <c r="Q534" s="360"/>
      <c r="R534" s="360"/>
    </row>
    <row r="535" customFormat="false" ht="39.75" hidden="false" customHeight="true" outlineLevel="0" collapsed="false">
      <c r="A535" s="562"/>
      <c r="B535" s="574"/>
      <c r="C535" s="562"/>
      <c r="D535" s="562"/>
      <c r="E535" s="562"/>
      <c r="F535" s="563"/>
      <c r="G535" s="563"/>
      <c r="H535" s="564"/>
      <c r="I535" s="565"/>
      <c r="J535" s="580"/>
      <c r="K535" s="360"/>
      <c r="L535" s="360"/>
      <c r="M535" s="360"/>
      <c r="N535" s="360"/>
      <c r="O535" s="360"/>
      <c r="P535" s="360"/>
      <c r="Q535" s="360"/>
      <c r="R535" s="360"/>
    </row>
    <row r="536" customFormat="false" ht="39.75" hidden="false" customHeight="true" outlineLevel="0" collapsed="false">
      <c r="A536" s="562"/>
      <c r="B536" s="574"/>
      <c r="C536" s="562"/>
      <c r="D536" s="562"/>
      <c r="E536" s="562"/>
      <c r="F536" s="563"/>
      <c r="G536" s="563"/>
      <c r="H536" s="564"/>
      <c r="I536" s="565"/>
      <c r="J536" s="580"/>
      <c r="K536" s="360"/>
      <c r="L536" s="360"/>
      <c r="M536" s="360"/>
      <c r="N536" s="360"/>
      <c r="O536" s="360"/>
      <c r="P536" s="360"/>
      <c r="Q536" s="360"/>
      <c r="R536" s="360"/>
    </row>
    <row r="537" customFormat="false" ht="39.75" hidden="false" customHeight="true" outlineLevel="0" collapsed="false">
      <c r="A537" s="562"/>
      <c r="B537" s="574"/>
      <c r="C537" s="562"/>
      <c r="D537" s="562"/>
      <c r="E537" s="562"/>
      <c r="F537" s="563"/>
      <c r="G537" s="563"/>
      <c r="H537" s="564"/>
      <c r="I537" s="565"/>
      <c r="J537" s="580"/>
      <c r="K537" s="360"/>
      <c r="L537" s="360"/>
      <c r="M537" s="360"/>
      <c r="N537" s="360"/>
      <c r="O537" s="360"/>
      <c r="P537" s="360"/>
      <c r="Q537" s="360"/>
      <c r="R537" s="360"/>
    </row>
    <row r="538" customFormat="false" ht="39.75" hidden="false" customHeight="true" outlineLevel="0" collapsed="false">
      <c r="A538" s="562"/>
      <c r="B538" s="574"/>
      <c r="C538" s="562"/>
      <c r="D538" s="562"/>
      <c r="E538" s="562"/>
      <c r="F538" s="563"/>
      <c r="G538" s="563"/>
      <c r="H538" s="564"/>
      <c r="I538" s="565"/>
      <c r="J538" s="580"/>
      <c r="K538" s="360"/>
      <c r="L538" s="360"/>
      <c r="M538" s="360"/>
      <c r="N538" s="360"/>
      <c r="O538" s="360"/>
      <c r="P538" s="360"/>
      <c r="Q538" s="360"/>
      <c r="R538" s="360"/>
    </row>
    <row r="539" customFormat="false" ht="39.75" hidden="false" customHeight="true" outlineLevel="0" collapsed="false">
      <c r="A539" s="562"/>
      <c r="B539" s="574"/>
      <c r="C539" s="562"/>
      <c r="D539" s="562"/>
      <c r="E539" s="562"/>
      <c r="F539" s="563"/>
      <c r="G539" s="563"/>
      <c r="H539" s="564"/>
      <c r="I539" s="565"/>
      <c r="J539" s="580"/>
      <c r="K539" s="360"/>
      <c r="L539" s="360"/>
      <c r="M539" s="360"/>
      <c r="N539" s="360"/>
      <c r="O539" s="360"/>
      <c r="P539" s="360"/>
      <c r="Q539" s="360"/>
      <c r="R539" s="360"/>
    </row>
    <row r="540" customFormat="false" ht="39.75" hidden="false" customHeight="true" outlineLevel="0" collapsed="false">
      <c r="A540" s="562"/>
      <c r="B540" s="574"/>
      <c r="C540" s="562"/>
      <c r="D540" s="562"/>
      <c r="E540" s="562"/>
      <c r="F540" s="563"/>
      <c r="G540" s="563"/>
      <c r="H540" s="564"/>
      <c r="I540" s="565"/>
      <c r="J540" s="580"/>
      <c r="K540" s="360"/>
      <c r="L540" s="360"/>
      <c r="M540" s="360"/>
      <c r="N540" s="360"/>
      <c r="O540" s="360"/>
      <c r="P540" s="360"/>
      <c r="Q540" s="360"/>
      <c r="R540" s="360"/>
    </row>
    <row r="541" customFormat="false" ht="39.75" hidden="false" customHeight="true" outlineLevel="0" collapsed="false">
      <c r="A541" s="562"/>
      <c r="B541" s="574"/>
      <c r="C541" s="562"/>
      <c r="D541" s="562"/>
      <c r="E541" s="562"/>
      <c r="F541" s="563"/>
      <c r="G541" s="563"/>
      <c r="H541" s="564"/>
      <c r="I541" s="565"/>
      <c r="J541" s="580"/>
      <c r="K541" s="360"/>
      <c r="L541" s="360"/>
      <c r="M541" s="360"/>
      <c r="N541" s="360"/>
      <c r="O541" s="360"/>
      <c r="P541" s="360"/>
      <c r="Q541" s="360"/>
      <c r="R541" s="360"/>
    </row>
    <row r="542" customFormat="false" ht="39.75" hidden="false" customHeight="true" outlineLevel="0" collapsed="false">
      <c r="A542" s="562"/>
      <c r="B542" s="574"/>
      <c r="C542" s="562"/>
      <c r="D542" s="562"/>
      <c r="E542" s="562"/>
      <c r="F542" s="563"/>
      <c r="G542" s="563"/>
      <c r="H542" s="564"/>
      <c r="I542" s="565"/>
      <c r="J542" s="580"/>
      <c r="K542" s="360"/>
      <c r="L542" s="360"/>
      <c r="M542" s="360"/>
      <c r="N542" s="360"/>
      <c r="O542" s="360"/>
      <c r="P542" s="360"/>
      <c r="Q542" s="360"/>
      <c r="R542" s="360"/>
    </row>
    <row r="543" customFormat="false" ht="39.75" hidden="false" customHeight="true" outlineLevel="0" collapsed="false">
      <c r="A543" s="562"/>
      <c r="B543" s="574"/>
      <c r="C543" s="562"/>
      <c r="D543" s="562"/>
      <c r="E543" s="562"/>
      <c r="F543" s="563"/>
      <c r="G543" s="563"/>
      <c r="H543" s="564"/>
      <c r="I543" s="565"/>
      <c r="J543" s="580"/>
      <c r="K543" s="360"/>
      <c r="L543" s="360"/>
      <c r="M543" s="360"/>
      <c r="N543" s="360"/>
      <c r="O543" s="360"/>
      <c r="P543" s="360"/>
      <c r="Q543" s="360"/>
      <c r="R543" s="360"/>
    </row>
    <row r="544" customFormat="false" ht="39.75" hidden="false" customHeight="true" outlineLevel="0" collapsed="false">
      <c r="A544" s="562"/>
      <c r="B544" s="574"/>
      <c r="C544" s="562"/>
      <c r="D544" s="562"/>
      <c r="E544" s="562"/>
      <c r="F544" s="563"/>
      <c r="G544" s="563"/>
      <c r="H544" s="564"/>
      <c r="I544" s="565"/>
      <c r="J544" s="580"/>
      <c r="K544" s="360"/>
      <c r="L544" s="360"/>
      <c r="M544" s="360"/>
      <c r="N544" s="360"/>
      <c r="O544" s="360"/>
      <c r="P544" s="360"/>
      <c r="Q544" s="360"/>
      <c r="R544" s="360"/>
    </row>
    <row r="545" customFormat="false" ht="39.75" hidden="false" customHeight="true" outlineLevel="0" collapsed="false">
      <c r="A545" s="562"/>
      <c r="B545" s="574"/>
      <c r="C545" s="562"/>
      <c r="D545" s="562"/>
      <c r="E545" s="562"/>
      <c r="F545" s="563"/>
      <c r="G545" s="563"/>
      <c r="H545" s="564"/>
      <c r="I545" s="565"/>
      <c r="J545" s="580"/>
      <c r="K545" s="360"/>
      <c r="L545" s="360"/>
      <c r="M545" s="360"/>
      <c r="N545" s="360"/>
      <c r="O545" s="360"/>
      <c r="P545" s="360"/>
      <c r="Q545" s="360"/>
      <c r="R545" s="360"/>
    </row>
    <row r="546" customFormat="false" ht="39.75" hidden="false" customHeight="true" outlineLevel="0" collapsed="false">
      <c r="A546" s="562"/>
      <c r="B546" s="574"/>
      <c r="C546" s="562"/>
      <c r="D546" s="562"/>
      <c r="E546" s="562"/>
      <c r="F546" s="563"/>
      <c r="G546" s="563"/>
      <c r="H546" s="564"/>
      <c r="I546" s="565"/>
      <c r="J546" s="580"/>
      <c r="K546" s="360"/>
      <c r="L546" s="360"/>
      <c r="M546" s="360"/>
      <c r="N546" s="360"/>
      <c r="O546" s="360"/>
      <c r="P546" s="360"/>
      <c r="Q546" s="360"/>
      <c r="R546" s="360"/>
    </row>
    <row r="547" customFormat="false" ht="39.75" hidden="false" customHeight="true" outlineLevel="0" collapsed="false">
      <c r="A547" s="562"/>
      <c r="B547" s="574"/>
      <c r="C547" s="562"/>
      <c r="D547" s="562"/>
      <c r="E547" s="562"/>
      <c r="F547" s="563"/>
      <c r="G547" s="563"/>
      <c r="H547" s="564"/>
      <c r="I547" s="565"/>
      <c r="J547" s="580"/>
      <c r="K547" s="360"/>
      <c r="L547" s="360"/>
      <c r="M547" s="360"/>
      <c r="N547" s="360"/>
      <c r="O547" s="360"/>
      <c r="P547" s="360"/>
      <c r="Q547" s="360"/>
      <c r="R547" s="360"/>
    </row>
    <row r="548" customFormat="false" ht="39.75" hidden="false" customHeight="true" outlineLevel="0" collapsed="false">
      <c r="A548" s="562"/>
      <c r="B548" s="574"/>
      <c r="C548" s="562"/>
      <c r="D548" s="562"/>
      <c r="E548" s="562"/>
      <c r="F548" s="563"/>
      <c r="G548" s="563"/>
      <c r="H548" s="564"/>
      <c r="I548" s="565"/>
      <c r="J548" s="580"/>
      <c r="K548" s="360"/>
      <c r="L548" s="360"/>
      <c r="M548" s="360"/>
      <c r="N548" s="360"/>
      <c r="O548" s="360"/>
      <c r="P548" s="360"/>
      <c r="Q548" s="360"/>
      <c r="R548" s="360"/>
    </row>
    <row r="549" customFormat="false" ht="39.75" hidden="false" customHeight="true" outlineLevel="0" collapsed="false">
      <c r="A549" s="562"/>
      <c r="B549" s="574"/>
      <c r="C549" s="562"/>
      <c r="D549" s="562"/>
      <c r="E549" s="562"/>
      <c r="F549" s="563"/>
      <c r="G549" s="563"/>
      <c r="H549" s="564"/>
      <c r="I549" s="565"/>
      <c r="J549" s="580"/>
      <c r="K549" s="360"/>
      <c r="L549" s="360"/>
      <c r="M549" s="360"/>
      <c r="N549" s="360"/>
      <c r="O549" s="360"/>
      <c r="P549" s="360"/>
      <c r="Q549" s="360"/>
      <c r="R549" s="360"/>
    </row>
    <row r="550" customFormat="false" ht="39.75" hidden="false" customHeight="true" outlineLevel="0" collapsed="false">
      <c r="A550" s="562"/>
      <c r="B550" s="574"/>
      <c r="C550" s="562"/>
      <c r="D550" s="562"/>
      <c r="E550" s="562"/>
      <c r="F550" s="563"/>
      <c r="G550" s="563"/>
      <c r="H550" s="564"/>
      <c r="I550" s="565"/>
      <c r="J550" s="580"/>
      <c r="K550" s="360"/>
      <c r="L550" s="360"/>
      <c r="M550" s="360"/>
      <c r="N550" s="360"/>
      <c r="O550" s="360"/>
      <c r="P550" s="360"/>
      <c r="Q550" s="360"/>
      <c r="R550" s="360"/>
    </row>
    <row r="551" customFormat="false" ht="39.75" hidden="false" customHeight="true" outlineLevel="0" collapsed="false">
      <c r="A551" s="562"/>
      <c r="B551" s="574"/>
      <c r="C551" s="562"/>
      <c r="D551" s="562"/>
      <c r="E551" s="562"/>
      <c r="F551" s="563"/>
      <c r="G551" s="563"/>
      <c r="H551" s="564"/>
      <c r="I551" s="565"/>
      <c r="J551" s="580"/>
      <c r="K551" s="360"/>
      <c r="L551" s="360"/>
      <c r="M551" s="360"/>
      <c r="N551" s="360"/>
      <c r="O551" s="360"/>
      <c r="P551" s="360"/>
      <c r="Q551" s="360"/>
      <c r="R551" s="360"/>
    </row>
    <row r="552" customFormat="false" ht="39.75" hidden="false" customHeight="true" outlineLevel="0" collapsed="false">
      <c r="A552" s="562"/>
      <c r="B552" s="574"/>
      <c r="C552" s="562"/>
      <c r="D552" s="562"/>
      <c r="E552" s="562"/>
      <c r="F552" s="563"/>
      <c r="G552" s="563"/>
      <c r="H552" s="564"/>
      <c r="I552" s="565"/>
      <c r="J552" s="580"/>
      <c r="K552" s="360"/>
      <c r="L552" s="360"/>
      <c r="M552" s="360"/>
      <c r="N552" s="360"/>
      <c r="O552" s="360"/>
      <c r="P552" s="360"/>
      <c r="Q552" s="360"/>
      <c r="R552" s="360"/>
    </row>
    <row r="553" customFormat="false" ht="39.75" hidden="false" customHeight="true" outlineLevel="0" collapsed="false">
      <c r="A553" s="562"/>
      <c r="B553" s="574"/>
      <c r="C553" s="562"/>
      <c r="D553" s="562"/>
      <c r="E553" s="562"/>
      <c r="F553" s="563"/>
      <c r="G553" s="563"/>
      <c r="H553" s="564"/>
      <c r="I553" s="565"/>
      <c r="J553" s="580"/>
      <c r="K553" s="360"/>
      <c r="L553" s="360"/>
      <c r="M553" s="360"/>
      <c r="N553" s="360"/>
      <c r="O553" s="360"/>
      <c r="P553" s="360"/>
      <c r="Q553" s="360"/>
      <c r="R553" s="360"/>
    </row>
    <row r="554" customFormat="false" ht="39.75" hidden="false" customHeight="true" outlineLevel="0" collapsed="false">
      <c r="A554" s="562"/>
      <c r="B554" s="574"/>
      <c r="C554" s="562"/>
      <c r="D554" s="562"/>
      <c r="E554" s="562"/>
      <c r="F554" s="563"/>
      <c r="G554" s="563"/>
      <c r="H554" s="564"/>
      <c r="I554" s="565"/>
      <c r="J554" s="580"/>
      <c r="K554" s="360"/>
      <c r="L554" s="360"/>
      <c r="M554" s="360"/>
      <c r="N554" s="360"/>
      <c r="O554" s="360"/>
      <c r="P554" s="360"/>
      <c r="Q554" s="360"/>
      <c r="R554" s="360"/>
    </row>
    <row r="555" customFormat="false" ht="39.75" hidden="false" customHeight="true" outlineLevel="0" collapsed="false">
      <c r="A555" s="562"/>
      <c r="B555" s="574"/>
      <c r="C555" s="562"/>
      <c r="D555" s="562"/>
      <c r="E555" s="562"/>
      <c r="F555" s="563"/>
      <c r="G555" s="563"/>
      <c r="H555" s="564"/>
      <c r="I555" s="565"/>
      <c r="J555" s="580"/>
      <c r="K555" s="360"/>
      <c r="L555" s="360"/>
      <c r="M555" s="360"/>
      <c r="N555" s="360"/>
      <c r="O555" s="360"/>
      <c r="P555" s="360"/>
      <c r="Q555" s="360"/>
      <c r="R555" s="360"/>
    </row>
    <row r="556" customFormat="false" ht="39.75" hidden="false" customHeight="true" outlineLevel="0" collapsed="false">
      <c r="A556" s="562"/>
      <c r="B556" s="574"/>
      <c r="C556" s="562"/>
      <c r="D556" s="562"/>
      <c r="E556" s="562"/>
      <c r="F556" s="563"/>
      <c r="G556" s="563"/>
      <c r="H556" s="564"/>
      <c r="I556" s="565"/>
      <c r="J556" s="580"/>
      <c r="K556" s="360"/>
      <c r="L556" s="360"/>
      <c r="M556" s="360"/>
      <c r="N556" s="360"/>
      <c r="O556" s="360"/>
      <c r="P556" s="360"/>
      <c r="Q556" s="360"/>
      <c r="R556" s="360"/>
    </row>
    <row r="557" customFormat="false" ht="39.75" hidden="false" customHeight="true" outlineLevel="0" collapsed="false">
      <c r="A557" s="562"/>
      <c r="B557" s="574"/>
      <c r="C557" s="562"/>
      <c r="D557" s="562"/>
      <c r="E557" s="562"/>
      <c r="F557" s="563"/>
      <c r="G557" s="563"/>
      <c r="H557" s="564"/>
      <c r="I557" s="565"/>
      <c r="J557" s="580"/>
      <c r="K557" s="360"/>
      <c r="L557" s="360"/>
      <c r="M557" s="360"/>
      <c r="N557" s="360"/>
      <c r="O557" s="360"/>
      <c r="P557" s="360"/>
      <c r="Q557" s="360"/>
      <c r="R557" s="360"/>
    </row>
    <row r="558" customFormat="false" ht="39.75" hidden="false" customHeight="true" outlineLevel="0" collapsed="false">
      <c r="A558" s="562"/>
      <c r="B558" s="574"/>
      <c r="C558" s="562"/>
      <c r="D558" s="562"/>
      <c r="E558" s="562"/>
      <c r="F558" s="563"/>
      <c r="G558" s="563"/>
      <c r="H558" s="564"/>
      <c r="I558" s="565"/>
      <c r="J558" s="580"/>
      <c r="K558" s="360"/>
      <c r="L558" s="360"/>
      <c r="M558" s="360"/>
      <c r="N558" s="360"/>
      <c r="O558" s="360"/>
      <c r="P558" s="360"/>
      <c r="Q558" s="360"/>
      <c r="R558" s="360"/>
    </row>
    <row r="559" customFormat="false" ht="39.75" hidden="false" customHeight="true" outlineLevel="0" collapsed="false">
      <c r="A559" s="562"/>
      <c r="B559" s="574"/>
      <c r="C559" s="562"/>
      <c r="D559" s="562"/>
      <c r="E559" s="562"/>
      <c r="F559" s="563"/>
      <c r="G559" s="563"/>
      <c r="H559" s="564"/>
      <c r="I559" s="565"/>
      <c r="J559" s="580"/>
      <c r="K559" s="360"/>
      <c r="L559" s="360"/>
      <c r="M559" s="360"/>
      <c r="N559" s="360"/>
      <c r="O559" s="360"/>
      <c r="P559" s="360"/>
      <c r="Q559" s="360"/>
      <c r="R559" s="360"/>
    </row>
    <row r="560" customFormat="false" ht="39.75" hidden="false" customHeight="true" outlineLevel="0" collapsed="false">
      <c r="A560" s="562"/>
      <c r="B560" s="574"/>
      <c r="C560" s="562"/>
      <c r="D560" s="562"/>
      <c r="E560" s="562"/>
      <c r="F560" s="563"/>
      <c r="G560" s="563"/>
      <c r="H560" s="564"/>
      <c r="I560" s="565"/>
      <c r="J560" s="580"/>
      <c r="K560" s="360"/>
      <c r="L560" s="360"/>
      <c r="M560" s="360"/>
      <c r="N560" s="360"/>
      <c r="O560" s="360"/>
      <c r="P560" s="360"/>
      <c r="Q560" s="360"/>
      <c r="R560" s="360"/>
    </row>
    <row r="561" customFormat="false" ht="39.75" hidden="false" customHeight="true" outlineLevel="0" collapsed="false">
      <c r="A561" s="562"/>
      <c r="B561" s="574"/>
      <c r="C561" s="562"/>
      <c r="D561" s="562"/>
      <c r="E561" s="562"/>
      <c r="F561" s="563"/>
      <c r="G561" s="563"/>
      <c r="H561" s="564"/>
      <c r="I561" s="565"/>
      <c r="J561" s="580"/>
      <c r="K561" s="360"/>
      <c r="L561" s="360"/>
      <c r="M561" s="360"/>
      <c r="N561" s="360"/>
      <c r="O561" s="360"/>
      <c r="P561" s="360"/>
      <c r="Q561" s="360"/>
      <c r="R561" s="360"/>
    </row>
    <row r="562" customFormat="false" ht="39.75" hidden="false" customHeight="true" outlineLevel="0" collapsed="false">
      <c r="A562" s="562"/>
      <c r="B562" s="574"/>
      <c r="C562" s="562"/>
      <c r="D562" s="562"/>
      <c r="E562" s="562"/>
      <c r="F562" s="563"/>
      <c r="G562" s="563"/>
      <c r="H562" s="564"/>
      <c r="I562" s="565"/>
      <c r="J562" s="580"/>
      <c r="K562" s="360"/>
      <c r="L562" s="360"/>
      <c r="M562" s="360"/>
      <c r="N562" s="360"/>
      <c r="O562" s="360"/>
      <c r="P562" s="360"/>
      <c r="Q562" s="360"/>
      <c r="R562" s="360"/>
    </row>
    <row r="563" customFormat="false" ht="39.75" hidden="false" customHeight="true" outlineLevel="0" collapsed="false">
      <c r="A563" s="562"/>
      <c r="B563" s="574"/>
      <c r="C563" s="562"/>
      <c r="D563" s="562"/>
      <c r="E563" s="562"/>
      <c r="F563" s="563"/>
      <c r="G563" s="563"/>
      <c r="H563" s="564"/>
      <c r="I563" s="565"/>
      <c r="J563" s="580"/>
      <c r="K563" s="360"/>
      <c r="L563" s="360"/>
      <c r="M563" s="360"/>
      <c r="N563" s="360"/>
      <c r="O563" s="360"/>
      <c r="P563" s="360"/>
      <c r="Q563" s="360"/>
      <c r="R563" s="360"/>
    </row>
    <row r="564" customFormat="false" ht="39.75" hidden="false" customHeight="true" outlineLevel="0" collapsed="false">
      <c r="A564" s="562"/>
      <c r="B564" s="574"/>
      <c r="C564" s="562"/>
      <c r="D564" s="562"/>
      <c r="E564" s="562"/>
      <c r="F564" s="563"/>
      <c r="G564" s="563"/>
      <c r="H564" s="564"/>
      <c r="I564" s="565"/>
      <c r="J564" s="580"/>
      <c r="K564" s="360"/>
      <c r="L564" s="360"/>
      <c r="M564" s="360"/>
      <c r="N564" s="360"/>
      <c r="O564" s="360"/>
      <c r="P564" s="360"/>
      <c r="Q564" s="360"/>
      <c r="R564" s="360"/>
    </row>
    <row r="565" customFormat="false" ht="39.75" hidden="false" customHeight="true" outlineLevel="0" collapsed="false">
      <c r="A565" s="562"/>
      <c r="B565" s="574"/>
      <c r="C565" s="562"/>
      <c r="D565" s="562"/>
      <c r="E565" s="562"/>
      <c r="F565" s="563"/>
      <c r="G565" s="563"/>
      <c r="H565" s="564"/>
      <c r="I565" s="565"/>
      <c r="J565" s="580"/>
      <c r="K565" s="360"/>
      <c r="L565" s="360"/>
      <c r="M565" s="360"/>
      <c r="N565" s="360"/>
      <c r="O565" s="360"/>
      <c r="P565" s="360"/>
      <c r="Q565" s="360"/>
      <c r="R565" s="360"/>
    </row>
    <row r="566" customFormat="false" ht="39.75" hidden="false" customHeight="true" outlineLevel="0" collapsed="false">
      <c r="A566" s="562"/>
      <c r="B566" s="574"/>
      <c r="C566" s="562"/>
      <c r="D566" s="562"/>
      <c r="E566" s="562"/>
      <c r="F566" s="563"/>
      <c r="G566" s="563"/>
      <c r="H566" s="564"/>
      <c r="I566" s="565"/>
      <c r="J566" s="580"/>
      <c r="K566" s="360"/>
      <c r="L566" s="360"/>
      <c r="M566" s="360"/>
      <c r="N566" s="360"/>
      <c r="O566" s="360"/>
      <c r="P566" s="360"/>
      <c r="Q566" s="360"/>
      <c r="R566" s="360"/>
    </row>
    <row r="567" customFormat="false" ht="39.75" hidden="false" customHeight="true" outlineLevel="0" collapsed="false">
      <c r="A567" s="562"/>
      <c r="B567" s="574"/>
      <c r="C567" s="562"/>
      <c r="D567" s="562"/>
      <c r="E567" s="562"/>
      <c r="F567" s="563"/>
      <c r="G567" s="563"/>
      <c r="H567" s="564"/>
      <c r="I567" s="565"/>
      <c r="J567" s="580"/>
      <c r="K567" s="360"/>
      <c r="L567" s="360"/>
      <c r="M567" s="360"/>
      <c r="N567" s="360"/>
      <c r="O567" s="360"/>
      <c r="P567" s="360"/>
      <c r="Q567" s="360"/>
      <c r="R567" s="360"/>
    </row>
    <row r="568" customFormat="false" ht="39.75" hidden="false" customHeight="true" outlineLevel="0" collapsed="false">
      <c r="A568" s="562"/>
      <c r="B568" s="574"/>
      <c r="C568" s="562"/>
      <c r="D568" s="562"/>
      <c r="E568" s="562"/>
      <c r="F568" s="563"/>
      <c r="G568" s="563"/>
      <c r="H568" s="564"/>
      <c r="I568" s="565"/>
      <c r="J568" s="580"/>
      <c r="K568" s="360"/>
      <c r="L568" s="360"/>
      <c r="M568" s="360"/>
      <c r="N568" s="360"/>
      <c r="O568" s="360"/>
      <c r="P568" s="360"/>
      <c r="Q568" s="360"/>
      <c r="R568" s="360"/>
    </row>
    <row r="569" customFormat="false" ht="39.75" hidden="false" customHeight="true" outlineLevel="0" collapsed="false">
      <c r="A569" s="562"/>
      <c r="B569" s="574"/>
      <c r="C569" s="562"/>
      <c r="D569" s="562"/>
      <c r="E569" s="562"/>
      <c r="F569" s="563"/>
      <c r="G569" s="563"/>
      <c r="H569" s="564"/>
      <c r="I569" s="565"/>
      <c r="J569" s="580"/>
      <c r="K569" s="360"/>
      <c r="L569" s="360"/>
      <c r="M569" s="360"/>
      <c r="N569" s="360"/>
      <c r="O569" s="360"/>
      <c r="P569" s="360"/>
      <c r="Q569" s="360"/>
      <c r="R569" s="360"/>
    </row>
    <row r="570" customFormat="false" ht="39.75" hidden="false" customHeight="true" outlineLevel="0" collapsed="false">
      <c r="A570" s="562"/>
      <c r="B570" s="574"/>
      <c r="C570" s="562"/>
      <c r="D570" s="562"/>
      <c r="E570" s="562"/>
      <c r="F570" s="563"/>
      <c r="G570" s="563"/>
      <c r="H570" s="564"/>
      <c r="I570" s="565"/>
      <c r="J570" s="580"/>
      <c r="K570" s="360"/>
      <c r="L570" s="360"/>
      <c r="M570" s="360"/>
      <c r="N570" s="360"/>
      <c r="O570" s="360"/>
      <c r="P570" s="360"/>
      <c r="Q570" s="360"/>
      <c r="R570" s="360"/>
    </row>
    <row r="571" customFormat="false" ht="39.75" hidden="false" customHeight="true" outlineLevel="0" collapsed="false">
      <c r="A571" s="562"/>
      <c r="B571" s="574"/>
      <c r="C571" s="562"/>
      <c r="D571" s="562"/>
      <c r="E571" s="562"/>
      <c r="F571" s="563"/>
      <c r="G571" s="563"/>
      <c r="H571" s="564"/>
      <c r="I571" s="565"/>
      <c r="J571" s="580"/>
      <c r="K571" s="360"/>
      <c r="L571" s="360"/>
      <c r="M571" s="360"/>
      <c r="N571" s="360"/>
      <c r="O571" s="360"/>
      <c r="P571" s="360"/>
      <c r="Q571" s="360"/>
      <c r="R571" s="360"/>
    </row>
    <row r="572" customFormat="false" ht="39.75" hidden="false" customHeight="true" outlineLevel="0" collapsed="false">
      <c r="A572" s="562"/>
      <c r="B572" s="574"/>
      <c r="C572" s="562"/>
      <c r="D572" s="562"/>
      <c r="E572" s="562"/>
      <c r="F572" s="563"/>
      <c r="G572" s="563"/>
      <c r="H572" s="564"/>
      <c r="I572" s="565"/>
      <c r="J572" s="580"/>
      <c r="K572" s="360"/>
      <c r="L572" s="360"/>
      <c r="M572" s="360"/>
      <c r="N572" s="360"/>
      <c r="O572" s="360"/>
      <c r="P572" s="360"/>
      <c r="Q572" s="360"/>
      <c r="R572" s="360"/>
    </row>
    <row r="573" customFormat="false" ht="39.75" hidden="false" customHeight="true" outlineLevel="0" collapsed="false">
      <c r="A573" s="562"/>
      <c r="B573" s="574"/>
      <c r="C573" s="562"/>
      <c r="D573" s="562"/>
      <c r="E573" s="562"/>
      <c r="F573" s="563"/>
      <c r="G573" s="563"/>
      <c r="H573" s="564"/>
      <c r="I573" s="565"/>
      <c r="J573" s="580"/>
      <c r="K573" s="360"/>
      <c r="L573" s="360"/>
      <c r="M573" s="360"/>
      <c r="N573" s="360"/>
      <c r="O573" s="360"/>
      <c r="P573" s="360"/>
      <c r="Q573" s="360"/>
      <c r="R573" s="360"/>
    </row>
    <row r="574" customFormat="false" ht="39.75" hidden="false" customHeight="true" outlineLevel="0" collapsed="false">
      <c r="A574" s="562"/>
      <c r="B574" s="574"/>
      <c r="C574" s="562"/>
      <c r="D574" s="562"/>
      <c r="E574" s="562"/>
      <c r="F574" s="563"/>
      <c r="G574" s="563"/>
      <c r="H574" s="564"/>
      <c r="I574" s="565"/>
      <c r="J574" s="580"/>
      <c r="K574" s="360"/>
      <c r="L574" s="360"/>
      <c r="M574" s="360"/>
      <c r="N574" s="360"/>
      <c r="O574" s="360"/>
      <c r="P574" s="360"/>
      <c r="Q574" s="360"/>
      <c r="R574" s="360"/>
    </row>
    <row r="575" customFormat="false" ht="39.75" hidden="false" customHeight="true" outlineLevel="0" collapsed="false">
      <c r="A575" s="562"/>
      <c r="B575" s="574"/>
      <c r="C575" s="562"/>
      <c r="D575" s="562"/>
      <c r="E575" s="562"/>
      <c r="F575" s="563"/>
      <c r="G575" s="563"/>
      <c r="H575" s="564"/>
      <c r="I575" s="565"/>
      <c r="J575" s="580"/>
      <c r="K575" s="360"/>
      <c r="L575" s="360"/>
      <c r="M575" s="360"/>
      <c r="N575" s="360"/>
      <c r="O575" s="360"/>
      <c r="P575" s="360"/>
      <c r="Q575" s="360"/>
      <c r="R575" s="360"/>
    </row>
    <row r="576" customFormat="false" ht="39.75" hidden="false" customHeight="true" outlineLevel="0" collapsed="false">
      <c r="A576" s="562"/>
      <c r="B576" s="574"/>
      <c r="C576" s="562"/>
      <c r="D576" s="562"/>
      <c r="E576" s="562"/>
      <c r="F576" s="563"/>
      <c r="G576" s="563"/>
      <c r="H576" s="564"/>
      <c r="I576" s="565"/>
      <c r="J576" s="580"/>
      <c r="K576" s="360"/>
      <c r="L576" s="360"/>
      <c r="M576" s="360"/>
      <c r="N576" s="360"/>
      <c r="O576" s="360"/>
      <c r="P576" s="360"/>
      <c r="Q576" s="360"/>
      <c r="R576" s="360"/>
    </row>
    <row r="577" customFormat="false" ht="39.75" hidden="false" customHeight="true" outlineLevel="0" collapsed="false">
      <c r="A577" s="562"/>
      <c r="B577" s="574"/>
      <c r="C577" s="562"/>
      <c r="D577" s="562"/>
      <c r="E577" s="562"/>
      <c r="F577" s="563"/>
      <c r="G577" s="563"/>
      <c r="H577" s="564"/>
      <c r="I577" s="565"/>
      <c r="J577" s="580"/>
      <c r="K577" s="360"/>
      <c r="L577" s="360"/>
      <c r="M577" s="360"/>
      <c r="N577" s="360"/>
      <c r="O577" s="360"/>
      <c r="P577" s="360"/>
      <c r="Q577" s="360"/>
      <c r="R577" s="360"/>
    </row>
    <row r="578" customFormat="false" ht="39.75" hidden="false" customHeight="true" outlineLevel="0" collapsed="false">
      <c r="A578" s="562"/>
      <c r="B578" s="574"/>
      <c r="C578" s="562"/>
      <c r="D578" s="562"/>
      <c r="E578" s="562"/>
      <c r="F578" s="563"/>
      <c r="G578" s="563"/>
      <c r="H578" s="564"/>
      <c r="I578" s="565"/>
      <c r="J578" s="580"/>
      <c r="K578" s="360"/>
      <c r="L578" s="360"/>
      <c r="M578" s="360"/>
      <c r="N578" s="360"/>
      <c r="O578" s="360"/>
      <c r="P578" s="360"/>
      <c r="Q578" s="360"/>
      <c r="R578" s="360"/>
    </row>
    <row r="579" customFormat="false" ht="39.75" hidden="false" customHeight="true" outlineLevel="0" collapsed="false">
      <c r="A579" s="562"/>
      <c r="B579" s="574"/>
      <c r="C579" s="562"/>
      <c r="D579" s="562"/>
      <c r="E579" s="562"/>
      <c r="F579" s="563"/>
      <c r="G579" s="563"/>
      <c r="H579" s="564"/>
      <c r="I579" s="565"/>
      <c r="J579" s="580"/>
      <c r="K579" s="360"/>
      <c r="L579" s="360"/>
      <c r="M579" s="360"/>
      <c r="N579" s="360"/>
      <c r="O579" s="360"/>
      <c r="P579" s="360"/>
      <c r="Q579" s="360"/>
      <c r="R579" s="360"/>
    </row>
    <row r="580" customFormat="false" ht="39.75" hidden="false" customHeight="true" outlineLevel="0" collapsed="false">
      <c r="A580" s="562"/>
      <c r="B580" s="574"/>
      <c r="C580" s="562"/>
      <c r="D580" s="562"/>
      <c r="E580" s="562"/>
      <c r="F580" s="563"/>
      <c r="G580" s="563"/>
      <c r="H580" s="564"/>
      <c r="I580" s="565"/>
      <c r="J580" s="580"/>
      <c r="K580" s="360"/>
      <c r="L580" s="360"/>
      <c r="M580" s="360"/>
      <c r="N580" s="360"/>
      <c r="O580" s="360"/>
      <c r="P580" s="360"/>
      <c r="Q580" s="360"/>
      <c r="R580" s="360"/>
    </row>
    <row r="581" customFormat="false" ht="39.75" hidden="false" customHeight="true" outlineLevel="0" collapsed="false">
      <c r="A581" s="562"/>
      <c r="B581" s="574"/>
      <c r="C581" s="562"/>
      <c r="D581" s="562"/>
      <c r="E581" s="562"/>
      <c r="F581" s="563"/>
      <c r="G581" s="563"/>
      <c r="H581" s="564"/>
      <c r="I581" s="565"/>
      <c r="J581" s="580"/>
      <c r="K581" s="360"/>
      <c r="L581" s="360"/>
      <c r="M581" s="360"/>
      <c r="N581" s="360"/>
      <c r="O581" s="360"/>
      <c r="P581" s="360"/>
      <c r="Q581" s="360"/>
      <c r="R581" s="360"/>
    </row>
    <row r="582" customFormat="false" ht="39.75" hidden="false" customHeight="true" outlineLevel="0" collapsed="false">
      <c r="A582" s="562"/>
      <c r="B582" s="574"/>
      <c r="C582" s="562"/>
      <c r="D582" s="562"/>
      <c r="E582" s="562"/>
      <c r="F582" s="563"/>
      <c r="G582" s="563"/>
      <c r="H582" s="564"/>
      <c r="I582" s="565"/>
      <c r="J582" s="580"/>
      <c r="K582" s="360"/>
      <c r="L582" s="360"/>
      <c r="M582" s="360"/>
      <c r="N582" s="360"/>
      <c r="O582" s="360"/>
      <c r="P582" s="360"/>
      <c r="Q582" s="360"/>
      <c r="R582" s="360"/>
    </row>
    <row r="583" customFormat="false" ht="39.75" hidden="false" customHeight="true" outlineLevel="0" collapsed="false">
      <c r="A583" s="562"/>
      <c r="B583" s="574"/>
      <c r="C583" s="562"/>
      <c r="D583" s="562"/>
      <c r="E583" s="562"/>
      <c r="F583" s="563"/>
      <c r="G583" s="563"/>
      <c r="H583" s="564"/>
      <c r="I583" s="565"/>
      <c r="J583" s="580"/>
      <c r="K583" s="360"/>
      <c r="L583" s="360"/>
      <c r="M583" s="360"/>
      <c r="N583" s="360"/>
      <c r="O583" s="360"/>
      <c r="P583" s="360"/>
      <c r="Q583" s="360"/>
      <c r="R583" s="360"/>
    </row>
    <row r="584" customFormat="false" ht="39.75" hidden="false" customHeight="true" outlineLevel="0" collapsed="false">
      <c r="A584" s="562"/>
      <c r="B584" s="574"/>
      <c r="C584" s="562"/>
      <c r="D584" s="562"/>
      <c r="E584" s="562"/>
      <c r="F584" s="563"/>
      <c r="G584" s="563"/>
      <c r="H584" s="564"/>
      <c r="I584" s="565"/>
      <c r="J584" s="580"/>
      <c r="K584" s="360"/>
      <c r="L584" s="360"/>
      <c r="M584" s="360"/>
      <c r="N584" s="360"/>
      <c r="O584" s="360"/>
      <c r="P584" s="360"/>
      <c r="Q584" s="360"/>
      <c r="R584" s="360"/>
    </row>
    <row r="585" customFormat="false" ht="39.75" hidden="false" customHeight="true" outlineLevel="0" collapsed="false">
      <c r="A585" s="562"/>
      <c r="B585" s="574"/>
      <c r="C585" s="562"/>
      <c r="D585" s="562"/>
      <c r="E585" s="562"/>
      <c r="F585" s="563"/>
      <c r="G585" s="563"/>
      <c r="H585" s="564"/>
      <c r="I585" s="565"/>
      <c r="J585" s="580"/>
      <c r="K585" s="360"/>
      <c r="L585" s="360"/>
      <c r="M585" s="360"/>
      <c r="N585" s="360"/>
      <c r="O585" s="360"/>
      <c r="P585" s="360"/>
      <c r="Q585" s="360"/>
      <c r="R585" s="360"/>
    </row>
    <row r="586" customFormat="false" ht="39.75" hidden="false" customHeight="true" outlineLevel="0" collapsed="false">
      <c r="A586" s="562"/>
      <c r="B586" s="574"/>
      <c r="C586" s="562"/>
      <c r="D586" s="562"/>
      <c r="E586" s="562"/>
      <c r="F586" s="563"/>
      <c r="G586" s="563"/>
      <c r="H586" s="564"/>
      <c r="I586" s="565"/>
      <c r="J586" s="580"/>
      <c r="K586" s="360"/>
      <c r="L586" s="360"/>
      <c r="M586" s="360"/>
      <c r="N586" s="360"/>
      <c r="O586" s="360"/>
      <c r="P586" s="360"/>
      <c r="Q586" s="360"/>
      <c r="R586" s="360"/>
    </row>
    <row r="587" customFormat="false" ht="39.75" hidden="false" customHeight="true" outlineLevel="0" collapsed="false">
      <c r="A587" s="562"/>
      <c r="B587" s="574"/>
      <c r="C587" s="562"/>
      <c r="D587" s="562"/>
      <c r="E587" s="562"/>
      <c r="F587" s="563"/>
      <c r="G587" s="563"/>
      <c r="H587" s="564"/>
      <c r="I587" s="565"/>
      <c r="J587" s="580"/>
      <c r="K587" s="360"/>
      <c r="L587" s="360"/>
      <c r="M587" s="360"/>
      <c r="N587" s="360"/>
      <c r="O587" s="360"/>
      <c r="P587" s="360"/>
      <c r="Q587" s="360"/>
      <c r="R587" s="360"/>
    </row>
    <row r="588" customFormat="false" ht="39.75" hidden="false" customHeight="true" outlineLevel="0" collapsed="false">
      <c r="A588" s="562"/>
      <c r="B588" s="574"/>
      <c r="C588" s="562"/>
      <c r="D588" s="562"/>
      <c r="E588" s="562"/>
      <c r="F588" s="563"/>
      <c r="G588" s="563"/>
      <c r="H588" s="564"/>
      <c r="I588" s="565"/>
      <c r="J588" s="580"/>
      <c r="K588" s="360"/>
      <c r="L588" s="360"/>
      <c r="M588" s="360"/>
      <c r="N588" s="360"/>
      <c r="O588" s="360"/>
      <c r="P588" s="360"/>
      <c r="Q588" s="360"/>
      <c r="R588" s="360"/>
    </row>
    <row r="589" customFormat="false" ht="39.75" hidden="false" customHeight="true" outlineLevel="0" collapsed="false">
      <c r="A589" s="562"/>
      <c r="B589" s="574"/>
      <c r="C589" s="562"/>
      <c r="D589" s="562"/>
      <c r="E589" s="562"/>
      <c r="F589" s="563"/>
      <c r="G589" s="563"/>
      <c r="H589" s="564"/>
      <c r="I589" s="565"/>
      <c r="J589" s="580"/>
      <c r="K589" s="360"/>
      <c r="L589" s="360"/>
      <c r="M589" s="360"/>
      <c r="N589" s="360"/>
      <c r="O589" s="360"/>
      <c r="P589" s="360"/>
      <c r="Q589" s="360"/>
      <c r="R589" s="360"/>
    </row>
    <row r="590" customFormat="false" ht="39.75" hidden="false" customHeight="true" outlineLevel="0" collapsed="false">
      <c r="A590" s="562"/>
      <c r="B590" s="574"/>
      <c r="C590" s="562"/>
      <c r="D590" s="562"/>
      <c r="E590" s="562"/>
      <c r="F590" s="563"/>
      <c r="G590" s="563"/>
      <c r="H590" s="564"/>
      <c r="I590" s="565"/>
      <c r="J590" s="580"/>
      <c r="K590" s="360"/>
      <c r="L590" s="360"/>
      <c r="M590" s="360"/>
      <c r="N590" s="360"/>
      <c r="O590" s="360"/>
      <c r="P590" s="360"/>
      <c r="Q590" s="360"/>
      <c r="R590" s="360"/>
    </row>
    <row r="591" customFormat="false" ht="39.75" hidden="false" customHeight="true" outlineLevel="0" collapsed="false">
      <c r="A591" s="562"/>
      <c r="B591" s="574"/>
      <c r="C591" s="562"/>
      <c r="D591" s="562"/>
      <c r="E591" s="562"/>
      <c r="F591" s="563"/>
      <c r="G591" s="563"/>
      <c r="H591" s="564"/>
      <c r="I591" s="565"/>
      <c r="J591" s="580"/>
      <c r="K591" s="360"/>
      <c r="L591" s="360"/>
      <c r="M591" s="360"/>
      <c r="N591" s="360"/>
      <c r="O591" s="360"/>
      <c r="P591" s="360"/>
      <c r="Q591" s="360"/>
      <c r="R591" s="360"/>
    </row>
    <row r="592" customFormat="false" ht="39.75" hidden="false" customHeight="true" outlineLevel="0" collapsed="false">
      <c r="A592" s="562"/>
      <c r="B592" s="574"/>
      <c r="C592" s="562"/>
      <c r="D592" s="562"/>
      <c r="E592" s="562"/>
      <c r="F592" s="563"/>
      <c r="G592" s="563"/>
      <c r="H592" s="564"/>
      <c r="I592" s="565"/>
      <c r="J592" s="580"/>
      <c r="K592" s="360"/>
      <c r="L592" s="360"/>
      <c r="M592" s="360"/>
      <c r="N592" s="360"/>
      <c r="O592" s="360"/>
      <c r="P592" s="360"/>
      <c r="Q592" s="360"/>
      <c r="R592" s="360"/>
    </row>
    <row r="593" customFormat="false" ht="39.75" hidden="false" customHeight="true" outlineLevel="0" collapsed="false">
      <c r="A593" s="562"/>
      <c r="B593" s="574"/>
      <c r="C593" s="562"/>
      <c r="D593" s="562"/>
      <c r="E593" s="562"/>
      <c r="F593" s="563"/>
      <c r="G593" s="563"/>
      <c r="H593" s="564"/>
      <c r="I593" s="565"/>
      <c r="J593" s="580"/>
      <c r="K593" s="360"/>
      <c r="L593" s="360"/>
      <c r="M593" s="360"/>
      <c r="N593" s="360"/>
      <c r="O593" s="360"/>
      <c r="P593" s="360"/>
      <c r="Q593" s="360"/>
      <c r="R593" s="360"/>
    </row>
    <row r="594" customFormat="false" ht="39.75" hidden="false" customHeight="true" outlineLevel="0" collapsed="false">
      <c r="A594" s="562"/>
      <c r="B594" s="574"/>
      <c r="C594" s="562"/>
      <c r="D594" s="562"/>
      <c r="E594" s="562"/>
      <c r="F594" s="563"/>
      <c r="G594" s="563"/>
      <c r="H594" s="564"/>
      <c r="I594" s="565"/>
      <c r="J594" s="580"/>
      <c r="K594" s="360"/>
      <c r="L594" s="360"/>
      <c r="M594" s="360"/>
      <c r="N594" s="360"/>
      <c r="O594" s="360"/>
      <c r="P594" s="360"/>
      <c r="Q594" s="360"/>
      <c r="R594" s="360"/>
    </row>
    <row r="595" customFormat="false" ht="39.75" hidden="false" customHeight="true" outlineLevel="0" collapsed="false">
      <c r="A595" s="562"/>
      <c r="B595" s="574"/>
      <c r="C595" s="562"/>
      <c r="D595" s="562"/>
      <c r="E595" s="562"/>
      <c r="F595" s="563"/>
      <c r="G595" s="563"/>
      <c r="H595" s="564"/>
      <c r="I595" s="565"/>
      <c r="J595" s="580"/>
      <c r="K595" s="360"/>
      <c r="L595" s="360"/>
      <c r="M595" s="360"/>
      <c r="N595" s="360"/>
      <c r="O595" s="360"/>
      <c r="P595" s="360"/>
      <c r="Q595" s="360"/>
      <c r="R595" s="360"/>
    </row>
    <row r="596" customFormat="false" ht="39.75" hidden="false" customHeight="true" outlineLevel="0" collapsed="false">
      <c r="A596" s="562"/>
      <c r="B596" s="574"/>
      <c r="C596" s="562"/>
      <c r="D596" s="562"/>
      <c r="E596" s="562"/>
      <c r="F596" s="563"/>
      <c r="G596" s="563"/>
      <c r="H596" s="564"/>
      <c r="I596" s="565"/>
      <c r="J596" s="580"/>
      <c r="K596" s="360"/>
      <c r="L596" s="360"/>
      <c r="M596" s="360"/>
      <c r="N596" s="360"/>
      <c r="O596" s="360"/>
      <c r="P596" s="360"/>
      <c r="Q596" s="360"/>
      <c r="R596" s="360"/>
    </row>
    <row r="597" customFormat="false" ht="39.75" hidden="false" customHeight="true" outlineLevel="0" collapsed="false">
      <c r="A597" s="562"/>
      <c r="B597" s="574"/>
      <c r="C597" s="562"/>
      <c r="D597" s="562"/>
      <c r="E597" s="562"/>
      <c r="F597" s="563"/>
      <c r="G597" s="563"/>
      <c r="H597" s="564"/>
      <c r="I597" s="565"/>
      <c r="J597" s="580"/>
      <c r="K597" s="360"/>
      <c r="L597" s="360"/>
      <c r="M597" s="360"/>
      <c r="N597" s="360"/>
      <c r="O597" s="360"/>
      <c r="P597" s="360"/>
      <c r="Q597" s="360"/>
      <c r="R597" s="360"/>
    </row>
    <row r="598" customFormat="false" ht="39.75" hidden="false" customHeight="true" outlineLevel="0" collapsed="false">
      <c r="A598" s="562"/>
      <c r="B598" s="574"/>
      <c r="C598" s="562"/>
      <c r="D598" s="562"/>
      <c r="E598" s="562"/>
      <c r="F598" s="563"/>
      <c r="G598" s="563"/>
      <c r="H598" s="564"/>
      <c r="I598" s="565"/>
      <c r="J598" s="580"/>
      <c r="K598" s="360"/>
      <c r="L598" s="360"/>
      <c r="M598" s="360"/>
      <c r="N598" s="360"/>
      <c r="O598" s="360"/>
      <c r="P598" s="360"/>
      <c r="Q598" s="360"/>
      <c r="R598" s="360"/>
    </row>
    <row r="599" customFormat="false" ht="39.75" hidden="false" customHeight="true" outlineLevel="0" collapsed="false">
      <c r="A599" s="562"/>
      <c r="B599" s="574"/>
      <c r="C599" s="562"/>
      <c r="D599" s="562"/>
      <c r="E599" s="562"/>
      <c r="F599" s="563"/>
      <c r="G599" s="563"/>
      <c r="H599" s="564"/>
      <c r="I599" s="565"/>
      <c r="J599" s="580"/>
      <c r="K599" s="360"/>
      <c r="L599" s="360"/>
      <c r="M599" s="360"/>
      <c r="N599" s="360"/>
      <c r="O599" s="360"/>
      <c r="P599" s="360"/>
      <c r="Q599" s="360"/>
      <c r="R599" s="360"/>
    </row>
    <row r="600" customFormat="false" ht="39.75" hidden="false" customHeight="true" outlineLevel="0" collapsed="false">
      <c r="A600" s="562"/>
      <c r="B600" s="574"/>
      <c r="C600" s="562"/>
      <c r="D600" s="562"/>
      <c r="E600" s="562"/>
      <c r="F600" s="563"/>
      <c r="G600" s="563"/>
      <c r="H600" s="564"/>
      <c r="I600" s="565"/>
      <c r="J600" s="580"/>
      <c r="K600" s="360"/>
      <c r="L600" s="360"/>
      <c r="M600" s="360"/>
      <c r="N600" s="360"/>
      <c r="O600" s="360"/>
      <c r="P600" s="360"/>
      <c r="Q600" s="360"/>
      <c r="R600" s="360"/>
    </row>
    <row r="601" customFormat="false" ht="39.75" hidden="false" customHeight="true" outlineLevel="0" collapsed="false">
      <c r="A601" s="562"/>
      <c r="B601" s="574"/>
      <c r="C601" s="562"/>
      <c r="D601" s="562"/>
      <c r="E601" s="562"/>
      <c r="F601" s="563"/>
      <c r="G601" s="563"/>
      <c r="H601" s="564"/>
      <c r="I601" s="565"/>
      <c r="J601" s="580"/>
      <c r="K601" s="360"/>
      <c r="L601" s="360"/>
      <c r="M601" s="360"/>
      <c r="N601" s="360"/>
      <c r="O601" s="360"/>
      <c r="P601" s="360"/>
      <c r="Q601" s="360"/>
      <c r="R601" s="360"/>
    </row>
    <row r="602" customFormat="false" ht="39.75" hidden="false" customHeight="true" outlineLevel="0" collapsed="false">
      <c r="A602" s="562"/>
      <c r="B602" s="574"/>
      <c r="C602" s="562"/>
      <c r="D602" s="562"/>
      <c r="E602" s="562"/>
      <c r="F602" s="563"/>
      <c r="G602" s="563"/>
      <c r="H602" s="564"/>
      <c r="I602" s="565"/>
      <c r="J602" s="580"/>
      <c r="K602" s="360"/>
      <c r="L602" s="360"/>
      <c r="M602" s="360"/>
      <c r="N602" s="360"/>
      <c r="O602" s="360"/>
      <c r="P602" s="360"/>
      <c r="Q602" s="360"/>
      <c r="R602" s="360"/>
    </row>
    <row r="603" customFormat="false" ht="39.75" hidden="false" customHeight="true" outlineLevel="0" collapsed="false">
      <c r="A603" s="562"/>
      <c r="B603" s="574"/>
      <c r="C603" s="562"/>
      <c r="D603" s="562"/>
      <c r="E603" s="562"/>
      <c r="F603" s="563"/>
      <c r="G603" s="563"/>
      <c r="H603" s="564"/>
      <c r="I603" s="565"/>
      <c r="J603" s="580"/>
      <c r="K603" s="360"/>
      <c r="L603" s="360"/>
      <c r="M603" s="360"/>
      <c r="N603" s="360"/>
      <c r="O603" s="360"/>
      <c r="P603" s="360"/>
      <c r="Q603" s="360"/>
      <c r="R603" s="360"/>
    </row>
    <row r="604" customFormat="false" ht="39.75" hidden="false" customHeight="true" outlineLevel="0" collapsed="false">
      <c r="A604" s="562"/>
      <c r="B604" s="574"/>
      <c r="C604" s="562"/>
      <c r="D604" s="562"/>
      <c r="E604" s="562"/>
      <c r="F604" s="563"/>
      <c r="G604" s="563"/>
      <c r="H604" s="564"/>
      <c r="I604" s="565"/>
      <c r="J604" s="580"/>
      <c r="K604" s="360"/>
      <c r="L604" s="360"/>
      <c r="M604" s="360"/>
      <c r="N604" s="360"/>
      <c r="O604" s="360"/>
      <c r="P604" s="360"/>
      <c r="Q604" s="360"/>
      <c r="R604" s="360"/>
    </row>
    <row r="605" customFormat="false" ht="39.75" hidden="false" customHeight="true" outlineLevel="0" collapsed="false">
      <c r="A605" s="562"/>
      <c r="B605" s="574"/>
      <c r="C605" s="562"/>
      <c r="D605" s="562"/>
      <c r="E605" s="562"/>
      <c r="F605" s="563"/>
      <c r="G605" s="563"/>
      <c r="H605" s="564"/>
      <c r="I605" s="565"/>
      <c r="J605" s="580"/>
      <c r="K605" s="360"/>
      <c r="L605" s="360"/>
      <c r="M605" s="360"/>
      <c r="N605" s="360"/>
      <c r="O605" s="360"/>
      <c r="P605" s="360"/>
      <c r="Q605" s="360"/>
      <c r="R605" s="360"/>
    </row>
    <row r="606" customFormat="false" ht="39.75" hidden="false" customHeight="true" outlineLevel="0" collapsed="false">
      <c r="A606" s="562"/>
      <c r="B606" s="574"/>
      <c r="C606" s="562"/>
      <c r="D606" s="562"/>
      <c r="E606" s="562"/>
      <c r="F606" s="563"/>
      <c r="G606" s="563"/>
      <c r="H606" s="564"/>
      <c r="I606" s="565"/>
      <c r="J606" s="580"/>
      <c r="K606" s="360"/>
      <c r="L606" s="360"/>
      <c r="M606" s="360"/>
      <c r="N606" s="360"/>
      <c r="O606" s="360"/>
      <c r="P606" s="360"/>
      <c r="Q606" s="360"/>
      <c r="R606" s="360"/>
    </row>
    <row r="607" customFormat="false" ht="39.75" hidden="false" customHeight="true" outlineLevel="0" collapsed="false">
      <c r="A607" s="562"/>
      <c r="B607" s="574"/>
      <c r="C607" s="562"/>
      <c r="D607" s="562"/>
      <c r="E607" s="562"/>
      <c r="F607" s="563"/>
      <c r="G607" s="563"/>
      <c r="H607" s="564"/>
      <c r="I607" s="565"/>
      <c r="J607" s="580"/>
      <c r="K607" s="360"/>
      <c r="L607" s="360"/>
      <c r="M607" s="360"/>
      <c r="N607" s="360"/>
      <c r="O607" s="360"/>
      <c r="P607" s="360"/>
      <c r="Q607" s="360"/>
      <c r="R607" s="360"/>
    </row>
    <row r="608" customFormat="false" ht="39.75" hidden="false" customHeight="true" outlineLevel="0" collapsed="false">
      <c r="A608" s="562"/>
      <c r="B608" s="574"/>
      <c r="C608" s="562"/>
      <c r="D608" s="562"/>
      <c r="E608" s="562"/>
      <c r="F608" s="563"/>
      <c r="G608" s="563"/>
      <c r="H608" s="564"/>
      <c r="I608" s="565"/>
      <c r="J608" s="580"/>
      <c r="K608" s="360"/>
      <c r="L608" s="360"/>
      <c r="M608" s="360"/>
      <c r="N608" s="360"/>
      <c r="O608" s="360"/>
      <c r="P608" s="360"/>
      <c r="Q608" s="360"/>
      <c r="R608" s="360"/>
    </row>
    <row r="609" customFormat="false" ht="39.75" hidden="false" customHeight="true" outlineLevel="0" collapsed="false">
      <c r="A609" s="562"/>
      <c r="B609" s="574"/>
      <c r="C609" s="562"/>
      <c r="D609" s="562"/>
      <c r="E609" s="562"/>
      <c r="F609" s="563"/>
      <c r="G609" s="563"/>
      <c r="H609" s="564"/>
      <c r="I609" s="565"/>
      <c r="J609" s="580"/>
      <c r="K609" s="360"/>
      <c r="L609" s="360"/>
      <c r="M609" s="360"/>
      <c r="N609" s="360"/>
      <c r="O609" s="360"/>
      <c r="P609" s="360"/>
      <c r="Q609" s="360"/>
      <c r="R609" s="360"/>
    </row>
    <row r="610" customFormat="false" ht="39.75" hidden="false" customHeight="true" outlineLevel="0" collapsed="false">
      <c r="A610" s="562"/>
      <c r="B610" s="574"/>
      <c r="C610" s="562"/>
      <c r="D610" s="562"/>
      <c r="E610" s="562"/>
      <c r="F610" s="563"/>
      <c r="G610" s="563"/>
      <c r="H610" s="564"/>
      <c r="I610" s="565"/>
      <c r="J610" s="580"/>
      <c r="K610" s="360"/>
      <c r="L610" s="360"/>
      <c r="M610" s="360"/>
      <c r="N610" s="360"/>
      <c r="O610" s="360"/>
      <c r="P610" s="360"/>
      <c r="Q610" s="360"/>
      <c r="R610" s="360"/>
    </row>
    <row r="611" customFormat="false" ht="39.75" hidden="false" customHeight="true" outlineLevel="0" collapsed="false">
      <c r="A611" s="562"/>
      <c r="B611" s="574"/>
      <c r="C611" s="562"/>
      <c r="D611" s="562"/>
      <c r="E611" s="562"/>
      <c r="F611" s="563"/>
      <c r="G611" s="563"/>
      <c r="H611" s="564"/>
      <c r="I611" s="565"/>
      <c r="J611" s="580"/>
      <c r="K611" s="360"/>
      <c r="L611" s="360"/>
      <c r="M611" s="360"/>
      <c r="N611" s="360"/>
      <c r="O611" s="360"/>
      <c r="P611" s="360"/>
      <c r="Q611" s="360"/>
      <c r="R611" s="360"/>
    </row>
    <row r="612" customFormat="false" ht="39.75" hidden="false" customHeight="true" outlineLevel="0" collapsed="false">
      <c r="A612" s="562"/>
      <c r="B612" s="574"/>
      <c r="C612" s="562"/>
      <c r="D612" s="562"/>
      <c r="E612" s="562"/>
      <c r="F612" s="563"/>
      <c r="G612" s="563"/>
      <c r="H612" s="564"/>
      <c r="I612" s="565"/>
      <c r="J612" s="580"/>
      <c r="K612" s="360"/>
      <c r="L612" s="360"/>
      <c r="M612" s="360"/>
      <c r="N612" s="360"/>
      <c r="O612" s="360"/>
      <c r="P612" s="360"/>
      <c r="Q612" s="360"/>
      <c r="R612" s="360"/>
    </row>
    <row r="613" customFormat="false" ht="39.75" hidden="false" customHeight="true" outlineLevel="0" collapsed="false">
      <c r="A613" s="562"/>
      <c r="B613" s="574"/>
      <c r="C613" s="562"/>
      <c r="D613" s="562"/>
      <c r="E613" s="562"/>
      <c r="F613" s="563"/>
      <c r="G613" s="563"/>
      <c r="H613" s="564"/>
      <c r="I613" s="565"/>
      <c r="J613" s="580"/>
      <c r="K613" s="360"/>
      <c r="L613" s="360"/>
      <c r="M613" s="360"/>
      <c r="N613" s="360"/>
      <c r="O613" s="360"/>
      <c r="P613" s="360"/>
      <c r="Q613" s="360"/>
      <c r="R613" s="360"/>
    </row>
    <row r="614" customFormat="false" ht="39.75" hidden="false" customHeight="true" outlineLevel="0" collapsed="false">
      <c r="A614" s="562"/>
      <c r="B614" s="574"/>
      <c r="C614" s="562"/>
      <c r="D614" s="562"/>
      <c r="E614" s="562"/>
      <c r="F614" s="563"/>
      <c r="G614" s="563"/>
      <c r="H614" s="564"/>
      <c r="I614" s="565"/>
      <c r="J614" s="580"/>
      <c r="K614" s="360"/>
      <c r="L614" s="360"/>
      <c r="M614" s="360"/>
      <c r="N614" s="360"/>
      <c r="O614" s="360"/>
      <c r="P614" s="360"/>
      <c r="Q614" s="360"/>
      <c r="R614" s="360"/>
    </row>
    <row r="615" customFormat="false" ht="39.75" hidden="false" customHeight="true" outlineLevel="0" collapsed="false">
      <c r="A615" s="562"/>
      <c r="B615" s="574"/>
      <c r="C615" s="562"/>
      <c r="D615" s="562"/>
      <c r="E615" s="562"/>
      <c r="F615" s="563"/>
      <c r="G615" s="563"/>
      <c r="H615" s="564"/>
      <c r="I615" s="565"/>
      <c r="J615" s="580"/>
      <c r="K615" s="360"/>
      <c r="L615" s="360"/>
      <c r="M615" s="360"/>
      <c r="N615" s="360"/>
      <c r="O615" s="360"/>
      <c r="P615" s="360"/>
      <c r="Q615" s="360"/>
      <c r="R615" s="360"/>
    </row>
    <row r="616" customFormat="false" ht="39.75" hidden="false" customHeight="true" outlineLevel="0" collapsed="false">
      <c r="A616" s="562"/>
      <c r="B616" s="574"/>
      <c r="C616" s="562"/>
      <c r="D616" s="562"/>
      <c r="E616" s="562"/>
      <c r="F616" s="563"/>
      <c r="G616" s="563"/>
      <c r="H616" s="564"/>
      <c r="I616" s="565"/>
      <c r="J616" s="580"/>
      <c r="K616" s="360"/>
      <c r="L616" s="360"/>
      <c r="M616" s="360"/>
      <c r="N616" s="360"/>
      <c r="O616" s="360"/>
      <c r="P616" s="360"/>
      <c r="Q616" s="360"/>
      <c r="R616" s="360"/>
    </row>
    <row r="617" customFormat="false" ht="39.75" hidden="false" customHeight="true" outlineLevel="0" collapsed="false">
      <c r="A617" s="562"/>
      <c r="B617" s="574"/>
      <c r="C617" s="562"/>
      <c r="D617" s="562"/>
      <c r="E617" s="562"/>
      <c r="F617" s="563"/>
      <c r="G617" s="563"/>
      <c r="H617" s="564"/>
      <c r="I617" s="565"/>
      <c r="J617" s="580"/>
      <c r="K617" s="360"/>
      <c r="L617" s="360"/>
      <c r="M617" s="360"/>
      <c r="N617" s="360"/>
      <c r="O617" s="360"/>
      <c r="P617" s="360"/>
      <c r="Q617" s="360"/>
      <c r="R617" s="360"/>
    </row>
    <row r="618" customFormat="false" ht="39.75" hidden="false" customHeight="true" outlineLevel="0" collapsed="false">
      <c r="A618" s="562"/>
      <c r="B618" s="574"/>
      <c r="C618" s="562"/>
      <c r="D618" s="562"/>
      <c r="E618" s="562"/>
      <c r="F618" s="563"/>
      <c r="G618" s="563"/>
      <c r="H618" s="564"/>
      <c r="I618" s="565"/>
      <c r="J618" s="580"/>
      <c r="K618" s="360"/>
      <c r="L618" s="360"/>
      <c r="M618" s="360"/>
      <c r="N618" s="360"/>
      <c r="O618" s="360"/>
      <c r="P618" s="360"/>
      <c r="Q618" s="360"/>
      <c r="R618" s="360"/>
    </row>
    <row r="619" customFormat="false" ht="39.75" hidden="false" customHeight="true" outlineLevel="0" collapsed="false">
      <c r="A619" s="562"/>
      <c r="B619" s="574"/>
      <c r="C619" s="562"/>
      <c r="D619" s="562"/>
      <c r="E619" s="562"/>
      <c r="F619" s="563"/>
      <c r="G619" s="563"/>
      <c r="H619" s="564"/>
      <c r="I619" s="565"/>
      <c r="J619" s="580"/>
      <c r="K619" s="360"/>
      <c r="L619" s="360"/>
      <c r="M619" s="360"/>
      <c r="N619" s="360"/>
      <c r="O619" s="360"/>
      <c r="P619" s="360"/>
      <c r="Q619" s="360"/>
      <c r="R619" s="360"/>
    </row>
    <row r="620" customFormat="false" ht="39.75" hidden="false" customHeight="true" outlineLevel="0" collapsed="false">
      <c r="A620" s="562"/>
      <c r="B620" s="574"/>
      <c r="C620" s="562"/>
      <c r="D620" s="562"/>
      <c r="E620" s="562"/>
      <c r="F620" s="563"/>
      <c r="G620" s="563"/>
      <c r="H620" s="564"/>
      <c r="I620" s="565"/>
      <c r="J620" s="580"/>
      <c r="K620" s="360"/>
      <c r="L620" s="360"/>
      <c r="M620" s="360"/>
      <c r="N620" s="360"/>
      <c r="O620" s="360"/>
      <c r="P620" s="360"/>
      <c r="Q620" s="360"/>
      <c r="R620" s="360"/>
    </row>
    <row r="621" customFormat="false" ht="39.75" hidden="false" customHeight="true" outlineLevel="0" collapsed="false">
      <c r="A621" s="562"/>
      <c r="B621" s="574"/>
      <c r="C621" s="562"/>
      <c r="D621" s="562"/>
      <c r="E621" s="562"/>
      <c r="F621" s="563"/>
      <c r="G621" s="563"/>
      <c r="H621" s="564"/>
      <c r="I621" s="565"/>
      <c r="J621" s="580"/>
      <c r="K621" s="360"/>
      <c r="L621" s="360"/>
      <c r="M621" s="360"/>
      <c r="N621" s="360"/>
      <c r="O621" s="360"/>
      <c r="P621" s="360"/>
      <c r="Q621" s="360"/>
      <c r="R621" s="360"/>
    </row>
    <row r="622" customFormat="false" ht="39.75" hidden="false" customHeight="true" outlineLevel="0" collapsed="false">
      <c r="A622" s="562"/>
      <c r="B622" s="574"/>
      <c r="C622" s="562"/>
      <c r="D622" s="562"/>
      <c r="E622" s="562"/>
      <c r="F622" s="563"/>
      <c r="G622" s="563"/>
      <c r="H622" s="564"/>
      <c r="I622" s="565"/>
      <c r="J622" s="580"/>
      <c r="K622" s="360"/>
      <c r="L622" s="360"/>
      <c r="M622" s="360"/>
      <c r="N622" s="360"/>
      <c r="O622" s="360"/>
      <c r="P622" s="360"/>
      <c r="Q622" s="360"/>
      <c r="R622" s="360"/>
    </row>
    <row r="623" customFormat="false" ht="39.75" hidden="false" customHeight="true" outlineLevel="0" collapsed="false">
      <c r="A623" s="562"/>
      <c r="B623" s="574"/>
      <c r="C623" s="562"/>
      <c r="D623" s="562"/>
      <c r="E623" s="562"/>
      <c r="F623" s="563"/>
      <c r="G623" s="563"/>
      <c r="H623" s="564"/>
      <c r="I623" s="565"/>
      <c r="J623" s="580"/>
      <c r="K623" s="360"/>
      <c r="L623" s="360"/>
      <c r="M623" s="360"/>
      <c r="N623" s="360"/>
      <c r="O623" s="360"/>
      <c r="P623" s="360"/>
      <c r="Q623" s="360"/>
      <c r="R623" s="360"/>
    </row>
    <row r="624" customFormat="false" ht="39.75" hidden="false" customHeight="true" outlineLevel="0" collapsed="false">
      <c r="A624" s="562"/>
      <c r="B624" s="574"/>
      <c r="C624" s="562"/>
      <c r="D624" s="562"/>
      <c r="E624" s="562"/>
      <c r="F624" s="563"/>
      <c r="G624" s="563"/>
      <c r="H624" s="564"/>
      <c r="I624" s="565"/>
      <c r="J624" s="580"/>
      <c r="K624" s="360"/>
      <c r="L624" s="360"/>
      <c r="M624" s="360"/>
      <c r="N624" s="360"/>
      <c r="O624" s="360"/>
      <c r="P624" s="360"/>
      <c r="Q624" s="360"/>
      <c r="R624" s="360"/>
    </row>
    <row r="625" customFormat="false" ht="39.75" hidden="false" customHeight="true" outlineLevel="0" collapsed="false">
      <c r="A625" s="562"/>
      <c r="B625" s="574"/>
      <c r="C625" s="562"/>
      <c r="D625" s="562"/>
      <c r="E625" s="562"/>
      <c r="F625" s="563"/>
      <c r="G625" s="563"/>
      <c r="H625" s="564"/>
      <c r="I625" s="565"/>
      <c r="J625" s="580"/>
      <c r="K625" s="360"/>
      <c r="L625" s="360"/>
      <c r="M625" s="360"/>
      <c r="N625" s="360"/>
      <c r="O625" s="360"/>
      <c r="P625" s="360"/>
      <c r="Q625" s="360"/>
      <c r="R625" s="360"/>
    </row>
    <row r="626" customFormat="false" ht="39.75" hidden="false" customHeight="true" outlineLevel="0" collapsed="false">
      <c r="A626" s="562"/>
      <c r="B626" s="574"/>
      <c r="C626" s="562"/>
      <c r="D626" s="562"/>
      <c r="E626" s="562"/>
      <c r="F626" s="563"/>
      <c r="G626" s="563"/>
      <c r="H626" s="564"/>
      <c r="I626" s="565"/>
      <c r="J626" s="580"/>
      <c r="K626" s="360"/>
      <c r="L626" s="360"/>
      <c r="M626" s="360"/>
      <c r="N626" s="360"/>
      <c r="O626" s="360"/>
      <c r="P626" s="360"/>
      <c r="Q626" s="360"/>
      <c r="R626" s="360"/>
    </row>
    <row r="627" customFormat="false" ht="39.75" hidden="false" customHeight="true" outlineLevel="0" collapsed="false">
      <c r="A627" s="562"/>
      <c r="B627" s="574"/>
      <c r="C627" s="562"/>
      <c r="D627" s="562"/>
      <c r="E627" s="562"/>
      <c r="F627" s="563"/>
      <c r="G627" s="563"/>
      <c r="H627" s="564"/>
      <c r="I627" s="565"/>
      <c r="J627" s="580"/>
      <c r="K627" s="360"/>
      <c r="L627" s="360"/>
      <c r="M627" s="360"/>
      <c r="N627" s="360"/>
      <c r="O627" s="360"/>
      <c r="P627" s="360"/>
      <c r="Q627" s="360"/>
      <c r="R627" s="360"/>
    </row>
    <row r="628" customFormat="false" ht="39.75" hidden="false" customHeight="true" outlineLevel="0" collapsed="false">
      <c r="A628" s="562"/>
      <c r="B628" s="574"/>
      <c r="C628" s="562"/>
      <c r="D628" s="562"/>
      <c r="E628" s="562"/>
      <c r="F628" s="563"/>
      <c r="G628" s="563"/>
      <c r="H628" s="564"/>
      <c r="I628" s="565"/>
      <c r="J628" s="580"/>
      <c r="K628" s="360"/>
      <c r="L628" s="360"/>
      <c r="M628" s="360"/>
      <c r="N628" s="360"/>
      <c r="O628" s="360"/>
      <c r="P628" s="360"/>
      <c r="Q628" s="360"/>
      <c r="R628" s="360"/>
    </row>
    <row r="629" customFormat="false" ht="39.75" hidden="false" customHeight="true" outlineLevel="0" collapsed="false">
      <c r="A629" s="562"/>
      <c r="B629" s="574"/>
      <c r="C629" s="562"/>
      <c r="D629" s="562"/>
      <c r="E629" s="562"/>
      <c r="F629" s="563"/>
      <c r="G629" s="563"/>
      <c r="H629" s="564"/>
      <c r="I629" s="565"/>
      <c r="J629" s="580"/>
      <c r="K629" s="360"/>
      <c r="L629" s="360"/>
      <c r="M629" s="360"/>
      <c r="N629" s="360"/>
      <c r="O629" s="360"/>
      <c r="P629" s="360"/>
      <c r="Q629" s="360"/>
      <c r="R629" s="360"/>
    </row>
    <row r="630" customFormat="false" ht="39.75" hidden="false" customHeight="true" outlineLevel="0" collapsed="false">
      <c r="A630" s="562"/>
      <c r="B630" s="574"/>
      <c r="C630" s="562"/>
      <c r="D630" s="562"/>
      <c r="E630" s="562"/>
      <c r="F630" s="563"/>
      <c r="G630" s="563"/>
      <c r="H630" s="564"/>
      <c r="I630" s="565"/>
      <c r="J630" s="580"/>
      <c r="K630" s="360"/>
      <c r="L630" s="360"/>
      <c r="M630" s="360"/>
      <c r="N630" s="360"/>
      <c r="O630" s="360"/>
      <c r="P630" s="360"/>
      <c r="Q630" s="360"/>
      <c r="R630" s="360"/>
    </row>
    <row r="631" customFormat="false" ht="39.75" hidden="false" customHeight="true" outlineLevel="0" collapsed="false">
      <c r="A631" s="562"/>
      <c r="B631" s="574"/>
      <c r="C631" s="562"/>
      <c r="D631" s="562"/>
      <c r="E631" s="562"/>
      <c r="F631" s="563"/>
      <c r="G631" s="563"/>
      <c r="H631" s="564"/>
      <c r="I631" s="565"/>
      <c r="J631" s="580"/>
      <c r="K631" s="360"/>
      <c r="L631" s="360"/>
      <c r="M631" s="360"/>
      <c r="N631" s="360"/>
      <c r="O631" s="360"/>
      <c r="P631" s="360"/>
      <c r="Q631" s="360"/>
      <c r="R631" s="360"/>
    </row>
    <row r="632" customFormat="false" ht="39.75" hidden="false" customHeight="true" outlineLevel="0" collapsed="false">
      <c r="A632" s="562"/>
      <c r="B632" s="574"/>
      <c r="C632" s="562"/>
      <c r="D632" s="562"/>
      <c r="E632" s="562"/>
      <c r="F632" s="563"/>
      <c r="G632" s="563"/>
      <c r="H632" s="564"/>
      <c r="I632" s="565"/>
      <c r="J632" s="580"/>
      <c r="K632" s="360"/>
      <c r="L632" s="360"/>
      <c r="M632" s="360"/>
      <c r="N632" s="360"/>
      <c r="O632" s="360"/>
      <c r="P632" s="360"/>
      <c r="Q632" s="360"/>
      <c r="R632" s="360"/>
    </row>
    <row r="633" customFormat="false" ht="39.75" hidden="false" customHeight="true" outlineLevel="0" collapsed="false">
      <c r="A633" s="562"/>
      <c r="B633" s="574"/>
      <c r="C633" s="562"/>
      <c r="D633" s="562"/>
      <c r="E633" s="562"/>
      <c r="F633" s="563"/>
      <c r="G633" s="563"/>
      <c r="H633" s="564"/>
      <c r="I633" s="565"/>
      <c r="J633" s="580"/>
      <c r="K633" s="360"/>
      <c r="L633" s="360"/>
      <c r="M633" s="360"/>
      <c r="N633" s="360"/>
      <c r="O633" s="360"/>
      <c r="P633" s="360"/>
      <c r="Q633" s="360"/>
      <c r="R633" s="360"/>
    </row>
    <row r="634" customFormat="false" ht="39.75" hidden="false" customHeight="true" outlineLevel="0" collapsed="false">
      <c r="A634" s="562"/>
      <c r="B634" s="574"/>
      <c r="C634" s="562"/>
      <c r="D634" s="562"/>
      <c r="E634" s="562"/>
      <c r="F634" s="563"/>
      <c r="G634" s="563"/>
      <c r="H634" s="564"/>
      <c r="I634" s="565"/>
      <c r="J634" s="580"/>
      <c r="K634" s="360"/>
      <c r="L634" s="360"/>
      <c r="M634" s="360"/>
      <c r="N634" s="360"/>
      <c r="O634" s="360"/>
      <c r="P634" s="360"/>
      <c r="Q634" s="360"/>
      <c r="R634" s="360"/>
    </row>
    <row r="635" customFormat="false" ht="39.75" hidden="false" customHeight="true" outlineLevel="0" collapsed="false">
      <c r="A635" s="562"/>
      <c r="B635" s="574"/>
      <c r="C635" s="562"/>
      <c r="D635" s="562"/>
      <c r="E635" s="562"/>
      <c r="F635" s="563"/>
      <c r="G635" s="563"/>
      <c r="H635" s="564"/>
      <c r="I635" s="565"/>
      <c r="J635" s="580"/>
      <c r="K635" s="360"/>
      <c r="L635" s="360"/>
      <c r="M635" s="360"/>
      <c r="N635" s="360"/>
      <c r="O635" s="360"/>
      <c r="P635" s="360"/>
      <c r="Q635" s="360"/>
      <c r="R635" s="360"/>
    </row>
    <row r="636" customFormat="false" ht="39.75" hidden="false" customHeight="true" outlineLevel="0" collapsed="false">
      <c r="A636" s="562"/>
      <c r="B636" s="574"/>
      <c r="C636" s="562"/>
      <c r="D636" s="562"/>
      <c r="E636" s="562"/>
      <c r="F636" s="563"/>
      <c r="G636" s="563"/>
      <c r="H636" s="564"/>
      <c r="I636" s="565"/>
      <c r="J636" s="580"/>
      <c r="K636" s="360"/>
      <c r="L636" s="360"/>
      <c r="M636" s="360"/>
      <c r="N636" s="360"/>
      <c r="O636" s="360"/>
      <c r="P636" s="360"/>
      <c r="Q636" s="360"/>
      <c r="R636" s="360"/>
    </row>
    <row r="637" customFormat="false" ht="39.75" hidden="false" customHeight="true" outlineLevel="0" collapsed="false">
      <c r="A637" s="562"/>
      <c r="B637" s="574"/>
      <c r="C637" s="562"/>
      <c r="D637" s="562"/>
      <c r="E637" s="562"/>
      <c r="F637" s="563"/>
      <c r="G637" s="563"/>
      <c r="H637" s="564"/>
      <c r="I637" s="565"/>
      <c r="J637" s="580"/>
      <c r="K637" s="360"/>
      <c r="L637" s="360"/>
      <c r="M637" s="360"/>
      <c r="N637" s="360"/>
      <c r="O637" s="360"/>
      <c r="P637" s="360"/>
      <c r="Q637" s="360"/>
      <c r="R637" s="360"/>
    </row>
    <row r="638" customFormat="false" ht="39.75" hidden="false" customHeight="true" outlineLevel="0" collapsed="false">
      <c r="A638" s="562"/>
      <c r="B638" s="574"/>
      <c r="C638" s="562"/>
      <c r="D638" s="562"/>
      <c r="E638" s="562"/>
      <c r="F638" s="563"/>
      <c r="G638" s="563"/>
      <c r="H638" s="564"/>
      <c r="I638" s="565"/>
      <c r="J638" s="580"/>
      <c r="K638" s="360"/>
      <c r="L638" s="360"/>
      <c r="M638" s="360"/>
      <c r="N638" s="360"/>
      <c r="O638" s="360"/>
      <c r="P638" s="360"/>
      <c r="Q638" s="360"/>
      <c r="R638" s="360"/>
    </row>
    <row r="639" customFormat="false" ht="39.75" hidden="false" customHeight="true" outlineLevel="0" collapsed="false">
      <c r="A639" s="562"/>
      <c r="B639" s="574"/>
      <c r="C639" s="562"/>
      <c r="D639" s="562"/>
      <c r="E639" s="562"/>
      <c r="F639" s="563"/>
      <c r="G639" s="563"/>
      <c r="H639" s="564"/>
      <c r="I639" s="565"/>
      <c r="J639" s="580"/>
      <c r="K639" s="360"/>
      <c r="L639" s="360"/>
      <c r="M639" s="360"/>
      <c r="N639" s="360"/>
      <c r="O639" s="360"/>
      <c r="P639" s="360"/>
      <c r="Q639" s="360"/>
      <c r="R639" s="360"/>
    </row>
    <row r="640" customFormat="false" ht="39.75" hidden="false" customHeight="true" outlineLevel="0" collapsed="false">
      <c r="A640" s="562"/>
      <c r="B640" s="574"/>
      <c r="C640" s="562"/>
      <c r="D640" s="562"/>
      <c r="E640" s="562"/>
      <c r="F640" s="563"/>
      <c r="G640" s="563"/>
      <c r="H640" s="564"/>
      <c r="I640" s="565"/>
      <c r="J640" s="580"/>
      <c r="K640" s="360"/>
      <c r="L640" s="360"/>
      <c r="M640" s="360"/>
      <c r="N640" s="360"/>
      <c r="O640" s="360"/>
      <c r="P640" s="360"/>
      <c r="Q640" s="360"/>
      <c r="R640" s="360"/>
    </row>
    <row r="641" customFormat="false" ht="39.75" hidden="false" customHeight="true" outlineLevel="0" collapsed="false">
      <c r="A641" s="562"/>
      <c r="B641" s="574"/>
      <c r="C641" s="562"/>
      <c r="D641" s="562"/>
      <c r="E641" s="562"/>
      <c r="F641" s="563"/>
      <c r="G641" s="563"/>
      <c r="H641" s="564"/>
      <c r="I641" s="565"/>
      <c r="J641" s="580"/>
      <c r="K641" s="360"/>
      <c r="L641" s="360"/>
      <c r="M641" s="360"/>
      <c r="N641" s="360"/>
      <c r="O641" s="360"/>
      <c r="P641" s="360"/>
      <c r="Q641" s="360"/>
      <c r="R641" s="360"/>
    </row>
    <row r="642" customFormat="false" ht="39.75" hidden="false" customHeight="true" outlineLevel="0" collapsed="false">
      <c r="A642" s="562"/>
      <c r="B642" s="574"/>
      <c r="C642" s="562"/>
      <c r="D642" s="562"/>
      <c r="E642" s="562"/>
      <c r="F642" s="563"/>
      <c r="G642" s="563"/>
      <c r="H642" s="564"/>
      <c r="I642" s="565"/>
      <c r="J642" s="580"/>
      <c r="K642" s="360"/>
      <c r="L642" s="360"/>
      <c r="M642" s="360"/>
      <c r="N642" s="360"/>
      <c r="O642" s="360"/>
      <c r="P642" s="360"/>
      <c r="Q642" s="360"/>
      <c r="R642" s="360"/>
    </row>
    <row r="643" customFormat="false" ht="39.75" hidden="false" customHeight="true" outlineLevel="0" collapsed="false">
      <c r="A643" s="562"/>
      <c r="B643" s="574"/>
      <c r="C643" s="562"/>
      <c r="D643" s="562"/>
      <c r="E643" s="562"/>
      <c r="F643" s="563"/>
      <c r="G643" s="563"/>
      <c r="H643" s="564"/>
      <c r="I643" s="565"/>
      <c r="J643" s="580"/>
      <c r="K643" s="360"/>
      <c r="L643" s="360"/>
      <c r="M643" s="360"/>
      <c r="N643" s="360"/>
      <c r="O643" s="360"/>
      <c r="P643" s="360"/>
      <c r="Q643" s="360"/>
      <c r="R643" s="360"/>
    </row>
    <row r="644" customFormat="false" ht="39.75" hidden="false" customHeight="true" outlineLevel="0" collapsed="false">
      <c r="A644" s="562"/>
      <c r="B644" s="574"/>
      <c r="C644" s="562"/>
      <c r="D644" s="562"/>
      <c r="E644" s="562"/>
      <c r="F644" s="563"/>
      <c r="G644" s="563"/>
      <c r="H644" s="564"/>
      <c r="I644" s="565"/>
      <c r="J644" s="580"/>
      <c r="K644" s="360"/>
      <c r="L644" s="360"/>
      <c r="M644" s="360"/>
      <c r="N644" s="360"/>
      <c r="O644" s="360"/>
      <c r="P644" s="360"/>
      <c r="Q644" s="360"/>
      <c r="R644" s="360"/>
    </row>
    <row r="645" customFormat="false" ht="39.75" hidden="false" customHeight="true" outlineLevel="0" collapsed="false">
      <c r="A645" s="562"/>
      <c r="B645" s="574"/>
      <c r="C645" s="562"/>
      <c r="D645" s="562"/>
      <c r="E645" s="562"/>
      <c r="F645" s="563"/>
      <c r="G645" s="563"/>
      <c r="H645" s="564"/>
      <c r="I645" s="565"/>
      <c r="J645" s="580"/>
      <c r="K645" s="360"/>
      <c r="L645" s="360"/>
      <c r="M645" s="360"/>
      <c r="N645" s="360"/>
      <c r="O645" s="360"/>
      <c r="P645" s="360"/>
      <c r="Q645" s="360"/>
      <c r="R645" s="360"/>
    </row>
    <row r="646" customFormat="false" ht="39.75" hidden="false" customHeight="true" outlineLevel="0" collapsed="false">
      <c r="A646" s="562"/>
      <c r="B646" s="574"/>
      <c r="C646" s="562"/>
      <c r="D646" s="562"/>
      <c r="E646" s="562"/>
      <c r="F646" s="563"/>
      <c r="G646" s="563"/>
      <c r="H646" s="564"/>
      <c r="I646" s="565"/>
      <c r="J646" s="580"/>
      <c r="K646" s="360"/>
      <c r="L646" s="360"/>
      <c r="M646" s="360"/>
      <c r="N646" s="360"/>
      <c r="O646" s="360"/>
      <c r="P646" s="360"/>
      <c r="Q646" s="360"/>
      <c r="R646" s="360"/>
    </row>
    <row r="647" customFormat="false" ht="39.75" hidden="false" customHeight="true" outlineLevel="0" collapsed="false">
      <c r="A647" s="562"/>
      <c r="B647" s="574"/>
      <c r="C647" s="562"/>
      <c r="D647" s="562"/>
      <c r="E647" s="562"/>
      <c r="F647" s="563"/>
      <c r="G647" s="563"/>
      <c r="H647" s="564"/>
      <c r="I647" s="565"/>
      <c r="J647" s="580"/>
      <c r="K647" s="360"/>
      <c r="L647" s="360"/>
      <c r="M647" s="360"/>
      <c r="N647" s="360"/>
      <c r="O647" s="360"/>
      <c r="P647" s="360"/>
      <c r="Q647" s="360"/>
      <c r="R647" s="360"/>
    </row>
    <row r="648" customFormat="false" ht="39.75" hidden="false" customHeight="true" outlineLevel="0" collapsed="false">
      <c r="A648" s="562"/>
      <c r="B648" s="574"/>
      <c r="C648" s="562"/>
      <c r="D648" s="562"/>
      <c r="E648" s="562"/>
      <c r="F648" s="563"/>
      <c r="G648" s="563"/>
      <c r="H648" s="564"/>
      <c r="I648" s="565"/>
      <c r="J648" s="580"/>
      <c r="K648" s="360"/>
      <c r="L648" s="360"/>
      <c r="M648" s="360"/>
      <c r="N648" s="360"/>
      <c r="O648" s="360"/>
      <c r="P648" s="360"/>
      <c r="Q648" s="360"/>
      <c r="R648" s="360"/>
    </row>
    <row r="649" customFormat="false" ht="39.75" hidden="false" customHeight="true" outlineLevel="0" collapsed="false">
      <c r="A649" s="562"/>
      <c r="B649" s="574"/>
      <c r="C649" s="562"/>
      <c r="D649" s="562"/>
      <c r="E649" s="562"/>
      <c r="F649" s="563"/>
      <c r="G649" s="563"/>
      <c r="H649" s="564"/>
      <c r="I649" s="565"/>
      <c r="J649" s="580"/>
      <c r="K649" s="360"/>
      <c r="L649" s="360"/>
      <c r="M649" s="360"/>
      <c r="N649" s="360"/>
      <c r="O649" s="360"/>
      <c r="P649" s="360"/>
      <c r="Q649" s="360"/>
      <c r="R649" s="360"/>
    </row>
    <row r="650" customFormat="false" ht="39.75" hidden="false" customHeight="true" outlineLevel="0" collapsed="false">
      <c r="A650" s="562"/>
      <c r="B650" s="574"/>
      <c r="C650" s="562"/>
      <c r="D650" s="562"/>
      <c r="E650" s="562"/>
      <c r="F650" s="563"/>
      <c r="G650" s="563"/>
      <c r="H650" s="564"/>
      <c r="I650" s="565"/>
      <c r="J650" s="580"/>
      <c r="K650" s="360"/>
      <c r="L650" s="360"/>
      <c r="M650" s="360"/>
      <c r="N650" s="360"/>
      <c r="O650" s="360"/>
      <c r="P650" s="360"/>
      <c r="Q650" s="360"/>
      <c r="R650" s="360"/>
    </row>
    <row r="651" customFormat="false" ht="39.75" hidden="false" customHeight="true" outlineLevel="0" collapsed="false">
      <c r="A651" s="562"/>
      <c r="B651" s="574"/>
      <c r="C651" s="562"/>
      <c r="D651" s="562"/>
      <c r="E651" s="562"/>
      <c r="F651" s="563"/>
      <c r="G651" s="563"/>
      <c r="H651" s="564"/>
      <c r="I651" s="565"/>
      <c r="J651" s="580"/>
      <c r="K651" s="360"/>
      <c r="L651" s="360"/>
      <c r="M651" s="360"/>
      <c r="N651" s="360"/>
      <c r="O651" s="360"/>
      <c r="P651" s="360"/>
      <c r="Q651" s="360"/>
      <c r="R651" s="360"/>
    </row>
    <row r="652" customFormat="false" ht="39.75" hidden="false" customHeight="true" outlineLevel="0" collapsed="false">
      <c r="A652" s="562"/>
      <c r="B652" s="574"/>
      <c r="C652" s="562"/>
      <c r="D652" s="562"/>
      <c r="E652" s="562"/>
      <c r="F652" s="563"/>
      <c r="G652" s="563"/>
      <c r="H652" s="564"/>
      <c r="I652" s="565"/>
      <c r="J652" s="580"/>
      <c r="K652" s="360"/>
      <c r="L652" s="360"/>
      <c r="M652" s="360"/>
      <c r="N652" s="360"/>
      <c r="O652" s="360"/>
      <c r="P652" s="360"/>
      <c r="Q652" s="360"/>
      <c r="R652" s="360"/>
    </row>
    <row r="653" customFormat="false" ht="39.75" hidden="false" customHeight="true" outlineLevel="0" collapsed="false">
      <c r="A653" s="562"/>
      <c r="B653" s="574"/>
      <c r="C653" s="562"/>
      <c r="D653" s="562"/>
      <c r="E653" s="562"/>
      <c r="F653" s="563"/>
      <c r="G653" s="563"/>
      <c r="H653" s="564"/>
      <c r="I653" s="565"/>
      <c r="J653" s="580"/>
      <c r="K653" s="360"/>
      <c r="L653" s="360"/>
      <c r="M653" s="360"/>
      <c r="N653" s="360"/>
      <c r="O653" s="360"/>
      <c r="P653" s="360"/>
      <c r="Q653" s="360"/>
      <c r="R653" s="360"/>
    </row>
    <row r="654" customFormat="false" ht="39.75" hidden="false" customHeight="true" outlineLevel="0" collapsed="false">
      <c r="A654" s="562"/>
      <c r="B654" s="574"/>
      <c r="C654" s="562"/>
      <c r="D654" s="562"/>
      <c r="E654" s="562"/>
      <c r="F654" s="563"/>
      <c r="G654" s="563"/>
      <c r="H654" s="564"/>
      <c r="I654" s="565"/>
      <c r="J654" s="580"/>
      <c r="K654" s="360"/>
      <c r="L654" s="360"/>
      <c r="M654" s="360"/>
      <c r="N654" s="360"/>
      <c r="O654" s="360"/>
      <c r="P654" s="360"/>
      <c r="Q654" s="360"/>
      <c r="R654" s="360"/>
    </row>
    <row r="655" customFormat="false" ht="39.75" hidden="false" customHeight="true" outlineLevel="0" collapsed="false">
      <c r="A655" s="562"/>
      <c r="B655" s="574"/>
      <c r="C655" s="562"/>
      <c r="D655" s="562"/>
      <c r="E655" s="562"/>
      <c r="F655" s="563"/>
      <c r="G655" s="563"/>
      <c r="H655" s="564"/>
      <c r="I655" s="565"/>
      <c r="J655" s="580"/>
      <c r="K655" s="360"/>
      <c r="L655" s="360"/>
      <c r="M655" s="360"/>
      <c r="N655" s="360"/>
      <c r="O655" s="360"/>
      <c r="P655" s="360"/>
      <c r="Q655" s="360"/>
      <c r="R655" s="360"/>
    </row>
    <row r="656" customFormat="false" ht="39.75" hidden="false" customHeight="true" outlineLevel="0" collapsed="false">
      <c r="A656" s="562"/>
      <c r="B656" s="574"/>
      <c r="C656" s="562"/>
      <c r="D656" s="562"/>
      <c r="E656" s="562"/>
      <c r="F656" s="563"/>
      <c r="G656" s="563"/>
      <c r="H656" s="564"/>
      <c r="I656" s="565"/>
      <c r="J656" s="580"/>
      <c r="K656" s="360"/>
      <c r="L656" s="360"/>
      <c r="M656" s="360"/>
      <c r="N656" s="360"/>
      <c r="O656" s="360"/>
      <c r="P656" s="360"/>
      <c r="Q656" s="360"/>
      <c r="R656" s="360"/>
    </row>
    <row r="657" customFormat="false" ht="39.75" hidden="false" customHeight="true" outlineLevel="0" collapsed="false">
      <c r="A657" s="562"/>
      <c r="B657" s="574"/>
      <c r="C657" s="562"/>
      <c r="D657" s="562"/>
      <c r="E657" s="562"/>
      <c r="F657" s="563"/>
      <c r="G657" s="563"/>
      <c r="H657" s="564"/>
      <c r="I657" s="565"/>
      <c r="J657" s="580"/>
      <c r="K657" s="360"/>
      <c r="L657" s="360"/>
      <c r="M657" s="360"/>
      <c r="N657" s="360"/>
      <c r="O657" s="360"/>
      <c r="P657" s="360"/>
      <c r="Q657" s="360"/>
      <c r="R657" s="360"/>
    </row>
    <row r="658" customFormat="false" ht="39.75" hidden="false" customHeight="true" outlineLevel="0" collapsed="false">
      <c r="A658" s="562"/>
      <c r="B658" s="574"/>
      <c r="C658" s="562"/>
      <c r="D658" s="562"/>
      <c r="E658" s="562"/>
      <c r="F658" s="563"/>
      <c r="G658" s="563"/>
      <c r="H658" s="564"/>
      <c r="I658" s="565"/>
      <c r="J658" s="580"/>
      <c r="K658" s="360"/>
      <c r="L658" s="360"/>
      <c r="M658" s="360"/>
      <c r="N658" s="360"/>
      <c r="O658" s="360"/>
      <c r="P658" s="360"/>
      <c r="Q658" s="360"/>
      <c r="R658" s="360"/>
    </row>
    <row r="659" customFormat="false" ht="39.75" hidden="false" customHeight="true" outlineLevel="0" collapsed="false">
      <c r="A659" s="562"/>
      <c r="B659" s="574"/>
      <c r="C659" s="562"/>
      <c r="D659" s="562"/>
      <c r="E659" s="562"/>
      <c r="F659" s="563"/>
      <c r="G659" s="563"/>
      <c r="H659" s="564"/>
      <c r="I659" s="565"/>
      <c r="J659" s="580"/>
      <c r="K659" s="360"/>
      <c r="L659" s="360"/>
      <c r="M659" s="360"/>
      <c r="N659" s="360"/>
      <c r="O659" s="360"/>
      <c r="P659" s="360"/>
      <c r="Q659" s="360"/>
      <c r="R659" s="360"/>
    </row>
    <row r="660" customFormat="false" ht="39.75" hidden="false" customHeight="true" outlineLevel="0" collapsed="false">
      <c r="A660" s="562"/>
      <c r="B660" s="574"/>
      <c r="C660" s="562"/>
      <c r="D660" s="562"/>
      <c r="E660" s="562"/>
      <c r="F660" s="563"/>
      <c r="G660" s="563"/>
      <c r="H660" s="564"/>
      <c r="I660" s="565"/>
      <c r="J660" s="580"/>
      <c r="K660" s="360"/>
      <c r="L660" s="360"/>
      <c r="M660" s="360"/>
      <c r="N660" s="360"/>
      <c r="O660" s="360"/>
      <c r="P660" s="360"/>
      <c r="Q660" s="360"/>
      <c r="R660" s="360"/>
    </row>
    <row r="661" customFormat="false" ht="39.75" hidden="false" customHeight="true" outlineLevel="0" collapsed="false">
      <c r="A661" s="562"/>
      <c r="B661" s="574"/>
      <c r="C661" s="562"/>
      <c r="D661" s="562"/>
      <c r="E661" s="562"/>
      <c r="F661" s="563"/>
      <c r="G661" s="563"/>
      <c r="H661" s="564"/>
      <c r="I661" s="565"/>
      <c r="J661" s="580"/>
      <c r="K661" s="360"/>
      <c r="L661" s="360"/>
      <c r="M661" s="360"/>
      <c r="N661" s="360"/>
      <c r="O661" s="360"/>
      <c r="P661" s="360"/>
      <c r="Q661" s="360"/>
      <c r="R661" s="360"/>
    </row>
    <row r="662" customFormat="false" ht="39.75" hidden="false" customHeight="true" outlineLevel="0" collapsed="false">
      <c r="A662" s="562"/>
      <c r="B662" s="574"/>
      <c r="C662" s="562"/>
      <c r="D662" s="562"/>
      <c r="E662" s="562"/>
      <c r="F662" s="563"/>
      <c r="G662" s="563"/>
      <c r="H662" s="564"/>
      <c r="I662" s="565"/>
      <c r="J662" s="580"/>
      <c r="K662" s="360"/>
      <c r="L662" s="360"/>
      <c r="M662" s="360"/>
      <c r="N662" s="360"/>
      <c r="O662" s="360"/>
      <c r="P662" s="360"/>
      <c r="Q662" s="360"/>
      <c r="R662" s="360"/>
    </row>
    <row r="663" customFormat="false" ht="39.75" hidden="false" customHeight="true" outlineLevel="0" collapsed="false">
      <c r="A663" s="562"/>
      <c r="B663" s="574"/>
      <c r="C663" s="562"/>
      <c r="D663" s="562"/>
      <c r="E663" s="562"/>
      <c r="F663" s="563"/>
      <c r="G663" s="563"/>
      <c r="H663" s="564"/>
      <c r="I663" s="565"/>
      <c r="J663" s="580"/>
      <c r="K663" s="360"/>
      <c r="L663" s="360"/>
      <c r="M663" s="360"/>
      <c r="N663" s="360"/>
      <c r="O663" s="360"/>
      <c r="P663" s="360"/>
      <c r="Q663" s="360"/>
      <c r="R663" s="360"/>
    </row>
    <row r="664" customFormat="false" ht="39.75" hidden="false" customHeight="true" outlineLevel="0" collapsed="false">
      <c r="A664" s="562"/>
      <c r="B664" s="574"/>
      <c r="C664" s="562"/>
      <c r="D664" s="562"/>
      <c r="E664" s="562"/>
      <c r="F664" s="563"/>
      <c r="G664" s="563"/>
      <c r="H664" s="564"/>
      <c r="I664" s="565"/>
      <c r="J664" s="580"/>
      <c r="K664" s="360"/>
      <c r="L664" s="360"/>
      <c r="M664" s="360"/>
      <c r="N664" s="360"/>
      <c r="O664" s="360"/>
      <c r="P664" s="360"/>
      <c r="Q664" s="360"/>
      <c r="R664" s="360"/>
    </row>
    <row r="665" customFormat="false" ht="39.75" hidden="false" customHeight="true" outlineLevel="0" collapsed="false">
      <c r="A665" s="562"/>
      <c r="B665" s="574"/>
      <c r="C665" s="562"/>
      <c r="D665" s="562"/>
      <c r="E665" s="562"/>
      <c r="F665" s="563"/>
      <c r="G665" s="563"/>
      <c r="H665" s="564"/>
      <c r="I665" s="565"/>
      <c r="J665" s="580"/>
      <c r="K665" s="360"/>
      <c r="L665" s="360"/>
      <c r="M665" s="360"/>
      <c r="N665" s="360"/>
      <c r="O665" s="360"/>
      <c r="P665" s="360"/>
      <c r="Q665" s="360"/>
      <c r="R665" s="360"/>
    </row>
    <row r="666" customFormat="false" ht="39.75" hidden="false" customHeight="true" outlineLevel="0" collapsed="false">
      <c r="A666" s="562"/>
      <c r="B666" s="574"/>
      <c r="C666" s="562"/>
      <c r="D666" s="562"/>
      <c r="E666" s="562"/>
      <c r="F666" s="563"/>
      <c r="G666" s="563"/>
      <c r="H666" s="564"/>
      <c r="I666" s="565"/>
      <c r="J666" s="580"/>
      <c r="K666" s="360"/>
      <c r="L666" s="360"/>
      <c r="M666" s="360"/>
      <c r="N666" s="360"/>
      <c r="O666" s="360"/>
      <c r="P666" s="360"/>
      <c r="Q666" s="360"/>
      <c r="R666" s="360"/>
    </row>
    <row r="667" customFormat="false" ht="39.75" hidden="false" customHeight="true" outlineLevel="0" collapsed="false">
      <c r="A667" s="562"/>
      <c r="B667" s="574"/>
      <c r="C667" s="562"/>
      <c r="D667" s="562"/>
      <c r="E667" s="562"/>
      <c r="F667" s="563"/>
      <c r="G667" s="563"/>
      <c r="H667" s="564"/>
      <c r="I667" s="565"/>
      <c r="J667" s="580"/>
      <c r="K667" s="360"/>
      <c r="L667" s="360"/>
      <c r="M667" s="360"/>
      <c r="N667" s="360"/>
      <c r="O667" s="360"/>
      <c r="P667" s="360"/>
      <c r="Q667" s="360"/>
      <c r="R667" s="360"/>
    </row>
    <row r="668" customFormat="false" ht="39.75" hidden="false" customHeight="true" outlineLevel="0" collapsed="false">
      <c r="A668" s="562"/>
      <c r="B668" s="574"/>
      <c r="C668" s="562"/>
      <c r="D668" s="562"/>
      <c r="E668" s="562"/>
      <c r="F668" s="563"/>
      <c r="G668" s="563"/>
      <c r="H668" s="564"/>
      <c r="I668" s="565"/>
      <c r="J668" s="580"/>
      <c r="K668" s="360"/>
      <c r="L668" s="360"/>
      <c r="M668" s="360"/>
      <c r="N668" s="360"/>
      <c r="O668" s="360"/>
      <c r="P668" s="360"/>
      <c r="Q668" s="360"/>
      <c r="R668" s="360"/>
    </row>
    <row r="669" customFormat="false" ht="39.75" hidden="false" customHeight="true" outlineLevel="0" collapsed="false">
      <c r="A669" s="562"/>
      <c r="B669" s="574"/>
      <c r="C669" s="562"/>
      <c r="D669" s="562"/>
      <c r="E669" s="562"/>
      <c r="F669" s="563"/>
      <c r="G669" s="563"/>
      <c r="H669" s="564"/>
      <c r="I669" s="565"/>
      <c r="J669" s="580"/>
      <c r="K669" s="360"/>
      <c r="L669" s="360"/>
      <c r="M669" s="360"/>
      <c r="N669" s="360"/>
      <c r="O669" s="360"/>
      <c r="P669" s="360"/>
      <c r="Q669" s="360"/>
      <c r="R669" s="360"/>
    </row>
    <row r="670" customFormat="false" ht="39.75" hidden="false" customHeight="true" outlineLevel="0" collapsed="false">
      <c r="A670" s="562"/>
      <c r="B670" s="574"/>
      <c r="C670" s="562"/>
      <c r="D670" s="562"/>
      <c r="E670" s="562"/>
      <c r="F670" s="563"/>
      <c r="G670" s="563"/>
      <c r="H670" s="564"/>
      <c r="I670" s="565"/>
      <c r="J670" s="580"/>
      <c r="K670" s="360"/>
      <c r="L670" s="360"/>
      <c r="M670" s="360"/>
      <c r="N670" s="360"/>
      <c r="O670" s="360"/>
      <c r="P670" s="360"/>
      <c r="Q670" s="360"/>
      <c r="R670" s="360"/>
    </row>
    <row r="671" customFormat="false" ht="39.75" hidden="false" customHeight="true" outlineLevel="0" collapsed="false">
      <c r="A671" s="562"/>
      <c r="B671" s="574"/>
      <c r="C671" s="562"/>
      <c r="D671" s="562"/>
      <c r="E671" s="562"/>
      <c r="F671" s="563"/>
      <c r="G671" s="563"/>
      <c r="H671" s="564"/>
      <c r="I671" s="565"/>
      <c r="J671" s="580"/>
      <c r="K671" s="360"/>
      <c r="L671" s="360"/>
      <c r="M671" s="360"/>
      <c r="N671" s="360"/>
      <c r="O671" s="360"/>
      <c r="P671" s="360"/>
      <c r="Q671" s="360"/>
      <c r="R671" s="360"/>
    </row>
    <row r="672" customFormat="false" ht="39.75" hidden="false" customHeight="true" outlineLevel="0" collapsed="false">
      <c r="A672" s="562"/>
      <c r="B672" s="574"/>
      <c r="C672" s="562"/>
      <c r="D672" s="562"/>
      <c r="E672" s="562"/>
      <c r="F672" s="563"/>
      <c r="G672" s="563"/>
      <c r="H672" s="564"/>
      <c r="I672" s="565"/>
      <c r="J672" s="580"/>
      <c r="K672" s="360"/>
      <c r="L672" s="360"/>
      <c r="M672" s="360"/>
      <c r="N672" s="360"/>
      <c r="O672" s="360"/>
      <c r="P672" s="360"/>
      <c r="Q672" s="360"/>
      <c r="R672" s="360"/>
    </row>
    <row r="673" customFormat="false" ht="39.75" hidden="false" customHeight="true" outlineLevel="0" collapsed="false">
      <c r="A673" s="562"/>
      <c r="B673" s="574"/>
      <c r="C673" s="562"/>
      <c r="D673" s="562"/>
      <c r="E673" s="562"/>
      <c r="F673" s="563"/>
      <c r="G673" s="563"/>
      <c r="H673" s="564"/>
      <c r="I673" s="565"/>
      <c r="J673" s="580"/>
      <c r="K673" s="360"/>
      <c r="L673" s="360"/>
      <c r="M673" s="360"/>
      <c r="N673" s="360"/>
      <c r="O673" s="360"/>
      <c r="P673" s="360"/>
      <c r="Q673" s="360"/>
      <c r="R673" s="360"/>
    </row>
    <row r="674" customFormat="false" ht="39.75" hidden="false" customHeight="true" outlineLevel="0" collapsed="false">
      <c r="A674" s="562"/>
      <c r="B674" s="574"/>
      <c r="C674" s="562"/>
      <c r="D674" s="562"/>
      <c r="E674" s="562"/>
      <c r="F674" s="563"/>
      <c r="G674" s="563"/>
      <c r="H674" s="564"/>
      <c r="I674" s="565"/>
      <c r="J674" s="580"/>
      <c r="K674" s="360"/>
      <c r="L674" s="360"/>
      <c r="M674" s="360"/>
      <c r="N674" s="360"/>
      <c r="O674" s="360"/>
      <c r="P674" s="360"/>
      <c r="Q674" s="360"/>
      <c r="R674" s="360"/>
    </row>
    <row r="675" customFormat="false" ht="39.75" hidden="false" customHeight="true" outlineLevel="0" collapsed="false">
      <c r="A675" s="562"/>
      <c r="B675" s="574"/>
      <c r="C675" s="562"/>
      <c r="D675" s="562"/>
      <c r="E675" s="562"/>
      <c r="F675" s="563"/>
      <c r="G675" s="563"/>
      <c r="H675" s="564"/>
      <c r="I675" s="565"/>
      <c r="J675" s="580"/>
      <c r="K675" s="360"/>
      <c r="L675" s="360"/>
      <c r="M675" s="360"/>
      <c r="N675" s="360"/>
      <c r="O675" s="360"/>
      <c r="P675" s="360"/>
      <c r="Q675" s="360"/>
      <c r="R675" s="360"/>
    </row>
    <row r="676" customFormat="false" ht="39.75" hidden="false" customHeight="true" outlineLevel="0" collapsed="false">
      <c r="A676" s="562"/>
      <c r="B676" s="574"/>
      <c r="C676" s="562"/>
      <c r="D676" s="562"/>
      <c r="E676" s="562"/>
      <c r="F676" s="563"/>
      <c r="G676" s="563"/>
      <c r="H676" s="564"/>
      <c r="I676" s="565"/>
      <c r="J676" s="580"/>
      <c r="K676" s="360"/>
      <c r="L676" s="360"/>
      <c r="M676" s="360"/>
      <c r="N676" s="360"/>
      <c r="O676" s="360"/>
      <c r="P676" s="360"/>
      <c r="Q676" s="360"/>
      <c r="R676" s="360"/>
    </row>
    <row r="677" customFormat="false" ht="39.75" hidden="false" customHeight="true" outlineLevel="0" collapsed="false">
      <c r="A677" s="562"/>
      <c r="B677" s="574"/>
      <c r="C677" s="562"/>
      <c r="D677" s="562"/>
      <c r="E677" s="562"/>
      <c r="F677" s="563"/>
      <c r="G677" s="563"/>
      <c r="H677" s="564"/>
      <c r="I677" s="565"/>
      <c r="J677" s="580"/>
      <c r="K677" s="360"/>
      <c r="L677" s="360"/>
      <c r="M677" s="360"/>
      <c r="N677" s="360"/>
      <c r="O677" s="360"/>
      <c r="P677" s="360"/>
      <c r="Q677" s="360"/>
      <c r="R677" s="360"/>
    </row>
    <row r="678" customFormat="false" ht="39.75" hidden="false" customHeight="true" outlineLevel="0" collapsed="false">
      <c r="A678" s="562"/>
      <c r="B678" s="574"/>
      <c r="C678" s="562"/>
      <c r="D678" s="562"/>
      <c r="E678" s="562"/>
      <c r="F678" s="563"/>
      <c r="G678" s="563"/>
      <c r="H678" s="564"/>
      <c r="I678" s="565"/>
      <c r="J678" s="580"/>
      <c r="K678" s="360"/>
      <c r="L678" s="360"/>
      <c r="M678" s="360"/>
      <c r="N678" s="360"/>
      <c r="O678" s="360"/>
      <c r="P678" s="360"/>
      <c r="Q678" s="360"/>
      <c r="R678" s="360"/>
    </row>
    <row r="679" customFormat="false" ht="39.75" hidden="false" customHeight="true" outlineLevel="0" collapsed="false">
      <c r="A679" s="562"/>
      <c r="B679" s="574"/>
      <c r="C679" s="562"/>
      <c r="D679" s="562"/>
      <c r="E679" s="562"/>
      <c r="F679" s="563"/>
      <c r="G679" s="563"/>
      <c r="H679" s="564"/>
      <c r="I679" s="565"/>
      <c r="J679" s="580"/>
      <c r="K679" s="360"/>
      <c r="L679" s="360"/>
      <c r="M679" s="360"/>
      <c r="N679" s="360"/>
      <c r="O679" s="360"/>
      <c r="P679" s="360"/>
      <c r="Q679" s="360"/>
      <c r="R679" s="360"/>
    </row>
    <row r="680" customFormat="false" ht="39.75" hidden="false" customHeight="true" outlineLevel="0" collapsed="false">
      <c r="A680" s="562"/>
      <c r="B680" s="574"/>
      <c r="C680" s="562"/>
      <c r="D680" s="562"/>
      <c r="E680" s="562"/>
      <c r="F680" s="563"/>
      <c r="G680" s="563"/>
      <c r="H680" s="564"/>
      <c r="I680" s="565"/>
      <c r="J680" s="580"/>
      <c r="K680" s="360"/>
      <c r="L680" s="360"/>
      <c r="M680" s="360"/>
      <c r="N680" s="360"/>
      <c r="O680" s="360"/>
      <c r="P680" s="360"/>
      <c r="Q680" s="360"/>
      <c r="R680" s="360"/>
    </row>
    <row r="681" customFormat="false" ht="39.75" hidden="false" customHeight="true" outlineLevel="0" collapsed="false">
      <c r="A681" s="562"/>
      <c r="B681" s="574"/>
      <c r="C681" s="562"/>
      <c r="D681" s="562"/>
      <c r="E681" s="562"/>
      <c r="F681" s="563"/>
      <c r="G681" s="563"/>
      <c r="H681" s="564"/>
      <c r="I681" s="565"/>
      <c r="J681" s="580"/>
      <c r="K681" s="360"/>
      <c r="L681" s="360"/>
      <c r="M681" s="360"/>
      <c r="N681" s="360"/>
      <c r="O681" s="360"/>
      <c r="P681" s="360"/>
      <c r="Q681" s="360"/>
      <c r="R681" s="360"/>
    </row>
    <row r="682" customFormat="false" ht="39.75" hidden="false" customHeight="true" outlineLevel="0" collapsed="false">
      <c r="A682" s="562"/>
      <c r="B682" s="574"/>
      <c r="C682" s="562"/>
      <c r="D682" s="562"/>
      <c r="E682" s="562"/>
      <c r="F682" s="563"/>
      <c r="G682" s="563"/>
      <c r="H682" s="564"/>
      <c r="I682" s="565"/>
      <c r="J682" s="580"/>
      <c r="K682" s="360"/>
      <c r="L682" s="360"/>
      <c r="M682" s="360"/>
      <c r="N682" s="360"/>
      <c r="O682" s="360"/>
      <c r="P682" s="360"/>
      <c r="Q682" s="360"/>
      <c r="R682" s="360"/>
    </row>
    <row r="683" customFormat="false" ht="39.75" hidden="false" customHeight="true" outlineLevel="0" collapsed="false">
      <c r="A683" s="562"/>
      <c r="B683" s="574"/>
      <c r="C683" s="562"/>
      <c r="D683" s="562"/>
      <c r="E683" s="562"/>
      <c r="F683" s="563"/>
      <c r="G683" s="563"/>
      <c r="H683" s="564"/>
      <c r="I683" s="565"/>
      <c r="J683" s="580"/>
      <c r="K683" s="360"/>
      <c r="L683" s="360"/>
      <c r="M683" s="360"/>
      <c r="N683" s="360"/>
      <c r="O683" s="360"/>
      <c r="P683" s="360"/>
      <c r="Q683" s="360"/>
      <c r="R683" s="360"/>
    </row>
    <row r="684" customFormat="false" ht="39.75" hidden="false" customHeight="true" outlineLevel="0" collapsed="false">
      <c r="A684" s="562"/>
      <c r="B684" s="574"/>
      <c r="C684" s="562"/>
      <c r="D684" s="562"/>
      <c r="E684" s="562"/>
      <c r="F684" s="563"/>
      <c r="G684" s="563"/>
      <c r="H684" s="564"/>
      <c r="I684" s="565"/>
      <c r="J684" s="580"/>
      <c r="K684" s="360"/>
      <c r="L684" s="360"/>
      <c r="M684" s="360"/>
      <c r="N684" s="360"/>
      <c r="O684" s="360"/>
      <c r="P684" s="360"/>
      <c r="Q684" s="360"/>
      <c r="R684" s="360"/>
    </row>
    <row r="685" customFormat="false" ht="39.75" hidden="false" customHeight="true" outlineLevel="0" collapsed="false">
      <c r="A685" s="562"/>
      <c r="B685" s="574"/>
      <c r="C685" s="562"/>
      <c r="D685" s="562"/>
      <c r="E685" s="562"/>
      <c r="F685" s="563"/>
      <c r="G685" s="563"/>
      <c r="H685" s="564"/>
      <c r="I685" s="565"/>
      <c r="J685" s="580"/>
      <c r="K685" s="360"/>
      <c r="L685" s="360"/>
      <c r="M685" s="360"/>
      <c r="N685" s="360"/>
      <c r="O685" s="360"/>
      <c r="P685" s="360"/>
      <c r="Q685" s="360"/>
      <c r="R685" s="360"/>
    </row>
    <row r="686" customFormat="false" ht="39.75" hidden="false" customHeight="true" outlineLevel="0" collapsed="false">
      <c r="A686" s="562"/>
      <c r="B686" s="574"/>
      <c r="C686" s="562"/>
      <c r="D686" s="562"/>
      <c r="E686" s="562"/>
      <c r="F686" s="563"/>
      <c r="G686" s="563"/>
      <c r="H686" s="564"/>
      <c r="I686" s="565"/>
      <c r="J686" s="580"/>
      <c r="K686" s="360"/>
      <c r="L686" s="360"/>
      <c r="M686" s="360"/>
      <c r="N686" s="360"/>
      <c r="O686" s="360"/>
      <c r="P686" s="360"/>
      <c r="Q686" s="360"/>
      <c r="R686" s="360"/>
    </row>
    <row r="687" customFormat="false" ht="39.75" hidden="false" customHeight="true" outlineLevel="0" collapsed="false">
      <c r="A687" s="562"/>
      <c r="B687" s="574"/>
      <c r="C687" s="562"/>
      <c r="D687" s="562"/>
      <c r="E687" s="562"/>
      <c r="F687" s="563"/>
      <c r="G687" s="563"/>
      <c r="H687" s="564"/>
      <c r="I687" s="565"/>
      <c r="J687" s="580"/>
      <c r="K687" s="360"/>
      <c r="L687" s="360"/>
      <c r="M687" s="360"/>
      <c r="N687" s="360"/>
      <c r="O687" s="360"/>
      <c r="P687" s="360"/>
      <c r="Q687" s="360"/>
      <c r="R687" s="360"/>
    </row>
    <row r="688" customFormat="false" ht="39.75" hidden="false" customHeight="true" outlineLevel="0" collapsed="false">
      <c r="A688" s="562"/>
      <c r="B688" s="574"/>
      <c r="C688" s="562"/>
      <c r="D688" s="562"/>
      <c r="E688" s="562"/>
      <c r="F688" s="563"/>
      <c r="G688" s="563"/>
      <c r="H688" s="564"/>
      <c r="I688" s="565"/>
      <c r="J688" s="580"/>
      <c r="K688" s="360"/>
      <c r="L688" s="360"/>
      <c r="M688" s="360"/>
      <c r="N688" s="360"/>
      <c r="O688" s="360"/>
      <c r="P688" s="360"/>
      <c r="Q688" s="360"/>
      <c r="R688" s="360"/>
    </row>
    <row r="689" customFormat="false" ht="39.75" hidden="false" customHeight="true" outlineLevel="0" collapsed="false">
      <c r="A689" s="562"/>
      <c r="B689" s="574"/>
      <c r="C689" s="562"/>
      <c r="D689" s="562"/>
      <c r="E689" s="562"/>
      <c r="F689" s="563"/>
      <c r="G689" s="563"/>
      <c r="H689" s="564"/>
      <c r="I689" s="565"/>
      <c r="J689" s="580"/>
      <c r="K689" s="360"/>
      <c r="L689" s="360"/>
      <c r="M689" s="360"/>
      <c r="N689" s="360"/>
      <c r="O689" s="360"/>
      <c r="P689" s="360"/>
      <c r="Q689" s="360"/>
      <c r="R689" s="360"/>
    </row>
    <row r="690" customFormat="false" ht="39.75" hidden="false" customHeight="true" outlineLevel="0" collapsed="false">
      <c r="A690" s="562"/>
      <c r="B690" s="574"/>
      <c r="C690" s="562"/>
      <c r="D690" s="562"/>
      <c r="E690" s="562"/>
      <c r="F690" s="563"/>
      <c r="G690" s="563"/>
      <c r="H690" s="564"/>
      <c r="I690" s="565"/>
      <c r="J690" s="580"/>
      <c r="K690" s="360"/>
      <c r="L690" s="360"/>
      <c r="M690" s="360"/>
      <c r="N690" s="360"/>
      <c r="O690" s="360"/>
      <c r="P690" s="360"/>
      <c r="Q690" s="360"/>
      <c r="R690" s="360"/>
    </row>
    <row r="691" customFormat="false" ht="39.75" hidden="false" customHeight="true" outlineLevel="0" collapsed="false">
      <c r="A691" s="562"/>
      <c r="B691" s="574"/>
      <c r="C691" s="562"/>
      <c r="D691" s="562"/>
      <c r="E691" s="562"/>
      <c r="F691" s="563"/>
      <c r="G691" s="563"/>
      <c r="H691" s="564"/>
      <c r="I691" s="565"/>
      <c r="J691" s="580"/>
      <c r="K691" s="360"/>
      <c r="L691" s="360"/>
      <c r="M691" s="360"/>
      <c r="N691" s="360"/>
      <c r="O691" s="360"/>
      <c r="P691" s="360"/>
      <c r="Q691" s="360"/>
      <c r="R691" s="360"/>
    </row>
    <row r="692" customFormat="false" ht="39.75" hidden="false" customHeight="true" outlineLevel="0" collapsed="false">
      <c r="A692" s="562"/>
      <c r="B692" s="574"/>
      <c r="C692" s="562"/>
      <c r="D692" s="562"/>
      <c r="E692" s="562"/>
      <c r="F692" s="563"/>
      <c r="G692" s="563"/>
      <c r="H692" s="564"/>
      <c r="I692" s="565"/>
      <c r="J692" s="580"/>
      <c r="K692" s="360"/>
      <c r="L692" s="360"/>
      <c r="M692" s="360"/>
      <c r="N692" s="360"/>
      <c r="O692" s="360"/>
      <c r="P692" s="360"/>
      <c r="Q692" s="360"/>
      <c r="R692" s="360"/>
    </row>
    <row r="693" customFormat="false" ht="39.75" hidden="false" customHeight="true" outlineLevel="0" collapsed="false">
      <c r="A693" s="562"/>
      <c r="B693" s="574"/>
      <c r="C693" s="562"/>
      <c r="D693" s="562"/>
      <c r="E693" s="562"/>
      <c r="F693" s="563"/>
      <c r="G693" s="563"/>
      <c r="H693" s="564"/>
      <c r="I693" s="565"/>
      <c r="J693" s="580"/>
      <c r="K693" s="360"/>
      <c r="L693" s="360"/>
      <c r="M693" s="360"/>
      <c r="N693" s="360"/>
      <c r="O693" s="360"/>
      <c r="P693" s="360"/>
      <c r="Q693" s="360"/>
      <c r="R693" s="360"/>
    </row>
    <row r="694" customFormat="false" ht="39.75" hidden="false" customHeight="true" outlineLevel="0" collapsed="false">
      <c r="A694" s="562"/>
      <c r="B694" s="574"/>
      <c r="C694" s="562"/>
      <c r="D694" s="562"/>
      <c r="E694" s="562"/>
      <c r="F694" s="563"/>
      <c r="G694" s="563"/>
      <c r="H694" s="564"/>
      <c r="I694" s="565"/>
      <c r="J694" s="580"/>
      <c r="K694" s="360"/>
      <c r="L694" s="360"/>
      <c r="M694" s="360"/>
      <c r="N694" s="360"/>
      <c r="O694" s="360"/>
      <c r="P694" s="360"/>
      <c r="Q694" s="360"/>
      <c r="R694" s="360"/>
    </row>
    <row r="695" customFormat="false" ht="39.75" hidden="false" customHeight="true" outlineLevel="0" collapsed="false">
      <c r="A695" s="562"/>
      <c r="B695" s="574"/>
      <c r="C695" s="562"/>
      <c r="D695" s="562"/>
      <c r="E695" s="562"/>
      <c r="F695" s="563"/>
      <c r="G695" s="563"/>
      <c r="H695" s="564"/>
      <c r="I695" s="565"/>
      <c r="J695" s="580"/>
      <c r="K695" s="360"/>
      <c r="L695" s="360"/>
      <c r="M695" s="360"/>
      <c r="N695" s="360"/>
      <c r="O695" s="360"/>
      <c r="P695" s="360"/>
      <c r="Q695" s="360"/>
      <c r="R695" s="360"/>
    </row>
    <row r="696" customFormat="false" ht="39.75" hidden="false" customHeight="true" outlineLevel="0" collapsed="false">
      <c r="A696" s="562"/>
      <c r="B696" s="574"/>
      <c r="C696" s="562"/>
      <c r="D696" s="562"/>
      <c r="E696" s="562"/>
      <c r="F696" s="563"/>
      <c r="G696" s="563"/>
      <c r="H696" s="564"/>
      <c r="I696" s="565"/>
      <c r="J696" s="580"/>
      <c r="K696" s="360"/>
      <c r="L696" s="360"/>
      <c r="M696" s="360"/>
      <c r="N696" s="360"/>
      <c r="O696" s="360"/>
      <c r="P696" s="360"/>
      <c r="Q696" s="360"/>
      <c r="R696" s="360"/>
    </row>
    <row r="697" customFormat="false" ht="39.75" hidden="false" customHeight="true" outlineLevel="0" collapsed="false">
      <c r="A697" s="562"/>
      <c r="B697" s="574"/>
      <c r="C697" s="562"/>
      <c r="D697" s="562"/>
      <c r="E697" s="562"/>
      <c r="F697" s="563"/>
      <c r="G697" s="563"/>
      <c r="H697" s="564"/>
      <c r="I697" s="565"/>
      <c r="J697" s="580"/>
      <c r="K697" s="360"/>
      <c r="L697" s="360"/>
      <c r="M697" s="360"/>
      <c r="N697" s="360"/>
      <c r="O697" s="360"/>
      <c r="P697" s="360"/>
      <c r="Q697" s="360"/>
      <c r="R697" s="360"/>
    </row>
    <row r="698" customFormat="false" ht="39.75" hidden="false" customHeight="true" outlineLevel="0" collapsed="false">
      <c r="A698" s="562"/>
      <c r="B698" s="574"/>
      <c r="C698" s="562"/>
      <c r="D698" s="562"/>
      <c r="E698" s="562"/>
      <c r="F698" s="563"/>
      <c r="G698" s="563"/>
      <c r="H698" s="564"/>
      <c r="I698" s="565"/>
      <c r="J698" s="580"/>
      <c r="K698" s="360"/>
      <c r="L698" s="360"/>
      <c r="M698" s="360"/>
      <c r="N698" s="360"/>
      <c r="O698" s="360"/>
      <c r="P698" s="360"/>
      <c r="Q698" s="360"/>
      <c r="R698" s="360"/>
    </row>
    <row r="699" customFormat="false" ht="39.75" hidden="false" customHeight="true" outlineLevel="0" collapsed="false">
      <c r="A699" s="562"/>
      <c r="B699" s="574"/>
      <c r="C699" s="562"/>
      <c r="D699" s="562"/>
      <c r="E699" s="562"/>
      <c r="F699" s="563"/>
      <c r="G699" s="563"/>
      <c r="H699" s="564"/>
      <c r="I699" s="565"/>
      <c r="J699" s="580"/>
      <c r="K699" s="360"/>
      <c r="L699" s="360"/>
      <c r="M699" s="360"/>
      <c r="N699" s="360"/>
      <c r="O699" s="360"/>
      <c r="P699" s="360"/>
      <c r="Q699" s="360"/>
      <c r="R699" s="360"/>
    </row>
    <row r="700" customFormat="false" ht="39.75" hidden="false" customHeight="true" outlineLevel="0" collapsed="false">
      <c r="A700" s="562"/>
      <c r="B700" s="574"/>
      <c r="C700" s="562"/>
      <c r="D700" s="562"/>
      <c r="E700" s="562"/>
      <c r="F700" s="563"/>
      <c r="G700" s="563"/>
      <c r="H700" s="564"/>
      <c r="I700" s="565"/>
      <c r="J700" s="580"/>
      <c r="K700" s="360"/>
      <c r="L700" s="360"/>
      <c r="M700" s="360"/>
      <c r="N700" s="360"/>
      <c r="O700" s="360"/>
      <c r="P700" s="360"/>
      <c r="Q700" s="360"/>
      <c r="R700" s="360"/>
    </row>
    <row r="701" customFormat="false" ht="39.75" hidden="false" customHeight="true" outlineLevel="0" collapsed="false">
      <c r="A701" s="562"/>
      <c r="B701" s="574"/>
      <c r="C701" s="562"/>
      <c r="D701" s="562"/>
      <c r="E701" s="562"/>
      <c r="F701" s="563"/>
      <c r="G701" s="563"/>
      <c r="H701" s="564"/>
      <c r="I701" s="565"/>
      <c r="J701" s="580"/>
      <c r="K701" s="360"/>
      <c r="L701" s="360"/>
      <c r="M701" s="360"/>
      <c r="N701" s="360"/>
      <c r="O701" s="360"/>
      <c r="P701" s="360"/>
      <c r="Q701" s="360"/>
      <c r="R701" s="360"/>
    </row>
    <row r="702" customFormat="false" ht="39.75" hidden="false" customHeight="true" outlineLevel="0" collapsed="false">
      <c r="A702" s="562"/>
      <c r="B702" s="574"/>
      <c r="C702" s="562"/>
      <c r="D702" s="562"/>
      <c r="E702" s="562"/>
      <c r="F702" s="563"/>
      <c r="G702" s="563"/>
      <c r="H702" s="564"/>
      <c r="I702" s="565"/>
      <c r="J702" s="580"/>
      <c r="K702" s="360"/>
      <c r="L702" s="360"/>
      <c r="M702" s="360"/>
      <c r="N702" s="360"/>
      <c r="O702" s="360"/>
      <c r="P702" s="360"/>
      <c r="Q702" s="360"/>
      <c r="R702" s="360"/>
    </row>
    <row r="703" customFormat="false" ht="39.75" hidden="false" customHeight="true" outlineLevel="0" collapsed="false">
      <c r="A703" s="562"/>
      <c r="B703" s="574"/>
      <c r="C703" s="562"/>
      <c r="D703" s="562"/>
      <c r="E703" s="562"/>
      <c r="F703" s="563"/>
      <c r="G703" s="563"/>
      <c r="H703" s="564"/>
      <c r="I703" s="565"/>
      <c r="J703" s="580"/>
      <c r="K703" s="360"/>
      <c r="L703" s="360"/>
      <c r="M703" s="360"/>
      <c r="N703" s="360"/>
      <c r="O703" s="360"/>
      <c r="P703" s="360"/>
      <c r="Q703" s="360"/>
      <c r="R703" s="360"/>
    </row>
    <row r="704" customFormat="false" ht="39.75" hidden="false" customHeight="true" outlineLevel="0" collapsed="false">
      <c r="A704" s="562"/>
      <c r="B704" s="574"/>
      <c r="C704" s="562"/>
      <c r="D704" s="562"/>
      <c r="E704" s="562"/>
      <c r="F704" s="563"/>
      <c r="G704" s="563"/>
      <c r="H704" s="564"/>
      <c r="I704" s="565"/>
      <c r="J704" s="580"/>
      <c r="K704" s="360"/>
      <c r="L704" s="360"/>
      <c r="M704" s="360"/>
      <c r="N704" s="360"/>
      <c r="O704" s="360"/>
      <c r="P704" s="360"/>
      <c r="Q704" s="360"/>
      <c r="R704" s="360"/>
    </row>
    <row r="705" customFormat="false" ht="39.75" hidden="false" customHeight="true" outlineLevel="0" collapsed="false">
      <c r="A705" s="562"/>
      <c r="B705" s="574"/>
      <c r="C705" s="562"/>
      <c r="D705" s="562"/>
      <c r="E705" s="562"/>
      <c r="F705" s="563"/>
      <c r="G705" s="563"/>
      <c r="H705" s="564"/>
      <c r="I705" s="565"/>
      <c r="J705" s="580"/>
      <c r="K705" s="360"/>
      <c r="L705" s="360"/>
      <c r="M705" s="360"/>
      <c r="N705" s="360"/>
      <c r="O705" s="360"/>
      <c r="P705" s="360"/>
      <c r="Q705" s="360"/>
      <c r="R705" s="360"/>
    </row>
    <row r="706" customFormat="false" ht="39.75" hidden="false" customHeight="true" outlineLevel="0" collapsed="false">
      <c r="A706" s="562"/>
      <c r="B706" s="574"/>
      <c r="C706" s="562"/>
      <c r="D706" s="562"/>
      <c r="E706" s="562"/>
      <c r="F706" s="563"/>
      <c r="G706" s="563"/>
      <c r="H706" s="564"/>
      <c r="I706" s="565"/>
      <c r="J706" s="580"/>
      <c r="K706" s="360"/>
      <c r="L706" s="360"/>
      <c r="M706" s="360"/>
      <c r="N706" s="360"/>
      <c r="O706" s="360"/>
      <c r="P706" s="360"/>
      <c r="Q706" s="360"/>
      <c r="R706" s="360"/>
    </row>
    <row r="707" customFormat="false" ht="39.75" hidden="false" customHeight="true" outlineLevel="0" collapsed="false">
      <c r="A707" s="562"/>
      <c r="B707" s="574"/>
      <c r="C707" s="562"/>
      <c r="D707" s="562"/>
      <c r="E707" s="562"/>
      <c r="F707" s="563"/>
      <c r="G707" s="563"/>
      <c r="H707" s="564"/>
      <c r="I707" s="565"/>
      <c r="J707" s="580"/>
      <c r="K707" s="360"/>
      <c r="L707" s="360"/>
      <c r="M707" s="360"/>
      <c r="N707" s="360"/>
      <c r="O707" s="360"/>
      <c r="P707" s="360"/>
      <c r="Q707" s="360"/>
      <c r="R707" s="360"/>
    </row>
    <row r="708" customFormat="false" ht="39.75" hidden="false" customHeight="true" outlineLevel="0" collapsed="false">
      <c r="A708" s="562"/>
      <c r="B708" s="574"/>
      <c r="C708" s="562"/>
      <c r="D708" s="562"/>
      <c r="E708" s="562"/>
      <c r="F708" s="563"/>
      <c r="G708" s="563"/>
      <c r="H708" s="564"/>
      <c r="I708" s="565"/>
      <c r="J708" s="580"/>
      <c r="K708" s="360"/>
      <c r="L708" s="360"/>
      <c r="M708" s="360"/>
      <c r="N708" s="360"/>
      <c r="O708" s="360"/>
      <c r="P708" s="360"/>
      <c r="Q708" s="360"/>
      <c r="R708" s="360"/>
    </row>
    <row r="709" customFormat="false" ht="39.75" hidden="false" customHeight="true" outlineLevel="0" collapsed="false">
      <c r="A709" s="562"/>
      <c r="B709" s="574"/>
      <c r="C709" s="562"/>
      <c r="D709" s="562"/>
      <c r="E709" s="562"/>
      <c r="F709" s="563"/>
      <c r="G709" s="563"/>
      <c r="H709" s="564"/>
      <c r="I709" s="565"/>
      <c r="J709" s="580"/>
      <c r="K709" s="360"/>
      <c r="L709" s="360"/>
      <c r="M709" s="360"/>
      <c r="N709" s="360"/>
      <c r="O709" s="360"/>
      <c r="P709" s="360"/>
      <c r="Q709" s="360"/>
      <c r="R709" s="360"/>
    </row>
    <row r="710" customFormat="false" ht="39.75" hidden="false" customHeight="true" outlineLevel="0" collapsed="false">
      <c r="A710" s="562"/>
      <c r="B710" s="574"/>
      <c r="C710" s="562"/>
      <c r="D710" s="562"/>
      <c r="E710" s="562"/>
      <c r="F710" s="563"/>
      <c r="G710" s="563"/>
      <c r="H710" s="564"/>
      <c r="I710" s="565"/>
      <c r="J710" s="580"/>
      <c r="K710" s="360"/>
      <c r="L710" s="360"/>
      <c r="M710" s="360"/>
      <c r="N710" s="360"/>
      <c r="O710" s="360"/>
      <c r="P710" s="360"/>
      <c r="Q710" s="360"/>
      <c r="R710" s="360"/>
    </row>
    <row r="711" customFormat="false" ht="39.75" hidden="false" customHeight="true" outlineLevel="0" collapsed="false">
      <c r="A711" s="562"/>
      <c r="B711" s="574"/>
      <c r="C711" s="562"/>
      <c r="D711" s="562"/>
      <c r="E711" s="562"/>
      <c r="F711" s="563"/>
      <c r="G711" s="563"/>
      <c r="H711" s="564"/>
      <c r="I711" s="565"/>
      <c r="J711" s="580"/>
      <c r="K711" s="360"/>
      <c r="L711" s="360"/>
      <c r="M711" s="360"/>
      <c r="N711" s="360"/>
      <c r="O711" s="360"/>
      <c r="P711" s="360"/>
      <c r="Q711" s="360"/>
      <c r="R711" s="360"/>
    </row>
    <row r="712" customFormat="false" ht="39.75" hidden="false" customHeight="true" outlineLevel="0" collapsed="false">
      <c r="A712" s="562"/>
      <c r="B712" s="574"/>
      <c r="C712" s="562"/>
      <c r="D712" s="562"/>
      <c r="E712" s="562"/>
      <c r="F712" s="563"/>
      <c r="G712" s="563"/>
      <c r="H712" s="564"/>
      <c r="I712" s="565"/>
      <c r="J712" s="580"/>
      <c r="K712" s="360"/>
      <c r="L712" s="360"/>
      <c r="M712" s="360"/>
      <c r="N712" s="360"/>
      <c r="O712" s="360"/>
      <c r="P712" s="360"/>
      <c r="Q712" s="360"/>
      <c r="R712" s="360"/>
    </row>
    <row r="713" customFormat="false" ht="39.75" hidden="false" customHeight="true" outlineLevel="0" collapsed="false">
      <c r="A713" s="562"/>
      <c r="B713" s="574"/>
      <c r="C713" s="562"/>
      <c r="D713" s="562"/>
      <c r="E713" s="562"/>
      <c r="F713" s="563"/>
      <c r="G713" s="563"/>
      <c r="H713" s="564"/>
      <c r="I713" s="565"/>
      <c r="J713" s="580"/>
      <c r="K713" s="360"/>
      <c r="L713" s="360"/>
      <c r="M713" s="360"/>
      <c r="N713" s="360"/>
      <c r="O713" s="360"/>
      <c r="P713" s="360"/>
      <c r="Q713" s="360"/>
      <c r="R713" s="360"/>
    </row>
    <row r="714" customFormat="false" ht="39.75" hidden="false" customHeight="true" outlineLevel="0" collapsed="false">
      <c r="A714" s="562"/>
      <c r="B714" s="574"/>
      <c r="C714" s="562"/>
      <c r="D714" s="562"/>
      <c r="E714" s="562"/>
      <c r="F714" s="563"/>
      <c r="G714" s="563"/>
      <c r="H714" s="564"/>
      <c r="I714" s="565"/>
      <c r="J714" s="580"/>
      <c r="K714" s="360"/>
      <c r="L714" s="360"/>
      <c r="M714" s="360"/>
      <c r="N714" s="360"/>
      <c r="O714" s="360"/>
      <c r="P714" s="360"/>
      <c r="Q714" s="360"/>
      <c r="R714" s="360"/>
    </row>
    <row r="715" customFormat="false" ht="39.75" hidden="false" customHeight="true" outlineLevel="0" collapsed="false">
      <c r="A715" s="562"/>
      <c r="B715" s="574"/>
      <c r="C715" s="562"/>
      <c r="D715" s="562"/>
      <c r="E715" s="562"/>
      <c r="F715" s="563"/>
      <c r="G715" s="563"/>
      <c r="H715" s="564"/>
      <c r="I715" s="565"/>
      <c r="J715" s="580"/>
      <c r="K715" s="360"/>
      <c r="L715" s="360"/>
      <c r="M715" s="360"/>
      <c r="N715" s="360"/>
      <c r="O715" s="360"/>
      <c r="P715" s="360"/>
      <c r="Q715" s="360"/>
      <c r="R715" s="360"/>
    </row>
    <row r="716" customFormat="false" ht="39.75" hidden="false" customHeight="true" outlineLevel="0" collapsed="false">
      <c r="A716" s="562"/>
      <c r="B716" s="574"/>
      <c r="C716" s="562"/>
      <c r="D716" s="562"/>
      <c r="E716" s="562"/>
      <c r="F716" s="563"/>
      <c r="G716" s="563"/>
      <c r="H716" s="564"/>
      <c r="I716" s="565"/>
      <c r="J716" s="580"/>
      <c r="K716" s="360"/>
      <c r="L716" s="360"/>
      <c r="M716" s="360"/>
      <c r="N716" s="360"/>
      <c r="O716" s="360"/>
      <c r="P716" s="360"/>
      <c r="Q716" s="360"/>
      <c r="R716" s="360"/>
    </row>
    <row r="717" customFormat="false" ht="39.75" hidden="false" customHeight="true" outlineLevel="0" collapsed="false">
      <c r="A717" s="562"/>
      <c r="B717" s="574"/>
      <c r="C717" s="562"/>
      <c r="D717" s="562"/>
      <c r="E717" s="562"/>
      <c r="F717" s="563"/>
      <c r="G717" s="563"/>
      <c r="H717" s="564"/>
      <c r="I717" s="565"/>
      <c r="J717" s="580"/>
      <c r="K717" s="360"/>
      <c r="L717" s="360"/>
      <c r="M717" s="360"/>
      <c r="N717" s="360"/>
      <c r="O717" s="360"/>
      <c r="P717" s="360"/>
      <c r="Q717" s="360"/>
      <c r="R717" s="360"/>
    </row>
    <row r="718" customFormat="false" ht="39.75" hidden="false" customHeight="true" outlineLevel="0" collapsed="false">
      <c r="A718" s="562"/>
      <c r="B718" s="574"/>
      <c r="C718" s="562"/>
      <c r="D718" s="562"/>
      <c r="E718" s="562"/>
      <c r="F718" s="563"/>
      <c r="G718" s="563"/>
      <c r="H718" s="564"/>
      <c r="I718" s="565"/>
      <c r="J718" s="580"/>
      <c r="K718" s="360"/>
      <c r="L718" s="360"/>
      <c r="M718" s="360"/>
      <c r="N718" s="360"/>
      <c r="O718" s="360"/>
      <c r="P718" s="360"/>
      <c r="Q718" s="360"/>
      <c r="R718" s="360"/>
    </row>
    <row r="719" customFormat="false" ht="39.75" hidden="false" customHeight="true" outlineLevel="0" collapsed="false">
      <c r="A719" s="562"/>
      <c r="B719" s="574"/>
      <c r="C719" s="562"/>
      <c r="D719" s="562"/>
      <c r="E719" s="562"/>
      <c r="F719" s="563"/>
      <c r="G719" s="563"/>
      <c r="H719" s="564"/>
      <c r="I719" s="565"/>
      <c r="J719" s="580"/>
      <c r="K719" s="360"/>
      <c r="L719" s="360"/>
      <c r="M719" s="360"/>
      <c r="N719" s="360"/>
      <c r="O719" s="360"/>
      <c r="P719" s="360"/>
      <c r="Q719" s="360"/>
      <c r="R719" s="360"/>
    </row>
    <row r="720" customFormat="false" ht="39.75" hidden="false" customHeight="true" outlineLevel="0" collapsed="false">
      <c r="A720" s="562"/>
      <c r="B720" s="574"/>
      <c r="C720" s="562"/>
      <c r="D720" s="562"/>
      <c r="E720" s="562"/>
      <c r="F720" s="563"/>
      <c r="G720" s="563"/>
      <c r="H720" s="564"/>
      <c r="I720" s="565"/>
      <c r="J720" s="580"/>
      <c r="K720" s="360"/>
      <c r="L720" s="360"/>
      <c r="M720" s="360"/>
      <c r="N720" s="360"/>
      <c r="O720" s="360"/>
      <c r="P720" s="360"/>
      <c r="Q720" s="360"/>
      <c r="R720" s="360"/>
    </row>
    <row r="721" customFormat="false" ht="39.75" hidden="false" customHeight="true" outlineLevel="0" collapsed="false">
      <c r="A721" s="562"/>
      <c r="B721" s="574"/>
      <c r="C721" s="562"/>
      <c r="D721" s="562"/>
      <c r="E721" s="562"/>
      <c r="F721" s="563"/>
      <c r="G721" s="563"/>
      <c r="H721" s="564"/>
      <c r="I721" s="565"/>
      <c r="J721" s="580"/>
      <c r="K721" s="360"/>
      <c r="L721" s="360"/>
      <c r="M721" s="360"/>
      <c r="N721" s="360"/>
      <c r="O721" s="360"/>
      <c r="P721" s="360"/>
      <c r="Q721" s="360"/>
      <c r="R721" s="360"/>
    </row>
    <row r="722" customFormat="false" ht="39.75" hidden="false" customHeight="true" outlineLevel="0" collapsed="false">
      <c r="A722" s="562"/>
      <c r="B722" s="574"/>
      <c r="C722" s="562"/>
      <c r="D722" s="562"/>
      <c r="E722" s="562"/>
      <c r="F722" s="563"/>
      <c r="G722" s="563"/>
      <c r="H722" s="564"/>
      <c r="I722" s="565"/>
      <c r="J722" s="580"/>
      <c r="K722" s="360"/>
      <c r="L722" s="360"/>
      <c r="M722" s="360"/>
      <c r="N722" s="360"/>
      <c r="O722" s="360"/>
      <c r="P722" s="360"/>
      <c r="Q722" s="360"/>
      <c r="R722" s="360"/>
    </row>
    <row r="723" customFormat="false" ht="39.75" hidden="false" customHeight="true" outlineLevel="0" collapsed="false">
      <c r="A723" s="562"/>
      <c r="B723" s="574"/>
      <c r="C723" s="562"/>
      <c r="D723" s="562"/>
      <c r="E723" s="562"/>
      <c r="F723" s="563"/>
      <c r="G723" s="563"/>
      <c r="H723" s="564"/>
      <c r="I723" s="565"/>
      <c r="J723" s="580"/>
      <c r="K723" s="360"/>
      <c r="L723" s="360"/>
      <c r="M723" s="360"/>
      <c r="N723" s="360"/>
      <c r="O723" s="360"/>
      <c r="P723" s="360"/>
      <c r="Q723" s="360"/>
      <c r="R723" s="360"/>
    </row>
    <row r="724" customFormat="false" ht="39.75" hidden="false" customHeight="true" outlineLevel="0" collapsed="false">
      <c r="A724" s="562"/>
      <c r="B724" s="574"/>
      <c r="C724" s="562"/>
      <c r="D724" s="562"/>
      <c r="E724" s="562"/>
      <c r="F724" s="563"/>
      <c r="G724" s="563"/>
      <c r="H724" s="564"/>
      <c r="I724" s="565"/>
      <c r="J724" s="580"/>
      <c r="K724" s="360"/>
      <c r="L724" s="360"/>
      <c r="M724" s="360"/>
      <c r="N724" s="360"/>
      <c r="O724" s="360"/>
      <c r="P724" s="360"/>
      <c r="Q724" s="360"/>
      <c r="R724" s="360"/>
    </row>
    <row r="725" customFormat="false" ht="39.75" hidden="false" customHeight="true" outlineLevel="0" collapsed="false">
      <c r="A725" s="562"/>
      <c r="B725" s="574"/>
      <c r="C725" s="562"/>
      <c r="D725" s="562"/>
      <c r="E725" s="562"/>
      <c r="F725" s="563"/>
      <c r="G725" s="563"/>
      <c r="H725" s="564"/>
      <c r="I725" s="565"/>
      <c r="J725" s="580"/>
      <c r="K725" s="360"/>
      <c r="L725" s="360"/>
      <c r="M725" s="360"/>
      <c r="N725" s="360"/>
      <c r="O725" s="360"/>
      <c r="P725" s="360"/>
      <c r="Q725" s="360"/>
      <c r="R725" s="360"/>
    </row>
    <row r="726" customFormat="false" ht="39.75" hidden="false" customHeight="true" outlineLevel="0" collapsed="false">
      <c r="A726" s="562"/>
      <c r="B726" s="574"/>
      <c r="C726" s="562"/>
      <c r="D726" s="562"/>
      <c r="E726" s="562"/>
      <c r="F726" s="563"/>
      <c r="G726" s="563"/>
      <c r="H726" s="564"/>
      <c r="I726" s="565"/>
      <c r="J726" s="580"/>
      <c r="K726" s="360"/>
      <c r="L726" s="360"/>
      <c r="M726" s="360"/>
      <c r="N726" s="360"/>
      <c r="O726" s="360"/>
      <c r="P726" s="360"/>
      <c r="Q726" s="360"/>
      <c r="R726" s="360"/>
    </row>
    <row r="727" customFormat="false" ht="39.75" hidden="false" customHeight="true" outlineLevel="0" collapsed="false">
      <c r="A727" s="562"/>
      <c r="B727" s="574"/>
      <c r="C727" s="562"/>
      <c r="D727" s="562"/>
      <c r="E727" s="562"/>
      <c r="F727" s="563"/>
      <c r="G727" s="563"/>
      <c r="H727" s="564"/>
      <c r="I727" s="565"/>
      <c r="J727" s="580"/>
      <c r="K727" s="360"/>
      <c r="L727" s="360"/>
      <c r="M727" s="360"/>
      <c r="N727" s="360"/>
      <c r="O727" s="360"/>
      <c r="P727" s="360"/>
      <c r="Q727" s="360"/>
      <c r="R727" s="360"/>
    </row>
    <row r="728" customFormat="false" ht="39.75" hidden="false" customHeight="true" outlineLevel="0" collapsed="false">
      <c r="A728" s="562"/>
      <c r="B728" s="574"/>
      <c r="C728" s="562"/>
      <c r="D728" s="562"/>
      <c r="E728" s="562"/>
      <c r="F728" s="563"/>
      <c r="G728" s="563"/>
      <c r="H728" s="564"/>
      <c r="I728" s="565"/>
      <c r="J728" s="580"/>
      <c r="K728" s="360"/>
      <c r="L728" s="360"/>
      <c r="M728" s="360"/>
      <c r="N728" s="360"/>
      <c r="O728" s="360"/>
      <c r="P728" s="360"/>
      <c r="Q728" s="360"/>
      <c r="R728" s="360"/>
    </row>
    <row r="729" customFormat="false" ht="39.75" hidden="false" customHeight="true" outlineLevel="0" collapsed="false">
      <c r="A729" s="562"/>
      <c r="B729" s="574"/>
      <c r="C729" s="562"/>
      <c r="D729" s="562"/>
      <c r="E729" s="562"/>
      <c r="F729" s="563"/>
      <c r="G729" s="563"/>
      <c r="H729" s="564"/>
      <c r="I729" s="565"/>
      <c r="J729" s="580"/>
      <c r="K729" s="360"/>
      <c r="L729" s="360"/>
      <c r="M729" s="360"/>
      <c r="N729" s="360"/>
      <c r="O729" s="360"/>
      <c r="P729" s="360"/>
      <c r="Q729" s="360"/>
      <c r="R729" s="360"/>
    </row>
    <row r="730" customFormat="false" ht="39.75" hidden="false" customHeight="true" outlineLevel="0" collapsed="false">
      <c r="A730" s="562"/>
      <c r="B730" s="574"/>
      <c r="C730" s="562"/>
      <c r="D730" s="562"/>
      <c r="E730" s="562"/>
      <c r="F730" s="563"/>
      <c r="G730" s="563"/>
      <c r="H730" s="564"/>
      <c r="I730" s="565"/>
      <c r="J730" s="580"/>
      <c r="K730" s="360"/>
      <c r="L730" s="360"/>
      <c r="M730" s="360"/>
      <c r="N730" s="360"/>
      <c r="O730" s="360"/>
      <c r="P730" s="360"/>
      <c r="Q730" s="360"/>
      <c r="R730" s="360"/>
    </row>
    <row r="731" customFormat="false" ht="39.75" hidden="false" customHeight="true" outlineLevel="0" collapsed="false">
      <c r="A731" s="562"/>
      <c r="B731" s="574"/>
      <c r="C731" s="562"/>
      <c r="D731" s="562"/>
      <c r="E731" s="562"/>
      <c r="F731" s="563"/>
      <c r="G731" s="563"/>
      <c r="H731" s="564"/>
      <c r="I731" s="565"/>
      <c r="J731" s="580"/>
      <c r="K731" s="360"/>
      <c r="L731" s="360"/>
      <c r="M731" s="360"/>
      <c r="N731" s="360"/>
      <c r="O731" s="360"/>
      <c r="P731" s="360"/>
      <c r="Q731" s="360"/>
      <c r="R731" s="360"/>
    </row>
    <row r="732" customFormat="false" ht="39.75" hidden="false" customHeight="true" outlineLevel="0" collapsed="false">
      <c r="A732" s="562"/>
      <c r="B732" s="574"/>
      <c r="C732" s="562"/>
      <c r="D732" s="562"/>
      <c r="E732" s="562"/>
      <c r="F732" s="563"/>
      <c r="G732" s="563"/>
      <c r="H732" s="564"/>
      <c r="I732" s="565"/>
      <c r="J732" s="580"/>
      <c r="K732" s="360"/>
      <c r="L732" s="360"/>
      <c r="M732" s="360"/>
      <c r="N732" s="360"/>
      <c r="O732" s="360"/>
      <c r="P732" s="360"/>
      <c r="Q732" s="360"/>
      <c r="R732" s="360"/>
    </row>
    <row r="733" customFormat="false" ht="39.75" hidden="false" customHeight="true" outlineLevel="0" collapsed="false">
      <c r="A733" s="562"/>
      <c r="B733" s="574"/>
      <c r="C733" s="562"/>
      <c r="D733" s="562"/>
      <c r="E733" s="562"/>
      <c r="F733" s="563"/>
      <c r="G733" s="563"/>
      <c r="H733" s="564"/>
      <c r="I733" s="565"/>
      <c r="J733" s="580"/>
      <c r="K733" s="360"/>
      <c r="L733" s="360"/>
      <c r="M733" s="360"/>
      <c r="N733" s="360"/>
      <c r="O733" s="360"/>
      <c r="P733" s="360"/>
      <c r="Q733" s="360"/>
      <c r="R733" s="360"/>
    </row>
    <row r="734" customFormat="false" ht="39.75" hidden="false" customHeight="true" outlineLevel="0" collapsed="false">
      <c r="A734" s="562"/>
      <c r="B734" s="574"/>
      <c r="C734" s="562"/>
      <c r="D734" s="562"/>
      <c r="E734" s="562"/>
      <c r="F734" s="563"/>
      <c r="G734" s="563"/>
      <c r="H734" s="564"/>
      <c r="I734" s="565"/>
      <c r="J734" s="580"/>
      <c r="K734" s="360"/>
      <c r="L734" s="360"/>
      <c r="M734" s="360"/>
      <c r="N734" s="360"/>
      <c r="O734" s="360"/>
      <c r="P734" s="360"/>
      <c r="Q734" s="360"/>
      <c r="R734" s="360"/>
    </row>
    <row r="735" customFormat="false" ht="39.75" hidden="false" customHeight="true" outlineLevel="0" collapsed="false">
      <c r="A735" s="562"/>
      <c r="B735" s="574"/>
      <c r="C735" s="562"/>
      <c r="D735" s="562"/>
      <c r="E735" s="562"/>
      <c r="F735" s="563"/>
      <c r="G735" s="563"/>
      <c r="H735" s="564"/>
      <c r="I735" s="565"/>
      <c r="J735" s="580"/>
      <c r="K735" s="360"/>
      <c r="L735" s="360"/>
      <c r="M735" s="360"/>
      <c r="N735" s="360"/>
      <c r="O735" s="360"/>
      <c r="P735" s="360"/>
      <c r="Q735" s="360"/>
      <c r="R735" s="360"/>
    </row>
    <row r="736" customFormat="false" ht="39.75" hidden="false" customHeight="true" outlineLevel="0" collapsed="false">
      <c r="A736" s="562"/>
      <c r="B736" s="574"/>
      <c r="C736" s="562"/>
      <c r="D736" s="562"/>
      <c r="E736" s="562"/>
      <c r="F736" s="563"/>
      <c r="G736" s="563"/>
      <c r="H736" s="564"/>
      <c r="I736" s="565"/>
      <c r="J736" s="580"/>
      <c r="K736" s="360"/>
      <c r="L736" s="360"/>
      <c r="M736" s="360"/>
      <c r="N736" s="360"/>
      <c r="O736" s="360"/>
      <c r="P736" s="360"/>
      <c r="Q736" s="360"/>
      <c r="R736" s="360"/>
    </row>
    <row r="737" customFormat="false" ht="39.75" hidden="false" customHeight="true" outlineLevel="0" collapsed="false">
      <c r="A737" s="562"/>
      <c r="B737" s="574"/>
      <c r="C737" s="562"/>
      <c r="D737" s="562"/>
      <c r="E737" s="562"/>
      <c r="F737" s="563"/>
      <c r="G737" s="563"/>
      <c r="H737" s="564"/>
      <c r="I737" s="565"/>
      <c r="J737" s="580"/>
      <c r="K737" s="360"/>
      <c r="L737" s="360"/>
      <c r="M737" s="360"/>
      <c r="N737" s="360"/>
      <c r="O737" s="360"/>
      <c r="P737" s="360"/>
      <c r="Q737" s="360"/>
      <c r="R737" s="360"/>
    </row>
    <row r="738" customFormat="false" ht="39.75" hidden="false" customHeight="true" outlineLevel="0" collapsed="false">
      <c r="A738" s="562"/>
      <c r="B738" s="574"/>
      <c r="C738" s="562"/>
      <c r="D738" s="562"/>
      <c r="E738" s="562"/>
      <c r="F738" s="563"/>
      <c r="G738" s="563"/>
      <c r="H738" s="564"/>
      <c r="I738" s="565"/>
      <c r="J738" s="580"/>
      <c r="K738" s="360"/>
      <c r="L738" s="360"/>
      <c r="M738" s="360"/>
      <c r="N738" s="360"/>
      <c r="O738" s="360"/>
      <c r="P738" s="360"/>
      <c r="Q738" s="360"/>
      <c r="R738" s="360"/>
    </row>
    <row r="739" customFormat="false" ht="39.75" hidden="false" customHeight="true" outlineLevel="0" collapsed="false">
      <c r="A739" s="562"/>
      <c r="B739" s="574"/>
      <c r="C739" s="562"/>
      <c r="D739" s="562"/>
      <c r="E739" s="562"/>
      <c r="F739" s="563"/>
      <c r="G739" s="563"/>
      <c r="H739" s="564"/>
      <c r="I739" s="565"/>
      <c r="J739" s="580"/>
      <c r="K739" s="360"/>
      <c r="L739" s="360"/>
      <c r="M739" s="360"/>
      <c r="N739" s="360"/>
      <c r="O739" s="360"/>
      <c r="P739" s="360"/>
      <c r="Q739" s="360"/>
      <c r="R739" s="360"/>
    </row>
    <row r="740" customFormat="false" ht="39.75" hidden="false" customHeight="true" outlineLevel="0" collapsed="false">
      <c r="A740" s="562"/>
      <c r="B740" s="574"/>
      <c r="C740" s="562"/>
      <c r="D740" s="562"/>
      <c r="E740" s="562"/>
      <c r="F740" s="563"/>
      <c r="G740" s="563"/>
      <c r="H740" s="564"/>
      <c r="I740" s="565"/>
      <c r="J740" s="580"/>
      <c r="K740" s="360"/>
      <c r="L740" s="360"/>
      <c r="M740" s="360"/>
      <c r="N740" s="360"/>
      <c r="O740" s="360"/>
      <c r="P740" s="360"/>
      <c r="Q740" s="360"/>
      <c r="R740" s="360"/>
    </row>
    <row r="741" customFormat="false" ht="39.75" hidden="false" customHeight="true" outlineLevel="0" collapsed="false">
      <c r="A741" s="562"/>
      <c r="B741" s="574"/>
      <c r="C741" s="562"/>
      <c r="D741" s="562"/>
      <c r="E741" s="562"/>
      <c r="F741" s="563"/>
      <c r="G741" s="563"/>
      <c r="H741" s="564"/>
      <c r="I741" s="565"/>
      <c r="J741" s="580"/>
      <c r="K741" s="360"/>
      <c r="L741" s="360"/>
      <c r="M741" s="360"/>
      <c r="N741" s="360"/>
      <c r="O741" s="360"/>
      <c r="P741" s="360"/>
      <c r="Q741" s="360"/>
      <c r="R741" s="360"/>
    </row>
    <row r="742" customFormat="false" ht="39.75" hidden="false" customHeight="true" outlineLevel="0" collapsed="false">
      <c r="A742" s="562"/>
      <c r="B742" s="574"/>
      <c r="C742" s="562"/>
      <c r="D742" s="562"/>
      <c r="E742" s="562"/>
      <c r="F742" s="563"/>
      <c r="G742" s="563"/>
      <c r="H742" s="564"/>
      <c r="I742" s="565"/>
      <c r="J742" s="580"/>
      <c r="K742" s="360"/>
      <c r="L742" s="360"/>
      <c r="M742" s="360"/>
      <c r="N742" s="360"/>
      <c r="O742" s="360"/>
      <c r="P742" s="360"/>
      <c r="Q742" s="360"/>
      <c r="R742" s="360"/>
    </row>
    <row r="743" customFormat="false" ht="39.75" hidden="false" customHeight="true" outlineLevel="0" collapsed="false">
      <c r="A743" s="562"/>
      <c r="B743" s="574"/>
      <c r="C743" s="562"/>
      <c r="D743" s="562"/>
      <c r="E743" s="562"/>
      <c r="F743" s="563"/>
      <c r="G743" s="563"/>
      <c r="H743" s="564"/>
      <c r="I743" s="565"/>
      <c r="J743" s="580"/>
      <c r="K743" s="360"/>
      <c r="L743" s="360"/>
      <c r="M743" s="360"/>
      <c r="N743" s="360"/>
      <c r="O743" s="360"/>
      <c r="P743" s="360"/>
      <c r="Q743" s="360"/>
      <c r="R743" s="360"/>
    </row>
    <row r="744" customFormat="false" ht="39.75" hidden="false" customHeight="true" outlineLevel="0" collapsed="false">
      <c r="A744" s="562"/>
      <c r="B744" s="574"/>
      <c r="C744" s="562"/>
      <c r="D744" s="562"/>
      <c r="E744" s="562"/>
      <c r="F744" s="563"/>
      <c r="G744" s="563"/>
      <c r="H744" s="564"/>
      <c r="I744" s="565"/>
      <c r="J744" s="580"/>
      <c r="K744" s="360"/>
      <c r="L744" s="360"/>
      <c r="M744" s="360"/>
      <c r="N744" s="360"/>
      <c r="O744" s="360"/>
      <c r="P744" s="360"/>
      <c r="Q744" s="360"/>
      <c r="R744" s="360"/>
    </row>
    <row r="745" customFormat="false" ht="39.75" hidden="false" customHeight="true" outlineLevel="0" collapsed="false">
      <c r="A745" s="562"/>
      <c r="B745" s="574"/>
      <c r="C745" s="562"/>
      <c r="D745" s="562"/>
      <c r="E745" s="562"/>
      <c r="F745" s="563"/>
      <c r="G745" s="563"/>
      <c r="H745" s="564"/>
      <c r="I745" s="565"/>
      <c r="J745" s="580"/>
      <c r="K745" s="360"/>
      <c r="L745" s="360"/>
      <c r="M745" s="360"/>
      <c r="N745" s="360"/>
      <c r="O745" s="360"/>
      <c r="P745" s="360"/>
      <c r="Q745" s="360"/>
      <c r="R745" s="360"/>
    </row>
    <row r="746" customFormat="false" ht="39.75" hidden="false" customHeight="true" outlineLevel="0" collapsed="false">
      <c r="A746" s="562"/>
      <c r="B746" s="574"/>
      <c r="C746" s="562"/>
      <c r="D746" s="562"/>
      <c r="E746" s="562"/>
      <c r="F746" s="563"/>
      <c r="G746" s="563"/>
      <c r="H746" s="564"/>
      <c r="I746" s="565"/>
      <c r="J746" s="580"/>
      <c r="K746" s="360"/>
      <c r="L746" s="360"/>
      <c r="M746" s="360"/>
      <c r="N746" s="360"/>
      <c r="O746" s="360"/>
      <c r="P746" s="360"/>
      <c r="Q746" s="360"/>
      <c r="R746" s="360"/>
    </row>
    <row r="747" customFormat="false" ht="39.75" hidden="false" customHeight="true" outlineLevel="0" collapsed="false">
      <c r="A747" s="562"/>
      <c r="B747" s="574"/>
      <c r="C747" s="562"/>
      <c r="D747" s="562"/>
      <c r="E747" s="562"/>
      <c r="F747" s="563"/>
      <c r="G747" s="563"/>
      <c r="H747" s="564"/>
      <c r="I747" s="565"/>
      <c r="J747" s="580"/>
      <c r="K747" s="360"/>
      <c r="L747" s="360"/>
      <c r="M747" s="360"/>
      <c r="N747" s="360"/>
      <c r="O747" s="360"/>
      <c r="P747" s="360"/>
      <c r="Q747" s="360"/>
      <c r="R747" s="360"/>
    </row>
    <row r="748" customFormat="false" ht="39.75" hidden="false" customHeight="true" outlineLevel="0" collapsed="false">
      <c r="A748" s="562"/>
      <c r="B748" s="574"/>
      <c r="C748" s="562"/>
      <c r="D748" s="562"/>
      <c r="E748" s="562"/>
      <c r="F748" s="563"/>
      <c r="G748" s="563"/>
      <c r="H748" s="564"/>
      <c r="I748" s="565"/>
      <c r="J748" s="580"/>
      <c r="K748" s="360"/>
      <c r="L748" s="360"/>
      <c r="M748" s="360"/>
      <c r="N748" s="360"/>
      <c r="O748" s="360"/>
      <c r="P748" s="360"/>
      <c r="Q748" s="360"/>
      <c r="R748" s="360"/>
    </row>
    <row r="749" customFormat="false" ht="39.75" hidden="false" customHeight="true" outlineLevel="0" collapsed="false">
      <c r="A749" s="562"/>
      <c r="B749" s="574"/>
      <c r="C749" s="562"/>
      <c r="D749" s="562"/>
      <c r="E749" s="562"/>
      <c r="F749" s="563"/>
      <c r="G749" s="563"/>
      <c r="H749" s="564"/>
      <c r="I749" s="565"/>
      <c r="J749" s="580"/>
      <c r="K749" s="360"/>
      <c r="L749" s="360"/>
      <c r="M749" s="360"/>
      <c r="N749" s="360"/>
      <c r="O749" s="360"/>
      <c r="P749" s="360"/>
      <c r="Q749" s="360"/>
      <c r="R749" s="360"/>
    </row>
    <row r="750" customFormat="false" ht="39.75" hidden="false" customHeight="true" outlineLevel="0" collapsed="false">
      <c r="A750" s="562"/>
      <c r="B750" s="574"/>
      <c r="C750" s="562"/>
      <c r="D750" s="562"/>
      <c r="E750" s="562"/>
      <c r="F750" s="563"/>
      <c r="G750" s="563"/>
      <c r="H750" s="564"/>
      <c r="I750" s="565"/>
      <c r="J750" s="580"/>
      <c r="K750" s="360"/>
      <c r="L750" s="360"/>
      <c r="M750" s="360"/>
      <c r="N750" s="360"/>
      <c r="O750" s="360"/>
      <c r="P750" s="360"/>
      <c r="Q750" s="360"/>
      <c r="R750" s="360"/>
    </row>
    <row r="751" customFormat="false" ht="39.75" hidden="false" customHeight="true" outlineLevel="0" collapsed="false">
      <c r="A751" s="562"/>
      <c r="B751" s="574"/>
      <c r="C751" s="562"/>
      <c r="D751" s="562"/>
      <c r="E751" s="562"/>
      <c r="F751" s="563"/>
      <c r="G751" s="563"/>
      <c r="H751" s="564"/>
      <c r="I751" s="565"/>
      <c r="J751" s="580"/>
      <c r="K751" s="360"/>
      <c r="L751" s="360"/>
      <c r="M751" s="360"/>
      <c r="N751" s="360"/>
      <c r="O751" s="360"/>
      <c r="P751" s="360"/>
      <c r="Q751" s="360"/>
      <c r="R751" s="360"/>
    </row>
    <row r="752" customFormat="false" ht="39.75" hidden="false" customHeight="true" outlineLevel="0" collapsed="false">
      <c r="A752" s="562"/>
      <c r="B752" s="574"/>
      <c r="C752" s="562"/>
      <c r="D752" s="562"/>
      <c r="E752" s="562"/>
      <c r="F752" s="563"/>
      <c r="G752" s="563"/>
      <c r="H752" s="564"/>
      <c r="I752" s="565"/>
      <c r="J752" s="580"/>
      <c r="K752" s="360"/>
      <c r="L752" s="360"/>
      <c r="M752" s="360"/>
      <c r="N752" s="360"/>
      <c r="O752" s="360"/>
      <c r="P752" s="360"/>
      <c r="Q752" s="360"/>
      <c r="R752" s="360"/>
    </row>
    <row r="753" customFormat="false" ht="39.75" hidden="false" customHeight="true" outlineLevel="0" collapsed="false">
      <c r="A753" s="562"/>
      <c r="B753" s="574"/>
      <c r="C753" s="562"/>
      <c r="D753" s="562"/>
      <c r="E753" s="562"/>
      <c r="F753" s="563"/>
      <c r="G753" s="563"/>
      <c r="H753" s="564"/>
      <c r="I753" s="565"/>
      <c r="J753" s="580"/>
      <c r="K753" s="360"/>
      <c r="L753" s="360"/>
      <c r="M753" s="360"/>
      <c r="N753" s="360"/>
      <c r="O753" s="360"/>
      <c r="P753" s="360"/>
      <c r="Q753" s="360"/>
      <c r="R753" s="360"/>
    </row>
    <row r="754" customFormat="false" ht="39.75" hidden="false" customHeight="true" outlineLevel="0" collapsed="false">
      <c r="A754" s="562"/>
      <c r="B754" s="574"/>
      <c r="C754" s="562"/>
      <c r="D754" s="562"/>
      <c r="E754" s="562"/>
      <c r="F754" s="563"/>
      <c r="G754" s="563"/>
      <c r="H754" s="564"/>
      <c r="I754" s="565"/>
      <c r="J754" s="580"/>
      <c r="K754" s="360"/>
      <c r="L754" s="360"/>
      <c r="M754" s="360"/>
      <c r="N754" s="360"/>
      <c r="O754" s="360"/>
      <c r="P754" s="360"/>
      <c r="Q754" s="360"/>
      <c r="R754" s="360"/>
    </row>
    <row r="755" customFormat="false" ht="39.75" hidden="false" customHeight="true" outlineLevel="0" collapsed="false">
      <c r="A755" s="562"/>
      <c r="B755" s="574"/>
      <c r="C755" s="562"/>
      <c r="D755" s="562"/>
      <c r="E755" s="562"/>
      <c r="F755" s="563"/>
      <c r="G755" s="563"/>
      <c r="H755" s="564"/>
      <c r="I755" s="565"/>
      <c r="J755" s="580"/>
      <c r="K755" s="360"/>
      <c r="L755" s="360"/>
      <c r="M755" s="360"/>
      <c r="N755" s="360"/>
      <c r="O755" s="360"/>
      <c r="P755" s="360"/>
      <c r="Q755" s="360"/>
      <c r="R755" s="360"/>
    </row>
    <row r="756" customFormat="false" ht="39.75" hidden="false" customHeight="true" outlineLevel="0" collapsed="false">
      <c r="A756" s="562"/>
      <c r="B756" s="574"/>
      <c r="C756" s="562"/>
      <c r="D756" s="562"/>
      <c r="E756" s="562"/>
      <c r="F756" s="563"/>
      <c r="G756" s="563"/>
      <c r="H756" s="564"/>
      <c r="I756" s="565"/>
      <c r="J756" s="580"/>
      <c r="K756" s="360"/>
      <c r="L756" s="360"/>
      <c r="M756" s="360"/>
      <c r="N756" s="360"/>
      <c r="O756" s="360"/>
      <c r="P756" s="360"/>
      <c r="Q756" s="360"/>
      <c r="R756" s="360"/>
    </row>
    <row r="757" customFormat="false" ht="39.75" hidden="false" customHeight="true" outlineLevel="0" collapsed="false">
      <c r="A757" s="562"/>
      <c r="B757" s="574"/>
      <c r="C757" s="562"/>
      <c r="D757" s="562"/>
      <c r="E757" s="562"/>
      <c r="F757" s="563"/>
      <c r="G757" s="563"/>
      <c r="H757" s="564"/>
      <c r="I757" s="565"/>
      <c r="J757" s="580"/>
      <c r="K757" s="360"/>
      <c r="L757" s="360"/>
      <c r="M757" s="360"/>
      <c r="N757" s="360"/>
      <c r="O757" s="360"/>
      <c r="P757" s="360"/>
      <c r="Q757" s="360"/>
      <c r="R757" s="360"/>
    </row>
    <row r="758" customFormat="false" ht="39.75" hidden="false" customHeight="true" outlineLevel="0" collapsed="false">
      <c r="A758" s="562"/>
      <c r="B758" s="574"/>
      <c r="C758" s="562"/>
      <c r="D758" s="562"/>
      <c r="E758" s="562"/>
      <c r="F758" s="563"/>
      <c r="G758" s="563"/>
      <c r="H758" s="564"/>
      <c r="I758" s="565"/>
      <c r="J758" s="580"/>
      <c r="K758" s="360"/>
      <c r="L758" s="360"/>
      <c r="M758" s="360"/>
      <c r="N758" s="360"/>
      <c r="O758" s="360"/>
      <c r="P758" s="360"/>
      <c r="Q758" s="360"/>
      <c r="R758" s="360"/>
    </row>
    <row r="759" customFormat="false" ht="39.75" hidden="false" customHeight="true" outlineLevel="0" collapsed="false">
      <c r="A759" s="562"/>
      <c r="B759" s="574"/>
      <c r="C759" s="562"/>
      <c r="D759" s="562"/>
      <c r="E759" s="562"/>
      <c r="F759" s="563"/>
      <c r="G759" s="563"/>
      <c r="H759" s="564"/>
      <c r="I759" s="565"/>
      <c r="J759" s="580"/>
      <c r="K759" s="360"/>
      <c r="L759" s="360"/>
      <c r="M759" s="360"/>
      <c r="N759" s="360"/>
      <c r="O759" s="360"/>
      <c r="P759" s="360"/>
      <c r="Q759" s="360"/>
      <c r="R759" s="360"/>
    </row>
    <row r="760" customFormat="false" ht="39.75" hidden="false" customHeight="true" outlineLevel="0" collapsed="false">
      <c r="A760" s="562"/>
      <c r="B760" s="574"/>
      <c r="C760" s="562"/>
      <c r="D760" s="562"/>
      <c r="E760" s="562"/>
      <c r="F760" s="563"/>
      <c r="G760" s="563"/>
      <c r="H760" s="564"/>
      <c r="I760" s="565"/>
      <c r="J760" s="580"/>
      <c r="K760" s="360"/>
      <c r="L760" s="360"/>
      <c r="M760" s="360"/>
      <c r="N760" s="360"/>
      <c r="O760" s="360"/>
      <c r="P760" s="360"/>
      <c r="Q760" s="360"/>
      <c r="R760" s="360"/>
    </row>
    <row r="761" customFormat="false" ht="39.75" hidden="false" customHeight="true" outlineLevel="0" collapsed="false">
      <c r="A761" s="562"/>
      <c r="B761" s="574"/>
      <c r="C761" s="562"/>
      <c r="D761" s="562"/>
      <c r="E761" s="562"/>
      <c r="F761" s="563"/>
      <c r="G761" s="563"/>
      <c r="H761" s="564"/>
      <c r="I761" s="565"/>
      <c r="J761" s="580"/>
      <c r="K761" s="360"/>
      <c r="L761" s="360"/>
      <c r="M761" s="360"/>
      <c r="N761" s="360"/>
      <c r="O761" s="360"/>
      <c r="P761" s="360"/>
      <c r="Q761" s="360"/>
      <c r="R761" s="360"/>
    </row>
    <row r="762" customFormat="false" ht="39.75" hidden="false" customHeight="true" outlineLevel="0" collapsed="false">
      <c r="A762" s="562"/>
      <c r="B762" s="574"/>
      <c r="C762" s="562"/>
      <c r="D762" s="562"/>
      <c r="E762" s="562"/>
      <c r="F762" s="563"/>
      <c r="G762" s="563"/>
      <c r="H762" s="564"/>
      <c r="I762" s="565"/>
      <c r="J762" s="580"/>
      <c r="K762" s="360"/>
      <c r="L762" s="360"/>
      <c r="M762" s="360"/>
      <c r="N762" s="360"/>
      <c r="O762" s="360"/>
      <c r="P762" s="360"/>
      <c r="Q762" s="360"/>
      <c r="R762" s="360"/>
    </row>
    <row r="763" customFormat="false" ht="39.75" hidden="false" customHeight="true" outlineLevel="0" collapsed="false">
      <c r="A763" s="562"/>
      <c r="B763" s="574"/>
      <c r="C763" s="562"/>
      <c r="D763" s="562"/>
      <c r="E763" s="562"/>
      <c r="F763" s="563"/>
      <c r="G763" s="563"/>
      <c r="H763" s="564"/>
      <c r="I763" s="565"/>
      <c r="J763" s="580"/>
      <c r="K763" s="360"/>
      <c r="L763" s="360"/>
      <c r="M763" s="360"/>
      <c r="N763" s="360"/>
      <c r="O763" s="360"/>
      <c r="P763" s="360"/>
      <c r="Q763" s="360"/>
      <c r="R763" s="360"/>
    </row>
    <row r="764" customFormat="false" ht="39.75" hidden="false" customHeight="true" outlineLevel="0" collapsed="false">
      <c r="A764" s="562"/>
      <c r="B764" s="574"/>
      <c r="C764" s="562"/>
      <c r="D764" s="562"/>
      <c r="E764" s="562"/>
      <c r="F764" s="563"/>
      <c r="G764" s="563"/>
      <c r="H764" s="564"/>
      <c r="I764" s="565"/>
      <c r="J764" s="580"/>
      <c r="K764" s="360"/>
      <c r="L764" s="360"/>
      <c r="M764" s="360"/>
      <c r="N764" s="360"/>
      <c r="O764" s="360"/>
      <c r="P764" s="360"/>
      <c r="Q764" s="360"/>
      <c r="R764" s="360"/>
    </row>
    <row r="765" customFormat="false" ht="39.75" hidden="false" customHeight="true" outlineLevel="0" collapsed="false">
      <c r="A765" s="562"/>
      <c r="B765" s="574"/>
      <c r="C765" s="562"/>
      <c r="D765" s="562"/>
      <c r="E765" s="562"/>
      <c r="F765" s="563"/>
      <c r="G765" s="563"/>
      <c r="H765" s="564"/>
      <c r="I765" s="565"/>
      <c r="J765" s="580"/>
      <c r="K765" s="360"/>
      <c r="L765" s="360"/>
      <c r="M765" s="360"/>
      <c r="N765" s="360"/>
      <c r="O765" s="360"/>
      <c r="P765" s="360"/>
      <c r="Q765" s="360"/>
      <c r="R765" s="360"/>
    </row>
    <row r="766" customFormat="false" ht="39.75" hidden="false" customHeight="true" outlineLevel="0" collapsed="false">
      <c r="A766" s="562"/>
      <c r="B766" s="574"/>
      <c r="C766" s="562"/>
      <c r="D766" s="562"/>
      <c r="E766" s="562"/>
      <c r="F766" s="563"/>
      <c r="G766" s="563"/>
      <c r="H766" s="564"/>
      <c r="I766" s="565"/>
      <c r="J766" s="580"/>
      <c r="K766" s="360"/>
      <c r="L766" s="360"/>
      <c r="M766" s="360"/>
      <c r="N766" s="360"/>
      <c r="O766" s="360"/>
      <c r="P766" s="360"/>
      <c r="Q766" s="360"/>
      <c r="R766" s="360"/>
    </row>
    <row r="767" customFormat="false" ht="39.75" hidden="false" customHeight="true" outlineLevel="0" collapsed="false">
      <c r="A767" s="562"/>
      <c r="B767" s="574"/>
      <c r="C767" s="562"/>
      <c r="D767" s="562"/>
      <c r="E767" s="562"/>
      <c r="F767" s="563"/>
      <c r="G767" s="563"/>
      <c r="H767" s="564"/>
      <c r="I767" s="565"/>
      <c r="J767" s="580"/>
      <c r="K767" s="360"/>
      <c r="L767" s="360"/>
      <c r="M767" s="360"/>
      <c r="N767" s="360"/>
      <c r="O767" s="360"/>
      <c r="P767" s="360"/>
      <c r="Q767" s="360"/>
      <c r="R767" s="360"/>
    </row>
    <row r="768" customFormat="false" ht="39.75" hidden="false" customHeight="true" outlineLevel="0" collapsed="false">
      <c r="A768" s="562"/>
      <c r="B768" s="574"/>
      <c r="C768" s="562"/>
      <c r="D768" s="562"/>
      <c r="E768" s="562"/>
      <c r="F768" s="563"/>
      <c r="G768" s="563"/>
      <c r="H768" s="564"/>
      <c r="I768" s="565"/>
      <c r="J768" s="580"/>
      <c r="K768" s="360"/>
      <c r="L768" s="360"/>
      <c r="M768" s="360"/>
      <c r="N768" s="360"/>
      <c r="O768" s="360"/>
      <c r="P768" s="360"/>
      <c r="Q768" s="360"/>
      <c r="R768" s="360"/>
    </row>
    <row r="769" customFormat="false" ht="39.75" hidden="false" customHeight="true" outlineLevel="0" collapsed="false">
      <c r="A769" s="562"/>
      <c r="B769" s="574"/>
      <c r="C769" s="562"/>
      <c r="D769" s="562"/>
      <c r="E769" s="562"/>
      <c r="F769" s="563"/>
      <c r="G769" s="563"/>
      <c r="H769" s="564"/>
      <c r="I769" s="565"/>
      <c r="J769" s="580"/>
      <c r="K769" s="360"/>
      <c r="L769" s="360"/>
      <c r="M769" s="360"/>
      <c r="N769" s="360"/>
      <c r="O769" s="360"/>
      <c r="P769" s="360"/>
      <c r="Q769" s="360"/>
      <c r="R769" s="360"/>
    </row>
    <row r="770" customFormat="false" ht="39.75" hidden="false" customHeight="true" outlineLevel="0" collapsed="false">
      <c r="A770" s="562"/>
      <c r="B770" s="574"/>
      <c r="C770" s="562"/>
      <c r="D770" s="562"/>
      <c r="E770" s="562"/>
      <c r="F770" s="563"/>
      <c r="G770" s="563"/>
      <c r="H770" s="564"/>
      <c r="I770" s="565"/>
      <c r="J770" s="580"/>
      <c r="K770" s="360"/>
      <c r="L770" s="360"/>
      <c r="M770" s="360"/>
      <c r="N770" s="360"/>
      <c r="O770" s="360"/>
      <c r="P770" s="360"/>
      <c r="Q770" s="360"/>
      <c r="R770" s="360"/>
    </row>
    <row r="771" customFormat="false" ht="39.75" hidden="false" customHeight="true" outlineLevel="0" collapsed="false">
      <c r="A771" s="562"/>
      <c r="B771" s="574"/>
      <c r="C771" s="562"/>
      <c r="D771" s="562"/>
      <c r="E771" s="562"/>
      <c r="F771" s="563"/>
      <c r="G771" s="563"/>
      <c r="H771" s="564"/>
      <c r="I771" s="565"/>
      <c r="J771" s="580"/>
      <c r="K771" s="360"/>
      <c r="L771" s="360"/>
      <c r="M771" s="360"/>
      <c r="N771" s="360"/>
      <c r="O771" s="360"/>
      <c r="P771" s="360"/>
      <c r="Q771" s="360"/>
      <c r="R771" s="360"/>
    </row>
    <row r="772" customFormat="false" ht="39.75" hidden="false" customHeight="true" outlineLevel="0" collapsed="false">
      <c r="A772" s="562"/>
      <c r="B772" s="574"/>
      <c r="C772" s="562"/>
      <c r="D772" s="562"/>
      <c r="E772" s="562"/>
      <c r="F772" s="563"/>
      <c r="G772" s="563"/>
      <c r="H772" s="564"/>
      <c r="I772" s="565"/>
      <c r="J772" s="580"/>
      <c r="K772" s="360"/>
      <c r="L772" s="360"/>
      <c r="M772" s="360"/>
      <c r="N772" s="360"/>
      <c r="O772" s="360"/>
      <c r="P772" s="360"/>
      <c r="Q772" s="360"/>
      <c r="R772" s="360"/>
    </row>
    <row r="773" customFormat="false" ht="39.75" hidden="false" customHeight="true" outlineLevel="0" collapsed="false">
      <c r="A773" s="562"/>
      <c r="B773" s="574"/>
      <c r="C773" s="562"/>
      <c r="D773" s="562"/>
      <c r="E773" s="562"/>
      <c r="F773" s="563"/>
      <c r="G773" s="563"/>
      <c r="H773" s="564"/>
      <c r="I773" s="565"/>
      <c r="J773" s="580"/>
      <c r="K773" s="360"/>
      <c r="L773" s="360"/>
      <c r="M773" s="360"/>
      <c r="N773" s="360"/>
      <c r="O773" s="360"/>
      <c r="P773" s="360"/>
      <c r="Q773" s="360"/>
      <c r="R773" s="360"/>
    </row>
    <row r="774" customFormat="false" ht="39.75" hidden="false" customHeight="true" outlineLevel="0" collapsed="false">
      <c r="A774" s="562"/>
      <c r="B774" s="574"/>
      <c r="C774" s="562"/>
      <c r="D774" s="562"/>
      <c r="E774" s="562"/>
      <c r="F774" s="563"/>
      <c r="G774" s="563"/>
      <c r="H774" s="564"/>
      <c r="I774" s="565"/>
      <c r="J774" s="580"/>
      <c r="K774" s="360"/>
      <c r="L774" s="360"/>
      <c r="M774" s="360"/>
      <c r="N774" s="360"/>
      <c r="O774" s="360"/>
      <c r="P774" s="360"/>
      <c r="Q774" s="360"/>
      <c r="R774" s="360"/>
    </row>
    <row r="775" customFormat="false" ht="39.75" hidden="false" customHeight="true" outlineLevel="0" collapsed="false">
      <c r="A775" s="562"/>
      <c r="B775" s="574"/>
      <c r="C775" s="562"/>
      <c r="D775" s="562"/>
      <c r="E775" s="562"/>
      <c r="F775" s="563"/>
      <c r="G775" s="563"/>
      <c r="H775" s="564"/>
      <c r="I775" s="565"/>
      <c r="J775" s="580"/>
      <c r="K775" s="360"/>
      <c r="L775" s="360"/>
      <c r="M775" s="360"/>
      <c r="N775" s="360"/>
      <c r="O775" s="360"/>
      <c r="P775" s="360"/>
      <c r="Q775" s="360"/>
      <c r="R775" s="360"/>
    </row>
    <row r="776" customFormat="false" ht="39.75" hidden="false" customHeight="true" outlineLevel="0" collapsed="false">
      <c r="A776" s="562"/>
      <c r="B776" s="574"/>
      <c r="C776" s="562"/>
      <c r="D776" s="562"/>
      <c r="E776" s="562"/>
      <c r="F776" s="563"/>
      <c r="G776" s="563"/>
      <c r="H776" s="564"/>
      <c r="I776" s="565"/>
      <c r="J776" s="580"/>
      <c r="K776" s="360"/>
      <c r="L776" s="360"/>
      <c r="M776" s="360"/>
      <c r="N776" s="360"/>
      <c r="O776" s="360"/>
      <c r="P776" s="360"/>
      <c r="Q776" s="360"/>
      <c r="R776" s="360"/>
    </row>
    <row r="777" customFormat="false" ht="39.75" hidden="false" customHeight="true" outlineLevel="0" collapsed="false">
      <c r="A777" s="562"/>
      <c r="B777" s="574"/>
      <c r="C777" s="562"/>
      <c r="D777" s="562"/>
      <c r="E777" s="562"/>
      <c r="F777" s="563"/>
      <c r="G777" s="563"/>
      <c r="H777" s="564"/>
      <c r="I777" s="565"/>
      <c r="J777" s="580"/>
      <c r="K777" s="360"/>
      <c r="L777" s="360"/>
      <c r="M777" s="360"/>
      <c r="N777" s="360"/>
      <c r="O777" s="360"/>
      <c r="P777" s="360"/>
      <c r="Q777" s="360"/>
      <c r="R777" s="360"/>
    </row>
    <row r="778" customFormat="false" ht="39.75" hidden="false" customHeight="true" outlineLevel="0" collapsed="false">
      <c r="A778" s="562"/>
      <c r="B778" s="574"/>
      <c r="C778" s="562"/>
      <c r="D778" s="562"/>
      <c r="E778" s="562"/>
      <c r="F778" s="563"/>
      <c r="G778" s="563"/>
      <c r="H778" s="564"/>
      <c r="I778" s="565"/>
      <c r="J778" s="580"/>
      <c r="K778" s="360"/>
      <c r="L778" s="360"/>
      <c r="M778" s="360"/>
      <c r="N778" s="360"/>
      <c r="O778" s="360"/>
      <c r="P778" s="360"/>
      <c r="Q778" s="360"/>
      <c r="R778" s="360"/>
    </row>
    <row r="779" customFormat="false" ht="39.75" hidden="false" customHeight="true" outlineLevel="0" collapsed="false">
      <c r="A779" s="562"/>
      <c r="B779" s="574"/>
      <c r="C779" s="562"/>
      <c r="D779" s="562"/>
      <c r="E779" s="562"/>
      <c r="F779" s="563"/>
      <c r="G779" s="563"/>
      <c r="H779" s="564"/>
      <c r="I779" s="565"/>
      <c r="J779" s="580"/>
      <c r="K779" s="360"/>
      <c r="L779" s="360"/>
      <c r="M779" s="360"/>
      <c r="N779" s="360"/>
      <c r="O779" s="360"/>
      <c r="P779" s="360"/>
      <c r="Q779" s="360"/>
      <c r="R779" s="360"/>
    </row>
    <row r="780" customFormat="false" ht="39.75" hidden="false" customHeight="true" outlineLevel="0" collapsed="false">
      <c r="A780" s="562"/>
      <c r="B780" s="574"/>
      <c r="C780" s="562"/>
      <c r="D780" s="562"/>
      <c r="E780" s="562"/>
      <c r="F780" s="563"/>
      <c r="G780" s="563"/>
      <c r="H780" s="564"/>
      <c r="I780" s="565"/>
      <c r="J780" s="580"/>
      <c r="K780" s="360"/>
      <c r="L780" s="360"/>
      <c r="M780" s="360"/>
      <c r="N780" s="360"/>
      <c r="O780" s="360"/>
      <c r="P780" s="360"/>
      <c r="Q780" s="360"/>
      <c r="R780" s="360"/>
    </row>
    <row r="781" customFormat="false" ht="39.75" hidden="false" customHeight="true" outlineLevel="0" collapsed="false">
      <c r="A781" s="562"/>
      <c r="B781" s="574"/>
      <c r="C781" s="562"/>
      <c r="D781" s="562"/>
      <c r="E781" s="562"/>
      <c r="F781" s="563"/>
      <c r="G781" s="563"/>
      <c r="H781" s="564"/>
      <c r="I781" s="565"/>
      <c r="J781" s="580"/>
      <c r="K781" s="360"/>
      <c r="L781" s="360"/>
      <c r="M781" s="360"/>
      <c r="N781" s="360"/>
      <c r="O781" s="360"/>
      <c r="P781" s="360"/>
      <c r="Q781" s="360"/>
      <c r="R781" s="360"/>
    </row>
    <row r="782" customFormat="false" ht="39.75" hidden="false" customHeight="true" outlineLevel="0" collapsed="false">
      <c r="A782" s="562"/>
      <c r="B782" s="574"/>
      <c r="C782" s="562"/>
      <c r="D782" s="562"/>
      <c r="E782" s="562"/>
      <c r="F782" s="563"/>
      <c r="G782" s="563"/>
      <c r="H782" s="564"/>
      <c r="I782" s="565"/>
      <c r="J782" s="580"/>
      <c r="K782" s="360"/>
      <c r="L782" s="360"/>
      <c r="M782" s="360"/>
      <c r="N782" s="360"/>
      <c r="O782" s="360"/>
      <c r="P782" s="360"/>
      <c r="Q782" s="360"/>
      <c r="R782" s="360"/>
    </row>
    <row r="783" customFormat="false" ht="39.75" hidden="false" customHeight="true" outlineLevel="0" collapsed="false">
      <c r="A783" s="562"/>
      <c r="B783" s="574"/>
      <c r="C783" s="562"/>
      <c r="D783" s="562"/>
      <c r="E783" s="562"/>
      <c r="F783" s="563"/>
      <c r="G783" s="563"/>
      <c r="H783" s="564"/>
      <c r="I783" s="565"/>
      <c r="J783" s="580"/>
      <c r="K783" s="360"/>
      <c r="L783" s="360"/>
      <c r="M783" s="360"/>
      <c r="N783" s="360"/>
      <c r="O783" s="360"/>
      <c r="P783" s="360"/>
      <c r="Q783" s="360"/>
      <c r="R783" s="360"/>
    </row>
    <row r="784" customFormat="false" ht="39.75" hidden="false" customHeight="true" outlineLevel="0" collapsed="false">
      <c r="A784" s="562"/>
      <c r="B784" s="574"/>
      <c r="C784" s="562"/>
      <c r="D784" s="562"/>
      <c r="E784" s="562"/>
      <c r="F784" s="563"/>
      <c r="G784" s="563"/>
      <c r="H784" s="564"/>
      <c r="I784" s="565"/>
      <c r="J784" s="580"/>
      <c r="K784" s="360"/>
      <c r="L784" s="360"/>
      <c r="M784" s="360"/>
      <c r="N784" s="360"/>
      <c r="O784" s="360"/>
      <c r="P784" s="360"/>
      <c r="Q784" s="360"/>
      <c r="R784" s="360"/>
    </row>
    <row r="785" customFormat="false" ht="39.75" hidden="false" customHeight="true" outlineLevel="0" collapsed="false">
      <c r="A785" s="562"/>
      <c r="B785" s="574"/>
      <c r="C785" s="562"/>
      <c r="D785" s="562"/>
      <c r="E785" s="562"/>
      <c r="F785" s="563"/>
      <c r="G785" s="563"/>
      <c r="H785" s="564"/>
      <c r="I785" s="565"/>
      <c r="J785" s="580"/>
      <c r="K785" s="360"/>
      <c r="L785" s="360"/>
      <c r="M785" s="360"/>
      <c r="N785" s="360"/>
      <c r="O785" s="360"/>
      <c r="P785" s="360"/>
      <c r="Q785" s="360"/>
      <c r="R785" s="360"/>
    </row>
    <row r="786" customFormat="false" ht="39.75" hidden="false" customHeight="true" outlineLevel="0" collapsed="false">
      <c r="A786" s="562"/>
      <c r="B786" s="574"/>
      <c r="C786" s="562"/>
      <c r="D786" s="562"/>
      <c r="E786" s="562"/>
      <c r="F786" s="563"/>
      <c r="G786" s="563"/>
      <c r="H786" s="564"/>
      <c r="I786" s="565"/>
      <c r="J786" s="580"/>
      <c r="K786" s="360"/>
      <c r="L786" s="360"/>
      <c r="M786" s="360"/>
      <c r="N786" s="360"/>
      <c r="O786" s="360"/>
      <c r="P786" s="360"/>
      <c r="Q786" s="360"/>
      <c r="R786" s="360"/>
    </row>
    <row r="787" customFormat="false" ht="39.75" hidden="false" customHeight="true" outlineLevel="0" collapsed="false">
      <c r="A787" s="562"/>
      <c r="B787" s="574"/>
      <c r="C787" s="562"/>
      <c r="D787" s="562"/>
      <c r="E787" s="562"/>
      <c r="F787" s="563"/>
      <c r="G787" s="563"/>
      <c r="H787" s="564"/>
      <c r="I787" s="565"/>
      <c r="J787" s="580"/>
      <c r="K787" s="360"/>
      <c r="L787" s="360"/>
      <c r="M787" s="360"/>
      <c r="N787" s="360"/>
      <c r="O787" s="360"/>
      <c r="P787" s="360"/>
      <c r="Q787" s="360"/>
      <c r="R787" s="360"/>
    </row>
    <row r="788" customFormat="false" ht="39.75" hidden="false" customHeight="true" outlineLevel="0" collapsed="false">
      <c r="A788" s="562"/>
      <c r="B788" s="574"/>
      <c r="C788" s="562"/>
      <c r="D788" s="562"/>
      <c r="E788" s="562"/>
      <c r="F788" s="563"/>
      <c r="G788" s="563"/>
      <c r="H788" s="564"/>
      <c r="I788" s="565"/>
      <c r="J788" s="580"/>
      <c r="K788" s="360"/>
      <c r="L788" s="360"/>
      <c r="M788" s="360"/>
      <c r="N788" s="360"/>
      <c r="O788" s="360"/>
      <c r="P788" s="360"/>
      <c r="Q788" s="360"/>
      <c r="R788" s="360"/>
    </row>
    <row r="789" customFormat="false" ht="39.75" hidden="false" customHeight="true" outlineLevel="0" collapsed="false">
      <c r="A789" s="562"/>
      <c r="B789" s="574"/>
      <c r="C789" s="562"/>
      <c r="D789" s="562"/>
      <c r="E789" s="562"/>
      <c r="F789" s="563"/>
      <c r="G789" s="563"/>
      <c r="H789" s="564"/>
      <c r="I789" s="565"/>
      <c r="J789" s="580"/>
      <c r="K789" s="360"/>
      <c r="L789" s="360"/>
      <c r="M789" s="360"/>
      <c r="N789" s="360"/>
      <c r="O789" s="360"/>
      <c r="P789" s="360"/>
      <c r="Q789" s="360"/>
      <c r="R789" s="360"/>
    </row>
    <row r="790" customFormat="false" ht="39.75" hidden="false" customHeight="true" outlineLevel="0" collapsed="false">
      <c r="A790" s="562"/>
      <c r="B790" s="574"/>
      <c r="C790" s="562"/>
      <c r="D790" s="562"/>
      <c r="E790" s="562"/>
      <c r="F790" s="563"/>
      <c r="G790" s="563"/>
      <c r="H790" s="564"/>
      <c r="I790" s="565"/>
      <c r="J790" s="580"/>
      <c r="K790" s="360"/>
      <c r="L790" s="360"/>
      <c r="M790" s="360"/>
      <c r="N790" s="360"/>
      <c r="O790" s="360"/>
      <c r="P790" s="360"/>
      <c r="Q790" s="360"/>
      <c r="R790" s="360"/>
    </row>
    <row r="791" customFormat="false" ht="39.75" hidden="false" customHeight="true" outlineLevel="0" collapsed="false">
      <c r="A791" s="562"/>
      <c r="B791" s="574"/>
      <c r="C791" s="562"/>
      <c r="D791" s="562"/>
      <c r="E791" s="562"/>
      <c r="F791" s="563"/>
      <c r="G791" s="563"/>
      <c r="H791" s="564"/>
      <c r="I791" s="565"/>
      <c r="J791" s="580"/>
      <c r="K791" s="360"/>
      <c r="L791" s="360"/>
      <c r="M791" s="360"/>
      <c r="N791" s="360"/>
      <c r="O791" s="360"/>
      <c r="P791" s="360"/>
      <c r="Q791" s="360"/>
      <c r="R791" s="360"/>
    </row>
    <row r="792" customFormat="false" ht="39.75" hidden="false" customHeight="true" outlineLevel="0" collapsed="false">
      <c r="A792" s="562"/>
      <c r="B792" s="574"/>
      <c r="C792" s="562"/>
      <c r="D792" s="562"/>
      <c r="E792" s="562"/>
      <c r="F792" s="563"/>
      <c r="G792" s="563"/>
      <c r="H792" s="564"/>
      <c r="I792" s="565"/>
      <c r="J792" s="580"/>
      <c r="K792" s="360"/>
      <c r="L792" s="360"/>
      <c r="M792" s="360"/>
      <c r="N792" s="360"/>
      <c r="O792" s="360"/>
      <c r="P792" s="360"/>
      <c r="Q792" s="360"/>
      <c r="R792" s="360"/>
    </row>
    <row r="793" customFormat="false" ht="39.75" hidden="false" customHeight="true" outlineLevel="0" collapsed="false">
      <c r="A793" s="562"/>
      <c r="B793" s="574"/>
      <c r="C793" s="562"/>
      <c r="D793" s="562"/>
      <c r="E793" s="562"/>
      <c r="F793" s="563"/>
      <c r="G793" s="563"/>
      <c r="H793" s="564"/>
      <c r="I793" s="565"/>
      <c r="J793" s="580"/>
      <c r="K793" s="360"/>
      <c r="L793" s="360"/>
      <c r="M793" s="360"/>
      <c r="N793" s="360"/>
      <c r="O793" s="360"/>
      <c r="P793" s="360"/>
      <c r="Q793" s="360"/>
      <c r="R793" s="360"/>
    </row>
    <row r="794" customFormat="false" ht="39.75" hidden="false" customHeight="true" outlineLevel="0" collapsed="false">
      <c r="A794" s="562"/>
      <c r="B794" s="574"/>
      <c r="C794" s="562"/>
      <c r="D794" s="562"/>
      <c r="E794" s="562"/>
      <c r="F794" s="563"/>
      <c r="G794" s="563"/>
      <c r="H794" s="564"/>
      <c r="I794" s="565"/>
      <c r="J794" s="580"/>
      <c r="K794" s="360"/>
      <c r="L794" s="360"/>
      <c r="M794" s="360"/>
      <c r="N794" s="360"/>
      <c r="O794" s="360"/>
      <c r="P794" s="360"/>
      <c r="Q794" s="360"/>
      <c r="R794" s="360"/>
    </row>
    <row r="795" customFormat="false" ht="39.75" hidden="false" customHeight="true" outlineLevel="0" collapsed="false">
      <c r="A795" s="562"/>
      <c r="B795" s="574"/>
      <c r="C795" s="562"/>
      <c r="D795" s="562"/>
      <c r="E795" s="562"/>
      <c r="F795" s="563"/>
      <c r="G795" s="563"/>
      <c r="H795" s="564"/>
      <c r="I795" s="565"/>
      <c r="J795" s="580"/>
      <c r="K795" s="360"/>
      <c r="L795" s="360"/>
      <c r="M795" s="360"/>
      <c r="N795" s="360"/>
      <c r="O795" s="360"/>
      <c r="P795" s="360"/>
      <c r="Q795" s="360"/>
      <c r="R795" s="360"/>
    </row>
    <row r="796" customFormat="false" ht="39.75" hidden="false" customHeight="true" outlineLevel="0" collapsed="false">
      <c r="A796" s="562"/>
      <c r="B796" s="574"/>
      <c r="C796" s="562"/>
      <c r="D796" s="562"/>
      <c r="E796" s="562"/>
      <c r="F796" s="563"/>
      <c r="G796" s="563"/>
      <c r="H796" s="564"/>
      <c r="I796" s="565"/>
      <c r="J796" s="580"/>
      <c r="K796" s="360"/>
      <c r="L796" s="360"/>
      <c r="M796" s="360"/>
      <c r="N796" s="360"/>
      <c r="O796" s="360"/>
      <c r="P796" s="360"/>
      <c r="Q796" s="360"/>
      <c r="R796" s="360"/>
    </row>
    <row r="797" customFormat="false" ht="39.75" hidden="false" customHeight="true" outlineLevel="0" collapsed="false">
      <c r="A797" s="562"/>
      <c r="B797" s="574"/>
      <c r="C797" s="562"/>
      <c r="D797" s="562"/>
      <c r="E797" s="562"/>
      <c r="F797" s="563"/>
      <c r="G797" s="563"/>
      <c r="H797" s="564"/>
      <c r="I797" s="565"/>
      <c r="J797" s="580"/>
      <c r="K797" s="360"/>
      <c r="L797" s="360"/>
      <c r="M797" s="360"/>
      <c r="N797" s="360"/>
      <c r="O797" s="360"/>
      <c r="P797" s="360"/>
      <c r="Q797" s="360"/>
      <c r="R797" s="360"/>
    </row>
    <row r="798" customFormat="false" ht="39.75" hidden="false" customHeight="true" outlineLevel="0" collapsed="false">
      <c r="A798" s="562"/>
      <c r="B798" s="574"/>
      <c r="C798" s="562"/>
      <c r="D798" s="562"/>
      <c r="E798" s="562"/>
      <c r="F798" s="563"/>
      <c r="G798" s="563"/>
      <c r="H798" s="564"/>
      <c r="I798" s="565"/>
      <c r="J798" s="580"/>
      <c r="K798" s="360"/>
      <c r="L798" s="360"/>
      <c r="M798" s="360"/>
      <c r="N798" s="360"/>
      <c r="O798" s="360"/>
      <c r="P798" s="360"/>
      <c r="Q798" s="360"/>
      <c r="R798" s="360"/>
    </row>
    <row r="799" customFormat="false" ht="39.75" hidden="false" customHeight="true" outlineLevel="0" collapsed="false">
      <c r="A799" s="562"/>
      <c r="B799" s="574"/>
      <c r="C799" s="562"/>
      <c r="D799" s="562"/>
      <c r="E799" s="562"/>
      <c r="F799" s="563"/>
      <c r="G799" s="563"/>
      <c r="H799" s="564"/>
      <c r="I799" s="565"/>
      <c r="J799" s="580"/>
      <c r="K799" s="360"/>
      <c r="L799" s="360"/>
      <c r="M799" s="360"/>
      <c r="N799" s="360"/>
      <c r="O799" s="360"/>
      <c r="P799" s="360"/>
      <c r="Q799" s="360"/>
      <c r="R799" s="360"/>
    </row>
    <row r="800" customFormat="false" ht="39.75" hidden="false" customHeight="true" outlineLevel="0" collapsed="false">
      <c r="A800" s="562"/>
      <c r="B800" s="574"/>
      <c r="C800" s="562"/>
      <c r="D800" s="562"/>
      <c r="E800" s="562"/>
      <c r="F800" s="563"/>
      <c r="G800" s="563"/>
      <c r="H800" s="564"/>
      <c r="I800" s="565"/>
      <c r="J800" s="580"/>
      <c r="K800" s="360"/>
      <c r="L800" s="360"/>
      <c r="M800" s="360"/>
      <c r="N800" s="360"/>
      <c r="O800" s="360"/>
      <c r="P800" s="360"/>
      <c r="Q800" s="360"/>
      <c r="R800" s="360"/>
    </row>
    <row r="801" customFormat="false" ht="39.75" hidden="false" customHeight="true" outlineLevel="0" collapsed="false">
      <c r="A801" s="562"/>
      <c r="B801" s="574"/>
      <c r="C801" s="562"/>
      <c r="D801" s="562"/>
      <c r="E801" s="562"/>
      <c r="F801" s="563"/>
      <c r="G801" s="563"/>
      <c r="H801" s="564"/>
      <c r="I801" s="565"/>
      <c r="J801" s="580"/>
      <c r="K801" s="360"/>
      <c r="L801" s="360"/>
      <c r="M801" s="360"/>
      <c r="N801" s="360"/>
      <c r="O801" s="360"/>
      <c r="P801" s="360"/>
      <c r="Q801" s="360"/>
      <c r="R801" s="360"/>
    </row>
    <row r="802" customFormat="false" ht="39.75" hidden="false" customHeight="true" outlineLevel="0" collapsed="false">
      <c r="A802" s="562"/>
      <c r="B802" s="574"/>
      <c r="C802" s="562"/>
      <c r="D802" s="562"/>
      <c r="E802" s="562"/>
      <c r="F802" s="563"/>
      <c r="G802" s="563"/>
      <c r="H802" s="564"/>
      <c r="I802" s="565"/>
      <c r="J802" s="580"/>
      <c r="K802" s="360"/>
      <c r="L802" s="360"/>
      <c r="M802" s="360"/>
      <c r="N802" s="360"/>
      <c r="O802" s="360"/>
      <c r="P802" s="360"/>
      <c r="Q802" s="360"/>
      <c r="R802" s="360"/>
    </row>
    <row r="803" customFormat="false" ht="39.75" hidden="false" customHeight="true" outlineLevel="0" collapsed="false">
      <c r="A803" s="562"/>
      <c r="B803" s="574"/>
      <c r="C803" s="562"/>
      <c r="D803" s="562"/>
      <c r="E803" s="562"/>
      <c r="F803" s="563"/>
      <c r="G803" s="563"/>
      <c r="H803" s="564"/>
      <c r="I803" s="565"/>
      <c r="J803" s="580"/>
      <c r="K803" s="360"/>
      <c r="L803" s="360"/>
      <c r="M803" s="360"/>
      <c r="N803" s="360"/>
      <c r="O803" s="360"/>
      <c r="P803" s="360"/>
      <c r="Q803" s="360"/>
      <c r="R803" s="360"/>
    </row>
    <row r="804" customFormat="false" ht="39.75" hidden="false" customHeight="true" outlineLevel="0" collapsed="false">
      <c r="A804" s="562"/>
      <c r="B804" s="574"/>
      <c r="C804" s="562"/>
      <c r="D804" s="562"/>
      <c r="E804" s="562"/>
      <c r="F804" s="563"/>
      <c r="G804" s="563"/>
      <c r="H804" s="564"/>
      <c r="I804" s="565"/>
      <c r="J804" s="580"/>
      <c r="K804" s="360"/>
      <c r="L804" s="360"/>
      <c r="M804" s="360"/>
      <c r="N804" s="360"/>
      <c r="O804" s="360"/>
      <c r="P804" s="360"/>
      <c r="Q804" s="360"/>
      <c r="R804" s="360"/>
    </row>
    <row r="805" customFormat="false" ht="39.75" hidden="false" customHeight="true" outlineLevel="0" collapsed="false">
      <c r="A805" s="562"/>
      <c r="B805" s="574"/>
      <c r="C805" s="562"/>
      <c r="D805" s="562"/>
      <c r="E805" s="562"/>
      <c r="F805" s="563"/>
      <c r="G805" s="563"/>
      <c r="H805" s="564"/>
      <c r="I805" s="565"/>
      <c r="J805" s="580"/>
      <c r="K805" s="360"/>
      <c r="L805" s="360"/>
      <c r="M805" s="360"/>
      <c r="N805" s="360"/>
      <c r="O805" s="360"/>
      <c r="P805" s="360"/>
      <c r="Q805" s="360"/>
      <c r="R805" s="360"/>
    </row>
    <row r="806" customFormat="false" ht="39.75" hidden="false" customHeight="true" outlineLevel="0" collapsed="false">
      <c r="A806" s="562"/>
      <c r="B806" s="574"/>
      <c r="C806" s="562"/>
      <c r="D806" s="562"/>
      <c r="E806" s="562"/>
      <c r="F806" s="563"/>
      <c r="G806" s="563"/>
      <c r="H806" s="564"/>
      <c r="I806" s="565"/>
      <c r="J806" s="580"/>
      <c r="K806" s="360"/>
      <c r="L806" s="360"/>
      <c r="M806" s="360"/>
      <c r="N806" s="360"/>
      <c r="O806" s="360"/>
      <c r="P806" s="360"/>
      <c r="Q806" s="360"/>
      <c r="R806" s="360"/>
    </row>
    <row r="807" customFormat="false" ht="39.75" hidden="false" customHeight="true" outlineLevel="0" collapsed="false">
      <c r="A807" s="562"/>
      <c r="B807" s="574"/>
      <c r="C807" s="562"/>
      <c r="D807" s="562"/>
      <c r="E807" s="562"/>
      <c r="F807" s="563"/>
      <c r="G807" s="563"/>
      <c r="H807" s="564"/>
      <c r="I807" s="565"/>
      <c r="J807" s="580"/>
      <c r="K807" s="360"/>
      <c r="L807" s="360"/>
      <c r="M807" s="360"/>
      <c r="N807" s="360"/>
      <c r="O807" s="360"/>
      <c r="P807" s="360"/>
      <c r="Q807" s="360"/>
      <c r="R807" s="360"/>
    </row>
    <row r="808" customFormat="false" ht="39.75" hidden="false" customHeight="true" outlineLevel="0" collapsed="false">
      <c r="A808" s="562"/>
      <c r="B808" s="574"/>
      <c r="C808" s="562"/>
      <c r="D808" s="562"/>
      <c r="E808" s="562"/>
      <c r="F808" s="563"/>
      <c r="G808" s="563"/>
      <c r="H808" s="564"/>
      <c r="I808" s="565"/>
      <c r="J808" s="580"/>
      <c r="K808" s="360"/>
      <c r="L808" s="360"/>
      <c r="M808" s="360"/>
      <c r="N808" s="360"/>
      <c r="O808" s="360"/>
      <c r="P808" s="360"/>
      <c r="Q808" s="360"/>
      <c r="R808" s="360"/>
    </row>
    <row r="809" customFormat="false" ht="39.75" hidden="false" customHeight="true" outlineLevel="0" collapsed="false">
      <c r="A809" s="562"/>
      <c r="B809" s="574"/>
      <c r="C809" s="562"/>
      <c r="D809" s="562"/>
      <c r="E809" s="562"/>
      <c r="F809" s="563"/>
      <c r="G809" s="563"/>
      <c r="H809" s="564"/>
      <c r="I809" s="565"/>
      <c r="J809" s="580"/>
      <c r="K809" s="360"/>
      <c r="L809" s="360"/>
      <c r="M809" s="360"/>
      <c r="N809" s="360"/>
      <c r="O809" s="360"/>
      <c r="P809" s="360"/>
      <c r="Q809" s="360"/>
      <c r="R809" s="360"/>
    </row>
    <row r="810" customFormat="false" ht="39.75" hidden="false" customHeight="true" outlineLevel="0" collapsed="false">
      <c r="A810" s="562"/>
      <c r="B810" s="574"/>
      <c r="C810" s="562"/>
      <c r="D810" s="562"/>
      <c r="E810" s="562"/>
      <c r="F810" s="563"/>
      <c r="G810" s="563"/>
      <c r="H810" s="564"/>
      <c r="I810" s="565"/>
      <c r="J810" s="580"/>
      <c r="K810" s="360"/>
      <c r="L810" s="360"/>
      <c r="M810" s="360"/>
      <c r="N810" s="360"/>
      <c r="O810" s="360"/>
      <c r="P810" s="360"/>
      <c r="Q810" s="360"/>
      <c r="R810" s="360"/>
    </row>
    <row r="811" customFormat="false" ht="39.75" hidden="false" customHeight="true" outlineLevel="0" collapsed="false">
      <c r="A811" s="562"/>
      <c r="B811" s="574"/>
      <c r="C811" s="562"/>
      <c r="D811" s="562"/>
      <c r="E811" s="562"/>
      <c r="F811" s="563"/>
      <c r="G811" s="563"/>
      <c r="H811" s="564"/>
      <c r="I811" s="565"/>
      <c r="J811" s="580"/>
      <c r="K811" s="360"/>
      <c r="L811" s="360"/>
      <c r="M811" s="360"/>
      <c r="N811" s="360"/>
      <c r="O811" s="360"/>
      <c r="P811" s="360"/>
      <c r="Q811" s="360"/>
      <c r="R811" s="360"/>
    </row>
    <row r="812" customFormat="false" ht="39.75" hidden="false" customHeight="true" outlineLevel="0" collapsed="false">
      <c r="A812" s="562"/>
      <c r="B812" s="574"/>
      <c r="C812" s="562"/>
      <c r="D812" s="562"/>
      <c r="E812" s="562"/>
      <c r="F812" s="563"/>
      <c r="G812" s="563"/>
      <c r="H812" s="564"/>
      <c r="I812" s="565"/>
      <c r="J812" s="580"/>
      <c r="K812" s="360"/>
      <c r="L812" s="360"/>
      <c r="M812" s="360"/>
      <c r="N812" s="360"/>
      <c r="O812" s="360"/>
      <c r="P812" s="360"/>
      <c r="Q812" s="360"/>
      <c r="R812" s="360"/>
    </row>
    <row r="813" customFormat="false" ht="39.75" hidden="false" customHeight="true" outlineLevel="0" collapsed="false">
      <c r="A813" s="562"/>
      <c r="B813" s="574"/>
      <c r="C813" s="562"/>
      <c r="D813" s="562"/>
      <c r="E813" s="562"/>
      <c r="F813" s="563"/>
      <c r="G813" s="563"/>
      <c r="H813" s="564"/>
      <c r="I813" s="565"/>
      <c r="J813" s="580"/>
      <c r="K813" s="360"/>
      <c r="L813" s="360"/>
      <c r="M813" s="360"/>
      <c r="N813" s="360"/>
      <c r="O813" s="360"/>
      <c r="P813" s="360"/>
      <c r="Q813" s="360"/>
      <c r="R813" s="360"/>
    </row>
    <row r="814" customFormat="false" ht="39.75" hidden="false" customHeight="true" outlineLevel="0" collapsed="false">
      <c r="A814" s="562"/>
      <c r="B814" s="574"/>
      <c r="C814" s="562"/>
      <c r="D814" s="562"/>
      <c r="E814" s="562"/>
      <c r="F814" s="563"/>
      <c r="G814" s="563"/>
      <c r="H814" s="564"/>
      <c r="I814" s="565"/>
      <c r="J814" s="580"/>
      <c r="K814" s="360"/>
      <c r="L814" s="360"/>
      <c r="M814" s="360"/>
      <c r="N814" s="360"/>
      <c r="O814" s="360"/>
      <c r="P814" s="360"/>
      <c r="Q814" s="360"/>
      <c r="R814" s="360"/>
    </row>
    <row r="815" customFormat="false" ht="39.75" hidden="false" customHeight="true" outlineLevel="0" collapsed="false">
      <c r="A815" s="562"/>
      <c r="B815" s="574"/>
      <c r="C815" s="562"/>
      <c r="D815" s="562"/>
      <c r="E815" s="562"/>
      <c r="F815" s="563"/>
      <c r="G815" s="563"/>
      <c r="H815" s="564"/>
      <c r="I815" s="565"/>
      <c r="J815" s="580"/>
      <c r="K815" s="360"/>
      <c r="L815" s="360"/>
      <c r="M815" s="360"/>
      <c r="N815" s="360"/>
      <c r="O815" s="360"/>
      <c r="P815" s="360"/>
      <c r="Q815" s="360"/>
      <c r="R815" s="360"/>
    </row>
    <row r="816" customFormat="false" ht="39.75" hidden="false" customHeight="true" outlineLevel="0" collapsed="false">
      <c r="A816" s="562"/>
      <c r="B816" s="574"/>
      <c r="C816" s="562"/>
      <c r="D816" s="562"/>
      <c r="E816" s="562"/>
      <c r="F816" s="563"/>
      <c r="G816" s="563"/>
      <c r="H816" s="564"/>
      <c r="I816" s="565"/>
      <c r="J816" s="580"/>
      <c r="K816" s="360"/>
      <c r="L816" s="360"/>
      <c r="M816" s="360"/>
      <c r="N816" s="360"/>
      <c r="O816" s="360"/>
      <c r="P816" s="360"/>
      <c r="Q816" s="360"/>
      <c r="R816" s="360"/>
    </row>
    <row r="817" customFormat="false" ht="39.75" hidden="false" customHeight="true" outlineLevel="0" collapsed="false">
      <c r="A817" s="562"/>
      <c r="B817" s="574"/>
      <c r="C817" s="562"/>
      <c r="D817" s="562"/>
      <c r="E817" s="562"/>
      <c r="F817" s="563"/>
      <c r="G817" s="563"/>
      <c r="H817" s="564"/>
      <c r="I817" s="565"/>
      <c r="J817" s="580"/>
      <c r="K817" s="360"/>
      <c r="L817" s="360"/>
      <c r="M817" s="360"/>
      <c r="N817" s="360"/>
      <c r="O817" s="360"/>
      <c r="P817" s="360"/>
      <c r="Q817" s="360"/>
      <c r="R817" s="360"/>
    </row>
    <row r="818" customFormat="false" ht="39.75" hidden="false" customHeight="true" outlineLevel="0" collapsed="false">
      <c r="A818" s="562"/>
      <c r="B818" s="574"/>
      <c r="C818" s="562"/>
      <c r="D818" s="562"/>
      <c r="E818" s="562"/>
      <c r="F818" s="563"/>
      <c r="G818" s="563"/>
      <c r="H818" s="564"/>
      <c r="I818" s="565"/>
      <c r="J818" s="580"/>
      <c r="K818" s="360"/>
      <c r="L818" s="360"/>
      <c r="M818" s="360"/>
      <c r="N818" s="360"/>
      <c r="O818" s="360"/>
      <c r="P818" s="360"/>
      <c r="Q818" s="360"/>
      <c r="R818" s="360"/>
    </row>
    <row r="819" customFormat="false" ht="39.75" hidden="false" customHeight="true" outlineLevel="0" collapsed="false">
      <c r="A819" s="562"/>
      <c r="B819" s="574"/>
      <c r="C819" s="562"/>
      <c r="D819" s="562"/>
      <c r="E819" s="562"/>
      <c r="F819" s="563"/>
      <c r="G819" s="563"/>
      <c r="H819" s="564"/>
      <c r="I819" s="565"/>
      <c r="J819" s="580"/>
      <c r="K819" s="360"/>
      <c r="L819" s="360"/>
      <c r="M819" s="360"/>
      <c r="N819" s="360"/>
      <c r="O819" s="360"/>
      <c r="P819" s="360"/>
      <c r="Q819" s="360"/>
      <c r="R819" s="360"/>
    </row>
    <row r="820" customFormat="false" ht="39.75" hidden="false" customHeight="true" outlineLevel="0" collapsed="false">
      <c r="A820" s="562"/>
      <c r="B820" s="574"/>
      <c r="C820" s="562"/>
      <c r="D820" s="562"/>
      <c r="E820" s="562"/>
      <c r="F820" s="563"/>
      <c r="G820" s="563"/>
      <c r="H820" s="564"/>
      <c r="I820" s="565"/>
      <c r="J820" s="580"/>
      <c r="K820" s="360"/>
      <c r="L820" s="360"/>
      <c r="M820" s="360"/>
      <c r="N820" s="360"/>
      <c r="O820" s="360"/>
      <c r="P820" s="360"/>
      <c r="Q820" s="360"/>
      <c r="R820" s="360"/>
    </row>
    <row r="821" customFormat="false" ht="39.75" hidden="false" customHeight="true" outlineLevel="0" collapsed="false">
      <c r="A821" s="562"/>
      <c r="B821" s="574"/>
      <c r="C821" s="562"/>
      <c r="D821" s="562"/>
      <c r="E821" s="562"/>
      <c r="F821" s="563"/>
      <c r="G821" s="563"/>
      <c r="H821" s="564"/>
      <c r="I821" s="565"/>
      <c r="J821" s="580"/>
      <c r="K821" s="360"/>
      <c r="L821" s="360"/>
      <c r="M821" s="360"/>
      <c r="N821" s="360"/>
      <c r="O821" s="360"/>
      <c r="P821" s="360"/>
      <c r="Q821" s="360"/>
      <c r="R821" s="360"/>
    </row>
    <row r="822" customFormat="false" ht="39.75" hidden="false" customHeight="true" outlineLevel="0" collapsed="false">
      <c r="A822" s="562"/>
      <c r="B822" s="574"/>
      <c r="C822" s="562"/>
      <c r="D822" s="562"/>
      <c r="E822" s="562"/>
      <c r="F822" s="563"/>
      <c r="G822" s="563"/>
      <c r="H822" s="564"/>
      <c r="I822" s="565"/>
      <c r="J822" s="580"/>
      <c r="K822" s="360"/>
      <c r="L822" s="360"/>
      <c r="M822" s="360"/>
      <c r="N822" s="360"/>
      <c r="O822" s="360"/>
      <c r="P822" s="360"/>
      <c r="Q822" s="360"/>
      <c r="R822" s="360"/>
    </row>
    <row r="823" customFormat="false" ht="39.75" hidden="false" customHeight="true" outlineLevel="0" collapsed="false">
      <c r="A823" s="562"/>
      <c r="B823" s="574"/>
      <c r="C823" s="562"/>
      <c r="D823" s="562"/>
      <c r="E823" s="562"/>
      <c r="F823" s="563"/>
      <c r="G823" s="563"/>
      <c r="H823" s="564"/>
      <c r="I823" s="565"/>
      <c r="J823" s="580"/>
      <c r="K823" s="360"/>
      <c r="L823" s="360"/>
      <c r="M823" s="360"/>
      <c r="N823" s="360"/>
      <c r="O823" s="360"/>
      <c r="P823" s="360"/>
      <c r="Q823" s="360"/>
      <c r="R823" s="360"/>
    </row>
    <row r="824" customFormat="false" ht="39.75" hidden="false" customHeight="true" outlineLevel="0" collapsed="false">
      <c r="A824" s="562"/>
      <c r="B824" s="574"/>
      <c r="C824" s="562"/>
      <c r="D824" s="562"/>
      <c r="E824" s="562"/>
      <c r="F824" s="563"/>
      <c r="G824" s="563"/>
      <c r="H824" s="564"/>
      <c r="I824" s="565"/>
      <c r="J824" s="580"/>
      <c r="K824" s="360"/>
      <c r="L824" s="360"/>
      <c r="M824" s="360"/>
      <c r="N824" s="360"/>
      <c r="O824" s="360"/>
      <c r="P824" s="360"/>
      <c r="Q824" s="360"/>
      <c r="R824" s="360"/>
    </row>
    <row r="825" customFormat="false" ht="39.75" hidden="false" customHeight="true" outlineLevel="0" collapsed="false">
      <c r="A825" s="562"/>
      <c r="B825" s="574"/>
      <c r="C825" s="562"/>
      <c r="D825" s="562"/>
      <c r="E825" s="562"/>
      <c r="F825" s="563"/>
      <c r="G825" s="563"/>
      <c r="H825" s="564"/>
      <c r="I825" s="565"/>
      <c r="J825" s="580"/>
      <c r="K825" s="360"/>
      <c r="L825" s="360"/>
      <c r="M825" s="360"/>
      <c r="N825" s="360"/>
      <c r="O825" s="360"/>
      <c r="P825" s="360"/>
      <c r="Q825" s="360"/>
      <c r="R825" s="360"/>
    </row>
    <row r="826" customFormat="false" ht="39.75" hidden="false" customHeight="true" outlineLevel="0" collapsed="false">
      <c r="A826" s="562"/>
      <c r="B826" s="574"/>
      <c r="C826" s="562"/>
      <c r="D826" s="562"/>
      <c r="E826" s="562"/>
      <c r="F826" s="563"/>
      <c r="G826" s="563"/>
      <c r="H826" s="564"/>
      <c r="I826" s="565"/>
      <c r="J826" s="580"/>
      <c r="K826" s="360"/>
      <c r="L826" s="360"/>
      <c r="M826" s="360"/>
      <c r="N826" s="360"/>
      <c r="O826" s="360"/>
      <c r="P826" s="360"/>
      <c r="Q826" s="360"/>
      <c r="R826" s="360"/>
    </row>
    <row r="827" customFormat="false" ht="39.75" hidden="false" customHeight="true" outlineLevel="0" collapsed="false">
      <c r="A827" s="562"/>
      <c r="B827" s="574"/>
      <c r="C827" s="562"/>
      <c r="D827" s="562"/>
      <c r="E827" s="562"/>
      <c r="F827" s="563"/>
      <c r="G827" s="563"/>
      <c r="H827" s="564"/>
      <c r="I827" s="565"/>
      <c r="J827" s="580"/>
      <c r="K827" s="360"/>
      <c r="L827" s="360"/>
      <c r="M827" s="360"/>
      <c r="N827" s="360"/>
      <c r="O827" s="360"/>
      <c r="P827" s="360"/>
      <c r="Q827" s="360"/>
      <c r="R827" s="360"/>
    </row>
    <row r="828" customFormat="false" ht="39.75" hidden="false" customHeight="true" outlineLevel="0" collapsed="false">
      <c r="A828" s="562"/>
      <c r="B828" s="574"/>
      <c r="C828" s="562"/>
      <c r="D828" s="562"/>
      <c r="E828" s="562"/>
      <c r="F828" s="563"/>
      <c r="G828" s="563"/>
      <c r="H828" s="564"/>
      <c r="I828" s="565"/>
      <c r="J828" s="580"/>
      <c r="K828" s="360"/>
      <c r="L828" s="360"/>
      <c r="M828" s="360"/>
      <c r="N828" s="360"/>
      <c r="O828" s="360"/>
      <c r="P828" s="360"/>
      <c r="Q828" s="360"/>
      <c r="R828" s="360"/>
    </row>
    <row r="829" customFormat="false" ht="39.75" hidden="false" customHeight="true" outlineLevel="0" collapsed="false">
      <c r="A829" s="562"/>
      <c r="B829" s="574"/>
      <c r="C829" s="562"/>
      <c r="D829" s="562"/>
      <c r="E829" s="562"/>
      <c r="F829" s="563"/>
      <c r="G829" s="563"/>
      <c r="H829" s="564"/>
      <c r="I829" s="565"/>
      <c r="J829" s="580"/>
      <c r="K829" s="360"/>
      <c r="L829" s="360"/>
      <c r="M829" s="360"/>
      <c r="N829" s="360"/>
      <c r="O829" s="360"/>
      <c r="P829" s="360"/>
      <c r="Q829" s="360"/>
      <c r="R829" s="360"/>
    </row>
    <row r="830" customFormat="false" ht="39.75" hidden="false" customHeight="true" outlineLevel="0" collapsed="false">
      <c r="A830" s="562"/>
      <c r="B830" s="574"/>
      <c r="C830" s="562"/>
      <c r="D830" s="562"/>
      <c r="E830" s="562"/>
      <c r="F830" s="563"/>
      <c r="G830" s="563"/>
      <c r="H830" s="564"/>
      <c r="I830" s="565"/>
      <c r="J830" s="580"/>
      <c r="K830" s="360"/>
      <c r="L830" s="360"/>
      <c r="M830" s="360"/>
      <c r="N830" s="360"/>
      <c r="O830" s="360"/>
      <c r="P830" s="360"/>
      <c r="Q830" s="360"/>
      <c r="R830" s="360"/>
    </row>
    <row r="831" customFormat="false" ht="39.75" hidden="false" customHeight="true" outlineLevel="0" collapsed="false">
      <c r="A831" s="562"/>
      <c r="B831" s="574"/>
      <c r="C831" s="562"/>
      <c r="D831" s="562"/>
      <c r="E831" s="562"/>
      <c r="F831" s="563"/>
      <c r="G831" s="563"/>
      <c r="H831" s="564"/>
      <c r="I831" s="565"/>
      <c r="J831" s="580"/>
      <c r="K831" s="360"/>
      <c r="L831" s="360"/>
      <c r="M831" s="360"/>
      <c r="N831" s="360"/>
      <c r="O831" s="360"/>
      <c r="P831" s="360"/>
      <c r="Q831" s="360"/>
      <c r="R831" s="360"/>
    </row>
    <row r="832" customFormat="false" ht="39.75" hidden="false" customHeight="true" outlineLevel="0" collapsed="false">
      <c r="A832" s="562"/>
      <c r="B832" s="574"/>
      <c r="C832" s="562"/>
      <c r="D832" s="562"/>
      <c r="E832" s="562"/>
      <c r="F832" s="563"/>
      <c r="G832" s="563"/>
      <c r="H832" s="564"/>
      <c r="I832" s="565"/>
      <c r="J832" s="580"/>
      <c r="K832" s="360"/>
      <c r="L832" s="360"/>
      <c r="M832" s="360"/>
      <c r="N832" s="360"/>
      <c r="O832" s="360"/>
      <c r="P832" s="360"/>
      <c r="Q832" s="360"/>
      <c r="R832" s="360"/>
    </row>
    <row r="833" customFormat="false" ht="39.75" hidden="false" customHeight="true" outlineLevel="0" collapsed="false">
      <c r="A833" s="562"/>
      <c r="B833" s="574"/>
      <c r="C833" s="562"/>
      <c r="D833" s="562"/>
      <c r="E833" s="562"/>
      <c r="F833" s="563"/>
      <c r="G833" s="563"/>
      <c r="H833" s="564"/>
      <c r="I833" s="565"/>
      <c r="J833" s="580"/>
      <c r="K833" s="360"/>
      <c r="L833" s="360"/>
      <c r="M833" s="360"/>
      <c r="N833" s="360"/>
      <c r="O833" s="360"/>
      <c r="P833" s="360"/>
      <c r="Q833" s="360"/>
      <c r="R833" s="360"/>
    </row>
    <row r="834" customFormat="false" ht="39.75" hidden="false" customHeight="true" outlineLevel="0" collapsed="false">
      <c r="A834" s="562"/>
      <c r="B834" s="574"/>
      <c r="C834" s="562"/>
      <c r="D834" s="562"/>
      <c r="E834" s="562"/>
      <c r="F834" s="563"/>
      <c r="G834" s="563"/>
      <c r="H834" s="564"/>
      <c r="I834" s="565"/>
      <c r="J834" s="580"/>
      <c r="K834" s="360"/>
      <c r="L834" s="360"/>
      <c r="M834" s="360"/>
      <c r="N834" s="360"/>
      <c r="O834" s="360"/>
      <c r="P834" s="360"/>
      <c r="Q834" s="360"/>
      <c r="R834" s="360"/>
    </row>
    <row r="835" customFormat="false" ht="39.75" hidden="false" customHeight="true" outlineLevel="0" collapsed="false">
      <c r="A835" s="562"/>
      <c r="B835" s="574"/>
      <c r="C835" s="562"/>
      <c r="D835" s="562"/>
      <c r="E835" s="562"/>
      <c r="F835" s="563"/>
      <c r="G835" s="563"/>
      <c r="H835" s="564"/>
      <c r="I835" s="565"/>
      <c r="J835" s="580"/>
      <c r="K835" s="360"/>
      <c r="L835" s="360"/>
      <c r="M835" s="360"/>
      <c r="N835" s="360"/>
      <c r="O835" s="360"/>
      <c r="P835" s="360"/>
      <c r="Q835" s="360"/>
      <c r="R835" s="360"/>
    </row>
    <row r="836" customFormat="false" ht="39.75" hidden="false" customHeight="true" outlineLevel="0" collapsed="false">
      <c r="A836" s="562"/>
      <c r="B836" s="574"/>
      <c r="C836" s="562"/>
      <c r="D836" s="562"/>
      <c r="E836" s="562"/>
      <c r="F836" s="563"/>
      <c r="G836" s="563"/>
      <c r="H836" s="564"/>
      <c r="I836" s="565"/>
      <c r="J836" s="580"/>
      <c r="K836" s="360"/>
      <c r="L836" s="360"/>
      <c r="M836" s="360"/>
      <c r="N836" s="360"/>
      <c r="O836" s="360"/>
      <c r="P836" s="360"/>
      <c r="Q836" s="360"/>
      <c r="R836" s="360"/>
    </row>
    <row r="837" customFormat="false" ht="39.75" hidden="false" customHeight="true" outlineLevel="0" collapsed="false">
      <c r="A837" s="562"/>
      <c r="B837" s="574"/>
      <c r="C837" s="562"/>
      <c r="D837" s="562"/>
      <c r="E837" s="562"/>
      <c r="F837" s="563"/>
      <c r="G837" s="563"/>
      <c r="H837" s="564"/>
      <c r="I837" s="565"/>
      <c r="J837" s="580"/>
      <c r="K837" s="360"/>
      <c r="L837" s="360"/>
      <c r="M837" s="360"/>
      <c r="N837" s="360"/>
      <c r="O837" s="360"/>
      <c r="P837" s="360"/>
      <c r="Q837" s="360"/>
      <c r="R837" s="360"/>
    </row>
    <row r="838" customFormat="false" ht="39.75" hidden="false" customHeight="true" outlineLevel="0" collapsed="false">
      <c r="A838" s="562"/>
      <c r="B838" s="574"/>
      <c r="C838" s="562"/>
      <c r="D838" s="562"/>
      <c r="E838" s="562"/>
      <c r="F838" s="563"/>
      <c r="G838" s="563"/>
      <c r="H838" s="564"/>
      <c r="I838" s="565"/>
      <c r="J838" s="580"/>
      <c r="K838" s="360"/>
      <c r="L838" s="360"/>
      <c r="M838" s="360"/>
      <c r="N838" s="360"/>
      <c r="O838" s="360"/>
      <c r="P838" s="360"/>
      <c r="Q838" s="360"/>
      <c r="R838" s="360"/>
    </row>
    <row r="839" customFormat="false" ht="39.75" hidden="false" customHeight="true" outlineLevel="0" collapsed="false">
      <c r="A839" s="562"/>
      <c r="B839" s="574"/>
      <c r="C839" s="562"/>
      <c r="D839" s="562"/>
      <c r="E839" s="562"/>
      <c r="F839" s="563"/>
      <c r="G839" s="563"/>
      <c r="H839" s="564"/>
      <c r="I839" s="565"/>
      <c r="J839" s="580"/>
      <c r="K839" s="360"/>
      <c r="L839" s="360"/>
      <c r="M839" s="360"/>
      <c r="N839" s="360"/>
      <c r="O839" s="360"/>
      <c r="P839" s="360"/>
      <c r="Q839" s="360"/>
      <c r="R839" s="360"/>
    </row>
    <row r="840" customFormat="false" ht="39.75" hidden="false" customHeight="true" outlineLevel="0" collapsed="false">
      <c r="A840" s="562"/>
      <c r="B840" s="574"/>
      <c r="C840" s="562"/>
      <c r="D840" s="562"/>
      <c r="E840" s="562"/>
      <c r="F840" s="563"/>
      <c r="G840" s="563"/>
      <c r="H840" s="564"/>
      <c r="I840" s="565"/>
      <c r="J840" s="580"/>
      <c r="K840" s="360"/>
      <c r="L840" s="360"/>
      <c r="M840" s="360"/>
      <c r="N840" s="360"/>
      <c r="O840" s="360"/>
      <c r="P840" s="360"/>
      <c r="Q840" s="360"/>
      <c r="R840" s="360"/>
    </row>
    <row r="841" customFormat="false" ht="39.75" hidden="false" customHeight="true" outlineLevel="0" collapsed="false">
      <c r="A841" s="562"/>
      <c r="B841" s="574"/>
      <c r="C841" s="562"/>
      <c r="D841" s="562"/>
      <c r="E841" s="562"/>
      <c r="F841" s="563"/>
      <c r="G841" s="563"/>
      <c r="H841" s="564"/>
      <c r="I841" s="565"/>
      <c r="J841" s="580"/>
      <c r="K841" s="360"/>
      <c r="L841" s="360"/>
      <c r="M841" s="360"/>
      <c r="N841" s="360"/>
      <c r="O841" s="360"/>
      <c r="P841" s="360"/>
      <c r="Q841" s="360"/>
      <c r="R841" s="360"/>
    </row>
    <row r="842" customFormat="false" ht="39.75" hidden="false" customHeight="true" outlineLevel="0" collapsed="false">
      <c r="A842" s="562"/>
      <c r="B842" s="574"/>
      <c r="C842" s="562"/>
      <c r="D842" s="562"/>
      <c r="E842" s="562"/>
      <c r="F842" s="563"/>
      <c r="G842" s="563"/>
      <c r="H842" s="564"/>
      <c r="I842" s="565"/>
      <c r="J842" s="580"/>
      <c r="K842" s="360"/>
      <c r="L842" s="360"/>
      <c r="M842" s="360"/>
      <c r="N842" s="360"/>
      <c r="O842" s="360"/>
      <c r="P842" s="360"/>
      <c r="Q842" s="360"/>
      <c r="R842" s="360"/>
    </row>
    <row r="843" customFormat="false" ht="39.75" hidden="false" customHeight="true" outlineLevel="0" collapsed="false">
      <c r="A843" s="562"/>
      <c r="B843" s="574"/>
      <c r="C843" s="562"/>
      <c r="D843" s="562"/>
      <c r="E843" s="562"/>
      <c r="F843" s="563"/>
      <c r="G843" s="563"/>
      <c r="H843" s="564"/>
      <c r="I843" s="565"/>
      <c r="J843" s="580"/>
      <c r="K843" s="360"/>
      <c r="L843" s="360"/>
      <c r="M843" s="360"/>
      <c r="N843" s="360"/>
      <c r="O843" s="360"/>
      <c r="P843" s="360"/>
      <c r="Q843" s="360"/>
      <c r="R843" s="360"/>
    </row>
    <row r="844" customFormat="false" ht="39.75" hidden="false" customHeight="true" outlineLevel="0" collapsed="false">
      <c r="A844" s="562"/>
      <c r="B844" s="574"/>
      <c r="C844" s="562"/>
      <c r="D844" s="562"/>
      <c r="E844" s="562"/>
      <c r="F844" s="563"/>
      <c r="G844" s="563"/>
      <c r="H844" s="564"/>
      <c r="I844" s="565"/>
      <c r="J844" s="580"/>
      <c r="K844" s="360"/>
      <c r="L844" s="360"/>
      <c r="M844" s="360"/>
      <c r="N844" s="360"/>
      <c r="O844" s="360"/>
      <c r="P844" s="360"/>
      <c r="Q844" s="360"/>
      <c r="R844" s="360"/>
    </row>
    <row r="845" customFormat="false" ht="39.75" hidden="false" customHeight="true" outlineLevel="0" collapsed="false">
      <c r="A845" s="562"/>
      <c r="B845" s="574"/>
      <c r="C845" s="562"/>
      <c r="D845" s="562"/>
      <c r="E845" s="562"/>
      <c r="F845" s="563"/>
      <c r="G845" s="563"/>
      <c r="H845" s="564"/>
      <c r="I845" s="565"/>
      <c r="J845" s="580"/>
      <c r="K845" s="360"/>
      <c r="L845" s="360"/>
      <c r="M845" s="360"/>
      <c r="N845" s="360"/>
      <c r="O845" s="360"/>
      <c r="P845" s="360"/>
      <c r="Q845" s="360"/>
      <c r="R845" s="360"/>
    </row>
    <row r="846" customFormat="false" ht="39.75" hidden="false" customHeight="true" outlineLevel="0" collapsed="false">
      <c r="A846" s="562"/>
      <c r="B846" s="574"/>
      <c r="C846" s="562"/>
      <c r="D846" s="562"/>
      <c r="E846" s="562"/>
      <c r="F846" s="563"/>
      <c r="G846" s="563"/>
      <c r="H846" s="564"/>
      <c r="I846" s="565"/>
      <c r="J846" s="580"/>
      <c r="K846" s="360"/>
      <c r="L846" s="360"/>
      <c r="M846" s="360"/>
      <c r="N846" s="360"/>
      <c r="O846" s="360"/>
      <c r="P846" s="360"/>
      <c r="Q846" s="360"/>
      <c r="R846" s="360"/>
    </row>
    <row r="847" customFormat="false" ht="39.75" hidden="false" customHeight="true" outlineLevel="0" collapsed="false">
      <c r="A847" s="562"/>
      <c r="B847" s="574"/>
      <c r="C847" s="562"/>
      <c r="D847" s="562"/>
      <c r="E847" s="562"/>
      <c r="F847" s="563"/>
      <c r="G847" s="563"/>
      <c r="H847" s="564"/>
      <c r="I847" s="565"/>
      <c r="J847" s="580"/>
      <c r="K847" s="360"/>
      <c r="L847" s="360"/>
      <c r="M847" s="360"/>
      <c r="N847" s="360"/>
      <c r="O847" s="360"/>
      <c r="P847" s="360"/>
      <c r="Q847" s="360"/>
      <c r="R847" s="360"/>
    </row>
    <row r="848" customFormat="false" ht="39.75" hidden="false" customHeight="true" outlineLevel="0" collapsed="false">
      <c r="A848" s="562"/>
      <c r="B848" s="574"/>
      <c r="C848" s="562"/>
      <c r="D848" s="562"/>
      <c r="E848" s="562"/>
      <c r="F848" s="563"/>
      <c r="G848" s="563"/>
      <c r="H848" s="564"/>
      <c r="I848" s="565"/>
      <c r="J848" s="580"/>
      <c r="K848" s="360"/>
      <c r="L848" s="360"/>
      <c r="M848" s="360"/>
      <c r="N848" s="360"/>
      <c r="O848" s="360"/>
      <c r="P848" s="360"/>
      <c r="Q848" s="360"/>
      <c r="R848" s="360"/>
    </row>
    <row r="849" customFormat="false" ht="39.75" hidden="false" customHeight="true" outlineLevel="0" collapsed="false">
      <c r="A849" s="562"/>
      <c r="B849" s="574"/>
      <c r="C849" s="562"/>
      <c r="D849" s="562"/>
      <c r="E849" s="562"/>
      <c r="F849" s="563"/>
      <c r="G849" s="563"/>
      <c r="H849" s="564"/>
      <c r="I849" s="565"/>
      <c r="J849" s="580"/>
      <c r="K849" s="360"/>
      <c r="L849" s="360"/>
      <c r="M849" s="360"/>
      <c r="N849" s="360"/>
      <c r="O849" s="360"/>
      <c r="P849" s="360"/>
      <c r="Q849" s="360"/>
      <c r="R849" s="360"/>
    </row>
    <row r="850" customFormat="false" ht="39.75" hidden="false" customHeight="true" outlineLevel="0" collapsed="false">
      <c r="A850" s="562"/>
      <c r="B850" s="574"/>
      <c r="C850" s="562"/>
      <c r="D850" s="562"/>
      <c r="E850" s="562"/>
      <c r="F850" s="563"/>
      <c r="G850" s="563"/>
      <c r="H850" s="564"/>
      <c r="I850" s="565"/>
      <c r="J850" s="580"/>
      <c r="K850" s="360"/>
      <c r="L850" s="360"/>
      <c r="M850" s="360"/>
      <c r="N850" s="360"/>
      <c r="O850" s="360"/>
      <c r="P850" s="360"/>
      <c r="Q850" s="360"/>
      <c r="R850" s="360"/>
    </row>
    <row r="851" customFormat="false" ht="39.75" hidden="false" customHeight="true" outlineLevel="0" collapsed="false">
      <c r="A851" s="562"/>
      <c r="B851" s="574"/>
      <c r="C851" s="562"/>
      <c r="D851" s="562"/>
      <c r="E851" s="562"/>
      <c r="F851" s="563"/>
      <c r="G851" s="563"/>
      <c r="H851" s="564"/>
      <c r="I851" s="565"/>
      <c r="J851" s="580"/>
      <c r="K851" s="360"/>
      <c r="L851" s="360"/>
      <c r="M851" s="360"/>
      <c r="N851" s="360"/>
      <c r="O851" s="360"/>
      <c r="P851" s="360"/>
      <c r="Q851" s="360"/>
      <c r="R851" s="360"/>
    </row>
    <row r="852" customFormat="false" ht="39.75" hidden="false" customHeight="true" outlineLevel="0" collapsed="false">
      <c r="A852" s="562"/>
      <c r="B852" s="574"/>
      <c r="C852" s="562"/>
      <c r="D852" s="562"/>
      <c r="E852" s="562"/>
      <c r="F852" s="563"/>
      <c r="G852" s="563"/>
      <c r="H852" s="564"/>
      <c r="I852" s="565"/>
      <c r="J852" s="580"/>
      <c r="K852" s="360"/>
      <c r="L852" s="360"/>
      <c r="M852" s="360"/>
      <c r="N852" s="360"/>
      <c r="O852" s="360"/>
      <c r="P852" s="360"/>
      <c r="Q852" s="360"/>
      <c r="R852" s="360"/>
    </row>
    <row r="853" customFormat="false" ht="39.75" hidden="false" customHeight="true" outlineLevel="0" collapsed="false">
      <c r="A853" s="562"/>
      <c r="B853" s="574"/>
      <c r="C853" s="562"/>
      <c r="D853" s="562"/>
      <c r="E853" s="562"/>
      <c r="F853" s="563"/>
      <c r="G853" s="563"/>
      <c r="H853" s="564"/>
      <c r="I853" s="565"/>
      <c r="J853" s="580"/>
      <c r="K853" s="360"/>
      <c r="L853" s="360"/>
      <c r="M853" s="360"/>
      <c r="N853" s="360"/>
      <c r="O853" s="360"/>
      <c r="P853" s="360"/>
      <c r="Q853" s="360"/>
      <c r="R853" s="360"/>
    </row>
    <row r="854" customFormat="false" ht="39.75" hidden="false" customHeight="true" outlineLevel="0" collapsed="false">
      <c r="A854" s="562"/>
      <c r="B854" s="574"/>
      <c r="C854" s="562"/>
      <c r="D854" s="562"/>
      <c r="E854" s="562"/>
      <c r="F854" s="563"/>
      <c r="G854" s="563"/>
      <c r="H854" s="564"/>
      <c r="I854" s="565"/>
      <c r="J854" s="580"/>
      <c r="K854" s="360"/>
      <c r="L854" s="360"/>
      <c r="M854" s="360"/>
      <c r="N854" s="360"/>
      <c r="O854" s="360"/>
      <c r="P854" s="360"/>
      <c r="Q854" s="360"/>
      <c r="R854" s="360"/>
    </row>
    <row r="855" customFormat="false" ht="39.75" hidden="false" customHeight="true" outlineLevel="0" collapsed="false">
      <c r="A855" s="562"/>
      <c r="B855" s="574"/>
      <c r="C855" s="562"/>
      <c r="D855" s="562"/>
      <c r="E855" s="562"/>
      <c r="F855" s="563"/>
      <c r="G855" s="563"/>
      <c r="H855" s="564"/>
      <c r="I855" s="565"/>
      <c r="J855" s="580"/>
      <c r="K855" s="360"/>
      <c r="L855" s="360"/>
      <c r="M855" s="360"/>
      <c r="N855" s="360"/>
      <c r="O855" s="360"/>
      <c r="P855" s="360"/>
      <c r="Q855" s="360"/>
      <c r="R855" s="360"/>
    </row>
    <row r="856" customFormat="false" ht="39.75" hidden="false" customHeight="true" outlineLevel="0" collapsed="false">
      <c r="A856" s="562"/>
      <c r="B856" s="574"/>
      <c r="C856" s="562"/>
      <c r="D856" s="562"/>
      <c r="E856" s="562"/>
      <c r="F856" s="563"/>
      <c r="G856" s="563"/>
      <c r="H856" s="564"/>
      <c r="I856" s="565"/>
      <c r="J856" s="580"/>
      <c r="K856" s="360"/>
      <c r="L856" s="360"/>
      <c r="M856" s="360"/>
      <c r="N856" s="360"/>
      <c r="O856" s="360"/>
      <c r="P856" s="360"/>
      <c r="Q856" s="360"/>
      <c r="R856" s="360"/>
    </row>
    <row r="857" customFormat="false" ht="39.75" hidden="false" customHeight="true" outlineLevel="0" collapsed="false">
      <c r="A857" s="562"/>
      <c r="B857" s="574"/>
      <c r="C857" s="562"/>
      <c r="D857" s="562"/>
      <c r="E857" s="562"/>
      <c r="F857" s="563"/>
      <c r="G857" s="563"/>
      <c r="H857" s="564"/>
      <c r="I857" s="565"/>
      <c r="J857" s="580"/>
      <c r="K857" s="360"/>
      <c r="L857" s="360"/>
      <c r="M857" s="360"/>
      <c r="N857" s="360"/>
      <c r="O857" s="360"/>
      <c r="P857" s="360"/>
      <c r="Q857" s="360"/>
      <c r="R857" s="360"/>
    </row>
    <row r="858" customFormat="false" ht="39.75" hidden="false" customHeight="true" outlineLevel="0" collapsed="false">
      <c r="A858" s="562"/>
      <c r="B858" s="574"/>
      <c r="C858" s="562"/>
      <c r="D858" s="562"/>
      <c r="E858" s="562"/>
      <c r="F858" s="563"/>
      <c r="G858" s="563"/>
      <c r="H858" s="564"/>
      <c r="I858" s="565"/>
      <c r="J858" s="580"/>
      <c r="K858" s="360"/>
      <c r="L858" s="360"/>
      <c r="M858" s="360"/>
      <c r="N858" s="360"/>
      <c r="O858" s="360"/>
      <c r="P858" s="360"/>
      <c r="Q858" s="360"/>
      <c r="R858" s="360"/>
    </row>
    <row r="859" customFormat="false" ht="39.75" hidden="false" customHeight="true" outlineLevel="0" collapsed="false">
      <c r="A859" s="562"/>
      <c r="B859" s="574"/>
      <c r="C859" s="562"/>
      <c r="D859" s="562"/>
      <c r="E859" s="562"/>
      <c r="F859" s="563"/>
      <c r="G859" s="563"/>
      <c r="H859" s="564"/>
      <c r="I859" s="565"/>
      <c r="J859" s="580"/>
      <c r="K859" s="360"/>
      <c r="L859" s="360"/>
      <c r="M859" s="360"/>
      <c r="N859" s="360"/>
      <c r="O859" s="360"/>
      <c r="P859" s="360"/>
      <c r="Q859" s="360"/>
      <c r="R859" s="360"/>
    </row>
    <row r="860" customFormat="false" ht="39.75" hidden="false" customHeight="true" outlineLevel="0" collapsed="false">
      <c r="A860" s="562"/>
      <c r="B860" s="574"/>
      <c r="C860" s="562"/>
      <c r="D860" s="562"/>
      <c r="E860" s="562"/>
      <c r="F860" s="563"/>
      <c r="G860" s="563"/>
      <c r="H860" s="564"/>
      <c r="I860" s="565"/>
      <c r="J860" s="580"/>
      <c r="K860" s="360"/>
      <c r="L860" s="360"/>
      <c r="M860" s="360"/>
      <c r="N860" s="360"/>
      <c r="O860" s="360"/>
      <c r="P860" s="360"/>
      <c r="Q860" s="360"/>
      <c r="R860" s="360"/>
    </row>
    <row r="861" customFormat="false" ht="39.75" hidden="false" customHeight="true" outlineLevel="0" collapsed="false">
      <c r="A861" s="562"/>
      <c r="B861" s="574"/>
      <c r="C861" s="562"/>
      <c r="D861" s="562"/>
      <c r="E861" s="562"/>
      <c r="F861" s="563"/>
      <c r="G861" s="563"/>
      <c r="H861" s="564"/>
      <c r="I861" s="565"/>
      <c r="J861" s="580"/>
      <c r="K861" s="360"/>
      <c r="L861" s="360"/>
      <c r="M861" s="360"/>
      <c r="N861" s="360"/>
      <c r="O861" s="360"/>
      <c r="P861" s="360"/>
      <c r="Q861" s="360"/>
      <c r="R861" s="360"/>
    </row>
    <row r="862" customFormat="false" ht="39.75" hidden="false" customHeight="true" outlineLevel="0" collapsed="false">
      <c r="A862" s="562"/>
      <c r="B862" s="574"/>
      <c r="C862" s="562"/>
      <c r="D862" s="562"/>
      <c r="E862" s="562"/>
      <c r="F862" s="563"/>
      <c r="G862" s="563"/>
      <c r="H862" s="564"/>
      <c r="I862" s="565"/>
      <c r="J862" s="580"/>
      <c r="K862" s="360"/>
      <c r="L862" s="360"/>
      <c r="M862" s="360"/>
      <c r="N862" s="360"/>
      <c r="O862" s="360"/>
      <c r="P862" s="360"/>
      <c r="Q862" s="360"/>
      <c r="R862" s="360"/>
    </row>
    <row r="863" customFormat="false" ht="39.75" hidden="false" customHeight="true" outlineLevel="0" collapsed="false">
      <c r="A863" s="562"/>
      <c r="B863" s="574"/>
      <c r="C863" s="562"/>
      <c r="D863" s="562"/>
      <c r="E863" s="562"/>
      <c r="F863" s="563"/>
      <c r="G863" s="563"/>
      <c r="H863" s="564"/>
      <c r="I863" s="565"/>
      <c r="J863" s="580"/>
      <c r="K863" s="360"/>
      <c r="L863" s="360"/>
      <c r="M863" s="360"/>
      <c r="N863" s="360"/>
      <c r="O863" s="360"/>
      <c r="P863" s="360"/>
      <c r="Q863" s="360"/>
      <c r="R863" s="360"/>
    </row>
    <row r="864" customFormat="false" ht="39.75" hidden="false" customHeight="true" outlineLevel="0" collapsed="false">
      <c r="A864" s="562"/>
      <c r="B864" s="574"/>
      <c r="C864" s="562"/>
      <c r="D864" s="562"/>
      <c r="E864" s="562"/>
      <c r="F864" s="563"/>
      <c r="G864" s="563"/>
      <c r="H864" s="564"/>
      <c r="I864" s="565"/>
      <c r="J864" s="580"/>
      <c r="K864" s="360"/>
      <c r="L864" s="360"/>
      <c r="M864" s="360"/>
      <c r="N864" s="360"/>
      <c r="O864" s="360"/>
      <c r="P864" s="360"/>
      <c r="Q864" s="360"/>
      <c r="R864" s="360"/>
    </row>
    <row r="865" customFormat="false" ht="39.75" hidden="false" customHeight="true" outlineLevel="0" collapsed="false">
      <c r="A865" s="562"/>
      <c r="B865" s="574"/>
      <c r="C865" s="562"/>
      <c r="D865" s="562"/>
      <c r="E865" s="562"/>
      <c r="F865" s="563"/>
      <c r="G865" s="563"/>
      <c r="H865" s="564"/>
      <c r="I865" s="565"/>
      <c r="J865" s="580"/>
      <c r="K865" s="360"/>
      <c r="L865" s="360"/>
      <c r="M865" s="360"/>
      <c r="N865" s="360"/>
      <c r="O865" s="360"/>
      <c r="P865" s="360"/>
      <c r="Q865" s="360"/>
      <c r="R865" s="360"/>
    </row>
    <row r="866" customFormat="false" ht="39.75" hidden="false" customHeight="true" outlineLevel="0" collapsed="false">
      <c r="A866" s="562"/>
      <c r="B866" s="574"/>
      <c r="C866" s="562"/>
      <c r="D866" s="562"/>
      <c r="E866" s="562"/>
      <c r="F866" s="563"/>
      <c r="G866" s="563"/>
      <c r="H866" s="564"/>
      <c r="I866" s="565"/>
      <c r="J866" s="580"/>
      <c r="K866" s="360"/>
      <c r="L866" s="360"/>
      <c r="M866" s="360"/>
      <c r="N866" s="360"/>
      <c r="O866" s="360"/>
      <c r="P866" s="360"/>
      <c r="Q866" s="360"/>
      <c r="R866" s="360"/>
    </row>
    <row r="867" customFormat="false" ht="39.75" hidden="false" customHeight="true" outlineLevel="0" collapsed="false">
      <c r="A867" s="562"/>
      <c r="B867" s="574"/>
      <c r="C867" s="562"/>
      <c r="D867" s="562"/>
      <c r="E867" s="562"/>
      <c r="F867" s="563"/>
      <c r="G867" s="563"/>
      <c r="H867" s="564"/>
      <c r="I867" s="565"/>
      <c r="J867" s="580"/>
      <c r="K867" s="360"/>
      <c r="L867" s="360"/>
      <c r="M867" s="360"/>
      <c r="N867" s="360"/>
      <c r="O867" s="360"/>
      <c r="P867" s="360"/>
      <c r="Q867" s="360"/>
      <c r="R867" s="360"/>
    </row>
    <row r="868" customFormat="false" ht="39.75" hidden="false" customHeight="true" outlineLevel="0" collapsed="false">
      <c r="A868" s="562"/>
      <c r="B868" s="574"/>
      <c r="C868" s="562"/>
      <c r="D868" s="562"/>
      <c r="E868" s="562"/>
      <c r="F868" s="563"/>
      <c r="G868" s="563"/>
      <c r="H868" s="564"/>
      <c r="I868" s="565"/>
      <c r="J868" s="580"/>
      <c r="K868" s="360"/>
      <c r="L868" s="360"/>
      <c r="M868" s="360"/>
      <c r="N868" s="360"/>
      <c r="O868" s="360"/>
      <c r="P868" s="360"/>
      <c r="Q868" s="360"/>
      <c r="R868" s="360"/>
    </row>
    <row r="869" customFormat="false" ht="39.75" hidden="false" customHeight="true" outlineLevel="0" collapsed="false">
      <c r="A869" s="562"/>
      <c r="B869" s="574"/>
      <c r="C869" s="562"/>
      <c r="D869" s="562"/>
      <c r="E869" s="562"/>
      <c r="F869" s="563"/>
      <c r="G869" s="563"/>
      <c r="H869" s="564"/>
      <c r="I869" s="565"/>
      <c r="J869" s="580"/>
      <c r="K869" s="360"/>
      <c r="L869" s="360"/>
      <c r="M869" s="360"/>
      <c r="N869" s="360"/>
      <c r="O869" s="360"/>
      <c r="P869" s="360"/>
      <c r="Q869" s="360"/>
      <c r="R869" s="360"/>
    </row>
    <row r="870" customFormat="false" ht="39.75" hidden="false" customHeight="true" outlineLevel="0" collapsed="false">
      <c r="A870" s="562"/>
      <c r="B870" s="574"/>
      <c r="C870" s="562"/>
      <c r="D870" s="562"/>
      <c r="E870" s="562"/>
      <c r="F870" s="563"/>
      <c r="G870" s="563"/>
      <c r="H870" s="564"/>
      <c r="I870" s="565"/>
      <c r="J870" s="580"/>
      <c r="K870" s="360"/>
      <c r="L870" s="360"/>
      <c r="M870" s="360"/>
      <c r="N870" s="360"/>
      <c r="O870" s="360"/>
      <c r="P870" s="360"/>
      <c r="Q870" s="360"/>
      <c r="R870" s="360"/>
    </row>
    <row r="871" customFormat="false" ht="39.75" hidden="false" customHeight="true" outlineLevel="0" collapsed="false">
      <c r="A871" s="562"/>
      <c r="B871" s="574"/>
      <c r="C871" s="562"/>
      <c r="D871" s="562"/>
      <c r="E871" s="562"/>
      <c r="F871" s="563"/>
      <c r="G871" s="563"/>
      <c r="H871" s="564"/>
      <c r="I871" s="565"/>
      <c r="J871" s="580"/>
      <c r="K871" s="360"/>
      <c r="L871" s="360"/>
      <c r="M871" s="360"/>
      <c r="N871" s="360"/>
      <c r="O871" s="360"/>
      <c r="P871" s="360"/>
      <c r="Q871" s="360"/>
      <c r="R871" s="360"/>
    </row>
    <row r="872" customFormat="false" ht="39.75" hidden="false" customHeight="true" outlineLevel="0" collapsed="false">
      <c r="A872" s="562"/>
      <c r="B872" s="574"/>
      <c r="C872" s="562"/>
      <c r="D872" s="562"/>
      <c r="E872" s="562"/>
      <c r="F872" s="563"/>
      <c r="G872" s="563"/>
      <c r="H872" s="564"/>
      <c r="I872" s="565"/>
      <c r="J872" s="580"/>
      <c r="K872" s="360"/>
      <c r="L872" s="360"/>
      <c r="M872" s="360"/>
      <c r="N872" s="360"/>
      <c r="O872" s="360"/>
      <c r="P872" s="360"/>
      <c r="Q872" s="360"/>
      <c r="R872" s="360"/>
    </row>
    <row r="873" customFormat="false" ht="39.75" hidden="false" customHeight="true" outlineLevel="0" collapsed="false">
      <c r="A873" s="562"/>
      <c r="B873" s="574"/>
      <c r="C873" s="562"/>
      <c r="D873" s="562"/>
      <c r="E873" s="562"/>
      <c r="F873" s="563"/>
      <c r="G873" s="563"/>
      <c r="H873" s="564"/>
      <c r="I873" s="565"/>
      <c r="J873" s="580"/>
      <c r="K873" s="360"/>
      <c r="L873" s="360"/>
      <c r="M873" s="360"/>
      <c r="N873" s="360"/>
      <c r="O873" s="360"/>
      <c r="P873" s="360"/>
      <c r="Q873" s="360"/>
      <c r="R873" s="360"/>
    </row>
    <row r="874" customFormat="false" ht="39.75" hidden="false" customHeight="true" outlineLevel="0" collapsed="false">
      <c r="A874" s="562"/>
      <c r="B874" s="574"/>
      <c r="C874" s="562"/>
      <c r="D874" s="562"/>
      <c r="E874" s="562"/>
      <c r="F874" s="563"/>
      <c r="G874" s="563"/>
      <c r="H874" s="564"/>
      <c r="I874" s="565"/>
      <c r="J874" s="580"/>
      <c r="K874" s="360"/>
      <c r="L874" s="360"/>
      <c r="M874" s="360"/>
      <c r="N874" s="360"/>
      <c r="O874" s="360"/>
      <c r="P874" s="360"/>
      <c r="Q874" s="360"/>
      <c r="R874" s="360"/>
    </row>
    <row r="875" customFormat="false" ht="39.75" hidden="false" customHeight="true" outlineLevel="0" collapsed="false">
      <c r="A875" s="562"/>
      <c r="B875" s="574"/>
      <c r="C875" s="562"/>
      <c r="D875" s="562"/>
      <c r="E875" s="562"/>
      <c r="F875" s="563"/>
      <c r="G875" s="563"/>
      <c r="H875" s="564"/>
      <c r="I875" s="565"/>
      <c r="J875" s="580"/>
      <c r="K875" s="360"/>
      <c r="L875" s="360"/>
      <c r="M875" s="360"/>
      <c r="N875" s="360"/>
      <c r="O875" s="360"/>
      <c r="P875" s="360"/>
      <c r="Q875" s="360"/>
      <c r="R875" s="360"/>
    </row>
    <row r="876" customFormat="false" ht="39.75" hidden="false" customHeight="true" outlineLevel="0" collapsed="false">
      <c r="A876" s="562"/>
      <c r="B876" s="574"/>
      <c r="C876" s="562"/>
      <c r="D876" s="562"/>
      <c r="E876" s="562"/>
      <c r="F876" s="563"/>
      <c r="G876" s="563"/>
      <c r="H876" s="564"/>
      <c r="I876" s="565"/>
      <c r="J876" s="580"/>
      <c r="K876" s="360"/>
      <c r="L876" s="360"/>
      <c r="M876" s="360"/>
      <c r="N876" s="360"/>
      <c r="O876" s="360"/>
      <c r="P876" s="360"/>
      <c r="Q876" s="360"/>
      <c r="R876" s="360"/>
    </row>
    <row r="877" customFormat="false" ht="39.75" hidden="false" customHeight="true" outlineLevel="0" collapsed="false">
      <c r="A877" s="562"/>
      <c r="B877" s="574"/>
      <c r="C877" s="562"/>
      <c r="D877" s="562"/>
      <c r="E877" s="562"/>
      <c r="F877" s="563"/>
      <c r="G877" s="563"/>
      <c r="H877" s="564"/>
      <c r="I877" s="565"/>
      <c r="J877" s="580"/>
      <c r="K877" s="360"/>
      <c r="L877" s="360"/>
      <c r="M877" s="360"/>
      <c r="N877" s="360"/>
      <c r="O877" s="360"/>
      <c r="P877" s="360"/>
      <c r="Q877" s="360"/>
      <c r="R877" s="360"/>
    </row>
    <row r="878" customFormat="false" ht="39.75" hidden="false" customHeight="true" outlineLevel="0" collapsed="false">
      <c r="A878" s="562"/>
      <c r="B878" s="574"/>
      <c r="C878" s="562"/>
      <c r="D878" s="562"/>
      <c r="E878" s="562"/>
      <c r="F878" s="563"/>
      <c r="G878" s="563"/>
      <c r="H878" s="564"/>
      <c r="I878" s="565"/>
      <c r="J878" s="580"/>
      <c r="K878" s="360"/>
      <c r="L878" s="360"/>
      <c r="M878" s="360"/>
      <c r="N878" s="360"/>
      <c r="O878" s="360"/>
      <c r="P878" s="360"/>
      <c r="Q878" s="360"/>
      <c r="R878" s="360"/>
    </row>
    <row r="879" customFormat="false" ht="39.75" hidden="false" customHeight="true" outlineLevel="0" collapsed="false">
      <c r="A879" s="562"/>
      <c r="B879" s="574"/>
      <c r="C879" s="562"/>
      <c r="D879" s="562"/>
      <c r="E879" s="562"/>
      <c r="F879" s="563"/>
      <c r="G879" s="563"/>
      <c r="H879" s="564"/>
      <c r="I879" s="565"/>
      <c r="J879" s="580"/>
      <c r="K879" s="360"/>
      <c r="L879" s="360"/>
      <c r="M879" s="360"/>
      <c r="N879" s="360"/>
      <c r="O879" s="360"/>
      <c r="P879" s="360"/>
      <c r="Q879" s="360"/>
      <c r="R879" s="360"/>
    </row>
    <row r="880" customFormat="false" ht="39.75" hidden="false" customHeight="true" outlineLevel="0" collapsed="false">
      <c r="A880" s="562"/>
      <c r="B880" s="574"/>
      <c r="C880" s="562"/>
      <c r="D880" s="562"/>
      <c r="E880" s="562"/>
      <c r="F880" s="563"/>
      <c r="G880" s="563"/>
      <c r="H880" s="564"/>
      <c r="I880" s="565"/>
      <c r="J880" s="580"/>
      <c r="K880" s="360"/>
      <c r="L880" s="360"/>
      <c r="M880" s="360"/>
      <c r="N880" s="360"/>
      <c r="O880" s="360"/>
      <c r="P880" s="360"/>
      <c r="Q880" s="360"/>
      <c r="R880" s="360"/>
    </row>
    <row r="881" customFormat="false" ht="39.75" hidden="false" customHeight="true" outlineLevel="0" collapsed="false">
      <c r="A881" s="562"/>
      <c r="B881" s="574"/>
      <c r="C881" s="562"/>
      <c r="D881" s="562"/>
      <c r="E881" s="562"/>
      <c r="F881" s="563"/>
      <c r="G881" s="563"/>
      <c r="H881" s="564"/>
      <c r="I881" s="565"/>
      <c r="J881" s="580"/>
      <c r="K881" s="360"/>
      <c r="L881" s="360"/>
      <c r="M881" s="360"/>
      <c r="N881" s="360"/>
      <c r="O881" s="360"/>
      <c r="P881" s="360"/>
      <c r="Q881" s="360"/>
      <c r="R881" s="360"/>
    </row>
    <row r="882" customFormat="false" ht="39.75" hidden="false" customHeight="true" outlineLevel="0" collapsed="false">
      <c r="A882" s="562"/>
      <c r="B882" s="574"/>
      <c r="C882" s="562"/>
      <c r="D882" s="562"/>
      <c r="E882" s="562"/>
      <c r="F882" s="563"/>
      <c r="G882" s="563"/>
      <c r="H882" s="564"/>
      <c r="I882" s="565"/>
      <c r="J882" s="580"/>
      <c r="K882" s="360"/>
      <c r="L882" s="360"/>
      <c r="M882" s="360"/>
      <c r="N882" s="360"/>
      <c r="O882" s="360"/>
      <c r="P882" s="360"/>
      <c r="Q882" s="360"/>
      <c r="R882" s="360"/>
    </row>
    <row r="883" customFormat="false" ht="39.75" hidden="false" customHeight="true" outlineLevel="0" collapsed="false">
      <c r="A883" s="562"/>
      <c r="B883" s="574"/>
      <c r="C883" s="562"/>
      <c r="D883" s="562"/>
      <c r="E883" s="562"/>
      <c r="F883" s="563"/>
      <c r="G883" s="563"/>
      <c r="H883" s="564"/>
      <c r="I883" s="565"/>
      <c r="J883" s="580"/>
      <c r="K883" s="360"/>
      <c r="L883" s="360"/>
      <c r="M883" s="360"/>
      <c r="N883" s="360"/>
      <c r="O883" s="360"/>
      <c r="P883" s="360"/>
      <c r="Q883" s="360"/>
      <c r="R883" s="360"/>
    </row>
    <row r="884" customFormat="false" ht="39.75" hidden="false" customHeight="true" outlineLevel="0" collapsed="false">
      <c r="A884" s="562"/>
      <c r="B884" s="574"/>
      <c r="C884" s="562"/>
      <c r="D884" s="562"/>
      <c r="E884" s="562"/>
      <c r="F884" s="563"/>
      <c r="G884" s="563"/>
      <c r="H884" s="564"/>
      <c r="I884" s="565"/>
      <c r="J884" s="580"/>
      <c r="K884" s="360"/>
      <c r="L884" s="360"/>
      <c r="M884" s="360"/>
      <c r="N884" s="360"/>
      <c r="O884" s="360"/>
      <c r="P884" s="360"/>
      <c r="Q884" s="360"/>
      <c r="R884" s="360"/>
    </row>
    <row r="885" customFormat="false" ht="39.75" hidden="false" customHeight="true" outlineLevel="0" collapsed="false">
      <c r="A885" s="562"/>
      <c r="B885" s="574"/>
      <c r="C885" s="562"/>
      <c r="D885" s="562"/>
      <c r="E885" s="562"/>
      <c r="F885" s="563"/>
      <c r="G885" s="563"/>
      <c r="H885" s="564"/>
      <c r="I885" s="565"/>
      <c r="J885" s="580"/>
      <c r="K885" s="360"/>
      <c r="L885" s="360"/>
      <c r="M885" s="360"/>
      <c r="N885" s="360"/>
      <c r="O885" s="360"/>
      <c r="P885" s="360"/>
      <c r="Q885" s="360"/>
      <c r="R885" s="360"/>
    </row>
    <row r="886" customFormat="false" ht="39.75" hidden="false" customHeight="true" outlineLevel="0" collapsed="false">
      <c r="A886" s="562"/>
      <c r="B886" s="574"/>
      <c r="C886" s="562"/>
      <c r="D886" s="562"/>
      <c r="E886" s="562"/>
      <c r="F886" s="563"/>
      <c r="G886" s="563"/>
      <c r="H886" s="564"/>
      <c r="I886" s="565"/>
      <c r="J886" s="580"/>
      <c r="K886" s="360"/>
      <c r="L886" s="360"/>
      <c r="M886" s="360"/>
      <c r="N886" s="360"/>
      <c r="O886" s="360"/>
      <c r="P886" s="360"/>
      <c r="Q886" s="360"/>
      <c r="R886" s="360"/>
    </row>
    <row r="887" customFormat="false" ht="39.75" hidden="false" customHeight="true" outlineLevel="0" collapsed="false">
      <c r="A887" s="562"/>
      <c r="B887" s="574"/>
      <c r="C887" s="562"/>
      <c r="D887" s="562"/>
      <c r="E887" s="562"/>
      <c r="F887" s="563"/>
      <c r="G887" s="563"/>
      <c r="H887" s="564"/>
      <c r="I887" s="565"/>
      <c r="J887" s="580"/>
      <c r="K887" s="360"/>
      <c r="L887" s="360"/>
      <c r="M887" s="360"/>
      <c r="N887" s="360"/>
      <c r="O887" s="360"/>
      <c r="P887" s="360"/>
      <c r="Q887" s="360"/>
      <c r="R887" s="360"/>
    </row>
    <row r="888" customFormat="false" ht="39.75" hidden="false" customHeight="true" outlineLevel="0" collapsed="false">
      <c r="A888" s="562"/>
      <c r="B888" s="574"/>
      <c r="C888" s="562"/>
      <c r="D888" s="562"/>
      <c r="E888" s="562"/>
      <c r="F888" s="563"/>
      <c r="G888" s="563"/>
      <c r="H888" s="564"/>
      <c r="I888" s="565"/>
      <c r="J888" s="580"/>
      <c r="K888" s="360"/>
      <c r="L888" s="360"/>
      <c r="M888" s="360"/>
      <c r="N888" s="360"/>
      <c r="O888" s="360"/>
      <c r="P888" s="360"/>
      <c r="Q888" s="360"/>
      <c r="R888" s="360"/>
    </row>
    <row r="889" customFormat="false" ht="39.75" hidden="false" customHeight="true" outlineLevel="0" collapsed="false">
      <c r="A889" s="562"/>
      <c r="B889" s="574"/>
      <c r="C889" s="562"/>
      <c r="D889" s="562"/>
      <c r="E889" s="562"/>
      <c r="F889" s="563"/>
      <c r="G889" s="563"/>
      <c r="H889" s="564"/>
      <c r="I889" s="565"/>
      <c r="J889" s="580"/>
      <c r="K889" s="360"/>
      <c r="L889" s="360"/>
      <c r="M889" s="360"/>
      <c r="N889" s="360"/>
      <c r="O889" s="360"/>
      <c r="P889" s="360"/>
      <c r="Q889" s="360"/>
      <c r="R889" s="360"/>
    </row>
    <row r="890" customFormat="false" ht="39.75" hidden="false" customHeight="true" outlineLevel="0" collapsed="false">
      <c r="A890" s="562"/>
      <c r="B890" s="574"/>
      <c r="C890" s="562"/>
      <c r="D890" s="562"/>
      <c r="E890" s="562"/>
      <c r="F890" s="563"/>
      <c r="G890" s="563"/>
      <c r="H890" s="564"/>
      <c r="I890" s="565"/>
      <c r="J890" s="580"/>
      <c r="K890" s="360"/>
      <c r="L890" s="360"/>
      <c r="M890" s="360"/>
      <c r="N890" s="360"/>
      <c r="O890" s="360"/>
      <c r="P890" s="360"/>
      <c r="Q890" s="360"/>
      <c r="R890" s="360"/>
    </row>
    <row r="891" customFormat="false" ht="39.75" hidden="false" customHeight="true" outlineLevel="0" collapsed="false">
      <c r="A891" s="562"/>
      <c r="B891" s="574"/>
      <c r="C891" s="562"/>
      <c r="D891" s="562"/>
      <c r="E891" s="562"/>
      <c r="F891" s="563"/>
      <c r="G891" s="563"/>
      <c r="H891" s="564"/>
      <c r="I891" s="565"/>
      <c r="J891" s="580"/>
      <c r="K891" s="360"/>
      <c r="L891" s="360"/>
      <c r="M891" s="360"/>
      <c r="N891" s="360"/>
      <c r="O891" s="360"/>
      <c r="P891" s="360"/>
      <c r="Q891" s="360"/>
      <c r="R891" s="360"/>
    </row>
    <row r="892" customFormat="false" ht="39.75" hidden="false" customHeight="true" outlineLevel="0" collapsed="false">
      <c r="A892" s="562"/>
      <c r="B892" s="574"/>
      <c r="C892" s="562"/>
      <c r="D892" s="562"/>
      <c r="E892" s="562"/>
      <c r="F892" s="563"/>
      <c r="G892" s="563"/>
      <c r="H892" s="564"/>
      <c r="I892" s="565"/>
      <c r="J892" s="580"/>
      <c r="K892" s="360"/>
      <c r="L892" s="360"/>
      <c r="M892" s="360"/>
      <c r="N892" s="360"/>
      <c r="O892" s="360"/>
      <c r="P892" s="360"/>
      <c r="Q892" s="360"/>
      <c r="R892" s="360"/>
    </row>
    <row r="893" customFormat="false" ht="39.75" hidden="false" customHeight="true" outlineLevel="0" collapsed="false">
      <c r="A893" s="562"/>
      <c r="B893" s="574"/>
      <c r="C893" s="562"/>
      <c r="D893" s="562"/>
      <c r="E893" s="562"/>
      <c r="F893" s="563"/>
      <c r="G893" s="563"/>
      <c r="H893" s="564"/>
      <c r="I893" s="565"/>
      <c r="J893" s="580"/>
      <c r="K893" s="360"/>
      <c r="L893" s="360"/>
      <c r="M893" s="360"/>
      <c r="N893" s="360"/>
      <c r="O893" s="360"/>
      <c r="P893" s="360"/>
      <c r="Q893" s="360"/>
      <c r="R893" s="360"/>
    </row>
    <row r="894" customFormat="false" ht="39.75" hidden="false" customHeight="true" outlineLevel="0" collapsed="false">
      <c r="A894" s="562"/>
      <c r="B894" s="574"/>
      <c r="C894" s="562"/>
      <c r="D894" s="562"/>
      <c r="E894" s="562"/>
      <c r="F894" s="563"/>
      <c r="G894" s="563"/>
      <c r="H894" s="564"/>
      <c r="I894" s="565"/>
      <c r="J894" s="580"/>
      <c r="K894" s="360"/>
      <c r="L894" s="360"/>
      <c r="M894" s="360"/>
      <c r="N894" s="360"/>
      <c r="O894" s="360"/>
      <c r="P894" s="360"/>
      <c r="Q894" s="360"/>
      <c r="R894" s="360"/>
    </row>
    <row r="895" customFormat="false" ht="39.75" hidden="false" customHeight="true" outlineLevel="0" collapsed="false">
      <c r="A895" s="562"/>
      <c r="B895" s="574"/>
      <c r="C895" s="562"/>
      <c r="D895" s="562"/>
      <c r="E895" s="562"/>
      <c r="F895" s="563"/>
      <c r="G895" s="563"/>
      <c r="H895" s="564"/>
      <c r="I895" s="565"/>
      <c r="J895" s="580"/>
      <c r="K895" s="360"/>
      <c r="L895" s="360"/>
      <c r="M895" s="360"/>
      <c r="N895" s="360"/>
      <c r="O895" s="360"/>
      <c r="P895" s="360"/>
      <c r="Q895" s="360"/>
      <c r="R895" s="360"/>
    </row>
    <row r="896" customFormat="false" ht="39.75" hidden="false" customHeight="true" outlineLevel="0" collapsed="false">
      <c r="A896" s="562"/>
      <c r="B896" s="574"/>
      <c r="C896" s="562"/>
      <c r="D896" s="562"/>
      <c r="E896" s="562"/>
      <c r="F896" s="563"/>
      <c r="G896" s="563"/>
      <c r="H896" s="564"/>
      <c r="I896" s="565"/>
      <c r="J896" s="580"/>
      <c r="K896" s="360"/>
      <c r="L896" s="360"/>
      <c r="M896" s="360"/>
      <c r="N896" s="360"/>
      <c r="O896" s="360"/>
      <c r="P896" s="360"/>
      <c r="Q896" s="360"/>
      <c r="R896" s="360"/>
    </row>
    <row r="897" customFormat="false" ht="39.75" hidden="false" customHeight="true" outlineLevel="0" collapsed="false">
      <c r="A897" s="562"/>
      <c r="B897" s="574"/>
      <c r="C897" s="562"/>
      <c r="D897" s="562"/>
      <c r="E897" s="562"/>
      <c r="F897" s="563"/>
      <c r="G897" s="563"/>
      <c r="H897" s="564"/>
      <c r="I897" s="565"/>
      <c r="J897" s="580"/>
      <c r="K897" s="360"/>
      <c r="L897" s="360"/>
      <c r="M897" s="360"/>
      <c r="N897" s="360"/>
      <c r="O897" s="360"/>
      <c r="P897" s="360"/>
      <c r="Q897" s="360"/>
      <c r="R897" s="360"/>
    </row>
    <row r="898" customFormat="false" ht="39.75" hidden="false" customHeight="true" outlineLevel="0" collapsed="false">
      <c r="A898" s="562"/>
      <c r="B898" s="574"/>
      <c r="C898" s="562"/>
      <c r="D898" s="562"/>
      <c r="E898" s="562"/>
      <c r="F898" s="563"/>
      <c r="G898" s="563"/>
      <c r="H898" s="564"/>
      <c r="I898" s="565"/>
      <c r="J898" s="580"/>
      <c r="K898" s="360"/>
      <c r="L898" s="360"/>
      <c r="M898" s="360"/>
      <c r="N898" s="360"/>
      <c r="O898" s="360"/>
      <c r="P898" s="360"/>
      <c r="Q898" s="360"/>
      <c r="R898" s="360"/>
    </row>
    <row r="899" customFormat="false" ht="39.75" hidden="false" customHeight="true" outlineLevel="0" collapsed="false">
      <c r="A899" s="562"/>
      <c r="B899" s="574"/>
      <c r="C899" s="562"/>
      <c r="D899" s="562"/>
      <c r="E899" s="562"/>
      <c r="F899" s="563"/>
      <c r="G899" s="563"/>
      <c r="H899" s="564"/>
      <c r="I899" s="565"/>
      <c r="J899" s="580"/>
      <c r="K899" s="360"/>
      <c r="L899" s="360"/>
      <c r="M899" s="360"/>
      <c r="N899" s="360"/>
      <c r="O899" s="360"/>
      <c r="P899" s="360"/>
      <c r="Q899" s="360"/>
      <c r="R899" s="360"/>
    </row>
    <row r="900" customFormat="false" ht="39.75" hidden="false" customHeight="true" outlineLevel="0" collapsed="false">
      <c r="A900" s="562"/>
      <c r="B900" s="574"/>
      <c r="C900" s="562"/>
      <c r="D900" s="562"/>
      <c r="E900" s="562"/>
      <c r="F900" s="563"/>
      <c r="G900" s="563"/>
      <c r="H900" s="564"/>
      <c r="I900" s="565"/>
      <c r="J900" s="580"/>
      <c r="K900" s="360"/>
      <c r="L900" s="360"/>
      <c r="M900" s="360"/>
      <c r="N900" s="360"/>
      <c r="O900" s="360"/>
      <c r="P900" s="360"/>
      <c r="Q900" s="360"/>
      <c r="R900" s="360"/>
    </row>
    <row r="901" customFormat="false" ht="39.75" hidden="false" customHeight="true" outlineLevel="0" collapsed="false">
      <c r="A901" s="562"/>
      <c r="B901" s="574"/>
      <c r="C901" s="562"/>
      <c r="D901" s="562"/>
      <c r="E901" s="562"/>
      <c r="F901" s="563"/>
      <c r="G901" s="563"/>
      <c r="H901" s="564"/>
      <c r="I901" s="565"/>
      <c r="J901" s="580"/>
      <c r="K901" s="360"/>
      <c r="L901" s="360"/>
      <c r="M901" s="360"/>
      <c r="N901" s="360"/>
      <c r="O901" s="360"/>
      <c r="P901" s="360"/>
      <c r="Q901" s="360"/>
      <c r="R901" s="360"/>
    </row>
    <row r="902" customFormat="false" ht="39.75" hidden="false" customHeight="true" outlineLevel="0" collapsed="false">
      <c r="A902" s="562"/>
      <c r="B902" s="574"/>
      <c r="C902" s="562"/>
      <c r="D902" s="562"/>
      <c r="E902" s="562"/>
      <c r="F902" s="563"/>
      <c r="G902" s="563"/>
      <c r="H902" s="564"/>
      <c r="I902" s="565"/>
      <c r="J902" s="580"/>
      <c r="K902" s="360"/>
      <c r="L902" s="360"/>
      <c r="M902" s="360"/>
      <c r="N902" s="360"/>
      <c r="O902" s="360"/>
      <c r="P902" s="360"/>
      <c r="Q902" s="360"/>
      <c r="R902" s="360"/>
    </row>
    <row r="903" customFormat="false" ht="39.75" hidden="false" customHeight="true" outlineLevel="0" collapsed="false">
      <c r="A903" s="562"/>
      <c r="B903" s="574"/>
      <c r="C903" s="562"/>
      <c r="D903" s="562"/>
      <c r="E903" s="562"/>
      <c r="F903" s="563"/>
      <c r="G903" s="563"/>
      <c r="H903" s="564"/>
      <c r="I903" s="565"/>
      <c r="J903" s="580"/>
      <c r="K903" s="360"/>
      <c r="L903" s="360"/>
      <c r="M903" s="360"/>
      <c r="N903" s="360"/>
      <c r="O903" s="360"/>
      <c r="P903" s="360"/>
      <c r="Q903" s="360"/>
      <c r="R903" s="360"/>
    </row>
    <row r="904" customFormat="false" ht="39.75" hidden="false" customHeight="true" outlineLevel="0" collapsed="false">
      <c r="A904" s="562"/>
      <c r="B904" s="574"/>
      <c r="C904" s="562"/>
      <c r="D904" s="562"/>
      <c r="E904" s="562"/>
      <c r="F904" s="563"/>
      <c r="G904" s="563"/>
      <c r="H904" s="564"/>
      <c r="I904" s="565"/>
      <c r="J904" s="580"/>
      <c r="K904" s="360"/>
      <c r="L904" s="360"/>
      <c r="M904" s="360"/>
      <c r="N904" s="360"/>
      <c r="O904" s="360"/>
      <c r="P904" s="360"/>
      <c r="Q904" s="360"/>
      <c r="R904" s="360"/>
    </row>
    <row r="905" customFormat="false" ht="39.75" hidden="false" customHeight="true" outlineLevel="0" collapsed="false">
      <c r="A905" s="562"/>
      <c r="B905" s="574"/>
      <c r="C905" s="562"/>
      <c r="D905" s="562"/>
      <c r="E905" s="562"/>
      <c r="F905" s="563"/>
      <c r="G905" s="563"/>
      <c r="H905" s="564"/>
      <c r="I905" s="565"/>
      <c r="J905" s="580"/>
      <c r="K905" s="360"/>
      <c r="L905" s="360"/>
      <c r="M905" s="360"/>
      <c r="N905" s="360"/>
      <c r="O905" s="360"/>
      <c r="P905" s="360"/>
      <c r="Q905" s="360"/>
      <c r="R905" s="360"/>
    </row>
    <row r="906" customFormat="false" ht="39.75" hidden="false" customHeight="true" outlineLevel="0" collapsed="false">
      <c r="A906" s="562"/>
      <c r="B906" s="574"/>
      <c r="C906" s="562"/>
      <c r="D906" s="562"/>
      <c r="E906" s="562"/>
      <c r="F906" s="563"/>
      <c r="G906" s="563"/>
      <c r="H906" s="564"/>
      <c r="I906" s="565"/>
      <c r="J906" s="580"/>
      <c r="K906" s="360"/>
      <c r="L906" s="360"/>
      <c r="M906" s="360"/>
      <c r="N906" s="360"/>
      <c r="O906" s="360"/>
      <c r="P906" s="360"/>
      <c r="Q906" s="360"/>
      <c r="R906" s="360"/>
    </row>
    <row r="907" customFormat="false" ht="39.75" hidden="false" customHeight="true" outlineLevel="0" collapsed="false">
      <c r="A907" s="562"/>
      <c r="B907" s="574"/>
      <c r="C907" s="562"/>
      <c r="D907" s="562"/>
      <c r="E907" s="562"/>
      <c r="F907" s="563"/>
      <c r="G907" s="563"/>
      <c r="H907" s="564"/>
      <c r="I907" s="565"/>
      <c r="J907" s="580"/>
      <c r="K907" s="360"/>
      <c r="L907" s="360"/>
      <c r="M907" s="360"/>
      <c r="N907" s="360"/>
      <c r="O907" s="360"/>
      <c r="P907" s="360"/>
      <c r="Q907" s="360"/>
      <c r="R907" s="360"/>
    </row>
    <row r="908" customFormat="false" ht="39.75" hidden="false" customHeight="true" outlineLevel="0" collapsed="false">
      <c r="A908" s="562"/>
      <c r="B908" s="574"/>
      <c r="C908" s="562"/>
      <c r="D908" s="562"/>
      <c r="E908" s="562"/>
      <c r="F908" s="563"/>
      <c r="G908" s="563"/>
      <c r="H908" s="564"/>
      <c r="I908" s="565"/>
      <c r="J908" s="580"/>
      <c r="K908" s="360"/>
      <c r="L908" s="360"/>
      <c r="M908" s="360"/>
      <c r="N908" s="360"/>
      <c r="O908" s="360"/>
      <c r="P908" s="360"/>
      <c r="Q908" s="360"/>
      <c r="R908" s="360"/>
    </row>
    <row r="909" customFormat="false" ht="39.75" hidden="false" customHeight="true" outlineLevel="0" collapsed="false">
      <c r="A909" s="562"/>
      <c r="B909" s="574"/>
      <c r="C909" s="562"/>
      <c r="D909" s="562"/>
      <c r="E909" s="562"/>
      <c r="F909" s="563"/>
      <c r="G909" s="563"/>
      <c r="H909" s="564"/>
      <c r="I909" s="565"/>
      <c r="J909" s="580"/>
      <c r="K909" s="360"/>
      <c r="L909" s="360"/>
      <c r="M909" s="360"/>
      <c r="N909" s="360"/>
      <c r="O909" s="360"/>
      <c r="P909" s="360"/>
      <c r="Q909" s="360"/>
      <c r="R909" s="360"/>
    </row>
    <row r="910" customFormat="false" ht="39.75" hidden="false" customHeight="true" outlineLevel="0" collapsed="false">
      <c r="A910" s="562"/>
      <c r="B910" s="574"/>
      <c r="C910" s="562"/>
      <c r="D910" s="562"/>
      <c r="E910" s="562"/>
      <c r="F910" s="563"/>
      <c r="G910" s="563"/>
      <c r="H910" s="564"/>
      <c r="I910" s="565"/>
      <c r="J910" s="580"/>
      <c r="K910" s="360"/>
      <c r="L910" s="360"/>
      <c r="M910" s="360"/>
      <c r="N910" s="360"/>
      <c r="O910" s="360"/>
      <c r="P910" s="360"/>
      <c r="Q910" s="360"/>
      <c r="R910" s="360"/>
    </row>
    <row r="911" customFormat="false" ht="39.75" hidden="false" customHeight="true" outlineLevel="0" collapsed="false">
      <c r="A911" s="562"/>
      <c r="B911" s="574"/>
      <c r="C911" s="562"/>
      <c r="D911" s="562"/>
      <c r="E911" s="562"/>
      <c r="F911" s="563"/>
      <c r="G911" s="563"/>
      <c r="H911" s="564"/>
      <c r="I911" s="565"/>
      <c r="J911" s="580"/>
      <c r="K911" s="360"/>
      <c r="L911" s="360"/>
      <c r="M911" s="360"/>
      <c r="N911" s="360"/>
      <c r="O911" s="360"/>
      <c r="P911" s="360"/>
      <c r="Q911" s="360"/>
      <c r="R911" s="360"/>
    </row>
    <row r="912" customFormat="false" ht="39.75" hidden="false" customHeight="true" outlineLevel="0" collapsed="false">
      <c r="A912" s="562"/>
      <c r="B912" s="574"/>
      <c r="C912" s="562"/>
      <c r="D912" s="562"/>
      <c r="E912" s="562"/>
      <c r="F912" s="563"/>
      <c r="G912" s="563"/>
      <c r="H912" s="564"/>
      <c r="I912" s="565"/>
      <c r="J912" s="580"/>
      <c r="K912" s="360"/>
      <c r="L912" s="360"/>
      <c r="M912" s="360"/>
      <c r="N912" s="360"/>
      <c r="O912" s="360"/>
      <c r="P912" s="360"/>
      <c r="Q912" s="360"/>
      <c r="R912" s="360"/>
    </row>
    <row r="913" customFormat="false" ht="39.75" hidden="false" customHeight="true" outlineLevel="0" collapsed="false">
      <c r="A913" s="562"/>
      <c r="B913" s="574"/>
      <c r="C913" s="562"/>
      <c r="D913" s="562"/>
      <c r="E913" s="562"/>
      <c r="F913" s="563"/>
      <c r="G913" s="563"/>
      <c r="H913" s="564"/>
      <c r="I913" s="565"/>
      <c r="J913" s="580"/>
      <c r="K913" s="360"/>
      <c r="L913" s="360"/>
      <c r="M913" s="360"/>
      <c r="N913" s="360"/>
      <c r="O913" s="360"/>
      <c r="P913" s="360"/>
      <c r="Q913" s="360"/>
      <c r="R913" s="360"/>
    </row>
    <row r="914" customFormat="false" ht="39.75" hidden="false" customHeight="true" outlineLevel="0" collapsed="false">
      <c r="A914" s="562"/>
      <c r="B914" s="574"/>
      <c r="C914" s="562"/>
      <c r="D914" s="562"/>
      <c r="E914" s="562"/>
      <c r="F914" s="563"/>
      <c r="G914" s="563"/>
      <c r="H914" s="564"/>
      <c r="I914" s="565"/>
      <c r="J914" s="580"/>
      <c r="K914" s="360"/>
      <c r="L914" s="360"/>
      <c r="M914" s="360"/>
      <c r="N914" s="360"/>
      <c r="O914" s="360"/>
      <c r="P914" s="360"/>
      <c r="Q914" s="360"/>
      <c r="R914" s="360"/>
    </row>
    <row r="915" customFormat="false" ht="39.75" hidden="false" customHeight="true" outlineLevel="0" collapsed="false">
      <c r="A915" s="562"/>
      <c r="B915" s="574"/>
      <c r="C915" s="562"/>
      <c r="D915" s="562"/>
      <c r="E915" s="562"/>
      <c r="F915" s="563"/>
      <c r="G915" s="563"/>
      <c r="H915" s="564"/>
      <c r="I915" s="565"/>
      <c r="J915" s="580"/>
      <c r="K915" s="360"/>
      <c r="L915" s="360"/>
      <c r="M915" s="360"/>
      <c r="N915" s="360"/>
      <c r="O915" s="360"/>
      <c r="P915" s="360"/>
      <c r="Q915" s="360"/>
      <c r="R915" s="360"/>
    </row>
    <row r="916" customFormat="false" ht="39.75" hidden="false" customHeight="true" outlineLevel="0" collapsed="false">
      <c r="A916" s="562"/>
      <c r="B916" s="574"/>
      <c r="C916" s="562"/>
      <c r="D916" s="562"/>
      <c r="E916" s="562"/>
      <c r="F916" s="563"/>
      <c r="G916" s="563"/>
      <c r="H916" s="564"/>
      <c r="I916" s="565"/>
      <c r="J916" s="580"/>
      <c r="K916" s="360"/>
      <c r="L916" s="360"/>
      <c r="M916" s="360"/>
      <c r="N916" s="360"/>
      <c r="O916" s="360"/>
      <c r="P916" s="360"/>
      <c r="Q916" s="360"/>
      <c r="R916" s="360"/>
    </row>
    <row r="917" customFormat="false" ht="39.75" hidden="false" customHeight="true" outlineLevel="0" collapsed="false">
      <c r="A917" s="562"/>
      <c r="B917" s="574"/>
      <c r="C917" s="562"/>
      <c r="D917" s="562"/>
      <c r="E917" s="562"/>
      <c r="F917" s="563"/>
      <c r="G917" s="563"/>
      <c r="H917" s="564"/>
      <c r="I917" s="565"/>
      <c r="J917" s="580"/>
      <c r="K917" s="360"/>
      <c r="L917" s="360"/>
      <c r="M917" s="360"/>
      <c r="N917" s="360"/>
      <c r="O917" s="360"/>
      <c r="P917" s="360"/>
      <c r="Q917" s="360"/>
      <c r="R917" s="360"/>
    </row>
    <row r="918" customFormat="false" ht="39.75" hidden="false" customHeight="true" outlineLevel="0" collapsed="false">
      <c r="A918" s="562"/>
      <c r="B918" s="574"/>
      <c r="C918" s="562"/>
      <c r="D918" s="562"/>
      <c r="E918" s="562"/>
      <c r="F918" s="563"/>
      <c r="G918" s="563"/>
      <c r="H918" s="564"/>
      <c r="I918" s="565"/>
      <c r="J918" s="580"/>
      <c r="K918" s="360"/>
      <c r="L918" s="360"/>
      <c r="M918" s="360"/>
      <c r="N918" s="360"/>
      <c r="O918" s="360"/>
      <c r="P918" s="360"/>
      <c r="Q918" s="360"/>
      <c r="R918" s="360"/>
    </row>
    <row r="919" customFormat="false" ht="39.75" hidden="false" customHeight="true" outlineLevel="0" collapsed="false">
      <c r="A919" s="562"/>
      <c r="B919" s="574"/>
      <c r="C919" s="562"/>
      <c r="D919" s="562"/>
      <c r="E919" s="562"/>
      <c r="F919" s="563"/>
      <c r="G919" s="563"/>
      <c r="H919" s="564"/>
      <c r="I919" s="565"/>
      <c r="J919" s="580"/>
      <c r="K919" s="360"/>
      <c r="L919" s="360"/>
      <c r="M919" s="360"/>
      <c r="N919" s="360"/>
      <c r="O919" s="360"/>
      <c r="P919" s="360"/>
      <c r="Q919" s="360"/>
      <c r="R919" s="360"/>
    </row>
    <row r="920" customFormat="false" ht="39.75" hidden="false" customHeight="true" outlineLevel="0" collapsed="false">
      <c r="A920" s="562"/>
      <c r="B920" s="574"/>
      <c r="C920" s="562"/>
      <c r="D920" s="562"/>
      <c r="E920" s="562"/>
      <c r="F920" s="563"/>
      <c r="G920" s="563"/>
      <c r="H920" s="564"/>
      <c r="I920" s="565"/>
      <c r="J920" s="580"/>
      <c r="K920" s="360"/>
      <c r="L920" s="360"/>
      <c r="M920" s="360"/>
      <c r="N920" s="360"/>
      <c r="O920" s="360"/>
      <c r="P920" s="360"/>
      <c r="Q920" s="360"/>
      <c r="R920" s="360"/>
    </row>
    <row r="921" customFormat="false" ht="39.75" hidden="false" customHeight="true" outlineLevel="0" collapsed="false">
      <c r="A921" s="562"/>
      <c r="B921" s="574"/>
      <c r="C921" s="562"/>
      <c r="D921" s="562"/>
      <c r="E921" s="562"/>
      <c r="F921" s="563"/>
      <c r="G921" s="563"/>
      <c r="H921" s="564"/>
      <c r="I921" s="565"/>
      <c r="J921" s="580"/>
      <c r="K921" s="360"/>
      <c r="L921" s="360"/>
      <c r="M921" s="360"/>
      <c r="N921" s="360"/>
      <c r="O921" s="360"/>
      <c r="P921" s="360"/>
      <c r="Q921" s="360"/>
      <c r="R921" s="360"/>
    </row>
    <row r="922" customFormat="false" ht="39.75" hidden="false" customHeight="true" outlineLevel="0" collapsed="false">
      <c r="A922" s="562"/>
      <c r="B922" s="574"/>
      <c r="C922" s="562"/>
      <c r="D922" s="562"/>
      <c r="E922" s="562"/>
      <c r="F922" s="563"/>
      <c r="G922" s="563"/>
      <c r="H922" s="564"/>
      <c r="I922" s="565"/>
      <c r="J922" s="580"/>
      <c r="K922" s="360"/>
      <c r="L922" s="360"/>
      <c r="M922" s="360"/>
      <c r="N922" s="360"/>
      <c r="O922" s="360"/>
      <c r="P922" s="360"/>
      <c r="Q922" s="360"/>
      <c r="R922" s="360"/>
    </row>
    <row r="923" customFormat="false" ht="39.75" hidden="false" customHeight="true" outlineLevel="0" collapsed="false">
      <c r="A923" s="562"/>
      <c r="B923" s="574"/>
      <c r="C923" s="562"/>
      <c r="D923" s="562"/>
      <c r="E923" s="562"/>
      <c r="F923" s="563"/>
      <c r="G923" s="563"/>
      <c r="H923" s="564"/>
      <c r="I923" s="565"/>
      <c r="J923" s="580"/>
      <c r="K923" s="360"/>
      <c r="L923" s="360"/>
      <c r="M923" s="360"/>
      <c r="N923" s="360"/>
      <c r="O923" s="360"/>
      <c r="P923" s="360"/>
      <c r="Q923" s="360"/>
      <c r="R923" s="360"/>
    </row>
    <row r="924" customFormat="false" ht="39.75" hidden="false" customHeight="true" outlineLevel="0" collapsed="false">
      <c r="A924" s="562"/>
      <c r="B924" s="574"/>
      <c r="C924" s="562"/>
      <c r="D924" s="562"/>
      <c r="E924" s="562"/>
      <c r="F924" s="563"/>
      <c r="G924" s="563"/>
      <c r="H924" s="564"/>
      <c r="I924" s="565"/>
      <c r="J924" s="580"/>
      <c r="K924" s="360"/>
      <c r="L924" s="360"/>
      <c r="M924" s="360"/>
      <c r="N924" s="360"/>
      <c r="O924" s="360"/>
      <c r="P924" s="360"/>
      <c r="Q924" s="360"/>
      <c r="R924" s="360"/>
    </row>
    <row r="925" customFormat="false" ht="39.75" hidden="false" customHeight="true" outlineLevel="0" collapsed="false">
      <c r="A925" s="562"/>
      <c r="B925" s="574"/>
      <c r="C925" s="562"/>
      <c r="D925" s="562"/>
      <c r="E925" s="562"/>
      <c r="F925" s="563"/>
      <c r="G925" s="563"/>
      <c r="H925" s="564"/>
      <c r="I925" s="565"/>
      <c r="J925" s="580"/>
      <c r="K925" s="360"/>
      <c r="L925" s="360"/>
      <c r="M925" s="360"/>
      <c r="N925" s="360"/>
      <c r="O925" s="360"/>
      <c r="P925" s="360"/>
      <c r="Q925" s="360"/>
      <c r="R925" s="360"/>
    </row>
    <row r="926" customFormat="false" ht="39.75" hidden="false" customHeight="true" outlineLevel="0" collapsed="false">
      <c r="A926" s="562"/>
      <c r="B926" s="574"/>
      <c r="C926" s="562"/>
      <c r="D926" s="562"/>
      <c r="E926" s="562"/>
      <c r="F926" s="563"/>
      <c r="G926" s="563"/>
      <c r="H926" s="564"/>
      <c r="I926" s="565"/>
      <c r="J926" s="580"/>
      <c r="K926" s="360"/>
      <c r="L926" s="360"/>
      <c r="M926" s="360"/>
      <c r="N926" s="360"/>
      <c r="O926" s="360"/>
      <c r="P926" s="360"/>
      <c r="Q926" s="360"/>
      <c r="R926" s="360"/>
    </row>
    <row r="927" customFormat="false" ht="39.75" hidden="false" customHeight="true" outlineLevel="0" collapsed="false">
      <c r="A927" s="562"/>
      <c r="B927" s="574"/>
      <c r="C927" s="562"/>
      <c r="D927" s="562"/>
      <c r="E927" s="562"/>
      <c r="F927" s="563"/>
      <c r="G927" s="563"/>
      <c r="H927" s="564"/>
      <c r="I927" s="565"/>
      <c r="J927" s="580"/>
      <c r="K927" s="360"/>
      <c r="L927" s="360"/>
      <c r="M927" s="360"/>
      <c r="N927" s="360"/>
      <c r="O927" s="360"/>
      <c r="P927" s="360"/>
      <c r="Q927" s="360"/>
      <c r="R927" s="360"/>
    </row>
    <row r="928" customFormat="false" ht="39.75" hidden="false" customHeight="true" outlineLevel="0" collapsed="false">
      <c r="A928" s="562"/>
      <c r="B928" s="574"/>
      <c r="C928" s="562"/>
      <c r="D928" s="562"/>
      <c r="E928" s="562"/>
      <c r="F928" s="563"/>
      <c r="G928" s="563"/>
      <c r="H928" s="564"/>
      <c r="I928" s="565"/>
      <c r="J928" s="580"/>
      <c r="K928" s="360"/>
      <c r="L928" s="360"/>
      <c r="M928" s="360"/>
      <c r="N928" s="360"/>
      <c r="O928" s="360"/>
      <c r="P928" s="360"/>
      <c r="Q928" s="360"/>
      <c r="R928" s="360"/>
    </row>
    <row r="929" customFormat="false" ht="39.75" hidden="false" customHeight="true" outlineLevel="0" collapsed="false">
      <c r="A929" s="562"/>
      <c r="B929" s="574"/>
      <c r="C929" s="562"/>
      <c r="D929" s="562"/>
      <c r="E929" s="562"/>
      <c r="F929" s="563"/>
      <c r="G929" s="563"/>
      <c r="H929" s="564"/>
      <c r="I929" s="565"/>
      <c r="J929" s="580"/>
      <c r="K929" s="360"/>
      <c r="L929" s="360"/>
      <c r="M929" s="360"/>
      <c r="N929" s="360"/>
      <c r="O929" s="360"/>
      <c r="P929" s="360"/>
      <c r="Q929" s="360"/>
      <c r="R929" s="360"/>
    </row>
    <row r="930" customFormat="false" ht="39.75" hidden="false" customHeight="true" outlineLevel="0" collapsed="false">
      <c r="A930" s="562"/>
      <c r="B930" s="574"/>
      <c r="C930" s="562"/>
      <c r="D930" s="562"/>
      <c r="E930" s="562"/>
      <c r="F930" s="563"/>
      <c r="G930" s="563"/>
      <c r="H930" s="564"/>
      <c r="I930" s="565"/>
      <c r="J930" s="580"/>
      <c r="K930" s="360"/>
      <c r="L930" s="360"/>
      <c r="M930" s="360"/>
      <c r="N930" s="360"/>
      <c r="O930" s="360"/>
      <c r="P930" s="360"/>
      <c r="Q930" s="360"/>
      <c r="R930" s="360"/>
    </row>
    <row r="931" customFormat="false" ht="39.75" hidden="false" customHeight="true" outlineLevel="0" collapsed="false">
      <c r="A931" s="562"/>
      <c r="B931" s="574"/>
      <c r="C931" s="562"/>
      <c r="D931" s="562"/>
      <c r="E931" s="562"/>
      <c r="F931" s="563"/>
      <c r="G931" s="563"/>
      <c r="H931" s="564"/>
      <c r="I931" s="565"/>
      <c r="J931" s="580"/>
      <c r="K931" s="360"/>
      <c r="L931" s="360"/>
      <c r="M931" s="360"/>
      <c r="N931" s="360"/>
      <c r="O931" s="360"/>
      <c r="P931" s="360"/>
      <c r="Q931" s="360"/>
      <c r="R931" s="360"/>
    </row>
    <row r="932" customFormat="false" ht="39.75" hidden="false" customHeight="true" outlineLevel="0" collapsed="false">
      <c r="A932" s="562"/>
      <c r="B932" s="574"/>
      <c r="C932" s="562"/>
      <c r="D932" s="562"/>
      <c r="E932" s="562"/>
      <c r="F932" s="563"/>
      <c r="G932" s="563"/>
      <c r="H932" s="564"/>
      <c r="I932" s="565"/>
      <c r="J932" s="580"/>
      <c r="K932" s="360"/>
      <c r="L932" s="360"/>
      <c r="M932" s="360"/>
      <c r="N932" s="360"/>
      <c r="O932" s="360"/>
      <c r="P932" s="360"/>
      <c r="Q932" s="360"/>
      <c r="R932" s="360"/>
    </row>
    <row r="933" customFormat="false" ht="39.75" hidden="false" customHeight="true" outlineLevel="0" collapsed="false">
      <c r="A933" s="562"/>
      <c r="B933" s="574"/>
      <c r="C933" s="562"/>
      <c r="D933" s="562"/>
      <c r="E933" s="562"/>
      <c r="F933" s="563"/>
      <c r="G933" s="563"/>
      <c r="H933" s="564"/>
      <c r="I933" s="565"/>
      <c r="J933" s="580"/>
      <c r="K933" s="360"/>
      <c r="L933" s="360"/>
      <c r="M933" s="360"/>
      <c r="N933" s="360"/>
      <c r="O933" s="360"/>
      <c r="P933" s="360"/>
      <c r="Q933" s="360"/>
      <c r="R933" s="360"/>
    </row>
    <row r="934" customFormat="false" ht="39.75" hidden="false" customHeight="true" outlineLevel="0" collapsed="false">
      <c r="A934" s="562"/>
      <c r="B934" s="574"/>
      <c r="C934" s="562"/>
      <c r="D934" s="562"/>
      <c r="E934" s="562"/>
      <c r="F934" s="563"/>
      <c r="G934" s="563"/>
      <c r="H934" s="564"/>
      <c r="I934" s="565"/>
      <c r="J934" s="580"/>
      <c r="K934" s="360"/>
      <c r="L934" s="360"/>
      <c r="M934" s="360"/>
      <c r="N934" s="360"/>
      <c r="O934" s="360"/>
      <c r="P934" s="360"/>
      <c r="Q934" s="360"/>
      <c r="R934" s="360"/>
    </row>
    <row r="935" customFormat="false" ht="39.75" hidden="false" customHeight="true" outlineLevel="0" collapsed="false">
      <c r="A935" s="562"/>
      <c r="B935" s="574"/>
      <c r="C935" s="562"/>
      <c r="D935" s="562"/>
      <c r="E935" s="562"/>
      <c r="F935" s="563"/>
      <c r="G935" s="563"/>
      <c r="H935" s="564"/>
      <c r="I935" s="565"/>
      <c r="J935" s="580"/>
      <c r="K935" s="360"/>
      <c r="L935" s="360"/>
      <c r="M935" s="360"/>
      <c r="N935" s="360"/>
      <c r="O935" s="360"/>
      <c r="P935" s="360"/>
      <c r="Q935" s="360"/>
      <c r="R935" s="360"/>
    </row>
    <row r="936" customFormat="false" ht="39.75" hidden="false" customHeight="true" outlineLevel="0" collapsed="false">
      <c r="A936" s="562"/>
      <c r="B936" s="574"/>
      <c r="C936" s="562"/>
      <c r="D936" s="562"/>
      <c r="E936" s="562"/>
      <c r="F936" s="563"/>
      <c r="G936" s="563"/>
      <c r="H936" s="564"/>
      <c r="I936" s="565"/>
      <c r="J936" s="580"/>
      <c r="K936" s="360"/>
      <c r="L936" s="360"/>
      <c r="M936" s="360"/>
      <c r="N936" s="360"/>
      <c r="O936" s="360"/>
      <c r="P936" s="360"/>
      <c r="Q936" s="360"/>
      <c r="R936" s="360"/>
    </row>
    <row r="937" customFormat="false" ht="39.75" hidden="false" customHeight="true" outlineLevel="0" collapsed="false">
      <c r="A937" s="562"/>
      <c r="B937" s="574"/>
      <c r="C937" s="562"/>
      <c r="D937" s="562"/>
      <c r="E937" s="562"/>
      <c r="F937" s="563"/>
      <c r="G937" s="563"/>
      <c r="H937" s="564"/>
      <c r="I937" s="565"/>
      <c r="J937" s="580"/>
      <c r="K937" s="360"/>
      <c r="L937" s="360"/>
      <c r="M937" s="360"/>
      <c r="N937" s="360"/>
      <c r="O937" s="360"/>
      <c r="P937" s="360"/>
      <c r="Q937" s="360"/>
      <c r="R937" s="360"/>
    </row>
    <row r="938" customFormat="false" ht="39.75" hidden="false" customHeight="true" outlineLevel="0" collapsed="false">
      <c r="A938" s="562"/>
      <c r="B938" s="574"/>
      <c r="C938" s="562"/>
      <c r="D938" s="562"/>
      <c r="E938" s="562"/>
      <c r="F938" s="563"/>
      <c r="G938" s="563"/>
      <c r="H938" s="564"/>
      <c r="I938" s="565"/>
      <c r="J938" s="580"/>
      <c r="K938" s="360"/>
      <c r="L938" s="360"/>
      <c r="M938" s="360"/>
      <c r="N938" s="360"/>
      <c r="O938" s="360"/>
      <c r="P938" s="360"/>
      <c r="Q938" s="360"/>
      <c r="R938" s="360"/>
    </row>
    <row r="939" customFormat="false" ht="39.75" hidden="false" customHeight="true" outlineLevel="0" collapsed="false">
      <c r="A939" s="562"/>
      <c r="B939" s="574"/>
      <c r="C939" s="562"/>
      <c r="D939" s="562"/>
      <c r="E939" s="562"/>
      <c r="F939" s="563"/>
      <c r="G939" s="563"/>
      <c r="H939" s="564"/>
      <c r="I939" s="565"/>
      <c r="J939" s="580"/>
      <c r="K939" s="360"/>
      <c r="L939" s="360"/>
      <c r="M939" s="360"/>
      <c r="N939" s="360"/>
      <c r="O939" s="360"/>
      <c r="P939" s="360"/>
      <c r="Q939" s="360"/>
      <c r="R939" s="360"/>
    </row>
    <row r="940" customFormat="false" ht="39.75" hidden="false" customHeight="true" outlineLevel="0" collapsed="false">
      <c r="A940" s="562"/>
      <c r="B940" s="574"/>
      <c r="C940" s="562"/>
      <c r="D940" s="562"/>
      <c r="E940" s="562"/>
      <c r="F940" s="563"/>
      <c r="G940" s="563"/>
      <c r="H940" s="564"/>
      <c r="I940" s="565"/>
      <c r="J940" s="580"/>
      <c r="K940" s="360"/>
      <c r="L940" s="360"/>
      <c r="M940" s="360"/>
      <c r="N940" s="360"/>
      <c r="O940" s="360"/>
      <c r="P940" s="360"/>
      <c r="Q940" s="360"/>
      <c r="R940" s="360"/>
    </row>
    <row r="941" customFormat="false" ht="39.75" hidden="false" customHeight="true" outlineLevel="0" collapsed="false">
      <c r="A941" s="562"/>
      <c r="B941" s="574"/>
      <c r="C941" s="562"/>
      <c r="D941" s="562"/>
      <c r="E941" s="562"/>
      <c r="F941" s="563"/>
      <c r="G941" s="563"/>
      <c r="H941" s="564"/>
      <c r="I941" s="565"/>
      <c r="J941" s="580"/>
      <c r="K941" s="360"/>
      <c r="L941" s="360"/>
      <c r="M941" s="360"/>
      <c r="N941" s="360"/>
      <c r="O941" s="360"/>
      <c r="P941" s="360"/>
      <c r="Q941" s="360"/>
      <c r="R941" s="360"/>
    </row>
    <row r="942" customFormat="false" ht="39.75" hidden="false" customHeight="true" outlineLevel="0" collapsed="false">
      <c r="A942" s="562"/>
      <c r="B942" s="574"/>
      <c r="C942" s="562"/>
      <c r="D942" s="562"/>
      <c r="E942" s="562"/>
      <c r="F942" s="563"/>
      <c r="G942" s="563"/>
      <c r="H942" s="564"/>
      <c r="I942" s="565"/>
      <c r="J942" s="580"/>
      <c r="K942" s="360"/>
      <c r="L942" s="360"/>
      <c r="M942" s="360"/>
      <c r="N942" s="360"/>
      <c r="O942" s="360"/>
      <c r="P942" s="360"/>
      <c r="Q942" s="360"/>
      <c r="R942" s="360"/>
    </row>
    <row r="943" customFormat="false" ht="39.75" hidden="false" customHeight="true" outlineLevel="0" collapsed="false">
      <c r="A943" s="562"/>
      <c r="B943" s="574"/>
      <c r="C943" s="562"/>
      <c r="D943" s="562"/>
      <c r="E943" s="562"/>
      <c r="F943" s="563"/>
      <c r="G943" s="563"/>
      <c r="H943" s="564"/>
      <c r="I943" s="565"/>
      <c r="J943" s="580"/>
      <c r="K943" s="360"/>
      <c r="L943" s="360"/>
      <c r="M943" s="360"/>
      <c r="N943" s="360"/>
      <c r="O943" s="360"/>
      <c r="P943" s="360"/>
      <c r="Q943" s="360"/>
      <c r="R943" s="360"/>
    </row>
    <row r="944" customFormat="false" ht="39.75" hidden="false" customHeight="true" outlineLevel="0" collapsed="false">
      <c r="A944" s="562"/>
      <c r="B944" s="574"/>
      <c r="C944" s="562"/>
      <c r="D944" s="562"/>
      <c r="E944" s="562"/>
      <c r="F944" s="563"/>
      <c r="G944" s="563"/>
      <c r="H944" s="564"/>
      <c r="I944" s="565"/>
      <c r="J944" s="580"/>
      <c r="K944" s="360"/>
      <c r="L944" s="360"/>
      <c r="M944" s="360"/>
      <c r="N944" s="360"/>
      <c r="O944" s="360"/>
      <c r="P944" s="360"/>
      <c r="Q944" s="360"/>
      <c r="R944" s="360"/>
    </row>
    <row r="945" customFormat="false" ht="39.75" hidden="false" customHeight="true" outlineLevel="0" collapsed="false">
      <c r="A945" s="562"/>
      <c r="B945" s="574"/>
      <c r="C945" s="562"/>
      <c r="D945" s="562"/>
      <c r="E945" s="562"/>
      <c r="F945" s="563"/>
      <c r="G945" s="563"/>
      <c r="H945" s="564"/>
      <c r="I945" s="565"/>
      <c r="J945" s="580"/>
      <c r="K945" s="360"/>
      <c r="L945" s="360"/>
      <c r="M945" s="360"/>
      <c r="N945" s="360"/>
      <c r="O945" s="360"/>
      <c r="P945" s="360"/>
      <c r="Q945" s="360"/>
      <c r="R945" s="360"/>
    </row>
    <row r="946" customFormat="false" ht="39.75" hidden="false" customHeight="true" outlineLevel="0" collapsed="false">
      <c r="A946" s="562"/>
      <c r="B946" s="574"/>
      <c r="C946" s="562"/>
      <c r="D946" s="562"/>
      <c r="E946" s="562"/>
      <c r="F946" s="563"/>
      <c r="G946" s="563"/>
      <c r="H946" s="564"/>
      <c r="I946" s="565"/>
      <c r="J946" s="580"/>
      <c r="K946" s="360"/>
      <c r="L946" s="360"/>
      <c r="M946" s="360"/>
      <c r="N946" s="360"/>
      <c r="O946" s="360"/>
      <c r="P946" s="360"/>
      <c r="Q946" s="360"/>
      <c r="R946" s="360"/>
    </row>
    <row r="947" customFormat="false" ht="39.75" hidden="false" customHeight="true" outlineLevel="0" collapsed="false">
      <c r="A947" s="562"/>
      <c r="B947" s="574"/>
      <c r="C947" s="562"/>
      <c r="D947" s="562"/>
      <c r="E947" s="562"/>
      <c r="F947" s="563"/>
      <c r="G947" s="563"/>
      <c r="H947" s="564"/>
      <c r="I947" s="565"/>
      <c r="J947" s="580"/>
      <c r="K947" s="360"/>
      <c r="L947" s="360"/>
      <c r="M947" s="360"/>
      <c r="N947" s="360"/>
      <c r="O947" s="360"/>
      <c r="P947" s="360"/>
      <c r="Q947" s="360"/>
      <c r="R947" s="360"/>
    </row>
    <row r="948" customFormat="false" ht="39.75" hidden="false" customHeight="true" outlineLevel="0" collapsed="false">
      <c r="A948" s="562"/>
      <c r="B948" s="574"/>
      <c r="C948" s="562"/>
      <c r="D948" s="562"/>
      <c r="E948" s="562"/>
      <c r="F948" s="563"/>
      <c r="G948" s="563"/>
      <c r="H948" s="564"/>
      <c r="I948" s="565"/>
      <c r="J948" s="580"/>
      <c r="K948" s="360"/>
      <c r="L948" s="360"/>
      <c r="M948" s="360"/>
      <c r="N948" s="360"/>
      <c r="O948" s="360"/>
      <c r="P948" s="360"/>
      <c r="Q948" s="360"/>
      <c r="R948" s="360"/>
    </row>
    <row r="949" customFormat="false" ht="39.75" hidden="false" customHeight="true" outlineLevel="0" collapsed="false">
      <c r="A949" s="562"/>
      <c r="B949" s="574"/>
      <c r="C949" s="562"/>
      <c r="D949" s="562"/>
      <c r="E949" s="562"/>
      <c r="F949" s="563"/>
      <c r="G949" s="563"/>
      <c r="H949" s="564"/>
      <c r="I949" s="565"/>
      <c r="J949" s="580"/>
      <c r="K949" s="360"/>
      <c r="L949" s="360"/>
      <c r="M949" s="360"/>
      <c r="N949" s="360"/>
      <c r="O949" s="360"/>
      <c r="P949" s="360"/>
      <c r="Q949" s="360"/>
      <c r="R949" s="360"/>
    </row>
    <row r="950" customFormat="false" ht="39.75" hidden="false" customHeight="true" outlineLevel="0" collapsed="false">
      <c r="A950" s="562"/>
      <c r="B950" s="574"/>
      <c r="C950" s="562"/>
      <c r="D950" s="562"/>
      <c r="E950" s="562"/>
      <c r="F950" s="563"/>
      <c r="G950" s="563"/>
      <c r="H950" s="564"/>
      <c r="I950" s="565"/>
      <c r="J950" s="580"/>
      <c r="K950" s="360"/>
      <c r="L950" s="360"/>
      <c r="M950" s="360"/>
      <c r="N950" s="360"/>
      <c r="O950" s="360"/>
      <c r="P950" s="360"/>
      <c r="Q950" s="360"/>
      <c r="R950" s="360"/>
    </row>
    <row r="951" customFormat="false" ht="39.75" hidden="false" customHeight="true" outlineLevel="0" collapsed="false">
      <c r="A951" s="562"/>
      <c r="B951" s="574"/>
      <c r="C951" s="562"/>
      <c r="D951" s="562"/>
      <c r="E951" s="562"/>
      <c r="F951" s="563"/>
      <c r="G951" s="563"/>
      <c r="H951" s="564"/>
      <c r="I951" s="565"/>
      <c r="J951" s="580"/>
      <c r="K951" s="360"/>
      <c r="L951" s="360"/>
      <c r="M951" s="360"/>
      <c r="N951" s="360"/>
      <c r="O951" s="360"/>
      <c r="P951" s="360"/>
      <c r="Q951" s="360"/>
      <c r="R951" s="360"/>
    </row>
    <row r="952" customFormat="false" ht="39.75" hidden="false" customHeight="true" outlineLevel="0" collapsed="false">
      <c r="A952" s="562"/>
      <c r="B952" s="574"/>
      <c r="C952" s="562"/>
      <c r="D952" s="562"/>
      <c r="E952" s="562"/>
      <c r="F952" s="563"/>
      <c r="G952" s="563"/>
      <c r="H952" s="564"/>
      <c r="I952" s="565"/>
      <c r="J952" s="580"/>
      <c r="K952" s="360"/>
      <c r="L952" s="360"/>
      <c r="M952" s="360"/>
      <c r="N952" s="360"/>
      <c r="O952" s="360"/>
      <c r="P952" s="360"/>
      <c r="Q952" s="360"/>
      <c r="R952" s="360"/>
    </row>
    <row r="953" customFormat="false" ht="39.75" hidden="false" customHeight="true" outlineLevel="0" collapsed="false">
      <c r="A953" s="562"/>
      <c r="B953" s="574"/>
      <c r="C953" s="562"/>
      <c r="D953" s="562"/>
      <c r="E953" s="562"/>
      <c r="F953" s="563"/>
      <c r="G953" s="563"/>
      <c r="H953" s="564"/>
      <c r="I953" s="565"/>
      <c r="J953" s="580"/>
      <c r="K953" s="360"/>
      <c r="L953" s="360"/>
      <c r="M953" s="360"/>
      <c r="N953" s="360"/>
      <c r="O953" s="360"/>
      <c r="P953" s="360"/>
      <c r="Q953" s="360"/>
      <c r="R953" s="360"/>
    </row>
    <row r="954" customFormat="false" ht="39.75" hidden="false" customHeight="true" outlineLevel="0" collapsed="false">
      <c r="A954" s="562"/>
      <c r="B954" s="574"/>
      <c r="C954" s="562"/>
      <c r="D954" s="562"/>
      <c r="E954" s="562"/>
      <c r="F954" s="563"/>
      <c r="G954" s="563"/>
      <c r="H954" s="564"/>
      <c r="I954" s="565"/>
      <c r="J954" s="580"/>
      <c r="K954" s="360"/>
      <c r="L954" s="360"/>
      <c r="M954" s="360"/>
      <c r="N954" s="360"/>
      <c r="O954" s="360"/>
      <c r="P954" s="360"/>
      <c r="Q954" s="360"/>
      <c r="R954" s="360"/>
    </row>
    <row r="955" customFormat="false" ht="39.75" hidden="false" customHeight="true" outlineLevel="0" collapsed="false">
      <c r="A955" s="562"/>
      <c r="B955" s="574"/>
      <c r="C955" s="562"/>
      <c r="D955" s="562"/>
      <c r="E955" s="562"/>
      <c r="F955" s="563"/>
      <c r="G955" s="563"/>
      <c r="H955" s="564"/>
      <c r="I955" s="565"/>
      <c r="J955" s="580"/>
      <c r="K955" s="360"/>
      <c r="L955" s="360"/>
      <c r="M955" s="360"/>
      <c r="N955" s="360"/>
      <c r="O955" s="360"/>
      <c r="P955" s="360"/>
      <c r="Q955" s="360"/>
      <c r="R955" s="360"/>
    </row>
    <row r="956" customFormat="false" ht="39.75" hidden="false" customHeight="true" outlineLevel="0" collapsed="false">
      <c r="A956" s="562"/>
      <c r="B956" s="574"/>
      <c r="C956" s="562"/>
      <c r="D956" s="562"/>
      <c r="E956" s="562"/>
      <c r="F956" s="563"/>
      <c r="G956" s="563"/>
      <c r="H956" s="564"/>
      <c r="I956" s="565"/>
      <c r="J956" s="580"/>
      <c r="K956" s="360"/>
      <c r="L956" s="360"/>
      <c r="M956" s="360"/>
      <c r="N956" s="360"/>
      <c r="O956" s="360"/>
      <c r="P956" s="360"/>
      <c r="Q956" s="360"/>
      <c r="R956" s="360"/>
    </row>
    <row r="957" customFormat="false" ht="39.75" hidden="false" customHeight="true" outlineLevel="0" collapsed="false">
      <c r="A957" s="562"/>
      <c r="B957" s="574"/>
      <c r="C957" s="562"/>
      <c r="D957" s="562"/>
      <c r="E957" s="562"/>
      <c r="F957" s="563"/>
      <c r="G957" s="563"/>
      <c r="H957" s="564"/>
      <c r="I957" s="565"/>
      <c r="J957" s="580"/>
      <c r="K957" s="360"/>
      <c r="L957" s="360"/>
      <c r="M957" s="360"/>
      <c r="N957" s="360"/>
      <c r="O957" s="360"/>
      <c r="P957" s="360"/>
      <c r="Q957" s="360"/>
      <c r="R957" s="360"/>
    </row>
    <row r="958" customFormat="false" ht="39.75" hidden="false" customHeight="true" outlineLevel="0" collapsed="false">
      <c r="A958" s="562"/>
      <c r="B958" s="574"/>
      <c r="C958" s="562"/>
      <c r="D958" s="562"/>
      <c r="E958" s="562"/>
      <c r="F958" s="563"/>
      <c r="G958" s="563"/>
      <c r="H958" s="564"/>
      <c r="I958" s="565"/>
      <c r="J958" s="580"/>
      <c r="K958" s="360"/>
      <c r="L958" s="360"/>
      <c r="M958" s="360"/>
      <c r="N958" s="360"/>
      <c r="O958" s="360"/>
      <c r="P958" s="360"/>
      <c r="Q958" s="360"/>
      <c r="R958" s="360"/>
    </row>
    <row r="959" customFormat="false" ht="39.75" hidden="false" customHeight="true" outlineLevel="0" collapsed="false">
      <c r="A959" s="562"/>
      <c r="B959" s="574"/>
      <c r="C959" s="562"/>
      <c r="D959" s="562"/>
      <c r="E959" s="562"/>
      <c r="F959" s="563"/>
      <c r="G959" s="563"/>
      <c r="H959" s="564"/>
      <c r="I959" s="565"/>
      <c r="J959" s="580"/>
      <c r="K959" s="360"/>
      <c r="L959" s="360"/>
      <c r="M959" s="360"/>
      <c r="N959" s="360"/>
      <c r="O959" s="360"/>
      <c r="P959" s="360"/>
      <c r="Q959" s="360"/>
      <c r="R959" s="360"/>
    </row>
    <row r="960" customFormat="false" ht="39.75" hidden="false" customHeight="true" outlineLevel="0" collapsed="false">
      <c r="A960" s="562"/>
      <c r="B960" s="574"/>
      <c r="C960" s="562"/>
      <c r="D960" s="562"/>
      <c r="E960" s="562"/>
      <c r="F960" s="563"/>
      <c r="G960" s="563"/>
      <c r="H960" s="564"/>
      <c r="I960" s="565"/>
      <c r="J960" s="580"/>
      <c r="K960" s="360"/>
      <c r="L960" s="360"/>
      <c r="M960" s="360"/>
      <c r="N960" s="360"/>
      <c r="O960" s="360"/>
      <c r="P960" s="360"/>
      <c r="Q960" s="360"/>
      <c r="R960" s="360"/>
    </row>
    <row r="961" customFormat="false" ht="39.75" hidden="false" customHeight="true" outlineLevel="0" collapsed="false">
      <c r="A961" s="562"/>
      <c r="B961" s="574"/>
      <c r="C961" s="562"/>
      <c r="D961" s="562"/>
      <c r="E961" s="562"/>
      <c r="F961" s="563"/>
      <c r="G961" s="563"/>
      <c r="H961" s="564"/>
      <c r="I961" s="565"/>
      <c r="J961" s="580"/>
      <c r="K961" s="360"/>
      <c r="L961" s="360"/>
      <c r="M961" s="360"/>
      <c r="N961" s="360"/>
      <c r="O961" s="360"/>
      <c r="P961" s="360"/>
      <c r="Q961" s="360"/>
      <c r="R961" s="360"/>
    </row>
    <row r="962" customFormat="false" ht="39.75" hidden="false" customHeight="true" outlineLevel="0" collapsed="false">
      <c r="A962" s="562"/>
      <c r="B962" s="574"/>
      <c r="C962" s="562"/>
      <c r="D962" s="562"/>
      <c r="E962" s="562"/>
      <c r="F962" s="563"/>
      <c r="G962" s="563"/>
      <c r="H962" s="564"/>
      <c r="I962" s="565"/>
      <c r="J962" s="580"/>
      <c r="K962" s="360"/>
      <c r="L962" s="360"/>
      <c r="M962" s="360"/>
      <c r="N962" s="360"/>
      <c r="O962" s="360"/>
      <c r="P962" s="360"/>
      <c r="Q962" s="360"/>
      <c r="R962" s="360"/>
    </row>
    <row r="963" customFormat="false" ht="39.75" hidden="false" customHeight="true" outlineLevel="0" collapsed="false">
      <c r="A963" s="562"/>
      <c r="B963" s="574"/>
      <c r="C963" s="562"/>
      <c r="D963" s="562"/>
      <c r="E963" s="562"/>
      <c r="F963" s="563"/>
      <c r="G963" s="563"/>
      <c r="H963" s="564"/>
      <c r="I963" s="565"/>
      <c r="J963" s="580"/>
      <c r="K963" s="360"/>
      <c r="L963" s="360"/>
      <c r="M963" s="360"/>
      <c r="N963" s="360"/>
      <c r="O963" s="360"/>
      <c r="P963" s="360"/>
      <c r="Q963" s="360"/>
      <c r="R963" s="360"/>
    </row>
    <row r="964" customFormat="false" ht="39.75" hidden="false" customHeight="true" outlineLevel="0" collapsed="false">
      <c r="A964" s="562"/>
      <c r="B964" s="574"/>
      <c r="C964" s="562"/>
      <c r="D964" s="562"/>
      <c r="E964" s="562"/>
      <c r="F964" s="563"/>
      <c r="G964" s="563"/>
      <c r="H964" s="564"/>
      <c r="I964" s="565"/>
      <c r="J964" s="580"/>
      <c r="K964" s="360"/>
      <c r="L964" s="360"/>
      <c r="M964" s="360"/>
      <c r="N964" s="360"/>
      <c r="O964" s="360"/>
      <c r="P964" s="360"/>
      <c r="Q964" s="360"/>
      <c r="R964" s="360"/>
    </row>
    <row r="965" customFormat="false" ht="39.75" hidden="false" customHeight="true" outlineLevel="0" collapsed="false">
      <c r="A965" s="562"/>
      <c r="B965" s="574"/>
      <c r="C965" s="562"/>
      <c r="D965" s="562"/>
      <c r="E965" s="562"/>
      <c r="F965" s="563"/>
      <c r="G965" s="563"/>
      <c r="H965" s="564"/>
      <c r="I965" s="565"/>
      <c r="J965" s="580"/>
      <c r="K965" s="360"/>
      <c r="L965" s="360"/>
      <c r="M965" s="360"/>
      <c r="N965" s="360"/>
      <c r="O965" s="360"/>
      <c r="P965" s="360"/>
      <c r="Q965" s="360"/>
      <c r="R965" s="360"/>
    </row>
    <row r="966" customFormat="false" ht="39.75" hidden="false" customHeight="true" outlineLevel="0" collapsed="false">
      <c r="A966" s="562"/>
      <c r="B966" s="574"/>
      <c r="C966" s="562"/>
      <c r="D966" s="562"/>
      <c r="E966" s="562"/>
      <c r="F966" s="563"/>
      <c r="G966" s="563"/>
      <c r="H966" s="564"/>
      <c r="I966" s="565"/>
      <c r="J966" s="580"/>
      <c r="K966" s="360"/>
      <c r="L966" s="360"/>
      <c r="M966" s="360"/>
      <c r="N966" s="360"/>
      <c r="O966" s="360"/>
      <c r="P966" s="360"/>
      <c r="Q966" s="360"/>
      <c r="R966" s="360"/>
    </row>
    <row r="967" customFormat="false" ht="39.75" hidden="false" customHeight="true" outlineLevel="0" collapsed="false">
      <c r="A967" s="562"/>
      <c r="B967" s="574"/>
      <c r="C967" s="562"/>
      <c r="D967" s="562"/>
      <c r="E967" s="562"/>
      <c r="F967" s="563"/>
      <c r="G967" s="563"/>
      <c r="H967" s="564"/>
      <c r="I967" s="565"/>
      <c r="J967" s="580"/>
      <c r="K967" s="360"/>
      <c r="L967" s="360"/>
      <c r="M967" s="360"/>
      <c r="N967" s="360"/>
      <c r="O967" s="360"/>
      <c r="P967" s="360"/>
      <c r="Q967" s="360"/>
      <c r="R967" s="360"/>
    </row>
    <row r="968" customFormat="false" ht="39.75" hidden="false" customHeight="true" outlineLevel="0" collapsed="false">
      <c r="A968" s="562"/>
      <c r="B968" s="574"/>
      <c r="C968" s="562"/>
      <c r="D968" s="562"/>
      <c r="E968" s="562"/>
      <c r="F968" s="563"/>
      <c r="G968" s="563"/>
      <c r="H968" s="564"/>
      <c r="I968" s="565"/>
      <c r="J968" s="580"/>
      <c r="K968" s="360"/>
      <c r="L968" s="360"/>
      <c r="M968" s="360"/>
      <c r="N968" s="360"/>
      <c r="O968" s="360"/>
      <c r="P968" s="360"/>
      <c r="Q968" s="360"/>
      <c r="R968" s="360"/>
    </row>
    <row r="969" customFormat="false" ht="39.75" hidden="false" customHeight="true" outlineLevel="0" collapsed="false">
      <c r="A969" s="562"/>
      <c r="B969" s="574"/>
      <c r="C969" s="562"/>
      <c r="D969" s="562"/>
      <c r="E969" s="562"/>
      <c r="F969" s="563"/>
      <c r="G969" s="563"/>
      <c r="H969" s="564"/>
      <c r="I969" s="565"/>
      <c r="J969" s="580"/>
      <c r="K969" s="360"/>
      <c r="L969" s="360"/>
      <c r="M969" s="360"/>
      <c r="N969" s="360"/>
      <c r="O969" s="360"/>
      <c r="P969" s="360"/>
      <c r="Q969" s="360"/>
      <c r="R969" s="360"/>
    </row>
    <row r="970" customFormat="false" ht="39.75" hidden="false" customHeight="true" outlineLevel="0" collapsed="false">
      <c r="A970" s="562"/>
      <c r="B970" s="574"/>
      <c r="C970" s="562"/>
      <c r="D970" s="562"/>
      <c r="E970" s="562"/>
      <c r="F970" s="563"/>
      <c r="G970" s="563"/>
      <c r="H970" s="564"/>
      <c r="I970" s="565"/>
      <c r="J970" s="580"/>
      <c r="K970" s="360"/>
      <c r="L970" s="360"/>
      <c r="M970" s="360"/>
      <c r="N970" s="360"/>
      <c r="O970" s="360"/>
      <c r="P970" s="360"/>
      <c r="Q970" s="360"/>
      <c r="R970" s="360"/>
    </row>
    <row r="971" customFormat="false" ht="39.75" hidden="false" customHeight="true" outlineLevel="0" collapsed="false">
      <c r="A971" s="562"/>
      <c r="B971" s="574"/>
      <c r="C971" s="562"/>
      <c r="D971" s="562"/>
      <c r="E971" s="562"/>
      <c r="F971" s="563"/>
      <c r="G971" s="563"/>
      <c r="H971" s="564"/>
      <c r="I971" s="565"/>
      <c r="J971" s="580"/>
      <c r="K971" s="360"/>
      <c r="L971" s="360"/>
      <c r="M971" s="360"/>
      <c r="N971" s="360"/>
      <c r="O971" s="360"/>
      <c r="P971" s="360"/>
      <c r="Q971" s="360"/>
      <c r="R971" s="360"/>
    </row>
    <row r="972" customFormat="false" ht="39.75" hidden="false" customHeight="true" outlineLevel="0" collapsed="false">
      <c r="A972" s="562"/>
      <c r="B972" s="574"/>
      <c r="C972" s="562"/>
      <c r="D972" s="562"/>
      <c r="E972" s="562"/>
      <c r="F972" s="563"/>
      <c r="G972" s="563"/>
      <c r="H972" s="564"/>
      <c r="I972" s="565"/>
      <c r="J972" s="580"/>
      <c r="K972" s="360"/>
      <c r="L972" s="360"/>
      <c r="M972" s="360"/>
      <c r="N972" s="360"/>
      <c r="O972" s="360"/>
      <c r="P972" s="360"/>
      <c r="Q972" s="360"/>
      <c r="R972" s="360"/>
    </row>
    <row r="973" customFormat="false" ht="39.75" hidden="false" customHeight="true" outlineLevel="0" collapsed="false">
      <c r="A973" s="562"/>
      <c r="B973" s="574"/>
      <c r="C973" s="562"/>
      <c r="D973" s="562"/>
      <c r="E973" s="562"/>
      <c r="F973" s="563"/>
      <c r="G973" s="563"/>
      <c r="H973" s="564"/>
      <c r="I973" s="565"/>
      <c r="J973" s="580"/>
      <c r="K973" s="360"/>
      <c r="L973" s="360"/>
      <c r="M973" s="360"/>
      <c r="N973" s="360"/>
      <c r="O973" s="360"/>
      <c r="P973" s="360"/>
      <c r="Q973" s="360"/>
      <c r="R973" s="360"/>
    </row>
    <row r="974" customFormat="false" ht="39.75" hidden="false" customHeight="true" outlineLevel="0" collapsed="false">
      <c r="A974" s="562"/>
      <c r="B974" s="574"/>
      <c r="C974" s="562"/>
      <c r="D974" s="562"/>
      <c r="E974" s="562"/>
      <c r="F974" s="563"/>
      <c r="G974" s="563"/>
      <c r="H974" s="564"/>
      <c r="I974" s="565"/>
      <c r="J974" s="580"/>
      <c r="K974" s="360"/>
      <c r="L974" s="360"/>
      <c r="M974" s="360"/>
      <c r="N974" s="360"/>
      <c r="O974" s="360"/>
      <c r="P974" s="360"/>
      <c r="Q974" s="360"/>
      <c r="R974" s="360"/>
    </row>
    <row r="975" customFormat="false" ht="39.75" hidden="false" customHeight="true" outlineLevel="0" collapsed="false">
      <c r="A975" s="562"/>
      <c r="B975" s="574"/>
      <c r="C975" s="562"/>
      <c r="D975" s="562"/>
      <c r="E975" s="562"/>
      <c r="F975" s="563"/>
      <c r="G975" s="563"/>
      <c r="H975" s="564"/>
      <c r="I975" s="565"/>
      <c r="J975" s="580"/>
      <c r="K975" s="360"/>
      <c r="L975" s="360"/>
      <c r="M975" s="360"/>
      <c r="N975" s="360"/>
      <c r="O975" s="360"/>
      <c r="P975" s="360"/>
      <c r="Q975" s="360"/>
      <c r="R975" s="360"/>
    </row>
    <row r="976" customFormat="false" ht="39.75" hidden="false" customHeight="true" outlineLevel="0" collapsed="false">
      <c r="A976" s="562"/>
      <c r="B976" s="574"/>
      <c r="C976" s="562"/>
      <c r="D976" s="562"/>
      <c r="E976" s="562"/>
      <c r="F976" s="563"/>
      <c r="G976" s="563"/>
      <c r="H976" s="564"/>
      <c r="I976" s="565"/>
      <c r="J976" s="580"/>
      <c r="K976" s="360"/>
      <c r="L976" s="360"/>
      <c r="M976" s="360"/>
      <c r="N976" s="360"/>
      <c r="O976" s="360"/>
      <c r="P976" s="360"/>
      <c r="Q976" s="360"/>
      <c r="R976" s="360"/>
    </row>
    <row r="977" customFormat="false" ht="39.75" hidden="false" customHeight="true" outlineLevel="0" collapsed="false">
      <c r="A977" s="562"/>
      <c r="B977" s="574"/>
      <c r="C977" s="562"/>
      <c r="D977" s="562"/>
      <c r="E977" s="562"/>
      <c r="F977" s="563"/>
      <c r="G977" s="563"/>
      <c r="H977" s="564"/>
      <c r="I977" s="565"/>
      <c r="J977" s="580"/>
      <c r="K977" s="360"/>
      <c r="L977" s="360"/>
      <c r="M977" s="360"/>
      <c r="N977" s="360"/>
      <c r="O977" s="360"/>
      <c r="P977" s="360"/>
      <c r="Q977" s="360"/>
      <c r="R977" s="360"/>
    </row>
    <row r="978" customFormat="false" ht="39.75" hidden="false" customHeight="true" outlineLevel="0" collapsed="false">
      <c r="A978" s="562"/>
      <c r="B978" s="574"/>
      <c r="C978" s="562"/>
      <c r="D978" s="562"/>
      <c r="E978" s="562"/>
      <c r="F978" s="563"/>
      <c r="G978" s="563"/>
      <c r="H978" s="564"/>
      <c r="I978" s="565"/>
      <c r="J978" s="580"/>
      <c r="K978" s="360"/>
      <c r="L978" s="360"/>
      <c r="M978" s="360"/>
      <c r="N978" s="360"/>
      <c r="O978" s="360"/>
      <c r="P978" s="360"/>
      <c r="Q978" s="360"/>
      <c r="R978" s="360"/>
    </row>
    <row r="979" customFormat="false" ht="39.75" hidden="false" customHeight="true" outlineLevel="0" collapsed="false">
      <c r="A979" s="562"/>
      <c r="B979" s="574"/>
      <c r="C979" s="562"/>
      <c r="D979" s="562"/>
      <c r="E979" s="562"/>
      <c r="F979" s="563"/>
      <c r="G979" s="563"/>
      <c r="H979" s="564"/>
      <c r="I979" s="565"/>
      <c r="J979" s="580"/>
      <c r="K979" s="360"/>
      <c r="L979" s="360"/>
      <c r="M979" s="360"/>
      <c r="N979" s="360"/>
      <c r="O979" s="360"/>
      <c r="P979" s="360"/>
      <c r="Q979" s="360"/>
      <c r="R979" s="360"/>
    </row>
    <row r="980" customFormat="false" ht="39.75" hidden="false" customHeight="true" outlineLevel="0" collapsed="false">
      <c r="A980" s="562"/>
      <c r="B980" s="574"/>
      <c r="C980" s="562"/>
      <c r="D980" s="562"/>
      <c r="E980" s="562"/>
      <c r="F980" s="563"/>
      <c r="G980" s="563"/>
      <c r="H980" s="564"/>
      <c r="I980" s="565"/>
      <c r="J980" s="580"/>
      <c r="K980" s="360"/>
      <c r="L980" s="360"/>
      <c r="M980" s="360"/>
      <c r="N980" s="360"/>
      <c r="O980" s="360"/>
      <c r="P980" s="360"/>
      <c r="Q980" s="360"/>
      <c r="R980" s="360"/>
    </row>
    <row r="981" customFormat="false" ht="39.75" hidden="false" customHeight="true" outlineLevel="0" collapsed="false">
      <c r="A981" s="562"/>
      <c r="B981" s="574"/>
      <c r="C981" s="562"/>
      <c r="D981" s="562"/>
      <c r="E981" s="562"/>
      <c r="F981" s="563"/>
      <c r="G981" s="563"/>
      <c r="H981" s="564"/>
      <c r="I981" s="565"/>
      <c r="J981" s="580"/>
      <c r="K981" s="360"/>
      <c r="L981" s="360"/>
      <c r="M981" s="360"/>
      <c r="N981" s="360"/>
      <c r="O981" s="360"/>
      <c r="P981" s="360"/>
      <c r="Q981" s="360"/>
      <c r="R981" s="360"/>
    </row>
    <row r="982" customFormat="false" ht="39.75" hidden="false" customHeight="true" outlineLevel="0" collapsed="false">
      <c r="A982" s="562"/>
      <c r="B982" s="574"/>
      <c r="C982" s="562"/>
      <c r="D982" s="562"/>
      <c r="E982" s="562"/>
      <c r="F982" s="563"/>
      <c r="G982" s="563"/>
      <c r="H982" s="564"/>
      <c r="I982" s="565"/>
      <c r="J982" s="580"/>
      <c r="K982" s="360"/>
      <c r="L982" s="360"/>
      <c r="M982" s="360"/>
      <c r="N982" s="360"/>
      <c r="O982" s="360"/>
      <c r="P982" s="360"/>
      <c r="Q982" s="360"/>
      <c r="R982" s="360"/>
    </row>
    <row r="983" customFormat="false" ht="39.75" hidden="false" customHeight="true" outlineLevel="0" collapsed="false">
      <c r="A983" s="562"/>
      <c r="B983" s="574"/>
      <c r="C983" s="562"/>
      <c r="D983" s="562"/>
      <c r="E983" s="562"/>
      <c r="F983" s="563"/>
      <c r="G983" s="563"/>
      <c r="H983" s="564"/>
      <c r="I983" s="565"/>
      <c r="J983" s="580"/>
      <c r="K983" s="360"/>
      <c r="L983" s="360"/>
      <c r="M983" s="360"/>
      <c r="N983" s="360"/>
      <c r="O983" s="360"/>
      <c r="P983" s="360"/>
      <c r="Q983" s="360"/>
      <c r="R983" s="360"/>
    </row>
    <row r="984" customFormat="false" ht="39.75" hidden="false" customHeight="true" outlineLevel="0" collapsed="false">
      <c r="A984" s="562"/>
      <c r="B984" s="574"/>
      <c r="C984" s="562"/>
      <c r="D984" s="562"/>
      <c r="E984" s="562"/>
      <c r="F984" s="563"/>
      <c r="G984" s="563"/>
      <c r="H984" s="564"/>
      <c r="I984" s="565"/>
      <c r="J984" s="580"/>
      <c r="K984" s="360"/>
      <c r="L984" s="360"/>
      <c r="M984" s="360"/>
      <c r="N984" s="360"/>
      <c r="O984" s="360"/>
      <c r="P984" s="360"/>
      <c r="Q984" s="360"/>
      <c r="R984" s="360"/>
    </row>
    <row r="985" customFormat="false" ht="39.75" hidden="false" customHeight="true" outlineLevel="0" collapsed="false">
      <c r="A985" s="562"/>
      <c r="B985" s="574"/>
      <c r="C985" s="562"/>
      <c r="D985" s="562"/>
      <c r="E985" s="562"/>
      <c r="F985" s="563"/>
      <c r="G985" s="563"/>
      <c r="H985" s="564"/>
      <c r="I985" s="565"/>
      <c r="J985" s="580"/>
      <c r="K985" s="360"/>
      <c r="L985" s="360"/>
      <c r="M985" s="360"/>
      <c r="N985" s="360"/>
      <c r="O985" s="360"/>
      <c r="P985" s="360"/>
      <c r="Q985" s="360"/>
      <c r="R985" s="360"/>
    </row>
    <row r="986" customFormat="false" ht="39.75" hidden="false" customHeight="true" outlineLevel="0" collapsed="false">
      <c r="A986" s="562"/>
      <c r="B986" s="574"/>
      <c r="C986" s="562"/>
      <c r="D986" s="562"/>
      <c r="E986" s="562"/>
      <c r="F986" s="563"/>
      <c r="G986" s="563"/>
      <c r="H986" s="564"/>
      <c r="I986" s="565"/>
      <c r="J986" s="580"/>
      <c r="K986" s="360"/>
      <c r="L986" s="360"/>
      <c r="M986" s="360"/>
      <c r="N986" s="360"/>
      <c r="O986" s="360"/>
      <c r="P986" s="360"/>
      <c r="Q986" s="360"/>
      <c r="R986" s="360"/>
    </row>
    <row r="987" customFormat="false" ht="39.75" hidden="false" customHeight="true" outlineLevel="0" collapsed="false">
      <c r="A987" s="562"/>
      <c r="B987" s="574"/>
      <c r="C987" s="562"/>
      <c r="D987" s="562"/>
      <c r="E987" s="562"/>
      <c r="F987" s="563"/>
      <c r="G987" s="563"/>
      <c r="H987" s="564"/>
      <c r="I987" s="565"/>
      <c r="J987" s="580"/>
      <c r="K987" s="360"/>
      <c r="L987" s="360"/>
      <c r="M987" s="360"/>
      <c r="N987" s="360"/>
      <c r="O987" s="360"/>
      <c r="P987" s="360"/>
      <c r="Q987" s="360"/>
      <c r="R987" s="360"/>
    </row>
    <row r="988" customFormat="false" ht="39.75" hidden="false" customHeight="true" outlineLevel="0" collapsed="false">
      <c r="A988" s="562"/>
      <c r="B988" s="574"/>
      <c r="C988" s="562"/>
      <c r="D988" s="562"/>
      <c r="E988" s="562"/>
      <c r="F988" s="563"/>
      <c r="G988" s="563"/>
      <c r="H988" s="564"/>
      <c r="I988" s="565"/>
      <c r="J988" s="580"/>
      <c r="K988" s="360"/>
      <c r="L988" s="360"/>
      <c r="M988" s="360"/>
      <c r="N988" s="360"/>
      <c r="O988" s="360"/>
      <c r="P988" s="360"/>
      <c r="Q988" s="360"/>
      <c r="R988" s="360"/>
    </row>
    <row r="989" customFormat="false" ht="39.75" hidden="false" customHeight="true" outlineLevel="0" collapsed="false">
      <c r="A989" s="562"/>
      <c r="B989" s="574"/>
      <c r="C989" s="562"/>
      <c r="D989" s="562"/>
      <c r="E989" s="562"/>
      <c r="F989" s="563"/>
      <c r="G989" s="563"/>
      <c r="H989" s="564"/>
      <c r="I989" s="565"/>
      <c r="J989" s="580"/>
      <c r="K989" s="360"/>
      <c r="L989" s="360"/>
      <c r="M989" s="360"/>
      <c r="N989" s="360"/>
      <c r="O989" s="360"/>
      <c r="P989" s="360"/>
      <c r="Q989" s="360"/>
      <c r="R989" s="360"/>
    </row>
    <row r="990" customFormat="false" ht="39.75" hidden="false" customHeight="true" outlineLevel="0" collapsed="false">
      <c r="A990" s="562"/>
      <c r="B990" s="574"/>
      <c r="C990" s="562"/>
      <c r="D990" s="562"/>
      <c r="E990" s="562"/>
      <c r="F990" s="563"/>
      <c r="G990" s="563"/>
      <c r="H990" s="564"/>
      <c r="I990" s="565"/>
      <c r="J990" s="580"/>
      <c r="K990" s="360"/>
      <c r="L990" s="360"/>
      <c r="M990" s="360"/>
      <c r="N990" s="360"/>
      <c r="O990" s="360"/>
      <c r="P990" s="360"/>
      <c r="Q990" s="360"/>
      <c r="R990" s="360"/>
    </row>
    <row r="991" customFormat="false" ht="39.75" hidden="false" customHeight="true" outlineLevel="0" collapsed="false">
      <c r="A991" s="562"/>
      <c r="B991" s="574"/>
      <c r="C991" s="562"/>
      <c r="D991" s="562"/>
      <c r="E991" s="562"/>
      <c r="F991" s="563"/>
      <c r="G991" s="563"/>
      <c r="H991" s="564"/>
      <c r="I991" s="565"/>
      <c r="J991" s="580"/>
      <c r="K991" s="360"/>
      <c r="L991" s="360"/>
      <c r="M991" s="360"/>
      <c r="N991" s="360"/>
      <c r="O991" s="360"/>
      <c r="P991" s="360"/>
      <c r="Q991" s="360"/>
      <c r="R991" s="360"/>
    </row>
    <row r="992" customFormat="false" ht="39.75" hidden="false" customHeight="true" outlineLevel="0" collapsed="false">
      <c r="A992" s="562"/>
      <c r="B992" s="574"/>
      <c r="C992" s="562"/>
      <c r="D992" s="562"/>
      <c r="E992" s="562"/>
      <c r="F992" s="563"/>
      <c r="G992" s="563"/>
      <c r="H992" s="564"/>
      <c r="I992" s="565"/>
      <c r="J992" s="580"/>
      <c r="K992" s="360"/>
      <c r="L992" s="360"/>
      <c r="M992" s="360"/>
      <c r="N992" s="360"/>
      <c r="O992" s="360"/>
      <c r="P992" s="360"/>
      <c r="Q992" s="360"/>
      <c r="R992" s="360"/>
    </row>
    <row r="993" customFormat="false" ht="39.75" hidden="false" customHeight="true" outlineLevel="0" collapsed="false">
      <c r="A993" s="562"/>
      <c r="B993" s="574"/>
      <c r="C993" s="562"/>
      <c r="D993" s="562"/>
      <c r="E993" s="562"/>
      <c r="F993" s="563"/>
      <c r="G993" s="563"/>
      <c r="H993" s="564"/>
      <c r="I993" s="565"/>
      <c r="J993" s="580"/>
      <c r="K993" s="360"/>
      <c r="L993" s="360"/>
      <c r="M993" s="360"/>
      <c r="N993" s="360"/>
      <c r="O993" s="360"/>
      <c r="P993" s="360"/>
      <c r="Q993" s="360"/>
      <c r="R993" s="360"/>
    </row>
    <row r="994" customFormat="false" ht="39.75" hidden="false" customHeight="true" outlineLevel="0" collapsed="false">
      <c r="A994" s="562"/>
      <c r="B994" s="574"/>
      <c r="C994" s="562"/>
      <c r="D994" s="562"/>
      <c r="E994" s="562"/>
      <c r="F994" s="563"/>
      <c r="G994" s="563"/>
      <c r="H994" s="564"/>
      <c r="I994" s="565"/>
      <c r="J994" s="580"/>
      <c r="K994" s="360"/>
      <c r="L994" s="360"/>
      <c r="M994" s="360"/>
      <c r="N994" s="360"/>
      <c r="O994" s="360"/>
      <c r="P994" s="360"/>
      <c r="Q994" s="360"/>
      <c r="R994" s="360"/>
    </row>
    <row r="995" customFormat="false" ht="39.75" hidden="false" customHeight="true" outlineLevel="0" collapsed="false">
      <c r="A995" s="562"/>
      <c r="B995" s="574"/>
      <c r="C995" s="562"/>
      <c r="D995" s="562"/>
      <c r="E995" s="562"/>
      <c r="F995" s="563"/>
      <c r="G995" s="563"/>
      <c r="H995" s="564"/>
      <c r="I995" s="565"/>
      <c r="J995" s="580"/>
      <c r="K995" s="360"/>
      <c r="L995" s="360"/>
      <c r="M995" s="360"/>
      <c r="N995" s="360"/>
      <c r="O995" s="360"/>
      <c r="P995" s="360"/>
      <c r="Q995" s="360"/>
      <c r="R995" s="360"/>
    </row>
    <row r="996" customFormat="false" ht="39.75" hidden="false" customHeight="true" outlineLevel="0" collapsed="false">
      <c r="A996" s="562"/>
      <c r="B996" s="574"/>
      <c r="C996" s="562"/>
      <c r="D996" s="562"/>
      <c r="E996" s="562"/>
      <c r="F996" s="563"/>
      <c r="G996" s="563"/>
      <c r="H996" s="564"/>
      <c r="I996" s="565"/>
      <c r="J996" s="580"/>
      <c r="K996" s="360"/>
      <c r="L996" s="360"/>
      <c r="M996" s="360"/>
      <c r="N996" s="360"/>
      <c r="O996" s="360"/>
      <c r="P996" s="360"/>
      <c r="Q996" s="360"/>
      <c r="R996" s="360"/>
    </row>
    <row r="997" customFormat="false" ht="39.75" hidden="false" customHeight="true" outlineLevel="0" collapsed="false">
      <c r="A997" s="562"/>
      <c r="B997" s="574"/>
      <c r="C997" s="562"/>
      <c r="D997" s="562"/>
      <c r="E997" s="562"/>
      <c r="F997" s="563"/>
      <c r="G997" s="563"/>
      <c r="H997" s="564"/>
      <c r="I997" s="565"/>
      <c r="J997" s="580"/>
      <c r="K997" s="360"/>
      <c r="L997" s="360"/>
      <c r="M997" s="360"/>
      <c r="N997" s="360"/>
      <c r="O997" s="360"/>
      <c r="P997" s="360"/>
      <c r="Q997" s="360"/>
      <c r="R997" s="360"/>
    </row>
    <row r="998" customFormat="false" ht="39.75" hidden="false" customHeight="true" outlineLevel="0" collapsed="false">
      <c r="A998" s="562"/>
      <c r="B998" s="574"/>
      <c r="C998" s="562"/>
      <c r="D998" s="562"/>
      <c r="E998" s="562"/>
      <c r="F998" s="563"/>
      <c r="G998" s="563"/>
      <c r="H998" s="564"/>
      <c r="I998" s="565"/>
      <c r="J998" s="580"/>
      <c r="K998" s="360"/>
      <c r="L998" s="360"/>
      <c r="M998" s="360"/>
      <c r="N998" s="360"/>
      <c r="O998" s="360"/>
      <c r="P998" s="360"/>
      <c r="Q998" s="360"/>
      <c r="R998" s="360"/>
    </row>
    <row r="999" customFormat="false" ht="39.75" hidden="false" customHeight="true" outlineLevel="0" collapsed="false">
      <c r="A999" s="562"/>
      <c r="B999" s="574"/>
      <c r="C999" s="562"/>
      <c r="D999" s="562"/>
      <c r="E999" s="562"/>
      <c r="F999" s="563"/>
      <c r="G999" s="563"/>
      <c r="H999" s="564"/>
      <c r="I999" s="565"/>
      <c r="J999" s="580"/>
      <c r="K999" s="360"/>
      <c r="L999" s="360"/>
      <c r="M999" s="360"/>
      <c r="N999" s="360"/>
      <c r="O999" s="360"/>
      <c r="P999" s="360"/>
      <c r="Q999" s="360"/>
      <c r="R999" s="360"/>
    </row>
    <row r="1000" customFormat="false" ht="39.75" hidden="false" customHeight="true" outlineLevel="0" collapsed="false">
      <c r="A1000" s="562"/>
      <c r="B1000" s="574"/>
      <c r="C1000" s="562"/>
      <c r="D1000" s="562"/>
      <c r="E1000" s="562"/>
      <c r="F1000" s="563"/>
      <c r="G1000" s="563"/>
      <c r="H1000" s="564"/>
      <c r="I1000" s="565"/>
      <c r="J1000" s="580"/>
      <c r="K1000" s="360"/>
      <c r="L1000" s="360"/>
      <c r="M1000" s="360"/>
      <c r="N1000" s="360"/>
      <c r="O1000" s="360"/>
      <c r="P1000" s="360"/>
      <c r="Q1000" s="360"/>
      <c r="R1000" s="360"/>
    </row>
    <row r="1001" customFormat="false" ht="39.75" hidden="false" customHeight="true" outlineLevel="0" collapsed="false">
      <c r="A1001" s="562"/>
      <c r="B1001" s="574"/>
      <c r="C1001" s="562"/>
      <c r="D1001" s="562"/>
      <c r="E1001" s="562"/>
      <c r="F1001" s="563"/>
      <c r="G1001" s="563"/>
      <c r="H1001" s="564"/>
      <c r="I1001" s="565"/>
      <c r="J1001" s="580"/>
      <c r="K1001" s="360"/>
      <c r="L1001" s="360"/>
      <c r="M1001" s="360"/>
      <c r="N1001" s="360"/>
      <c r="O1001" s="360"/>
      <c r="P1001" s="360"/>
      <c r="Q1001" s="360"/>
      <c r="R1001" s="360"/>
    </row>
    <row r="1002" customFormat="false" ht="39.75" hidden="false" customHeight="true" outlineLevel="0" collapsed="false">
      <c r="A1002" s="562"/>
      <c r="B1002" s="574"/>
      <c r="C1002" s="562"/>
      <c r="D1002" s="562"/>
      <c r="E1002" s="562"/>
      <c r="F1002" s="563"/>
      <c r="G1002" s="563"/>
      <c r="H1002" s="564"/>
      <c r="I1002" s="565"/>
      <c r="J1002" s="580"/>
      <c r="K1002" s="360"/>
      <c r="L1002" s="360"/>
      <c r="M1002" s="360"/>
      <c r="N1002" s="360"/>
      <c r="O1002" s="360"/>
      <c r="P1002" s="360"/>
      <c r="Q1002" s="360"/>
      <c r="R1002" s="360"/>
    </row>
    <row r="1003" customFormat="false" ht="39.75" hidden="false" customHeight="true" outlineLevel="0" collapsed="false">
      <c r="A1003" s="562"/>
      <c r="B1003" s="574"/>
      <c r="C1003" s="562"/>
      <c r="D1003" s="562"/>
      <c r="E1003" s="562"/>
      <c r="F1003" s="563"/>
      <c r="G1003" s="563"/>
      <c r="H1003" s="564"/>
      <c r="I1003" s="565"/>
      <c r="J1003" s="580"/>
      <c r="K1003" s="360"/>
      <c r="L1003" s="360"/>
      <c r="M1003" s="360"/>
      <c r="N1003" s="360"/>
      <c r="O1003" s="360"/>
      <c r="P1003" s="360"/>
      <c r="Q1003" s="360"/>
      <c r="R1003" s="360"/>
    </row>
    <row r="1004" customFormat="false" ht="39.75" hidden="false" customHeight="true" outlineLevel="0" collapsed="false">
      <c r="A1004" s="562"/>
      <c r="B1004" s="574"/>
      <c r="C1004" s="562"/>
      <c r="D1004" s="562"/>
      <c r="E1004" s="562"/>
      <c r="F1004" s="563"/>
      <c r="G1004" s="563"/>
      <c r="H1004" s="564"/>
      <c r="I1004" s="565"/>
      <c r="J1004" s="580"/>
      <c r="K1004" s="360"/>
      <c r="L1004" s="360"/>
      <c r="M1004" s="360"/>
      <c r="N1004" s="360"/>
      <c r="O1004" s="360"/>
      <c r="P1004" s="360"/>
      <c r="Q1004" s="360"/>
      <c r="R1004" s="360"/>
    </row>
    <row r="1005" customFormat="false" ht="39.75" hidden="false" customHeight="true" outlineLevel="0" collapsed="false">
      <c r="A1005" s="562"/>
      <c r="B1005" s="574"/>
      <c r="C1005" s="562"/>
      <c r="D1005" s="562"/>
      <c r="E1005" s="562"/>
      <c r="F1005" s="563"/>
      <c r="G1005" s="563"/>
      <c r="H1005" s="564"/>
      <c r="I1005" s="565"/>
      <c r="J1005" s="580"/>
      <c r="K1005" s="360"/>
      <c r="L1005" s="360"/>
      <c r="M1005" s="360"/>
      <c r="N1005" s="360"/>
      <c r="O1005" s="360"/>
      <c r="P1005" s="360"/>
      <c r="Q1005" s="360"/>
      <c r="R1005" s="360"/>
    </row>
    <row r="1006" customFormat="false" ht="39.75" hidden="false" customHeight="true" outlineLevel="0" collapsed="false">
      <c r="A1006" s="562"/>
      <c r="B1006" s="574"/>
      <c r="C1006" s="562"/>
      <c r="D1006" s="562"/>
      <c r="E1006" s="562"/>
      <c r="F1006" s="563"/>
      <c r="G1006" s="563"/>
      <c r="H1006" s="564"/>
      <c r="I1006" s="565"/>
      <c r="J1006" s="580"/>
      <c r="K1006" s="360"/>
      <c r="L1006" s="360"/>
      <c r="M1006" s="360"/>
      <c r="N1006" s="360"/>
      <c r="O1006" s="360"/>
      <c r="P1006" s="360"/>
      <c r="Q1006" s="360"/>
      <c r="R1006" s="360"/>
    </row>
    <row r="1007" customFormat="false" ht="39.75" hidden="false" customHeight="true" outlineLevel="0" collapsed="false">
      <c r="A1007" s="562"/>
      <c r="B1007" s="574"/>
      <c r="C1007" s="562"/>
      <c r="D1007" s="562"/>
      <c r="E1007" s="562"/>
      <c r="F1007" s="563"/>
      <c r="G1007" s="563"/>
      <c r="H1007" s="564"/>
      <c r="I1007" s="565"/>
      <c r="J1007" s="580"/>
      <c r="K1007" s="360"/>
      <c r="L1007" s="360"/>
      <c r="M1007" s="360"/>
      <c r="N1007" s="360"/>
      <c r="O1007" s="360"/>
      <c r="P1007" s="360"/>
      <c r="Q1007" s="360"/>
      <c r="R1007" s="360"/>
    </row>
    <row r="1008" customFormat="false" ht="39.75" hidden="false" customHeight="true" outlineLevel="0" collapsed="false">
      <c r="A1008" s="562"/>
      <c r="B1008" s="574"/>
      <c r="C1008" s="562"/>
      <c r="D1008" s="562"/>
      <c r="E1008" s="562"/>
      <c r="F1008" s="563"/>
      <c r="G1008" s="563"/>
      <c r="H1008" s="564"/>
      <c r="I1008" s="565"/>
      <c r="J1008" s="580"/>
      <c r="K1008" s="360"/>
      <c r="L1008" s="360"/>
      <c r="M1008" s="360"/>
      <c r="N1008" s="360"/>
      <c r="O1008" s="360"/>
      <c r="P1008" s="360"/>
      <c r="Q1008" s="360"/>
      <c r="R1008" s="360"/>
    </row>
    <row r="1009" customFormat="false" ht="39.75" hidden="false" customHeight="true" outlineLevel="0" collapsed="false">
      <c r="A1009" s="562"/>
      <c r="B1009" s="574"/>
      <c r="C1009" s="562"/>
      <c r="D1009" s="562"/>
      <c r="E1009" s="562"/>
      <c r="F1009" s="563"/>
      <c r="G1009" s="563"/>
      <c r="H1009" s="564"/>
      <c r="I1009" s="565"/>
      <c r="J1009" s="580"/>
      <c r="K1009" s="360"/>
      <c r="L1009" s="360"/>
      <c r="M1009" s="360"/>
      <c r="N1009" s="360"/>
      <c r="O1009" s="360"/>
      <c r="P1009" s="360"/>
      <c r="Q1009" s="360"/>
      <c r="R1009" s="360"/>
    </row>
    <row r="1010" customFormat="false" ht="39.75" hidden="false" customHeight="true" outlineLevel="0" collapsed="false">
      <c r="A1010" s="562"/>
      <c r="B1010" s="574"/>
      <c r="C1010" s="562"/>
      <c r="D1010" s="562"/>
      <c r="E1010" s="562"/>
      <c r="F1010" s="563"/>
      <c r="G1010" s="563"/>
      <c r="H1010" s="564"/>
      <c r="I1010" s="565"/>
      <c r="J1010" s="580"/>
      <c r="K1010" s="360"/>
      <c r="L1010" s="360"/>
      <c r="M1010" s="360"/>
      <c r="N1010" s="360"/>
      <c r="O1010" s="360"/>
      <c r="P1010" s="360"/>
      <c r="Q1010" s="360"/>
      <c r="R1010" s="360"/>
    </row>
    <row r="1011" customFormat="false" ht="39.75" hidden="false" customHeight="true" outlineLevel="0" collapsed="false">
      <c r="A1011" s="562"/>
      <c r="B1011" s="574"/>
      <c r="C1011" s="562"/>
      <c r="D1011" s="562"/>
      <c r="E1011" s="562"/>
      <c r="F1011" s="563"/>
      <c r="G1011" s="563"/>
      <c r="H1011" s="564"/>
      <c r="I1011" s="565"/>
      <c r="J1011" s="580"/>
      <c r="K1011" s="360"/>
      <c r="L1011" s="360"/>
      <c r="M1011" s="360"/>
      <c r="N1011" s="360"/>
      <c r="O1011" s="360"/>
      <c r="P1011" s="360"/>
      <c r="Q1011" s="360"/>
      <c r="R1011" s="360"/>
    </row>
    <row r="1012" customFormat="false" ht="39.75" hidden="false" customHeight="true" outlineLevel="0" collapsed="false">
      <c r="A1012" s="562"/>
      <c r="B1012" s="574"/>
      <c r="C1012" s="562"/>
      <c r="D1012" s="562"/>
      <c r="E1012" s="562"/>
      <c r="F1012" s="563"/>
      <c r="G1012" s="563"/>
      <c r="H1012" s="564"/>
      <c r="I1012" s="565"/>
      <c r="J1012" s="580"/>
      <c r="K1012" s="360"/>
      <c r="L1012" s="360"/>
      <c r="M1012" s="360"/>
      <c r="N1012" s="360"/>
      <c r="O1012" s="360"/>
      <c r="P1012" s="360"/>
      <c r="Q1012" s="360"/>
      <c r="R1012" s="360"/>
    </row>
    <row r="1013" customFormat="false" ht="39.75" hidden="false" customHeight="true" outlineLevel="0" collapsed="false">
      <c r="A1013" s="562"/>
      <c r="B1013" s="574"/>
      <c r="C1013" s="562"/>
      <c r="D1013" s="562"/>
      <c r="E1013" s="562"/>
      <c r="F1013" s="563"/>
      <c r="G1013" s="563"/>
      <c r="H1013" s="564"/>
      <c r="I1013" s="565"/>
      <c r="J1013" s="580"/>
      <c r="K1013" s="360"/>
      <c r="L1013" s="360"/>
      <c r="M1013" s="360"/>
      <c r="N1013" s="360"/>
      <c r="O1013" s="360"/>
      <c r="P1013" s="360"/>
      <c r="Q1013" s="360"/>
      <c r="R1013" s="360"/>
    </row>
    <row r="1014" customFormat="false" ht="39.75" hidden="false" customHeight="true" outlineLevel="0" collapsed="false">
      <c r="A1014" s="562"/>
      <c r="B1014" s="574"/>
      <c r="C1014" s="562"/>
      <c r="D1014" s="562"/>
      <c r="E1014" s="562"/>
      <c r="F1014" s="563"/>
      <c r="G1014" s="563"/>
      <c r="H1014" s="564"/>
      <c r="I1014" s="565"/>
      <c r="J1014" s="580"/>
      <c r="K1014" s="360"/>
      <c r="L1014" s="360"/>
      <c r="M1014" s="360"/>
      <c r="N1014" s="360"/>
      <c r="O1014" s="360"/>
      <c r="P1014" s="360"/>
      <c r="Q1014" s="360"/>
      <c r="R1014" s="360"/>
    </row>
    <row r="1015" customFormat="false" ht="39.75" hidden="false" customHeight="true" outlineLevel="0" collapsed="false">
      <c r="A1015" s="562"/>
      <c r="B1015" s="574"/>
      <c r="C1015" s="562"/>
      <c r="D1015" s="562"/>
      <c r="E1015" s="562"/>
      <c r="F1015" s="563"/>
      <c r="G1015" s="563"/>
      <c r="H1015" s="564"/>
      <c r="I1015" s="565"/>
      <c r="J1015" s="580"/>
      <c r="K1015" s="360"/>
      <c r="L1015" s="360"/>
      <c r="M1015" s="360"/>
      <c r="N1015" s="360"/>
      <c r="O1015" s="360"/>
      <c r="P1015" s="360"/>
      <c r="Q1015" s="360"/>
      <c r="R1015" s="360"/>
    </row>
    <row r="1016" customFormat="false" ht="39.75" hidden="false" customHeight="true" outlineLevel="0" collapsed="false">
      <c r="A1016" s="562"/>
      <c r="B1016" s="574"/>
      <c r="C1016" s="562"/>
      <c r="D1016" s="562"/>
      <c r="E1016" s="562"/>
      <c r="F1016" s="563"/>
      <c r="G1016" s="563"/>
      <c r="H1016" s="564"/>
      <c r="I1016" s="565"/>
      <c r="J1016" s="580"/>
      <c r="K1016" s="360"/>
      <c r="L1016" s="360"/>
      <c r="M1016" s="360"/>
      <c r="N1016" s="360"/>
      <c r="O1016" s="360"/>
      <c r="P1016" s="360"/>
      <c r="Q1016" s="360"/>
      <c r="R1016" s="360"/>
    </row>
    <row r="1017" customFormat="false" ht="39.75" hidden="false" customHeight="true" outlineLevel="0" collapsed="false">
      <c r="A1017" s="562"/>
      <c r="B1017" s="574"/>
      <c r="C1017" s="562"/>
      <c r="D1017" s="562"/>
      <c r="E1017" s="562"/>
      <c r="F1017" s="563"/>
      <c r="G1017" s="563"/>
      <c r="H1017" s="564"/>
      <c r="I1017" s="565"/>
      <c r="J1017" s="580"/>
      <c r="K1017" s="360"/>
      <c r="L1017" s="360"/>
      <c r="M1017" s="360"/>
      <c r="N1017" s="360"/>
      <c r="O1017" s="360"/>
      <c r="P1017" s="360"/>
      <c r="Q1017" s="360"/>
      <c r="R1017" s="360"/>
    </row>
    <row r="1018" customFormat="false" ht="39.75" hidden="false" customHeight="true" outlineLevel="0" collapsed="false">
      <c r="A1018" s="562"/>
      <c r="B1018" s="574"/>
      <c r="C1018" s="562"/>
      <c r="D1018" s="562"/>
      <c r="E1018" s="562"/>
      <c r="F1018" s="563"/>
      <c r="G1018" s="563"/>
      <c r="H1018" s="564"/>
      <c r="I1018" s="565"/>
      <c r="J1018" s="580"/>
      <c r="K1018" s="360"/>
      <c r="L1018" s="360"/>
      <c r="M1018" s="360"/>
      <c r="N1018" s="360"/>
      <c r="O1018" s="360"/>
      <c r="P1018" s="360"/>
      <c r="Q1018" s="360"/>
      <c r="R1018" s="360"/>
    </row>
    <row r="1019" customFormat="false" ht="39.75" hidden="false" customHeight="true" outlineLevel="0" collapsed="false">
      <c r="A1019" s="562"/>
      <c r="B1019" s="574"/>
      <c r="C1019" s="562"/>
      <c r="D1019" s="562"/>
      <c r="E1019" s="562"/>
      <c r="F1019" s="563"/>
      <c r="G1019" s="563"/>
      <c r="H1019" s="564"/>
      <c r="I1019" s="565"/>
      <c r="J1019" s="580"/>
      <c r="K1019" s="360"/>
      <c r="L1019" s="360"/>
      <c r="M1019" s="360"/>
      <c r="N1019" s="360"/>
      <c r="O1019" s="360"/>
      <c r="P1019" s="360"/>
      <c r="Q1019" s="360"/>
      <c r="R1019" s="360"/>
    </row>
    <row r="1020" customFormat="false" ht="39.75" hidden="false" customHeight="true" outlineLevel="0" collapsed="false">
      <c r="A1020" s="562"/>
      <c r="B1020" s="574"/>
      <c r="C1020" s="562"/>
      <c r="D1020" s="562"/>
      <c r="E1020" s="562"/>
      <c r="F1020" s="563"/>
      <c r="G1020" s="563"/>
      <c r="H1020" s="564"/>
      <c r="I1020" s="565"/>
      <c r="J1020" s="580"/>
      <c r="K1020" s="360"/>
      <c r="L1020" s="360"/>
      <c r="M1020" s="360"/>
      <c r="N1020" s="360"/>
      <c r="O1020" s="360"/>
      <c r="P1020" s="360"/>
      <c r="Q1020" s="360"/>
      <c r="R1020" s="360"/>
    </row>
    <row r="1021" customFormat="false" ht="39.75" hidden="false" customHeight="true" outlineLevel="0" collapsed="false">
      <c r="A1021" s="562"/>
      <c r="B1021" s="574"/>
      <c r="C1021" s="562"/>
      <c r="D1021" s="562"/>
      <c r="E1021" s="562"/>
      <c r="F1021" s="563"/>
      <c r="G1021" s="563"/>
      <c r="H1021" s="564"/>
      <c r="I1021" s="565"/>
      <c r="J1021" s="580"/>
      <c r="K1021" s="360"/>
      <c r="L1021" s="360"/>
      <c r="M1021" s="360"/>
      <c r="N1021" s="360"/>
      <c r="O1021" s="360"/>
      <c r="P1021" s="360"/>
      <c r="Q1021" s="360"/>
      <c r="R1021" s="360"/>
    </row>
    <row r="1022" customFormat="false" ht="39.75" hidden="false" customHeight="true" outlineLevel="0" collapsed="false">
      <c r="A1022" s="562"/>
      <c r="B1022" s="574"/>
      <c r="C1022" s="562"/>
      <c r="D1022" s="562"/>
      <c r="E1022" s="562"/>
      <c r="F1022" s="563"/>
      <c r="G1022" s="563"/>
      <c r="H1022" s="564"/>
      <c r="I1022" s="565"/>
      <c r="J1022" s="580"/>
      <c r="K1022" s="360"/>
      <c r="L1022" s="360"/>
      <c r="M1022" s="360"/>
      <c r="N1022" s="360"/>
      <c r="O1022" s="360"/>
      <c r="P1022" s="360"/>
      <c r="Q1022" s="360"/>
      <c r="R1022" s="360"/>
    </row>
    <row r="1023" customFormat="false" ht="39.75" hidden="false" customHeight="true" outlineLevel="0" collapsed="false">
      <c r="A1023" s="562"/>
      <c r="B1023" s="574"/>
      <c r="C1023" s="562"/>
      <c r="D1023" s="562"/>
      <c r="E1023" s="562"/>
      <c r="F1023" s="563"/>
      <c r="G1023" s="563"/>
      <c r="H1023" s="564"/>
      <c r="I1023" s="565"/>
      <c r="J1023" s="580"/>
      <c r="K1023" s="360"/>
      <c r="L1023" s="360"/>
      <c r="M1023" s="360"/>
      <c r="N1023" s="360"/>
      <c r="O1023" s="360"/>
      <c r="P1023" s="360"/>
      <c r="Q1023" s="360"/>
      <c r="R1023" s="360"/>
    </row>
    <row r="1024" customFormat="false" ht="39.75" hidden="false" customHeight="true" outlineLevel="0" collapsed="false">
      <c r="A1024" s="562"/>
      <c r="B1024" s="574"/>
      <c r="C1024" s="562"/>
      <c r="D1024" s="562"/>
      <c r="E1024" s="562"/>
      <c r="F1024" s="563"/>
      <c r="G1024" s="563"/>
      <c r="H1024" s="564"/>
      <c r="I1024" s="565"/>
      <c r="J1024" s="580"/>
      <c r="K1024" s="360"/>
      <c r="L1024" s="360"/>
      <c r="M1024" s="360"/>
      <c r="N1024" s="360"/>
      <c r="O1024" s="360"/>
      <c r="P1024" s="360"/>
      <c r="Q1024" s="360"/>
      <c r="R1024" s="360"/>
    </row>
    <row r="1025" customFormat="false" ht="39.75" hidden="false" customHeight="true" outlineLevel="0" collapsed="false">
      <c r="A1025" s="562"/>
      <c r="B1025" s="574"/>
      <c r="C1025" s="562"/>
      <c r="D1025" s="562"/>
      <c r="E1025" s="562"/>
      <c r="F1025" s="563"/>
      <c r="G1025" s="563"/>
      <c r="H1025" s="564"/>
      <c r="I1025" s="565"/>
      <c r="J1025" s="580"/>
      <c r="K1025" s="360"/>
      <c r="L1025" s="360"/>
      <c r="M1025" s="360"/>
      <c r="N1025" s="360"/>
      <c r="O1025" s="360"/>
      <c r="P1025" s="360"/>
      <c r="Q1025" s="360"/>
      <c r="R1025" s="360"/>
    </row>
    <row r="1026" customFormat="false" ht="39.75" hidden="false" customHeight="true" outlineLevel="0" collapsed="false">
      <c r="A1026" s="562"/>
      <c r="B1026" s="574"/>
      <c r="C1026" s="562"/>
      <c r="D1026" s="562"/>
      <c r="E1026" s="562"/>
      <c r="F1026" s="563"/>
      <c r="G1026" s="563"/>
      <c r="H1026" s="564"/>
      <c r="I1026" s="565"/>
      <c r="J1026" s="580"/>
      <c r="K1026" s="360"/>
      <c r="L1026" s="360"/>
      <c r="M1026" s="360"/>
      <c r="N1026" s="360"/>
      <c r="O1026" s="360"/>
      <c r="P1026" s="360"/>
      <c r="Q1026" s="360"/>
      <c r="R1026" s="360"/>
    </row>
    <row r="1027" customFormat="false" ht="39.75" hidden="false" customHeight="true" outlineLevel="0" collapsed="false">
      <c r="A1027" s="562"/>
      <c r="B1027" s="574"/>
      <c r="C1027" s="562"/>
      <c r="D1027" s="562"/>
      <c r="E1027" s="562"/>
      <c r="F1027" s="563"/>
      <c r="G1027" s="563"/>
      <c r="H1027" s="564"/>
      <c r="I1027" s="565"/>
      <c r="J1027" s="580"/>
      <c r="K1027" s="360"/>
      <c r="L1027" s="360"/>
      <c r="M1027" s="360"/>
      <c r="N1027" s="360"/>
      <c r="O1027" s="360"/>
      <c r="P1027" s="360"/>
      <c r="Q1027" s="360"/>
      <c r="R1027" s="360"/>
    </row>
    <row r="1028" customFormat="false" ht="39.75" hidden="false" customHeight="true" outlineLevel="0" collapsed="false">
      <c r="A1028" s="562"/>
      <c r="B1028" s="574"/>
      <c r="C1028" s="562"/>
      <c r="D1028" s="562"/>
      <c r="E1028" s="562"/>
      <c r="F1028" s="563"/>
      <c r="G1028" s="563"/>
      <c r="H1028" s="564"/>
      <c r="I1028" s="565"/>
      <c r="J1028" s="580"/>
      <c r="K1028" s="360"/>
      <c r="L1028" s="360"/>
      <c r="M1028" s="360"/>
      <c r="N1028" s="360"/>
      <c r="O1028" s="360"/>
      <c r="P1028" s="360"/>
      <c r="Q1028" s="360"/>
      <c r="R1028" s="360"/>
    </row>
    <row r="1029" customFormat="false" ht="39.75" hidden="false" customHeight="true" outlineLevel="0" collapsed="false">
      <c r="A1029" s="562"/>
      <c r="B1029" s="574"/>
      <c r="C1029" s="562"/>
      <c r="D1029" s="562"/>
      <c r="E1029" s="562"/>
      <c r="F1029" s="563"/>
      <c r="G1029" s="563"/>
      <c r="H1029" s="564"/>
      <c r="I1029" s="565"/>
      <c r="J1029" s="580"/>
      <c r="K1029" s="360"/>
      <c r="L1029" s="360"/>
      <c r="M1029" s="360"/>
      <c r="N1029" s="360"/>
      <c r="O1029" s="360"/>
      <c r="P1029" s="360"/>
      <c r="Q1029" s="360"/>
      <c r="R1029" s="360"/>
    </row>
    <row r="1030" customFormat="false" ht="39.75" hidden="false" customHeight="true" outlineLevel="0" collapsed="false">
      <c r="A1030" s="562"/>
      <c r="B1030" s="574"/>
      <c r="C1030" s="562"/>
      <c r="D1030" s="562"/>
      <c r="E1030" s="562"/>
      <c r="F1030" s="563"/>
      <c r="G1030" s="563"/>
      <c r="H1030" s="564"/>
      <c r="I1030" s="565"/>
      <c r="J1030" s="580"/>
      <c r="K1030" s="360"/>
      <c r="L1030" s="360"/>
      <c r="M1030" s="360"/>
      <c r="N1030" s="360"/>
      <c r="O1030" s="360"/>
      <c r="P1030" s="360"/>
      <c r="Q1030" s="360"/>
      <c r="R1030" s="360"/>
    </row>
    <row r="1031" customFormat="false" ht="39.75" hidden="false" customHeight="true" outlineLevel="0" collapsed="false">
      <c r="A1031" s="562"/>
      <c r="B1031" s="574"/>
      <c r="C1031" s="562"/>
      <c r="D1031" s="562"/>
      <c r="E1031" s="562"/>
      <c r="F1031" s="563"/>
      <c r="G1031" s="563"/>
      <c r="H1031" s="564"/>
      <c r="I1031" s="565"/>
      <c r="J1031" s="580"/>
      <c r="K1031" s="360"/>
      <c r="L1031" s="360"/>
      <c r="M1031" s="360"/>
      <c r="N1031" s="360"/>
      <c r="O1031" s="360"/>
      <c r="P1031" s="360"/>
      <c r="Q1031" s="360"/>
      <c r="R1031" s="360"/>
    </row>
    <row r="1032" customFormat="false" ht="39.75" hidden="false" customHeight="true" outlineLevel="0" collapsed="false">
      <c r="A1032" s="562"/>
      <c r="B1032" s="574"/>
      <c r="C1032" s="562"/>
      <c r="D1032" s="562"/>
      <c r="E1032" s="562"/>
      <c r="F1032" s="563"/>
      <c r="G1032" s="563"/>
      <c r="H1032" s="564"/>
      <c r="I1032" s="565"/>
      <c r="J1032" s="580"/>
      <c r="K1032" s="360"/>
      <c r="L1032" s="360"/>
      <c r="M1032" s="360"/>
      <c r="N1032" s="360"/>
      <c r="O1032" s="360"/>
      <c r="P1032" s="360"/>
      <c r="Q1032" s="360"/>
      <c r="R1032" s="360"/>
    </row>
    <row r="1033" customFormat="false" ht="39.75" hidden="false" customHeight="true" outlineLevel="0" collapsed="false">
      <c r="A1033" s="562"/>
      <c r="B1033" s="574"/>
      <c r="C1033" s="562"/>
      <c r="D1033" s="562"/>
      <c r="E1033" s="562"/>
      <c r="F1033" s="563"/>
      <c r="G1033" s="563"/>
      <c r="H1033" s="564"/>
      <c r="I1033" s="565"/>
      <c r="J1033" s="580"/>
      <c r="K1033" s="360"/>
      <c r="L1033" s="360"/>
      <c r="M1033" s="360"/>
      <c r="N1033" s="360"/>
      <c r="O1033" s="360"/>
      <c r="P1033" s="360"/>
      <c r="Q1033" s="360"/>
      <c r="R1033" s="360"/>
    </row>
    <row r="1034" customFormat="false" ht="39.75" hidden="false" customHeight="true" outlineLevel="0" collapsed="false">
      <c r="A1034" s="562"/>
      <c r="B1034" s="574"/>
      <c r="C1034" s="562"/>
      <c r="D1034" s="562"/>
      <c r="E1034" s="562"/>
      <c r="F1034" s="563"/>
      <c r="G1034" s="563"/>
      <c r="H1034" s="564"/>
      <c r="I1034" s="565"/>
      <c r="J1034" s="580"/>
      <c r="K1034" s="360"/>
      <c r="L1034" s="360"/>
      <c r="M1034" s="360"/>
      <c r="N1034" s="360"/>
      <c r="O1034" s="360"/>
      <c r="P1034" s="360"/>
      <c r="Q1034" s="360"/>
      <c r="R1034" s="360"/>
    </row>
    <row r="1035" customFormat="false" ht="39.75" hidden="false" customHeight="true" outlineLevel="0" collapsed="false">
      <c r="A1035" s="562"/>
      <c r="B1035" s="574"/>
      <c r="C1035" s="562"/>
      <c r="D1035" s="562"/>
      <c r="E1035" s="562"/>
      <c r="F1035" s="563"/>
      <c r="G1035" s="563"/>
      <c r="H1035" s="564"/>
      <c r="I1035" s="565"/>
      <c r="J1035" s="580"/>
      <c r="K1035" s="360"/>
      <c r="L1035" s="360"/>
      <c r="M1035" s="360"/>
      <c r="N1035" s="360"/>
      <c r="O1035" s="360"/>
      <c r="P1035" s="360"/>
      <c r="Q1035" s="360"/>
      <c r="R1035" s="360"/>
    </row>
    <row r="1036" customFormat="false" ht="39.75" hidden="false" customHeight="true" outlineLevel="0" collapsed="false">
      <c r="A1036" s="562"/>
      <c r="B1036" s="574"/>
      <c r="C1036" s="562"/>
      <c r="D1036" s="562"/>
      <c r="E1036" s="562"/>
      <c r="F1036" s="563"/>
      <c r="G1036" s="563"/>
      <c r="H1036" s="564"/>
      <c r="I1036" s="565"/>
      <c r="J1036" s="580"/>
      <c r="K1036" s="360"/>
      <c r="L1036" s="360"/>
      <c r="M1036" s="360"/>
      <c r="N1036" s="360"/>
      <c r="O1036" s="360"/>
      <c r="P1036" s="360"/>
      <c r="Q1036" s="360"/>
      <c r="R1036" s="360"/>
    </row>
    <row r="1037" customFormat="false" ht="39.75" hidden="false" customHeight="true" outlineLevel="0" collapsed="false">
      <c r="A1037" s="562"/>
      <c r="B1037" s="574"/>
      <c r="C1037" s="562"/>
      <c r="D1037" s="562"/>
      <c r="E1037" s="562"/>
      <c r="F1037" s="563"/>
      <c r="G1037" s="563"/>
      <c r="H1037" s="564"/>
      <c r="I1037" s="565"/>
      <c r="J1037" s="580"/>
      <c r="K1037" s="360"/>
      <c r="L1037" s="360"/>
      <c r="M1037" s="360"/>
      <c r="N1037" s="360"/>
      <c r="O1037" s="360"/>
      <c r="P1037" s="360"/>
      <c r="Q1037" s="360"/>
      <c r="R1037" s="360"/>
    </row>
    <row r="1038" customFormat="false" ht="39.75" hidden="false" customHeight="true" outlineLevel="0" collapsed="false">
      <c r="A1038" s="562"/>
      <c r="B1038" s="574"/>
      <c r="C1038" s="562"/>
      <c r="D1038" s="562"/>
      <c r="E1038" s="562"/>
      <c r="F1038" s="563"/>
      <c r="G1038" s="563"/>
      <c r="H1038" s="564"/>
      <c r="I1038" s="565"/>
      <c r="J1038" s="580"/>
      <c r="K1038" s="360"/>
      <c r="L1038" s="360"/>
      <c r="M1038" s="360"/>
      <c r="N1038" s="360"/>
      <c r="O1038" s="360"/>
      <c r="P1038" s="360"/>
      <c r="Q1038" s="360"/>
      <c r="R1038" s="360"/>
    </row>
    <row r="1039" customFormat="false" ht="39.75" hidden="false" customHeight="true" outlineLevel="0" collapsed="false">
      <c r="A1039" s="562"/>
      <c r="B1039" s="574"/>
      <c r="C1039" s="562"/>
      <c r="D1039" s="562"/>
      <c r="E1039" s="562"/>
      <c r="F1039" s="563"/>
      <c r="G1039" s="563"/>
      <c r="H1039" s="564"/>
      <c r="I1039" s="565"/>
      <c r="J1039" s="580"/>
      <c r="K1039" s="360"/>
      <c r="L1039" s="360"/>
      <c r="M1039" s="360"/>
      <c r="N1039" s="360"/>
      <c r="O1039" s="360"/>
      <c r="P1039" s="360"/>
      <c r="Q1039" s="360"/>
      <c r="R1039" s="360"/>
    </row>
    <row r="1040" customFormat="false" ht="39.75" hidden="false" customHeight="true" outlineLevel="0" collapsed="false">
      <c r="A1040" s="562"/>
      <c r="B1040" s="574"/>
      <c r="C1040" s="562"/>
      <c r="D1040" s="562"/>
      <c r="E1040" s="562"/>
      <c r="F1040" s="563"/>
      <c r="G1040" s="563"/>
      <c r="H1040" s="564"/>
      <c r="I1040" s="565"/>
      <c r="J1040" s="580"/>
      <c r="K1040" s="360"/>
      <c r="L1040" s="360"/>
      <c r="M1040" s="360"/>
      <c r="N1040" s="360"/>
      <c r="O1040" s="360"/>
      <c r="P1040" s="360"/>
      <c r="Q1040" s="360"/>
      <c r="R1040" s="360"/>
    </row>
    <row r="1041" customFormat="false" ht="39.75" hidden="false" customHeight="true" outlineLevel="0" collapsed="false">
      <c r="A1041" s="562"/>
      <c r="B1041" s="574"/>
      <c r="C1041" s="562"/>
      <c r="D1041" s="562"/>
      <c r="E1041" s="562"/>
      <c r="F1041" s="563"/>
      <c r="G1041" s="563"/>
      <c r="H1041" s="564"/>
      <c r="I1041" s="565"/>
      <c r="J1041" s="580"/>
      <c r="K1041" s="360"/>
      <c r="L1041" s="360"/>
      <c r="M1041" s="360"/>
      <c r="N1041" s="360"/>
      <c r="O1041" s="360"/>
      <c r="P1041" s="360"/>
      <c r="Q1041" s="360"/>
      <c r="R1041" s="360"/>
    </row>
    <row r="1042" customFormat="false" ht="39.75" hidden="false" customHeight="true" outlineLevel="0" collapsed="false">
      <c r="A1042" s="562"/>
      <c r="B1042" s="574"/>
      <c r="C1042" s="562"/>
      <c r="D1042" s="562"/>
      <c r="E1042" s="562"/>
      <c r="F1042" s="563"/>
      <c r="G1042" s="563"/>
      <c r="H1042" s="564"/>
      <c r="I1042" s="565"/>
      <c r="J1042" s="580"/>
      <c r="K1042" s="360"/>
      <c r="L1042" s="360"/>
      <c r="M1042" s="360"/>
      <c r="N1042" s="360"/>
      <c r="O1042" s="360"/>
      <c r="P1042" s="360"/>
      <c r="Q1042" s="360"/>
      <c r="R1042" s="360"/>
    </row>
    <row r="1043" customFormat="false" ht="39.75" hidden="false" customHeight="true" outlineLevel="0" collapsed="false">
      <c r="A1043" s="562"/>
      <c r="B1043" s="574"/>
      <c r="C1043" s="562"/>
      <c r="D1043" s="562"/>
      <c r="E1043" s="562"/>
      <c r="F1043" s="563"/>
      <c r="G1043" s="563"/>
      <c r="H1043" s="564"/>
      <c r="I1043" s="565"/>
      <c r="J1043" s="580"/>
      <c r="K1043" s="360"/>
      <c r="L1043" s="360"/>
      <c r="M1043" s="360"/>
      <c r="N1043" s="360"/>
      <c r="O1043" s="360"/>
      <c r="P1043" s="360"/>
      <c r="Q1043" s="360"/>
      <c r="R1043" s="360"/>
    </row>
    <row r="1044" customFormat="false" ht="39.75" hidden="false" customHeight="true" outlineLevel="0" collapsed="false">
      <c r="A1044" s="562"/>
      <c r="B1044" s="574"/>
      <c r="C1044" s="562"/>
      <c r="D1044" s="562"/>
      <c r="E1044" s="562"/>
      <c r="F1044" s="563"/>
      <c r="G1044" s="563"/>
      <c r="H1044" s="564"/>
      <c r="I1044" s="565"/>
      <c r="J1044" s="580"/>
      <c r="K1044" s="360"/>
      <c r="L1044" s="360"/>
      <c r="M1044" s="360"/>
      <c r="N1044" s="360"/>
      <c r="O1044" s="360"/>
      <c r="P1044" s="360"/>
      <c r="Q1044" s="360"/>
      <c r="R1044" s="360"/>
    </row>
    <row r="1045" customFormat="false" ht="39.75" hidden="false" customHeight="true" outlineLevel="0" collapsed="false">
      <c r="A1045" s="562"/>
      <c r="B1045" s="574"/>
      <c r="C1045" s="562"/>
      <c r="D1045" s="562"/>
      <c r="E1045" s="562"/>
      <c r="F1045" s="563"/>
      <c r="G1045" s="563"/>
      <c r="H1045" s="564"/>
      <c r="I1045" s="565"/>
      <c r="J1045" s="580"/>
      <c r="K1045" s="360"/>
      <c r="L1045" s="360"/>
      <c r="M1045" s="360"/>
      <c r="N1045" s="360"/>
      <c r="O1045" s="360"/>
      <c r="P1045" s="360"/>
      <c r="Q1045" s="360"/>
      <c r="R1045" s="360"/>
    </row>
    <row r="1046" customFormat="false" ht="39.75" hidden="false" customHeight="true" outlineLevel="0" collapsed="false">
      <c r="A1046" s="562"/>
      <c r="B1046" s="574"/>
      <c r="C1046" s="562"/>
      <c r="D1046" s="562"/>
      <c r="E1046" s="562"/>
      <c r="F1046" s="563"/>
      <c r="G1046" s="563"/>
      <c r="H1046" s="564"/>
      <c r="I1046" s="565"/>
      <c r="J1046" s="580"/>
      <c r="K1046" s="360"/>
      <c r="L1046" s="360"/>
      <c r="M1046" s="360"/>
      <c r="N1046" s="360"/>
      <c r="O1046" s="360"/>
      <c r="P1046" s="360"/>
      <c r="Q1046" s="360"/>
      <c r="R1046" s="360"/>
    </row>
    <row r="1047" customFormat="false" ht="39.75" hidden="false" customHeight="true" outlineLevel="0" collapsed="false">
      <c r="A1047" s="562"/>
      <c r="B1047" s="574"/>
      <c r="C1047" s="562"/>
      <c r="D1047" s="562"/>
      <c r="E1047" s="562"/>
      <c r="F1047" s="563"/>
      <c r="G1047" s="563"/>
      <c r="H1047" s="564"/>
      <c r="I1047" s="565"/>
      <c r="J1047" s="580"/>
      <c r="K1047" s="360"/>
      <c r="L1047" s="360"/>
      <c r="M1047" s="360"/>
      <c r="N1047" s="360"/>
      <c r="O1047" s="360"/>
      <c r="P1047" s="360"/>
      <c r="Q1047" s="360"/>
      <c r="R1047" s="360"/>
    </row>
    <row r="1048" customFormat="false" ht="39.75" hidden="false" customHeight="true" outlineLevel="0" collapsed="false">
      <c r="A1048" s="562"/>
      <c r="B1048" s="574"/>
      <c r="C1048" s="562"/>
      <c r="D1048" s="562"/>
      <c r="E1048" s="562"/>
      <c r="F1048" s="563"/>
      <c r="G1048" s="563"/>
      <c r="H1048" s="564"/>
      <c r="I1048" s="565"/>
      <c r="J1048" s="580"/>
      <c r="K1048" s="360"/>
      <c r="L1048" s="360"/>
      <c r="M1048" s="360"/>
      <c r="N1048" s="360"/>
      <c r="O1048" s="360"/>
      <c r="P1048" s="360"/>
      <c r="Q1048" s="360"/>
      <c r="R1048" s="360"/>
    </row>
    <row r="1049" customFormat="false" ht="39.75" hidden="false" customHeight="true" outlineLevel="0" collapsed="false">
      <c r="A1049" s="562"/>
      <c r="B1049" s="574"/>
      <c r="C1049" s="562"/>
      <c r="D1049" s="562"/>
      <c r="E1049" s="562"/>
      <c r="F1049" s="563"/>
      <c r="G1049" s="563"/>
      <c r="H1049" s="564"/>
      <c r="I1049" s="565"/>
      <c r="J1049" s="580"/>
      <c r="K1049" s="360"/>
      <c r="L1049" s="360"/>
      <c r="M1049" s="360"/>
      <c r="N1049" s="360"/>
      <c r="O1049" s="360"/>
      <c r="P1049" s="360"/>
      <c r="Q1049" s="360"/>
      <c r="R1049" s="360"/>
    </row>
    <row r="1050" customFormat="false" ht="39.75" hidden="false" customHeight="true" outlineLevel="0" collapsed="false">
      <c r="A1050" s="562"/>
      <c r="B1050" s="574"/>
      <c r="C1050" s="562"/>
      <c r="D1050" s="562"/>
      <c r="E1050" s="562"/>
      <c r="F1050" s="563"/>
      <c r="G1050" s="563"/>
      <c r="H1050" s="564"/>
      <c r="I1050" s="565"/>
      <c r="J1050" s="580"/>
      <c r="K1050" s="360"/>
      <c r="L1050" s="360"/>
      <c r="M1050" s="360"/>
      <c r="N1050" s="360"/>
      <c r="O1050" s="360"/>
      <c r="P1050" s="360"/>
      <c r="Q1050" s="360"/>
      <c r="R1050" s="360"/>
    </row>
    <row r="1051" customFormat="false" ht="39.75" hidden="false" customHeight="true" outlineLevel="0" collapsed="false">
      <c r="A1051" s="562"/>
      <c r="B1051" s="574"/>
      <c r="C1051" s="562"/>
      <c r="D1051" s="562"/>
      <c r="E1051" s="562"/>
      <c r="F1051" s="563"/>
      <c r="G1051" s="563"/>
      <c r="H1051" s="564"/>
      <c r="I1051" s="565"/>
      <c r="J1051" s="580"/>
      <c r="K1051" s="360"/>
      <c r="L1051" s="360"/>
      <c r="M1051" s="360"/>
      <c r="N1051" s="360"/>
      <c r="O1051" s="360"/>
      <c r="P1051" s="360"/>
      <c r="Q1051" s="360"/>
      <c r="R1051" s="360"/>
    </row>
    <row r="1052" customFormat="false" ht="39.75" hidden="false" customHeight="true" outlineLevel="0" collapsed="false">
      <c r="A1052" s="562"/>
      <c r="B1052" s="574"/>
      <c r="C1052" s="562"/>
      <c r="D1052" s="562"/>
      <c r="E1052" s="562"/>
      <c r="F1052" s="563"/>
      <c r="G1052" s="563"/>
      <c r="H1052" s="564"/>
      <c r="I1052" s="565"/>
      <c r="J1052" s="580"/>
      <c r="K1052" s="360"/>
      <c r="L1052" s="360"/>
      <c r="M1052" s="360"/>
      <c r="N1052" s="360"/>
      <c r="O1052" s="360"/>
      <c r="P1052" s="360"/>
      <c r="Q1052" s="360"/>
      <c r="R1052" s="360"/>
    </row>
    <row r="1053" customFormat="false" ht="39.75" hidden="false" customHeight="true" outlineLevel="0" collapsed="false">
      <c r="A1053" s="562"/>
      <c r="B1053" s="574"/>
      <c r="C1053" s="562"/>
      <c r="D1053" s="562"/>
      <c r="E1053" s="562"/>
      <c r="F1053" s="563"/>
      <c r="G1053" s="563"/>
      <c r="H1053" s="564"/>
      <c r="I1053" s="565"/>
      <c r="J1053" s="580"/>
      <c r="K1053" s="360"/>
      <c r="L1053" s="360"/>
      <c r="M1053" s="360"/>
      <c r="N1053" s="360"/>
      <c r="O1053" s="360"/>
      <c r="P1053" s="360"/>
      <c r="Q1053" s="360"/>
      <c r="R1053" s="360"/>
    </row>
    <row r="1054" customFormat="false" ht="39.75" hidden="false" customHeight="true" outlineLevel="0" collapsed="false">
      <c r="A1054" s="562"/>
      <c r="B1054" s="574"/>
      <c r="C1054" s="562"/>
      <c r="D1054" s="562"/>
      <c r="E1054" s="562"/>
      <c r="F1054" s="563"/>
      <c r="G1054" s="563"/>
      <c r="H1054" s="564"/>
      <c r="I1054" s="565"/>
      <c r="J1054" s="580"/>
      <c r="K1054" s="360"/>
      <c r="L1054" s="360"/>
      <c r="M1054" s="360"/>
      <c r="N1054" s="360"/>
      <c r="O1054" s="360"/>
      <c r="P1054" s="360"/>
      <c r="Q1054" s="360"/>
      <c r="R1054" s="360"/>
    </row>
    <row r="1055" customFormat="false" ht="39.75" hidden="false" customHeight="true" outlineLevel="0" collapsed="false">
      <c r="A1055" s="562"/>
      <c r="B1055" s="574"/>
      <c r="C1055" s="562"/>
      <c r="D1055" s="562"/>
      <c r="E1055" s="562"/>
      <c r="F1055" s="563"/>
      <c r="G1055" s="563"/>
      <c r="H1055" s="564"/>
      <c r="I1055" s="565"/>
      <c r="J1055" s="580"/>
      <c r="K1055" s="360"/>
      <c r="L1055" s="360"/>
      <c r="M1055" s="360"/>
      <c r="N1055" s="360"/>
      <c r="O1055" s="360"/>
      <c r="P1055" s="360"/>
      <c r="Q1055" s="360"/>
      <c r="R1055" s="360"/>
    </row>
    <row r="1056" customFormat="false" ht="39.75" hidden="false" customHeight="true" outlineLevel="0" collapsed="false">
      <c r="A1056" s="562"/>
      <c r="B1056" s="574"/>
      <c r="C1056" s="562"/>
      <c r="D1056" s="562"/>
      <c r="E1056" s="562"/>
      <c r="F1056" s="563"/>
      <c r="G1056" s="563"/>
      <c r="H1056" s="564"/>
      <c r="I1056" s="565"/>
      <c r="J1056" s="580"/>
      <c r="K1056" s="360"/>
      <c r="L1056" s="360"/>
      <c r="M1056" s="360"/>
      <c r="N1056" s="360"/>
      <c r="O1056" s="360"/>
      <c r="P1056" s="360"/>
      <c r="Q1056" s="360"/>
      <c r="R1056" s="360"/>
    </row>
    <row r="1057" customFormat="false" ht="39.75" hidden="false" customHeight="true" outlineLevel="0" collapsed="false">
      <c r="A1057" s="562"/>
      <c r="B1057" s="574"/>
      <c r="C1057" s="562"/>
      <c r="D1057" s="562"/>
      <c r="E1057" s="562"/>
      <c r="F1057" s="563"/>
      <c r="G1057" s="563"/>
      <c r="H1057" s="564"/>
      <c r="I1057" s="565"/>
      <c r="J1057" s="580"/>
      <c r="K1057" s="360"/>
      <c r="L1057" s="360"/>
      <c r="M1057" s="360"/>
      <c r="N1057" s="360"/>
      <c r="O1057" s="360"/>
      <c r="P1057" s="360"/>
      <c r="Q1057" s="360"/>
      <c r="R1057" s="360"/>
    </row>
    <row r="1058" customFormat="false" ht="39.75" hidden="false" customHeight="true" outlineLevel="0" collapsed="false">
      <c r="A1058" s="562"/>
      <c r="B1058" s="574"/>
      <c r="C1058" s="562"/>
      <c r="D1058" s="562"/>
      <c r="E1058" s="562"/>
      <c r="F1058" s="563"/>
      <c r="G1058" s="563"/>
      <c r="H1058" s="564"/>
      <c r="I1058" s="565"/>
      <c r="J1058" s="580"/>
      <c r="K1058" s="360"/>
      <c r="L1058" s="360"/>
      <c r="M1058" s="360"/>
      <c r="N1058" s="360"/>
      <c r="O1058" s="360"/>
      <c r="P1058" s="360"/>
      <c r="Q1058" s="360"/>
      <c r="R1058" s="360"/>
    </row>
    <row r="1059" customFormat="false" ht="39.75" hidden="false" customHeight="true" outlineLevel="0" collapsed="false">
      <c r="A1059" s="562"/>
      <c r="B1059" s="574"/>
      <c r="C1059" s="562"/>
      <c r="D1059" s="562"/>
      <c r="E1059" s="562"/>
      <c r="F1059" s="563"/>
      <c r="G1059" s="563"/>
      <c r="H1059" s="564"/>
      <c r="I1059" s="565"/>
      <c r="J1059" s="580"/>
      <c r="K1059" s="360"/>
      <c r="L1059" s="360"/>
      <c r="M1059" s="360"/>
      <c r="N1059" s="360"/>
      <c r="O1059" s="360"/>
      <c r="P1059" s="360"/>
      <c r="Q1059" s="360"/>
      <c r="R1059" s="360"/>
    </row>
    <row r="1060" customFormat="false" ht="39.75" hidden="false" customHeight="true" outlineLevel="0" collapsed="false">
      <c r="A1060" s="562"/>
      <c r="B1060" s="574"/>
      <c r="C1060" s="562"/>
      <c r="D1060" s="562"/>
      <c r="E1060" s="562"/>
      <c r="F1060" s="563"/>
      <c r="G1060" s="563"/>
      <c r="H1060" s="564"/>
      <c r="I1060" s="565"/>
      <c r="J1060" s="580"/>
      <c r="K1060" s="360"/>
      <c r="L1060" s="360"/>
      <c r="M1060" s="360"/>
      <c r="N1060" s="360"/>
      <c r="O1060" s="360"/>
      <c r="P1060" s="360"/>
      <c r="Q1060" s="360"/>
      <c r="R1060" s="360"/>
    </row>
    <row r="1061" customFormat="false" ht="39.75" hidden="false" customHeight="true" outlineLevel="0" collapsed="false">
      <c r="A1061" s="562"/>
      <c r="B1061" s="574"/>
      <c r="C1061" s="562"/>
      <c r="D1061" s="562"/>
      <c r="E1061" s="562"/>
      <c r="F1061" s="563"/>
      <c r="G1061" s="563"/>
      <c r="H1061" s="564"/>
      <c r="I1061" s="565"/>
      <c r="J1061" s="580"/>
      <c r="K1061" s="360"/>
      <c r="L1061" s="360"/>
      <c r="M1061" s="360"/>
      <c r="N1061" s="360"/>
      <c r="O1061" s="360"/>
      <c r="P1061" s="360"/>
      <c r="Q1061" s="360"/>
      <c r="R1061" s="360"/>
    </row>
    <row r="1062" customFormat="false" ht="39.75" hidden="false" customHeight="true" outlineLevel="0" collapsed="false">
      <c r="A1062" s="562"/>
      <c r="B1062" s="574"/>
      <c r="C1062" s="562"/>
      <c r="D1062" s="562"/>
      <c r="E1062" s="562"/>
      <c r="F1062" s="563"/>
      <c r="G1062" s="563"/>
      <c r="H1062" s="564"/>
      <c r="I1062" s="565"/>
      <c r="J1062" s="580"/>
      <c r="K1062" s="360"/>
      <c r="L1062" s="360"/>
      <c r="M1062" s="360"/>
      <c r="N1062" s="360"/>
      <c r="O1062" s="360"/>
      <c r="P1062" s="360"/>
      <c r="Q1062" s="360"/>
      <c r="R1062" s="360"/>
    </row>
    <row r="1063" customFormat="false" ht="39.75" hidden="false" customHeight="true" outlineLevel="0" collapsed="false">
      <c r="A1063" s="562"/>
      <c r="B1063" s="574"/>
      <c r="C1063" s="562"/>
      <c r="D1063" s="562"/>
      <c r="E1063" s="562"/>
      <c r="F1063" s="563"/>
      <c r="G1063" s="563"/>
      <c r="H1063" s="564"/>
      <c r="I1063" s="565"/>
      <c r="J1063" s="580"/>
      <c r="K1063" s="360"/>
      <c r="L1063" s="360"/>
      <c r="M1063" s="360"/>
      <c r="N1063" s="360"/>
      <c r="O1063" s="360"/>
      <c r="P1063" s="360"/>
      <c r="Q1063" s="360"/>
      <c r="R1063" s="360"/>
    </row>
    <row r="1064" customFormat="false" ht="39.75" hidden="false" customHeight="true" outlineLevel="0" collapsed="false">
      <c r="A1064" s="562"/>
      <c r="B1064" s="574"/>
      <c r="C1064" s="562"/>
      <c r="D1064" s="562"/>
      <c r="E1064" s="562"/>
      <c r="F1064" s="563"/>
      <c r="G1064" s="563"/>
      <c r="H1064" s="564"/>
      <c r="I1064" s="565"/>
      <c r="J1064" s="580"/>
      <c r="K1064" s="360"/>
      <c r="L1064" s="360"/>
      <c r="M1064" s="360"/>
      <c r="N1064" s="360"/>
      <c r="O1064" s="360"/>
      <c r="P1064" s="360"/>
      <c r="Q1064" s="360"/>
      <c r="R1064" s="360"/>
    </row>
    <row r="1065" customFormat="false" ht="39.75" hidden="false" customHeight="true" outlineLevel="0" collapsed="false">
      <c r="A1065" s="562"/>
      <c r="B1065" s="574"/>
      <c r="C1065" s="562"/>
      <c r="D1065" s="562"/>
      <c r="E1065" s="562"/>
      <c r="F1065" s="563"/>
      <c r="G1065" s="563"/>
      <c r="H1065" s="564"/>
      <c r="I1065" s="565"/>
      <c r="J1065" s="580"/>
      <c r="K1065" s="360"/>
      <c r="L1065" s="360"/>
      <c r="M1065" s="360"/>
      <c r="N1065" s="360"/>
      <c r="O1065" s="360"/>
      <c r="P1065" s="360"/>
      <c r="Q1065" s="360"/>
      <c r="R1065" s="360"/>
    </row>
    <row r="1066" customFormat="false" ht="39.75" hidden="false" customHeight="true" outlineLevel="0" collapsed="false">
      <c r="A1066" s="562"/>
      <c r="B1066" s="574"/>
      <c r="C1066" s="562"/>
      <c r="D1066" s="562"/>
      <c r="E1066" s="562"/>
      <c r="F1066" s="563"/>
      <c r="G1066" s="563"/>
      <c r="H1066" s="564"/>
      <c r="I1066" s="565"/>
      <c r="J1066" s="580"/>
      <c r="K1066" s="360"/>
      <c r="L1066" s="360"/>
      <c r="M1066" s="360"/>
      <c r="N1066" s="360"/>
      <c r="O1066" s="360"/>
      <c r="P1066" s="360"/>
      <c r="Q1066" s="360"/>
      <c r="R1066" s="360"/>
    </row>
    <row r="1067" customFormat="false" ht="39.75" hidden="false" customHeight="true" outlineLevel="0" collapsed="false">
      <c r="A1067" s="562"/>
      <c r="B1067" s="574"/>
      <c r="C1067" s="562"/>
      <c r="D1067" s="562"/>
      <c r="E1067" s="562"/>
      <c r="F1067" s="563"/>
      <c r="G1067" s="563"/>
      <c r="H1067" s="564"/>
      <c r="I1067" s="565"/>
      <c r="J1067" s="580"/>
      <c r="K1067" s="360"/>
      <c r="L1067" s="360"/>
      <c r="M1067" s="360"/>
      <c r="N1067" s="360"/>
      <c r="O1067" s="360"/>
      <c r="P1067" s="360"/>
      <c r="Q1067" s="360"/>
      <c r="R1067" s="360"/>
    </row>
    <row r="1068" customFormat="false" ht="39.75" hidden="false" customHeight="true" outlineLevel="0" collapsed="false">
      <c r="A1068" s="562"/>
      <c r="B1068" s="574"/>
      <c r="C1068" s="562"/>
      <c r="D1068" s="562"/>
      <c r="E1068" s="562"/>
      <c r="F1068" s="563"/>
      <c r="G1068" s="563"/>
      <c r="H1068" s="564"/>
      <c r="I1068" s="565"/>
      <c r="J1068" s="580"/>
      <c r="K1068" s="360"/>
      <c r="L1068" s="360"/>
      <c r="M1068" s="360"/>
      <c r="N1068" s="360"/>
      <c r="O1068" s="360"/>
      <c r="P1068" s="360"/>
      <c r="Q1068" s="360"/>
      <c r="R1068" s="360"/>
    </row>
    <row r="1069" customFormat="false" ht="39.75" hidden="false" customHeight="true" outlineLevel="0" collapsed="false">
      <c r="A1069" s="562"/>
      <c r="B1069" s="574"/>
      <c r="C1069" s="562"/>
      <c r="D1069" s="562"/>
      <c r="E1069" s="562"/>
      <c r="F1069" s="563"/>
      <c r="G1069" s="563"/>
      <c r="H1069" s="564"/>
      <c r="I1069" s="565"/>
      <c r="J1069" s="580"/>
      <c r="K1069" s="360"/>
      <c r="L1069" s="360"/>
      <c r="M1069" s="360"/>
      <c r="N1069" s="360"/>
      <c r="O1069" s="360"/>
      <c r="P1069" s="360"/>
      <c r="Q1069" s="360"/>
      <c r="R1069" s="360"/>
    </row>
    <row r="1070" customFormat="false" ht="39.75" hidden="false" customHeight="true" outlineLevel="0" collapsed="false">
      <c r="A1070" s="562"/>
      <c r="B1070" s="574"/>
      <c r="C1070" s="562"/>
      <c r="D1070" s="562"/>
      <c r="E1070" s="562"/>
      <c r="F1070" s="563"/>
      <c r="G1070" s="563"/>
      <c r="H1070" s="564"/>
      <c r="I1070" s="565"/>
      <c r="J1070" s="580"/>
      <c r="K1070" s="360"/>
      <c r="L1070" s="360"/>
      <c r="M1070" s="360"/>
      <c r="N1070" s="360"/>
      <c r="O1070" s="360"/>
      <c r="P1070" s="360"/>
      <c r="Q1070" s="360"/>
      <c r="R1070" s="360"/>
    </row>
    <row r="1071" customFormat="false" ht="39.75" hidden="false" customHeight="true" outlineLevel="0" collapsed="false">
      <c r="A1071" s="562"/>
      <c r="B1071" s="574"/>
      <c r="C1071" s="562"/>
      <c r="D1071" s="562"/>
      <c r="E1071" s="562"/>
      <c r="F1071" s="563"/>
      <c r="G1071" s="563"/>
      <c r="H1071" s="564"/>
      <c r="I1071" s="565"/>
      <c r="J1071" s="580"/>
      <c r="K1071" s="360"/>
      <c r="L1071" s="360"/>
      <c r="M1071" s="360"/>
      <c r="N1071" s="360"/>
      <c r="O1071" s="360"/>
      <c r="P1071" s="360"/>
      <c r="Q1071" s="360"/>
      <c r="R1071" s="360"/>
    </row>
    <row r="1072" customFormat="false" ht="39.75" hidden="false" customHeight="true" outlineLevel="0" collapsed="false">
      <c r="A1072" s="562"/>
      <c r="B1072" s="574"/>
      <c r="C1072" s="562"/>
      <c r="D1072" s="562"/>
      <c r="E1072" s="562"/>
      <c r="F1072" s="563"/>
      <c r="G1072" s="563"/>
      <c r="H1072" s="564"/>
      <c r="I1072" s="565"/>
      <c r="J1072" s="580"/>
      <c r="K1072" s="360"/>
      <c r="L1072" s="360"/>
      <c r="M1072" s="360"/>
      <c r="N1072" s="360"/>
      <c r="O1072" s="360"/>
      <c r="P1072" s="360"/>
      <c r="Q1072" s="360"/>
      <c r="R1072" s="360"/>
    </row>
    <row r="1073" customFormat="false" ht="39.75" hidden="false" customHeight="true" outlineLevel="0" collapsed="false">
      <c r="A1073" s="562"/>
      <c r="B1073" s="574"/>
      <c r="C1073" s="562"/>
      <c r="D1073" s="562"/>
      <c r="E1073" s="562"/>
      <c r="F1073" s="563"/>
      <c r="G1073" s="563"/>
      <c r="H1073" s="564"/>
      <c r="I1073" s="565"/>
      <c r="J1073" s="580"/>
      <c r="K1073" s="360"/>
      <c r="L1073" s="360"/>
      <c r="M1073" s="360"/>
      <c r="N1073" s="360"/>
      <c r="O1073" s="360"/>
      <c r="P1073" s="360"/>
      <c r="Q1073" s="360"/>
      <c r="R1073" s="360"/>
    </row>
    <row r="1074" customFormat="false" ht="39.75" hidden="false" customHeight="true" outlineLevel="0" collapsed="false">
      <c r="A1074" s="562"/>
      <c r="B1074" s="574"/>
      <c r="C1074" s="562"/>
      <c r="D1074" s="562"/>
      <c r="E1074" s="562"/>
      <c r="F1074" s="563"/>
      <c r="G1074" s="563"/>
      <c r="H1074" s="564"/>
      <c r="I1074" s="565"/>
      <c r="J1074" s="580"/>
      <c r="K1074" s="360"/>
      <c r="L1074" s="360"/>
      <c r="M1074" s="360"/>
      <c r="N1074" s="360"/>
      <c r="O1074" s="360"/>
      <c r="P1074" s="360"/>
      <c r="Q1074" s="360"/>
      <c r="R1074" s="360"/>
    </row>
    <row r="1075" customFormat="false" ht="39.75" hidden="false" customHeight="true" outlineLevel="0" collapsed="false">
      <c r="A1075" s="562"/>
      <c r="B1075" s="574"/>
      <c r="C1075" s="562"/>
      <c r="D1075" s="562"/>
      <c r="E1075" s="562"/>
      <c r="F1075" s="563"/>
      <c r="G1075" s="563"/>
      <c r="H1075" s="564"/>
      <c r="I1075" s="565"/>
      <c r="J1075" s="580"/>
      <c r="K1075" s="360"/>
      <c r="L1075" s="360"/>
      <c r="M1075" s="360"/>
      <c r="N1075" s="360"/>
      <c r="O1075" s="360"/>
      <c r="P1075" s="360"/>
      <c r="Q1075" s="360"/>
      <c r="R1075" s="360"/>
    </row>
    <row r="1076" customFormat="false" ht="39.75" hidden="false" customHeight="true" outlineLevel="0" collapsed="false">
      <c r="A1076" s="562"/>
      <c r="B1076" s="574"/>
      <c r="C1076" s="562"/>
      <c r="D1076" s="562"/>
      <c r="E1076" s="562"/>
      <c r="F1076" s="563"/>
      <c r="G1076" s="563"/>
      <c r="H1076" s="564"/>
      <c r="I1076" s="565"/>
      <c r="J1076" s="580"/>
      <c r="K1076" s="360"/>
      <c r="L1076" s="360"/>
      <c r="M1076" s="360"/>
      <c r="N1076" s="360"/>
      <c r="O1076" s="360"/>
      <c r="P1076" s="360"/>
      <c r="Q1076" s="360"/>
      <c r="R1076" s="360"/>
    </row>
    <row r="1077" customFormat="false" ht="39.75" hidden="false" customHeight="true" outlineLevel="0" collapsed="false">
      <c r="A1077" s="562"/>
      <c r="B1077" s="574"/>
      <c r="C1077" s="562"/>
      <c r="D1077" s="562"/>
      <c r="E1077" s="562"/>
      <c r="F1077" s="563"/>
      <c r="G1077" s="563"/>
      <c r="H1077" s="564"/>
      <c r="I1077" s="565"/>
      <c r="J1077" s="580"/>
      <c r="K1077" s="360"/>
      <c r="L1077" s="360"/>
      <c r="M1077" s="360"/>
      <c r="N1077" s="360"/>
      <c r="O1077" s="360"/>
      <c r="P1077" s="360"/>
      <c r="Q1077" s="360"/>
      <c r="R1077" s="360"/>
    </row>
    <row r="1078" customFormat="false" ht="39.75" hidden="false" customHeight="true" outlineLevel="0" collapsed="false">
      <c r="A1078" s="562"/>
      <c r="B1078" s="574"/>
      <c r="C1078" s="562"/>
      <c r="D1078" s="562"/>
      <c r="E1078" s="562"/>
      <c r="F1078" s="563"/>
      <c r="G1078" s="563"/>
      <c r="H1078" s="564"/>
      <c r="I1078" s="565"/>
      <c r="J1078" s="580"/>
      <c r="K1078" s="360"/>
      <c r="L1078" s="360"/>
      <c r="M1078" s="360"/>
      <c r="N1078" s="360"/>
      <c r="O1078" s="360"/>
      <c r="P1078" s="360"/>
      <c r="Q1078" s="360"/>
      <c r="R1078" s="360"/>
    </row>
    <row r="1079" customFormat="false" ht="39.75" hidden="false" customHeight="true" outlineLevel="0" collapsed="false">
      <c r="A1079" s="562"/>
      <c r="B1079" s="574"/>
      <c r="C1079" s="562"/>
      <c r="D1079" s="562"/>
      <c r="E1079" s="562"/>
      <c r="F1079" s="563"/>
      <c r="G1079" s="563"/>
      <c r="H1079" s="564"/>
      <c r="I1079" s="565"/>
      <c r="J1079" s="580"/>
      <c r="K1079" s="360"/>
      <c r="L1079" s="360"/>
      <c r="M1079" s="360"/>
      <c r="N1079" s="360"/>
      <c r="O1079" s="360"/>
      <c r="P1079" s="360"/>
      <c r="Q1079" s="360"/>
      <c r="R1079" s="360"/>
    </row>
    <row r="1080" customFormat="false" ht="39.75" hidden="false" customHeight="true" outlineLevel="0" collapsed="false">
      <c r="A1080" s="562"/>
      <c r="B1080" s="574"/>
      <c r="C1080" s="562"/>
      <c r="D1080" s="562"/>
      <c r="E1080" s="562"/>
      <c r="F1080" s="563"/>
      <c r="G1080" s="563"/>
      <c r="H1080" s="564"/>
      <c r="I1080" s="565"/>
      <c r="J1080" s="580"/>
      <c r="K1080" s="360"/>
      <c r="L1080" s="360"/>
      <c r="M1080" s="360"/>
      <c r="N1080" s="360"/>
      <c r="O1080" s="360"/>
      <c r="P1080" s="360"/>
      <c r="Q1080" s="360"/>
      <c r="R1080" s="360"/>
    </row>
    <row r="1081" customFormat="false" ht="39.75" hidden="false" customHeight="true" outlineLevel="0" collapsed="false">
      <c r="A1081" s="562"/>
      <c r="B1081" s="574"/>
      <c r="C1081" s="562"/>
      <c r="D1081" s="562"/>
      <c r="E1081" s="562"/>
      <c r="F1081" s="563"/>
      <c r="G1081" s="563"/>
      <c r="H1081" s="564"/>
      <c r="I1081" s="565"/>
      <c r="J1081" s="580"/>
      <c r="K1081" s="360"/>
      <c r="L1081" s="360"/>
      <c r="M1081" s="360"/>
      <c r="N1081" s="360"/>
      <c r="O1081" s="360"/>
      <c r="P1081" s="360"/>
      <c r="Q1081" s="360"/>
      <c r="R1081" s="360"/>
    </row>
    <row r="1082" customFormat="false" ht="39.75" hidden="false" customHeight="true" outlineLevel="0" collapsed="false">
      <c r="A1082" s="562"/>
      <c r="B1082" s="574"/>
      <c r="C1082" s="562"/>
      <c r="D1082" s="562"/>
      <c r="E1082" s="562"/>
      <c r="F1082" s="563"/>
      <c r="G1082" s="563"/>
      <c r="H1082" s="564"/>
      <c r="I1082" s="565"/>
      <c r="J1082" s="580"/>
      <c r="K1082" s="360"/>
      <c r="L1082" s="360"/>
      <c r="M1082" s="360"/>
      <c r="N1082" s="360"/>
      <c r="O1082" s="360"/>
      <c r="P1082" s="360"/>
      <c r="Q1082" s="360"/>
      <c r="R1082" s="360"/>
    </row>
    <row r="1083" customFormat="false" ht="39.75" hidden="false" customHeight="true" outlineLevel="0" collapsed="false">
      <c r="A1083" s="562"/>
      <c r="B1083" s="574"/>
      <c r="C1083" s="562"/>
      <c r="D1083" s="562"/>
      <c r="E1083" s="562"/>
      <c r="F1083" s="563"/>
      <c r="G1083" s="563"/>
      <c r="H1083" s="564"/>
      <c r="I1083" s="565"/>
      <c r="J1083" s="580"/>
      <c r="K1083" s="360"/>
      <c r="L1083" s="360"/>
      <c r="M1083" s="360"/>
      <c r="N1083" s="360"/>
      <c r="O1083" s="360"/>
      <c r="P1083" s="360"/>
      <c r="Q1083" s="360"/>
      <c r="R1083" s="360"/>
    </row>
    <row r="1084" customFormat="false" ht="39.75" hidden="false" customHeight="true" outlineLevel="0" collapsed="false">
      <c r="A1084" s="562"/>
      <c r="B1084" s="574"/>
      <c r="C1084" s="562"/>
      <c r="D1084" s="562"/>
      <c r="E1084" s="562"/>
      <c r="F1084" s="563"/>
      <c r="G1084" s="563"/>
      <c r="H1084" s="564"/>
      <c r="I1084" s="565"/>
      <c r="J1084" s="580"/>
      <c r="K1084" s="360"/>
      <c r="L1084" s="360"/>
      <c r="M1084" s="360"/>
      <c r="N1084" s="360"/>
      <c r="O1084" s="360"/>
      <c r="P1084" s="360"/>
      <c r="Q1084" s="360"/>
      <c r="R1084" s="360"/>
    </row>
    <row r="1085" customFormat="false" ht="39.75" hidden="false" customHeight="true" outlineLevel="0" collapsed="false">
      <c r="A1085" s="562"/>
      <c r="B1085" s="574"/>
      <c r="C1085" s="562"/>
      <c r="D1085" s="562"/>
      <c r="E1085" s="562"/>
      <c r="F1085" s="563"/>
      <c r="G1085" s="563"/>
      <c r="H1085" s="564"/>
      <c r="I1085" s="565"/>
      <c r="J1085" s="580"/>
      <c r="K1085" s="360"/>
      <c r="L1085" s="360"/>
      <c r="M1085" s="360"/>
      <c r="N1085" s="360"/>
      <c r="O1085" s="360"/>
      <c r="P1085" s="360"/>
      <c r="Q1085" s="360"/>
      <c r="R1085" s="360"/>
    </row>
    <row r="1086" customFormat="false" ht="39.75" hidden="false" customHeight="true" outlineLevel="0" collapsed="false">
      <c r="A1086" s="562"/>
      <c r="B1086" s="574"/>
      <c r="C1086" s="562"/>
      <c r="D1086" s="562"/>
      <c r="E1086" s="562"/>
      <c r="F1086" s="563"/>
      <c r="G1086" s="563"/>
      <c r="H1086" s="564"/>
      <c r="I1086" s="565"/>
      <c r="J1086" s="580"/>
      <c r="K1086" s="360"/>
      <c r="L1086" s="360"/>
      <c r="M1086" s="360"/>
      <c r="N1086" s="360"/>
      <c r="O1086" s="360"/>
      <c r="P1086" s="360"/>
      <c r="Q1086" s="360"/>
      <c r="R1086" s="360"/>
    </row>
    <row r="1087" customFormat="false" ht="39.75" hidden="false" customHeight="true" outlineLevel="0" collapsed="false">
      <c r="A1087" s="562"/>
      <c r="B1087" s="574"/>
      <c r="C1087" s="562"/>
      <c r="D1087" s="562"/>
      <c r="E1087" s="562"/>
      <c r="F1087" s="563"/>
      <c r="G1087" s="563"/>
      <c r="H1087" s="564"/>
      <c r="I1087" s="565"/>
      <c r="J1087" s="580"/>
      <c r="K1087" s="360"/>
      <c r="L1087" s="360"/>
      <c r="M1087" s="360"/>
      <c r="N1087" s="360"/>
      <c r="O1087" s="360"/>
      <c r="P1087" s="360"/>
      <c r="Q1087" s="360"/>
      <c r="R1087" s="360"/>
    </row>
    <row r="1088" customFormat="false" ht="39.75" hidden="false" customHeight="true" outlineLevel="0" collapsed="false">
      <c r="A1088" s="562"/>
      <c r="B1088" s="574"/>
      <c r="C1088" s="562"/>
      <c r="D1088" s="562"/>
      <c r="E1088" s="562"/>
      <c r="F1088" s="563"/>
      <c r="G1088" s="563"/>
      <c r="H1088" s="564"/>
      <c r="I1088" s="565"/>
      <c r="J1088" s="580"/>
      <c r="K1088" s="360"/>
      <c r="L1088" s="360"/>
      <c r="M1088" s="360"/>
      <c r="N1088" s="360"/>
      <c r="O1088" s="360"/>
      <c r="P1088" s="360"/>
      <c r="Q1088" s="360"/>
      <c r="R1088" s="360"/>
    </row>
    <row r="1089" customFormat="false" ht="39.75" hidden="false" customHeight="true" outlineLevel="0" collapsed="false">
      <c r="A1089" s="562"/>
      <c r="B1089" s="574"/>
      <c r="C1089" s="562"/>
      <c r="D1089" s="562"/>
      <c r="E1089" s="562"/>
      <c r="F1089" s="563"/>
      <c r="G1089" s="563"/>
      <c r="H1089" s="564"/>
      <c r="I1089" s="565"/>
      <c r="J1089" s="580"/>
      <c r="K1089" s="360"/>
      <c r="L1089" s="360"/>
      <c r="M1089" s="360"/>
      <c r="N1089" s="360"/>
      <c r="O1089" s="360"/>
      <c r="P1089" s="360"/>
      <c r="Q1089" s="360"/>
      <c r="R1089" s="360"/>
    </row>
    <row r="1090" customFormat="false" ht="39.75" hidden="false" customHeight="true" outlineLevel="0" collapsed="false">
      <c r="A1090" s="562"/>
      <c r="B1090" s="574"/>
      <c r="C1090" s="562"/>
      <c r="D1090" s="562"/>
      <c r="E1090" s="562"/>
      <c r="F1090" s="563"/>
      <c r="G1090" s="563"/>
      <c r="H1090" s="564"/>
      <c r="I1090" s="565"/>
      <c r="J1090" s="580"/>
      <c r="K1090" s="360"/>
      <c r="L1090" s="360"/>
      <c r="M1090" s="360"/>
      <c r="N1090" s="360"/>
      <c r="O1090" s="360"/>
      <c r="P1090" s="360"/>
      <c r="Q1090" s="360"/>
      <c r="R1090" s="360"/>
    </row>
    <row r="1091" customFormat="false" ht="39.75" hidden="false" customHeight="true" outlineLevel="0" collapsed="false">
      <c r="A1091" s="562"/>
      <c r="B1091" s="574"/>
      <c r="C1091" s="562"/>
      <c r="D1091" s="562"/>
      <c r="E1091" s="562"/>
      <c r="F1091" s="563"/>
      <c r="G1091" s="563"/>
      <c r="H1091" s="564"/>
      <c r="I1091" s="565"/>
      <c r="J1091" s="580"/>
      <c r="K1091" s="360"/>
      <c r="L1091" s="360"/>
      <c r="M1091" s="360"/>
      <c r="N1091" s="360"/>
      <c r="O1091" s="360"/>
      <c r="P1091" s="360"/>
      <c r="Q1091" s="360"/>
      <c r="R1091" s="360"/>
    </row>
    <row r="1092" customFormat="false" ht="39.75" hidden="false" customHeight="true" outlineLevel="0" collapsed="false">
      <c r="A1092" s="562"/>
      <c r="B1092" s="574"/>
      <c r="C1092" s="562"/>
      <c r="D1092" s="562"/>
      <c r="E1092" s="562"/>
      <c r="F1092" s="563"/>
      <c r="G1092" s="563"/>
      <c r="H1092" s="564"/>
      <c r="I1092" s="565"/>
      <c r="J1092" s="580"/>
      <c r="K1092" s="360"/>
      <c r="L1092" s="360"/>
      <c r="M1092" s="360"/>
      <c r="N1092" s="360"/>
      <c r="O1092" s="360"/>
      <c r="P1092" s="360"/>
      <c r="Q1092" s="360"/>
      <c r="R1092" s="360"/>
    </row>
    <row r="1093" customFormat="false" ht="39.75" hidden="false" customHeight="true" outlineLevel="0" collapsed="false">
      <c r="A1093" s="562"/>
      <c r="B1093" s="574"/>
      <c r="C1093" s="562"/>
      <c r="D1093" s="562"/>
      <c r="E1093" s="562"/>
      <c r="F1093" s="563"/>
      <c r="G1093" s="563"/>
      <c r="H1093" s="564"/>
      <c r="I1093" s="565"/>
      <c r="J1093" s="580"/>
      <c r="K1093" s="360"/>
      <c r="L1093" s="360"/>
      <c r="M1093" s="360"/>
      <c r="N1093" s="360"/>
      <c r="O1093" s="360"/>
      <c r="P1093" s="360"/>
      <c r="Q1093" s="360"/>
      <c r="R1093" s="360"/>
    </row>
    <row r="1094" customFormat="false" ht="39.75" hidden="false" customHeight="true" outlineLevel="0" collapsed="false">
      <c r="A1094" s="562"/>
      <c r="B1094" s="574"/>
      <c r="C1094" s="562"/>
      <c r="D1094" s="562"/>
      <c r="E1094" s="562"/>
      <c r="F1094" s="563"/>
      <c r="G1094" s="563"/>
      <c r="H1094" s="564"/>
      <c r="I1094" s="565"/>
      <c r="J1094" s="580"/>
      <c r="K1094" s="360"/>
      <c r="L1094" s="360"/>
      <c r="M1094" s="360"/>
      <c r="N1094" s="360"/>
      <c r="O1094" s="360"/>
      <c r="P1094" s="360"/>
      <c r="Q1094" s="360"/>
      <c r="R1094" s="360"/>
    </row>
    <row r="1095" customFormat="false" ht="39.75" hidden="false" customHeight="true" outlineLevel="0" collapsed="false">
      <c r="A1095" s="562"/>
      <c r="B1095" s="574"/>
      <c r="C1095" s="562"/>
      <c r="D1095" s="562"/>
      <c r="E1095" s="562"/>
      <c r="F1095" s="563"/>
      <c r="G1095" s="563"/>
      <c r="H1095" s="564"/>
      <c r="I1095" s="565"/>
      <c r="J1095" s="580"/>
      <c r="K1095" s="360"/>
      <c r="L1095" s="360"/>
      <c r="M1095" s="360"/>
      <c r="N1095" s="360"/>
      <c r="O1095" s="360"/>
      <c r="P1095" s="360"/>
      <c r="Q1095" s="360"/>
      <c r="R1095" s="360"/>
    </row>
    <row r="1096" customFormat="false" ht="39.75" hidden="false" customHeight="true" outlineLevel="0" collapsed="false">
      <c r="A1096" s="562"/>
      <c r="B1096" s="574"/>
      <c r="C1096" s="562"/>
      <c r="D1096" s="562"/>
      <c r="E1096" s="562"/>
      <c r="F1096" s="563"/>
      <c r="G1096" s="563"/>
      <c r="H1096" s="564"/>
      <c r="I1096" s="565"/>
      <c r="J1096" s="580"/>
      <c r="K1096" s="360"/>
      <c r="L1096" s="360"/>
      <c r="M1096" s="360"/>
      <c r="N1096" s="360"/>
      <c r="O1096" s="360"/>
      <c r="P1096" s="360"/>
      <c r="Q1096" s="360"/>
      <c r="R1096" s="360"/>
    </row>
    <row r="1097" customFormat="false" ht="39.75" hidden="false" customHeight="true" outlineLevel="0" collapsed="false">
      <c r="A1097" s="562"/>
      <c r="B1097" s="574"/>
      <c r="C1097" s="562"/>
      <c r="D1097" s="562"/>
      <c r="E1097" s="562"/>
      <c r="F1097" s="563"/>
      <c r="G1097" s="563"/>
      <c r="H1097" s="564"/>
      <c r="I1097" s="565"/>
      <c r="J1097" s="580"/>
      <c r="K1097" s="360"/>
      <c r="L1097" s="360"/>
      <c r="M1097" s="360"/>
      <c r="N1097" s="360"/>
      <c r="O1097" s="360"/>
      <c r="P1097" s="360"/>
      <c r="Q1097" s="360"/>
      <c r="R1097" s="360"/>
    </row>
    <row r="1098" customFormat="false" ht="39.75" hidden="false" customHeight="true" outlineLevel="0" collapsed="false">
      <c r="A1098" s="562"/>
      <c r="B1098" s="574"/>
      <c r="C1098" s="562"/>
      <c r="D1098" s="562"/>
      <c r="E1098" s="562"/>
      <c r="F1098" s="563"/>
      <c r="G1098" s="563"/>
      <c r="H1098" s="564"/>
      <c r="I1098" s="565"/>
      <c r="J1098" s="580"/>
      <c r="K1098" s="360"/>
      <c r="L1098" s="360"/>
      <c r="M1098" s="360"/>
      <c r="N1098" s="360"/>
      <c r="O1098" s="360"/>
      <c r="P1098" s="360"/>
      <c r="Q1098" s="360"/>
      <c r="R1098" s="360"/>
    </row>
    <row r="1099" customFormat="false" ht="39.75" hidden="false" customHeight="true" outlineLevel="0" collapsed="false">
      <c r="A1099" s="562"/>
      <c r="B1099" s="574"/>
      <c r="C1099" s="562"/>
      <c r="D1099" s="562"/>
      <c r="E1099" s="562"/>
      <c r="F1099" s="563"/>
      <c r="G1099" s="563"/>
      <c r="H1099" s="564"/>
      <c r="I1099" s="565"/>
      <c r="J1099" s="580"/>
      <c r="K1099" s="360"/>
      <c r="L1099" s="360"/>
      <c r="M1099" s="360"/>
      <c r="N1099" s="360"/>
      <c r="O1099" s="360"/>
      <c r="P1099" s="360"/>
      <c r="Q1099" s="360"/>
      <c r="R1099" s="360"/>
    </row>
    <row r="1100" customFormat="false" ht="39.75" hidden="false" customHeight="true" outlineLevel="0" collapsed="false">
      <c r="A1100" s="562"/>
      <c r="B1100" s="574"/>
      <c r="C1100" s="562"/>
      <c r="D1100" s="562"/>
      <c r="E1100" s="562"/>
      <c r="F1100" s="563"/>
      <c r="G1100" s="563"/>
      <c r="H1100" s="564"/>
      <c r="I1100" s="565"/>
      <c r="J1100" s="580"/>
      <c r="K1100" s="360"/>
      <c r="L1100" s="360"/>
      <c r="M1100" s="360"/>
      <c r="N1100" s="360"/>
      <c r="O1100" s="360"/>
      <c r="P1100" s="360"/>
      <c r="Q1100" s="360"/>
      <c r="R1100" s="360"/>
    </row>
    <row r="1101" customFormat="false" ht="39.75" hidden="false" customHeight="true" outlineLevel="0" collapsed="false">
      <c r="A1101" s="562"/>
      <c r="B1101" s="574"/>
      <c r="C1101" s="562"/>
      <c r="D1101" s="562"/>
      <c r="E1101" s="562"/>
      <c r="F1101" s="563"/>
      <c r="G1101" s="563"/>
      <c r="H1101" s="564"/>
      <c r="I1101" s="565"/>
      <c r="J1101" s="580"/>
      <c r="K1101" s="360"/>
      <c r="L1101" s="360"/>
      <c r="M1101" s="360"/>
      <c r="N1101" s="360"/>
      <c r="O1101" s="360"/>
      <c r="P1101" s="360"/>
      <c r="Q1101" s="360"/>
      <c r="R1101" s="360"/>
    </row>
    <row r="1102" customFormat="false" ht="39.75" hidden="false" customHeight="true" outlineLevel="0" collapsed="false">
      <c r="A1102" s="562"/>
      <c r="B1102" s="574"/>
      <c r="C1102" s="562"/>
      <c r="D1102" s="562"/>
      <c r="E1102" s="562"/>
      <c r="F1102" s="563"/>
      <c r="G1102" s="563"/>
      <c r="H1102" s="564"/>
      <c r="I1102" s="565"/>
      <c r="J1102" s="580"/>
      <c r="K1102" s="360"/>
      <c r="L1102" s="360"/>
      <c r="M1102" s="360"/>
      <c r="N1102" s="360"/>
      <c r="O1102" s="360"/>
      <c r="P1102" s="360"/>
      <c r="Q1102" s="360"/>
      <c r="R1102" s="360"/>
    </row>
    <row r="1103" customFormat="false" ht="39.75" hidden="false" customHeight="true" outlineLevel="0" collapsed="false">
      <c r="A1103" s="562"/>
      <c r="B1103" s="574"/>
      <c r="C1103" s="562"/>
      <c r="D1103" s="562"/>
      <c r="E1103" s="562"/>
      <c r="F1103" s="563"/>
      <c r="G1103" s="563"/>
      <c r="H1103" s="564"/>
      <c r="I1103" s="565"/>
      <c r="J1103" s="580"/>
      <c r="K1103" s="360"/>
      <c r="L1103" s="360"/>
      <c r="M1103" s="360"/>
      <c r="N1103" s="360"/>
      <c r="O1103" s="360"/>
      <c r="P1103" s="360"/>
      <c r="Q1103" s="360"/>
      <c r="R1103" s="360"/>
    </row>
    <row r="1104" customFormat="false" ht="39.75" hidden="false" customHeight="true" outlineLevel="0" collapsed="false">
      <c r="A1104" s="562"/>
      <c r="B1104" s="574"/>
      <c r="C1104" s="562"/>
      <c r="D1104" s="562"/>
      <c r="E1104" s="562"/>
      <c r="F1104" s="563"/>
      <c r="G1104" s="563"/>
      <c r="H1104" s="564"/>
      <c r="I1104" s="565"/>
      <c r="J1104" s="580"/>
      <c r="K1104" s="360"/>
      <c r="L1104" s="360"/>
      <c r="M1104" s="360"/>
      <c r="N1104" s="360"/>
      <c r="O1104" s="360"/>
      <c r="P1104" s="360"/>
      <c r="Q1104" s="360"/>
      <c r="R1104" s="360"/>
    </row>
    <row r="1105" customFormat="false" ht="39.75" hidden="false" customHeight="true" outlineLevel="0" collapsed="false">
      <c r="A1105" s="562"/>
      <c r="B1105" s="574"/>
      <c r="C1105" s="562"/>
      <c r="D1105" s="562"/>
      <c r="E1105" s="562"/>
      <c r="F1105" s="563"/>
      <c r="G1105" s="563"/>
      <c r="H1105" s="564"/>
      <c r="I1105" s="565"/>
      <c r="J1105" s="580"/>
      <c r="K1105" s="360"/>
      <c r="L1105" s="360"/>
      <c r="M1105" s="360"/>
      <c r="N1105" s="360"/>
      <c r="O1105" s="360"/>
      <c r="P1105" s="360"/>
      <c r="Q1105" s="360"/>
      <c r="R1105" s="360"/>
    </row>
    <row r="1106" customFormat="false" ht="39.75" hidden="false" customHeight="true" outlineLevel="0" collapsed="false">
      <c r="A1106" s="562"/>
      <c r="B1106" s="574"/>
      <c r="C1106" s="562"/>
      <c r="D1106" s="562"/>
      <c r="E1106" s="562"/>
      <c r="F1106" s="563"/>
      <c r="G1106" s="563"/>
      <c r="H1106" s="564"/>
      <c r="I1106" s="565"/>
      <c r="J1106" s="580"/>
      <c r="K1106" s="360"/>
      <c r="L1106" s="360"/>
      <c r="M1106" s="360"/>
      <c r="N1106" s="360"/>
      <c r="O1106" s="360"/>
      <c r="P1106" s="360"/>
      <c r="Q1106" s="360"/>
      <c r="R1106" s="360"/>
    </row>
    <row r="1107" customFormat="false" ht="39.75" hidden="false" customHeight="true" outlineLevel="0" collapsed="false">
      <c r="A1107" s="562"/>
      <c r="B1107" s="574"/>
      <c r="C1107" s="562"/>
      <c r="D1107" s="562"/>
      <c r="E1107" s="562"/>
      <c r="F1107" s="563"/>
      <c r="G1107" s="563"/>
      <c r="H1107" s="564"/>
      <c r="I1107" s="565"/>
      <c r="J1107" s="580"/>
      <c r="K1107" s="360"/>
      <c r="L1107" s="360"/>
      <c r="M1107" s="360"/>
      <c r="N1107" s="360"/>
      <c r="O1107" s="360"/>
      <c r="P1107" s="360"/>
      <c r="Q1107" s="360"/>
      <c r="R1107" s="360"/>
    </row>
    <row r="1108" customFormat="false" ht="39.75" hidden="false" customHeight="true" outlineLevel="0" collapsed="false">
      <c r="A1108" s="562"/>
      <c r="B1108" s="574"/>
      <c r="C1108" s="562"/>
      <c r="D1108" s="562"/>
      <c r="E1108" s="562"/>
      <c r="F1108" s="563"/>
      <c r="G1108" s="563"/>
      <c r="H1108" s="564"/>
      <c r="I1108" s="565"/>
      <c r="J1108" s="580"/>
      <c r="K1108" s="360"/>
      <c r="L1108" s="360"/>
      <c r="M1108" s="360"/>
      <c r="N1108" s="360"/>
      <c r="O1108" s="360"/>
      <c r="P1108" s="360"/>
      <c r="Q1108" s="360"/>
      <c r="R1108" s="360"/>
    </row>
    <row r="1109" customFormat="false" ht="39.75" hidden="false" customHeight="true" outlineLevel="0" collapsed="false">
      <c r="A1109" s="562"/>
      <c r="B1109" s="574"/>
      <c r="C1109" s="562"/>
      <c r="D1109" s="562"/>
      <c r="E1109" s="562"/>
      <c r="F1109" s="563"/>
      <c r="G1109" s="563"/>
      <c r="H1109" s="564"/>
      <c r="I1109" s="565"/>
      <c r="J1109" s="580"/>
      <c r="K1109" s="360"/>
      <c r="L1109" s="360"/>
      <c r="M1109" s="360"/>
      <c r="N1109" s="360"/>
      <c r="O1109" s="360"/>
      <c r="P1109" s="360"/>
      <c r="Q1109" s="360"/>
      <c r="R1109" s="360"/>
    </row>
    <row r="1110" customFormat="false" ht="39.75" hidden="false" customHeight="true" outlineLevel="0" collapsed="false">
      <c r="A1110" s="562"/>
      <c r="B1110" s="574"/>
      <c r="C1110" s="562"/>
      <c r="D1110" s="562"/>
      <c r="E1110" s="562"/>
      <c r="F1110" s="563"/>
      <c r="G1110" s="563"/>
      <c r="H1110" s="564"/>
      <c r="I1110" s="565"/>
      <c r="J1110" s="580"/>
      <c r="K1110" s="360"/>
      <c r="L1110" s="360"/>
      <c r="M1110" s="360"/>
      <c r="N1110" s="360"/>
      <c r="O1110" s="360"/>
      <c r="P1110" s="360"/>
      <c r="Q1110" s="360"/>
      <c r="R1110" s="360"/>
    </row>
    <row r="1111" customFormat="false" ht="39.75" hidden="false" customHeight="true" outlineLevel="0" collapsed="false">
      <c r="A1111" s="562"/>
      <c r="B1111" s="574"/>
      <c r="C1111" s="562"/>
      <c r="D1111" s="562"/>
      <c r="E1111" s="562"/>
      <c r="F1111" s="563"/>
      <c r="G1111" s="563"/>
      <c r="H1111" s="564"/>
      <c r="I1111" s="565"/>
      <c r="J1111" s="580"/>
      <c r="K1111" s="360"/>
      <c r="L1111" s="360"/>
      <c r="M1111" s="360"/>
      <c r="N1111" s="360"/>
      <c r="O1111" s="360"/>
      <c r="P1111" s="360"/>
      <c r="Q1111" s="360"/>
      <c r="R1111" s="360"/>
    </row>
    <row r="1112" customFormat="false" ht="39.75" hidden="false" customHeight="true" outlineLevel="0" collapsed="false">
      <c r="A1112" s="562"/>
      <c r="B1112" s="574"/>
      <c r="C1112" s="562"/>
      <c r="D1112" s="562"/>
      <c r="E1112" s="562"/>
      <c r="F1112" s="563"/>
      <c r="G1112" s="563"/>
      <c r="H1112" s="564"/>
      <c r="I1112" s="565"/>
      <c r="J1112" s="580"/>
      <c r="K1112" s="360"/>
      <c r="L1112" s="360"/>
      <c r="M1112" s="360"/>
      <c r="N1112" s="360"/>
      <c r="O1112" s="360"/>
      <c r="P1112" s="360"/>
      <c r="Q1112" s="360"/>
      <c r="R1112" s="360"/>
    </row>
    <row r="1113" customFormat="false" ht="39.75" hidden="false" customHeight="true" outlineLevel="0" collapsed="false">
      <c r="A1113" s="562"/>
      <c r="B1113" s="574"/>
      <c r="C1113" s="562"/>
      <c r="D1113" s="562"/>
      <c r="E1113" s="562"/>
      <c r="F1113" s="563"/>
      <c r="G1113" s="563"/>
      <c r="H1113" s="564"/>
      <c r="I1113" s="565"/>
      <c r="J1113" s="580"/>
      <c r="K1113" s="360"/>
      <c r="L1113" s="360"/>
      <c r="M1113" s="360"/>
      <c r="N1113" s="360"/>
      <c r="O1113" s="360"/>
      <c r="P1113" s="360"/>
      <c r="Q1113" s="360"/>
      <c r="R1113" s="360"/>
    </row>
    <row r="1114" customFormat="false" ht="39.75" hidden="false" customHeight="true" outlineLevel="0" collapsed="false">
      <c r="A1114" s="562"/>
      <c r="B1114" s="574"/>
      <c r="C1114" s="562"/>
      <c r="D1114" s="562"/>
      <c r="E1114" s="562"/>
      <c r="F1114" s="563"/>
      <c r="G1114" s="563"/>
      <c r="H1114" s="564"/>
      <c r="I1114" s="565"/>
      <c r="J1114" s="580"/>
      <c r="K1114" s="360"/>
      <c r="L1114" s="360"/>
      <c r="M1114" s="360"/>
      <c r="N1114" s="360"/>
      <c r="O1114" s="360"/>
      <c r="P1114" s="360"/>
      <c r="Q1114" s="360"/>
      <c r="R1114" s="360"/>
    </row>
    <row r="1115" customFormat="false" ht="39.75" hidden="false" customHeight="true" outlineLevel="0" collapsed="false">
      <c r="A1115" s="562"/>
      <c r="B1115" s="574"/>
      <c r="C1115" s="562"/>
      <c r="D1115" s="562"/>
      <c r="E1115" s="562"/>
      <c r="F1115" s="563"/>
      <c r="G1115" s="563"/>
      <c r="H1115" s="564"/>
      <c r="I1115" s="565"/>
      <c r="J1115" s="580"/>
      <c r="K1115" s="360"/>
      <c r="L1115" s="360"/>
      <c r="M1115" s="360"/>
      <c r="N1115" s="360"/>
      <c r="O1115" s="360"/>
      <c r="P1115" s="360"/>
      <c r="Q1115" s="360"/>
      <c r="R1115" s="360"/>
    </row>
    <row r="1116" customFormat="false" ht="39.75" hidden="false" customHeight="true" outlineLevel="0" collapsed="false">
      <c r="A1116" s="562"/>
      <c r="B1116" s="574"/>
      <c r="C1116" s="562"/>
      <c r="D1116" s="562"/>
      <c r="E1116" s="562"/>
      <c r="F1116" s="563"/>
      <c r="G1116" s="563"/>
      <c r="H1116" s="564"/>
      <c r="I1116" s="565"/>
      <c r="J1116" s="580"/>
      <c r="K1116" s="360"/>
      <c r="L1116" s="360"/>
      <c r="M1116" s="360"/>
      <c r="N1116" s="360"/>
      <c r="O1116" s="360"/>
      <c r="P1116" s="360"/>
      <c r="Q1116" s="360"/>
      <c r="R1116" s="360"/>
    </row>
    <row r="1117" customFormat="false" ht="39.75" hidden="false" customHeight="true" outlineLevel="0" collapsed="false">
      <c r="A1117" s="562"/>
      <c r="B1117" s="574"/>
      <c r="C1117" s="562"/>
      <c r="D1117" s="562"/>
      <c r="E1117" s="562"/>
      <c r="F1117" s="563"/>
      <c r="G1117" s="563"/>
      <c r="H1117" s="564"/>
      <c r="I1117" s="565"/>
      <c r="J1117" s="580"/>
      <c r="K1117" s="360"/>
      <c r="L1117" s="360"/>
      <c r="M1117" s="360"/>
      <c r="N1117" s="360"/>
      <c r="O1117" s="360"/>
      <c r="P1117" s="360"/>
      <c r="Q1117" s="360"/>
      <c r="R1117" s="360"/>
    </row>
    <row r="1118" customFormat="false" ht="39.75" hidden="false" customHeight="true" outlineLevel="0" collapsed="false">
      <c r="A1118" s="562"/>
      <c r="B1118" s="574"/>
      <c r="C1118" s="562"/>
      <c r="D1118" s="562"/>
      <c r="E1118" s="562"/>
      <c r="F1118" s="563"/>
      <c r="G1118" s="563"/>
      <c r="H1118" s="564"/>
      <c r="I1118" s="565"/>
      <c r="J1118" s="580"/>
      <c r="K1118" s="360"/>
      <c r="L1118" s="360"/>
      <c r="M1118" s="360"/>
      <c r="N1118" s="360"/>
      <c r="O1118" s="360"/>
      <c r="P1118" s="360"/>
      <c r="Q1118" s="360"/>
      <c r="R1118" s="360"/>
    </row>
    <row r="1119" customFormat="false" ht="39.75" hidden="false" customHeight="true" outlineLevel="0" collapsed="false">
      <c r="A1119" s="562"/>
      <c r="B1119" s="574"/>
      <c r="C1119" s="562"/>
      <c r="D1119" s="562"/>
      <c r="E1119" s="562"/>
      <c r="F1119" s="563"/>
      <c r="G1119" s="563"/>
      <c r="H1119" s="564"/>
      <c r="I1119" s="565"/>
      <c r="J1119" s="580"/>
      <c r="K1119" s="360"/>
      <c r="L1119" s="360"/>
      <c r="M1119" s="360"/>
      <c r="N1119" s="360"/>
      <c r="O1119" s="360"/>
      <c r="P1119" s="360"/>
      <c r="Q1119" s="360"/>
      <c r="R1119" s="360"/>
    </row>
    <row r="1120" customFormat="false" ht="39.75" hidden="false" customHeight="true" outlineLevel="0" collapsed="false">
      <c r="A1120" s="562"/>
      <c r="B1120" s="574"/>
      <c r="C1120" s="562"/>
      <c r="D1120" s="562"/>
      <c r="E1120" s="562"/>
      <c r="F1120" s="563"/>
      <c r="G1120" s="563"/>
      <c r="H1120" s="564"/>
      <c r="I1120" s="565"/>
      <c r="J1120" s="580"/>
      <c r="K1120" s="360"/>
      <c r="L1120" s="360"/>
      <c r="M1120" s="360"/>
      <c r="N1120" s="360"/>
      <c r="O1120" s="360"/>
      <c r="P1120" s="360"/>
      <c r="Q1120" s="360"/>
      <c r="R1120" s="360"/>
    </row>
    <row r="1121" customFormat="false" ht="39.75" hidden="false" customHeight="true" outlineLevel="0" collapsed="false">
      <c r="A1121" s="562"/>
      <c r="B1121" s="574"/>
      <c r="C1121" s="562"/>
      <c r="D1121" s="562"/>
      <c r="E1121" s="562"/>
      <c r="F1121" s="563"/>
      <c r="G1121" s="563"/>
      <c r="H1121" s="564"/>
      <c r="I1121" s="565"/>
      <c r="J1121" s="580"/>
      <c r="K1121" s="360"/>
      <c r="L1121" s="360"/>
      <c r="M1121" s="360"/>
      <c r="N1121" s="360"/>
      <c r="O1121" s="360"/>
      <c r="P1121" s="360"/>
      <c r="Q1121" s="360"/>
      <c r="R1121" s="360"/>
    </row>
    <row r="1122" customFormat="false" ht="39.75" hidden="false" customHeight="true" outlineLevel="0" collapsed="false">
      <c r="A1122" s="562"/>
      <c r="B1122" s="574"/>
      <c r="C1122" s="562"/>
      <c r="D1122" s="562"/>
      <c r="E1122" s="562"/>
      <c r="F1122" s="563"/>
      <c r="G1122" s="563"/>
      <c r="H1122" s="564"/>
      <c r="I1122" s="565"/>
      <c r="J1122" s="580"/>
      <c r="K1122" s="360"/>
      <c r="L1122" s="360"/>
      <c r="M1122" s="360"/>
      <c r="N1122" s="360"/>
      <c r="O1122" s="360"/>
      <c r="P1122" s="360"/>
      <c r="Q1122" s="360"/>
      <c r="R1122" s="360"/>
    </row>
    <row r="1123" customFormat="false" ht="39.75" hidden="false" customHeight="true" outlineLevel="0" collapsed="false">
      <c r="A1123" s="562"/>
      <c r="B1123" s="574"/>
      <c r="C1123" s="562"/>
      <c r="D1123" s="562"/>
      <c r="E1123" s="562"/>
      <c r="F1123" s="563"/>
      <c r="G1123" s="563"/>
      <c r="H1123" s="564"/>
      <c r="I1123" s="565"/>
      <c r="J1123" s="580"/>
      <c r="K1123" s="360"/>
      <c r="L1123" s="360"/>
      <c r="M1123" s="360"/>
      <c r="N1123" s="360"/>
      <c r="O1123" s="360"/>
      <c r="P1123" s="360"/>
      <c r="Q1123" s="360"/>
      <c r="R1123" s="360"/>
    </row>
    <row r="1124" customFormat="false" ht="39.75" hidden="false" customHeight="true" outlineLevel="0" collapsed="false">
      <c r="A1124" s="562"/>
      <c r="B1124" s="574"/>
      <c r="C1124" s="562"/>
      <c r="D1124" s="562"/>
      <c r="E1124" s="562"/>
      <c r="F1124" s="563"/>
      <c r="G1124" s="563"/>
      <c r="H1124" s="564"/>
      <c r="I1124" s="565"/>
      <c r="J1124" s="580"/>
      <c r="K1124" s="360"/>
      <c r="L1124" s="360"/>
      <c r="M1124" s="360"/>
      <c r="N1124" s="360"/>
      <c r="O1124" s="360"/>
      <c r="P1124" s="360"/>
      <c r="Q1124" s="360"/>
      <c r="R1124" s="360"/>
    </row>
    <row r="1125" customFormat="false" ht="39.75" hidden="false" customHeight="true" outlineLevel="0" collapsed="false">
      <c r="A1125" s="562"/>
      <c r="B1125" s="574"/>
      <c r="C1125" s="562"/>
      <c r="D1125" s="562"/>
      <c r="E1125" s="562"/>
      <c r="F1125" s="563"/>
      <c r="G1125" s="563"/>
      <c r="H1125" s="564"/>
      <c r="I1125" s="565"/>
      <c r="J1125" s="580"/>
      <c r="K1125" s="360"/>
      <c r="L1125" s="360"/>
      <c r="M1125" s="360"/>
      <c r="N1125" s="360"/>
      <c r="O1125" s="360"/>
      <c r="P1125" s="360"/>
      <c r="Q1125" s="360"/>
      <c r="R1125" s="360"/>
    </row>
    <row r="1126" customFormat="false" ht="39.75" hidden="false" customHeight="true" outlineLevel="0" collapsed="false">
      <c r="A1126" s="562"/>
      <c r="B1126" s="574"/>
      <c r="C1126" s="562"/>
      <c r="D1126" s="562"/>
      <c r="E1126" s="562"/>
      <c r="F1126" s="563"/>
      <c r="G1126" s="563"/>
      <c r="H1126" s="564"/>
      <c r="I1126" s="565"/>
      <c r="J1126" s="580"/>
      <c r="K1126" s="360"/>
      <c r="L1126" s="360"/>
      <c r="M1126" s="360"/>
      <c r="N1126" s="360"/>
      <c r="O1126" s="360"/>
      <c r="P1126" s="360"/>
      <c r="Q1126" s="360"/>
      <c r="R1126" s="360"/>
    </row>
    <row r="1127" customFormat="false" ht="39.75" hidden="false" customHeight="true" outlineLevel="0" collapsed="false">
      <c r="A1127" s="562"/>
      <c r="B1127" s="574"/>
      <c r="C1127" s="562"/>
      <c r="D1127" s="562"/>
      <c r="E1127" s="562"/>
      <c r="F1127" s="563"/>
      <c r="G1127" s="563"/>
      <c r="H1127" s="564"/>
      <c r="I1127" s="565"/>
      <c r="J1127" s="580"/>
      <c r="K1127" s="360"/>
      <c r="L1127" s="360"/>
      <c r="M1127" s="360"/>
      <c r="N1127" s="360"/>
      <c r="O1127" s="360"/>
      <c r="P1127" s="360"/>
      <c r="Q1127" s="360"/>
      <c r="R1127" s="360"/>
    </row>
    <row r="1128" customFormat="false" ht="39.75" hidden="false" customHeight="true" outlineLevel="0" collapsed="false">
      <c r="A1128" s="562"/>
      <c r="B1128" s="574"/>
      <c r="C1128" s="562"/>
      <c r="D1128" s="562"/>
      <c r="E1128" s="562"/>
      <c r="F1128" s="563"/>
      <c r="G1128" s="563"/>
      <c r="H1128" s="564"/>
      <c r="I1128" s="565"/>
      <c r="J1128" s="580"/>
      <c r="K1128" s="360"/>
      <c r="L1128" s="360"/>
      <c r="M1128" s="360"/>
      <c r="N1128" s="360"/>
      <c r="O1128" s="360"/>
      <c r="P1128" s="360"/>
      <c r="Q1128" s="360"/>
      <c r="R1128" s="360"/>
    </row>
    <row r="1129" customFormat="false" ht="39.75" hidden="false" customHeight="true" outlineLevel="0" collapsed="false">
      <c r="A1129" s="562"/>
      <c r="B1129" s="574"/>
      <c r="C1129" s="562"/>
      <c r="D1129" s="562"/>
      <c r="E1129" s="562"/>
      <c r="F1129" s="563"/>
      <c r="G1129" s="563"/>
      <c r="H1129" s="564"/>
      <c r="I1129" s="565"/>
      <c r="J1129" s="580"/>
      <c r="K1129" s="360"/>
      <c r="L1129" s="360"/>
      <c r="M1129" s="360"/>
      <c r="N1129" s="360"/>
      <c r="O1129" s="360"/>
      <c r="P1129" s="360"/>
      <c r="Q1129" s="360"/>
      <c r="R1129" s="360"/>
    </row>
    <row r="1130" customFormat="false" ht="39.75" hidden="false" customHeight="true" outlineLevel="0" collapsed="false">
      <c r="A1130" s="562"/>
      <c r="B1130" s="574"/>
      <c r="C1130" s="562"/>
      <c r="D1130" s="562"/>
      <c r="E1130" s="562"/>
      <c r="F1130" s="563"/>
      <c r="G1130" s="563"/>
      <c r="H1130" s="564"/>
      <c r="I1130" s="565"/>
      <c r="J1130" s="580"/>
      <c r="K1130" s="360"/>
      <c r="L1130" s="360"/>
      <c r="M1130" s="360"/>
      <c r="N1130" s="360"/>
      <c r="O1130" s="360"/>
      <c r="P1130" s="360"/>
      <c r="Q1130" s="360"/>
      <c r="R1130" s="360"/>
    </row>
    <row r="1131" customFormat="false" ht="39.75" hidden="false" customHeight="true" outlineLevel="0" collapsed="false">
      <c r="A1131" s="562"/>
      <c r="B1131" s="574"/>
      <c r="C1131" s="562"/>
      <c r="D1131" s="562"/>
      <c r="E1131" s="562"/>
      <c r="F1131" s="563"/>
      <c r="G1131" s="563"/>
      <c r="H1131" s="564"/>
      <c r="I1131" s="565"/>
      <c r="J1131" s="580"/>
      <c r="K1131" s="360"/>
      <c r="L1131" s="360"/>
      <c r="M1131" s="360"/>
      <c r="N1131" s="360"/>
      <c r="O1131" s="360"/>
      <c r="P1131" s="360"/>
      <c r="Q1131" s="360"/>
      <c r="R1131" s="360"/>
    </row>
    <row r="1132" customFormat="false" ht="39.75" hidden="false" customHeight="true" outlineLevel="0" collapsed="false">
      <c r="A1132" s="562"/>
      <c r="B1132" s="574"/>
      <c r="C1132" s="562"/>
      <c r="D1132" s="562"/>
      <c r="E1132" s="562"/>
      <c r="F1132" s="563"/>
      <c r="G1132" s="563"/>
      <c r="H1132" s="564"/>
      <c r="I1132" s="565"/>
      <c r="J1132" s="580"/>
      <c r="K1132" s="360"/>
      <c r="L1132" s="360"/>
      <c r="M1132" s="360"/>
      <c r="N1132" s="360"/>
      <c r="O1132" s="360"/>
      <c r="P1132" s="360"/>
      <c r="Q1132" s="360"/>
      <c r="R1132" s="360"/>
    </row>
    <row r="1133" customFormat="false" ht="39.75" hidden="false" customHeight="true" outlineLevel="0" collapsed="false">
      <c r="A1133" s="562"/>
      <c r="B1133" s="574"/>
      <c r="C1133" s="562"/>
      <c r="D1133" s="562"/>
      <c r="E1133" s="562"/>
      <c r="F1133" s="563"/>
      <c r="G1133" s="563"/>
      <c r="H1133" s="564"/>
      <c r="I1133" s="565"/>
      <c r="J1133" s="580"/>
      <c r="K1133" s="360"/>
      <c r="L1133" s="360"/>
      <c r="M1133" s="360"/>
      <c r="N1133" s="360"/>
      <c r="O1133" s="360"/>
      <c r="P1133" s="360"/>
      <c r="Q1133" s="360"/>
      <c r="R1133" s="360"/>
    </row>
    <row r="1134" customFormat="false" ht="39.75" hidden="false" customHeight="true" outlineLevel="0" collapsed="false">
      <c r="A1134" s="562"/>
      <c r="B1134" s="574"/>
      <c r="C1134" s="562"/>
      <c r="D1134" s="562"/>
      <c r="E1134" s="562"/>
      <c r="F1134" s="563"/>
      <c r="G1134" s="563"/>
      <c r="H1134" s="564"/>
      <c r="I1134" s="565"/>
      <c r="J1134" s="580"/>
      <c r="K1134" s="360"/>
      <c r="L1134" s="360"/>
      <c r="M1134" s="360"/>
      <c r="N1134" s="360"/>
      <c r="O1134" s="360"/>
      <c r="P1134" s="360"/>
      <c r="Q1134" s="360"/>
      <c r="R1134" s="360"/>
    </row>
    <row r="1135" customFormat="false" ht="39.75" hidden="false" customHeight="true" outlineLevel="0" collapsed="false">
      <c r="A1135" s="562"/>
      <c r="B1135" s="574"/>
      <c r="C1135" s="562"/>
      <c r="D1135" s="562"/>
      <c r="E1135" s="562"/>
      <c r="F1135" s="563"/>
      <c r="G1135" s="563"/>
      <c r="H1135" s="564"/>
      <c r="I1135" s="565"/>
      <c r="J1135" s="580"/>
      <c r="K1135" s="360"/>
      <c r="L1135" s="360"/>
      <c r="M1135" s="360"/>
      <c r="N1135" s="360"/>
      <c r="O1135" s="360"/>
      <c r="P1135" s="360"/>
      <c r="Q1135" s="360"/>
      <c r="R1135" s="360"/>
    </row>
    <row r="1136" customFormat="false" ht="39.75" hidden="false" customHeight="true" outlineLevel="0" collapsed="false">
      <c r="A1136" s="562"/>
      <c r="B1136" s="574"/>
      <c r="C1136" s="562"/>
      <c r="D1136" s="562"/>
      <c r="E1136" s="562"/>
      <c r="F1136" s="563"/>
      <c r="G1136" s="563"/>
      <c r="H1136" s="564"/>
      <c r="I1136" s="565"/>
      <c r="J1136" s="580"/>
      <c r="K1136" s="360"/>
      <c r="L1136" s="360"/>
      <c r="M1136" s="360"/>
      <c r="N1136" s="360"/>
      <c r="O1136" s="360"/>
      <c r="P1136" s="360"/>
      <c r="Q1136" s="360"/>
      <c r="R1136" s="360"/>
    </row>
    <row r="1137" customFormat="false" ht="39.75" hidden="false" customHeight="true" outlineLevel="0" collapsed="false">
      <c r="A1137" s="562"/>
      <c r="B1137" s="574"/>
      <c r="C1137" s="562"/>
      <c r="D1137" s="562"/>
      <c r="E1137" s="562"/>
      <c r="F1137" s="563"/>
      <c r="G1137" s="563"/>
      <c r="H1137" s="564"/>
      <c r="I1137" s="565"/>
      <c r="J1137" s="580"/>
      <c r="K1137" s="360"/>
      <c r="L1137" s="360"/>
      <c r="M1137" s="360"/>
      <c r="N1137" s="360"/>
      <c r="O1137" s="360"/>
      <c r="P1137" s="360"/>
      <c r="Q1137" s="360"/>
      <c r="R1137" s="360"/>
    </row>
    <row r="1138" customFormat="false" ht="39.75" hidden="false" customHeight="true" outlineLevel="0" collapsed="false">
      <c r="A1138" s="562"/>
      <c r="B1138" s="574"/>
      <c r="C1138" s="562"/>
      <c r="D1138" s="562"/>
      <c r="E1138" s="562"/>
      <c r="F1138" s="563"/>
      <c r="G1138" s="563"/>
      <c r="H1138" s="564"/>
      <c r="I1138" s="565"/>
      <c r="J1138" s="580"/>
      <c r="K1138" s="360"/>
      <c r="L1138" s="360"/>
      <c r="M1138" s="360"/>
      <c r="N1138" s="360"/>
      <c r="O1138" s="360"/>
      <c r="P1138" s="360"/>
      <c r="Q1138" s="360"/>
      <c r="R1138" s="360"/>
    </row>
    <row r="1139" customFormat="false" ht="39.75" hidden="false" customHeight="true" outlineLevel="0" collapsed="false">
      <c r="A1139" s="562"/>
      <c r="B1139" s="574"/>
      <c r="C1139" s="562"/>
      <c r="D1139" s="562"/>
      <c r="E1139" s="562"/>
      <c r="F1139" s="563"/>
      <c r="G1139" s="563"/>
      <c r="H1139" s="564"/>
      <c r="I1139" s="565"/>
      <c r="J1139" s="580"/>
      <c r="K1139" s="360"/>
      <c r="L1139" s="360"/>
      <c r="M1139" s="360"/>
      <c r="N1139" s="360"/>
      <c r="O1139" s="360"/>
      <c r="P1139" s="360"/>
      <c r="Q1139" s="360"/>
      <c r="R1139" s="360"/>
    </row>
    <row r="1140" customFormat="false" ht="39.75" hidden="false" customHeight="true" outlineLevel="0" collapsed="false">
      <c r="A1140" s="562"/>
      <c r="B1140" s="574"/>
      <c r="C1140" s="562"/>
      <c r="D1140" s="562"/>
      <c r="E1140" s="562"/>
      <c r="F1140" s="563"/>
      <c r="G1140" s="563"/>
      <c r="H1140" s="564"/>
      <c r="I1140" s="565"/>
      <c r="J1140" s="580"/>
      <c r="K1140" s="360"/>
      <c r="L1140" s="360"/>
      <c r="M1140" s="360"/>
      <c r="N1140" s="360"/>
      <c r="O1140" s="360"/>
      <c r="P1140" s="360"/>
      <c r="Q1140" s="360"/>
      <c r="R1140" s="360"/>
    </row>
    <row r="1141" customFormat="false" ht="39.75" hidden="false" customHeight="true" outlineLevel="0" collapsed="false">
      <c r="A1141" s="562"/>
      <c r="B1141" s="574"/>
      <c r="C1141" s="562"/>
      <c r="D1141" s="562"/>
      <c r="E1141" s="562"/>
      <c r="F1141" s="563"/>
      <c r="G1141" s="563"/>
      <c r="H1141" s="564"/>
      <c r="I1141" s="565"/>
      <c r="J1141" s="580"/>
      <c r="K1141" s="360"/>
      <c r="L1141" s="360"/>
      <c r="M1141" s="360"/>
      <c r="N1141" s="360"/>
      <c r="O1141" s="360"/>
      <c r="P1141" s="360"/>
      <c r="Q1141" s="360"/>
      <c r="R1141" s="360"/>
    </row>
    <row r="1142" customFormat="false" ht="39.75" hidden="false" customHeight="true" outlineLevel="0" collapsed="false">
      <c r="A1142" s="562"/>
      <c r="B1142" s="574"/>
      <c r="C1142" s="562"/>
      <c r="D1142" s="562"/>
      <c r="E1142" s="562"/>
      <c r="F1142" s="563"/>
      <c r="G1142" s="563"/>
      <c r="H1142" s="564"/>
      <c r="I1142" s="565"/>
      <c r="J1142" s="580"/>
      <c r="K1142" s="360"/>
      <c r="L1142" s="360"/>
      <c r="M1142" s="360"/>
      <c r="N1142" s="360"/>
      <c r="O1142" s="360"/>
      <c r="P1142" s="360"/>
      <c r="Q1142" s="360"/>
      <c r="R1142" s="360"/>
    </row>
    <row r="1143" customFormat="false" ht="39.75" hidden="false" customHeight="true" outlineLevel="0" collapsed="false">
      <c r="A1143" s="562"/>
      <c r="B1143" s="574"/>
      <c r="C1143" s="562"/>
      <c r="D1143" s="562"/>
      <c r="E1143" s="562"/>
      <c r="F1143" s="563"/>
      <c r="G1143" s="563"/>
      <c r="H1143" s="564"/>
      <c r="I1143" s="565"/>
      <c r="J1143" s="580"/>
      <c r="K1143" s="360"/>
      <c r="L1143" s="360"/>
      <c r="M1143" s="360"/>
      <c r="N1143" s="360"/>
      <c r="O1143" s="360"/>
      <c r="P1143" s="360"/>
      <c r="Q1143" s="360"/>
      <c r="R1143" s="360"/>
    </row>
    <row r="1144" customFormat="false" ht="39.75" hidden="false" customHeight="true" outlineLevel="0" collapsed="false">
      <c r="A1144" s="562"/>
      <c r="B1144" s="574"/>
      <c r="C1144" s="562"/>
      <c r="D1144" s="562"/>
      <c r="E1144" s="562"/>
      <c r="F1144" s="563"/>
      <c r="G1144" s="563"/>
      <c r="H1144" s="564"/>
      <c r="I1144" s="565"/>
      <c r="J1144" s="580"/>
      <c r="K1144" s="360"/>
      <c r="L1144" s="360"/>
      <c r="M1144" s="360"/>
      <c r="N1144" s="360"/>
      <c r="O1144" s="360"/>
      <c r="P1144" s="360"/>
      <c r="Q1144" s="360"/>
      <c r="R1144" s="360"/>
    </row>
    <row r="1145" customFormat="false" ht="39.75" hidden="false" customHeight="true" outlineLevel="0" collapsed="false">
      <c r="A1145" s="562"/>
      <c r="B1145" s="574"/>
      <c r="C1145" s="562"/>
      <c r="D1145" s="562"/>
      <c r="E1145" s="562"/>
      <c r="F1145" s="563"/>
      <c r="G1145" s="563"/>
      <c r="H1145" s="564"/>
      <c r="I1145" s="565"/>
      <c r="J1145" s="580"/>
      <c r="K1145" s="360"/>
      <c r="L1145" s="360"/>
      <c r="M1145" s="360"/>
      <c r="N1145" s="360"/>
      <c r="O1145" s="360"/>
      <c r="P1145" s="360"/>
      <c r="Q1145" s="360"/>
      <c r="R1145" s="360"/>
    </row>
    <row r="1146" customFormat="false" ht="39.75" hidden="false" customHeight="true" outlineLevel="0" collapsed="false">
      <c r="A1146" s="562"/>
      <c r="B1146" s="574"/>
      <c r="C1146" s="562"/>
      <c r="D1146" s="562"/>
      <c r="E1146" s="562"/>
      <c r="F1146" s="563"/>
      <c r="G1146" s="563"/>
      <c r="H1146" s="564"/>
      <c r="I1146" s="565"/>
      <c r="J1146" s="580"/>
      <c r="K1146" s="360"/>
      <c r="L1146" s="360"/>
      <c r="M1146" s="360"/>
      <c r="N1146" s="360"/>
      <c r="O1146" s="360"/>
      <c r="P1146" s="360"/>
      <c r="Q1146" s="360"/>
      <c r="R1146" s="360"/>
    </row>
    <row r="1147" customFormat="false" ht="39.75" hidden="false" customHeight="true" outlineLevel="0" collapsed="false">
      <c r="A1147" s="562"/>
      <c r="B1147" s="574"/>
      <c r="C1147" s="562"/>
      <c r="D1147" s="562"/>
      <c r="E1147" s="562"/>
      <c r="F1147" s="563"/>
      <c r="G1147" s="563"/>
      <c r="H1147" s="564"/>
      <c r="I1147" s="565"/>
      <c r="J1147" s="580"/>
      <c r="K1147" s="360"/>
      <c r="L1147" s="360"/>
      <c r="M1147" s="360"/>
      <c r="N1147" s="360"/>
      <c r="O1147" s="360"/>
      <c r="P1147" s="360"/>
      <c r="Q1147" s="360"/>
      <c r="R1147" s="360"/>
    </row>
    <row r="1148" customFormat="false" ht="39.75" hidden="false" customHeight="true" outlineLevel="0" collapsed="false">
      <c r="A1148" s="562"/>
      <c r="B1148" s="574"/>
      <c r="C1148" s="562"/>
      <c r="D1148" s="562"/>
      <c r="E1148" s="562"/>
      <c r="F1148" s="563"/>
      <c r="G1148" s="563"/>
      <c r="H1148" s="564"/>
      <c r="I1148" s="565"/>
      <c r="J1148" s="580"/>
      <c r="K1148" s="360"/>
      <c r="L1148" s="360"/>
      <c r="M1148" s="360"/>
      <c r="N1148" s="360"/>
      <c r="O1148" s="360"/>
      <c r="P1148" s="360"/>
      <c r="Q1148" s="360"/>
      <c r="R1148" s="360"/>
    </row>
    <row r="1149" customFormat="false" ht="39.75" hidden="false" customHeight="true" outlineLevel="0" collapsed="false">
      <c r="A1149" s="562"/>
      <c r="B1149" s="574"/>
      <c r="C1149" s="562"/>
      <c r="D1149" s="562"/>
      <c r="E1149" s="562"/>
      <c r="F1149" s="563"/>
      <c r="G1149" s="563"/>
      <c r="H1149" s="564"/>
      <c r="I1149" s="565"/>
      <c r="J1149" s="580"/>
      <c r="K1149" s="360"/>
      <c r="L1149" s="360"/>
      <c r="M1149" s="360"/>
      <c r="N1149" s="360"/>
      <c r="O1149" s="360"/>
      <c r="P1149" s="360"/>
      <c r="Q1149" s="360"/>
      <c r="R1149" s="360"/>
    </row>
    <row r="1150" customFormat="false" ht="39.75" hidden="false" customHeight="true" outlineLevel="0" collapsed="false">
      <c r="A1150" s="562"/>
      <c r="B1150" s="574"/>
      <c r="C1150" s="562"/>
      <c r="D1150" s="562"/>
      <c r="E1150" s="562"/>
      <c r="F1150" s="563"/>
      <c r="G1150" s="563"/>
      <c r="H1150" s="564"/>
      <c r="I1150" s="565"/>
      <c r="J1150" s="580"/>
      <c r="K1150" s="360"/>
      <c r="L1150" s="360"/>
      <c r="M1150" s="360"/>
      <c r="N1150" s="360"/>
      <c r="O1150" s="360"/>
      <c r="P1150" s="360"/>
      <c r="Q1150" s="360"/>
      <c r="R1150" s="360"/>
    </row>
    <row r="1151" customFormat="false" ht="39.75" hidden="false" customHeight="true" outlineLevel="0" collapsed="false">
      <c r="A1151" s="562"/>
      <c r="B1151" s="574"/>
      <c r="C1151" s="562"/>
      <c r="D1151" s="562"/>
      <c r="E1151" s="562"/>
      <c r="F1151" s="563"/>
      <c r="G1151" s="563"/>
      <c r="H1151" s="564"/>
      <c r="I1151" s="565"/>
      <c r="J1151" s="580"/>
      <c r="K1151" s="360"/>
      <c r="L1151" s="360"/>
      <c r="M1151" s="360"/>
      <c r="N1151" s="360"/>
      <c r="O1151" s="360"/>
      <c r="P1151" s="360"/>
      <c r="Q1151" s="360"/>
      <c r="R1151" s="360"/>
    </row>
    <row r="1152" customFormat="false" ht="39.75" hidden="false" customHeight="true" outlineLevel="0" collapsed="false">
      <c r="A1152" s="562"/>
      <c r="B1152" s="574"/>
      <c r="C1152" s="562"/>
      <c r="D1152" s="562"/>
      <c r="E1152" s="562"/>
      <c r="F1152" s="563"/>
      <c r="G1152" s="563"/>
      <c r="H1152" s="564"/>
      <c r="I1152" s="565"/>
      <c r="J1152" s="580"/>
      <c r="K1152" s="360"/>
      <c r="L1152" s="360"/>
      <c r="M1152" s="360"/>
      <c r="N1152" s="360"/>
      <c r="O1152" s="360"/>
      <c r="P1152" s="360"/>
      <c r="Q1152" s="360"/>
      <c r="R1152" s="360"/>
    </row>
    <row r="1153" customFormat="false" ht="39.75" hidden="false" customHeight="true" outlineLevel="0" collapsed="false">
      <c r="A1153" s="562"/>
      <c r="B1153" s="574"/>
      <c r="C1153" s="562"/>
      <c r="D1153" s="562"/>
      <c r="E1153" s="562"/>
      <c r="F1153" s="563"/>
      <c r="G1153" s="563"/>
      <c r="H1153" s="564"/>
      <c r="I1153" s="565"/>
      <c r="J1153" s="580"/>
      <c r="K1153" s="360"/>
      <c r="L1153" s="360"/>
      <c r="M1153" s="360"/>
      <c r="N1153" s="360"/>
      <c r="O1153" s="360"/>
      <c r="P1153" s="360"/>
      <c r="Q1153" s="360"/>
      <c r="R1153" s="360"/>
    </row>
    <row r="1154" customFormat="false" ht="39.75" hidden="false" customHeight="true" outlineLevel="0" collapsed="false">
      <c r="A1154" s="562"/>
      <c r="B1154" s="574"/>
      <c r="C1154" s="562"/>
      <c r="D1154" s="562"/>
      <c r="E1154" s="562"/>
      <c r="F1154" s="563"/>
      <c r="G1154" s="563"/>
      <c r="H1154" s="564"/>
      <c r="I1154" s="565"/>
      <c r="J1154" s="580"/>
      <c r="K1154" s="360"/>
      <c r="L1154" s="360"/>
      <c r="M1154" s="360"/>
      <c r="N1154" s="360"/>
      <c r="O1154" s="360"/>
      <c r="P1154" s="360"/>
      <c r="Q1154" s="360"/>
      <c r="R1154" s="360"/>
    </row>
    <row r="1155" customFormat="false" ht="39.75" hidden="false" customHeight="true" outlineLevel="0" collapsed="false">
      <c r="A1155" s="562"/>
      <c r="B1155" s="574"/>
      <c r="C1155" s="562"/>
      <c r="D1155" s="562"/>
      <c r="E1155" s="562"/>
      <c r="F1155" s="563"/>
      <c r="G1155" s="563"/>
      <c r="H1155" s="564"/>
      <c r="I1155" s="565"/>
      <c r="J1155" s="580"/>
      <c r="K1155" s="360"/>
      <c r="L1155" s="360"/>
      <c r="M1155" s="360"/>
      <c r="N1155" s="360"/>
      <c r="O1155" s="360"/>
      <c r="P1155" s="360"/>
      <c r="Q1155" s="360"/>
      <c r="R1155" s="360"/>
    </row>
    <row r="1156" customFormat="false" ht="39.75" hidden="false" customHeight="true" outlineLevel="0" collapsed="false">
      <c r="A1156" s="562"/>
      <c r="B1156" s="574"/>
      <c r="C1156" s="562"/>
      <c r="D1156" s="562"/>
      <c r="E1156" s="562"/>
      <c r="F1156" s="563"/>
      <c r="G1156" s="563"/>
      <c r="H1156" s="564"/>
      <c r="I1156" s="565"/>
      <c r="J1156" s="580"/>
      <c r="K1156" s="360"/>
      <c r="L1156" s="360"/>
      <c r="M1156" s="360"/>
      <c r="N1156" s="360"/>
      <c r="O1156" s="360"/>
      <c r="P1156" s="360"/>
      <c r="Q1156" s="360"/>
      <c r="R1156" s="360"/>
    </row>
    <row r="1157" customFormat="false" ht="39.75" hidden="false" customHeight="true" outlineLevel="0" collapsed="false">
      <c r="A1157" s="562"/>
      <c r="B1157" s="574"/>
      <c r="C1157" s="562"/>
      <c r="D1157" s="562"/>
      <c r="E1157" s="562"/>
      <c r="F1157" s="563"/>
      <c r="G1157" s="563"/>
      <c r="H1157" s="564"/>
      <c r="I1157" s="565"/>
      <c r="J1157" s="580"/>
      <c r="K1157" s="360"/>
      <c r="L1157" s="360"/>
      <c r="M1157" s="360"/>
      <c r="N1157" s="360"/>
      <c r="O1157" s="360"/>
      <c r="P1157" s="360"/>
      <c r="Q1157" s="360"/>
      <c r="R1157" s="360"/>
    </row>
    <row r="1158" customFormat="false" ht="39.75" hidden="false" customHeight="true" outlineLevel="0" collapsed="false">
      <c r="A1158" s="562"/>
      <c r="B1158" s="574"/>
      <c r="C1158" s="562"/>
      <c r="D1158" s="562"/>
      <c r="E1158" s="562"/>
      <c r="F1158" s="563"/>
      <c r="G1158" s="563"/>
      <c r="H1158" s="564"/>
      <c r="I1158" s="565"/>
      <c r="J1158" s="580"/>
      <c r="K1158" s="360"/>
      <c r="L1158" s="360"/>
      <c r="M1158" s="360"/>
      <c r="N1158" s="360"/>
      <c r="O1158" s="360"/>
      <c r="P1158" s="360"/>
      <c r="Q1158" s="360"/>
      <c r="R1158" s="360"/>
    </row>
    <row r="1159" customFormat="false" ht="39.75" hidden="false" customHeight="true" outlineLevel="0" collapsed="false">
      <c r="A1159" s="562"/>
      <c r="B1159" s="574"/>
      <c r="C1159" s="562"/>
      <c r="D1159" s="562"/>
      <c r="E1159" s="562"/>
      <c r="F1159" s="563"/>
      <c r="G1159" s="563"/>
      <c r="H1159" s="564"/>
      <c r="I1159" s="565"/>
      <c r="J1159" s="580"/>
      <c r="K1159" s="360"/>
      <c r="L1159" s="360"/>
      <c r="M1159" s="360"/>
      <c r="N1159" s="360"/>
      <c r="O1159" s="360"/>
      <c r="P1159" s="360"/>
      <c r="Q1159" s="360"/>
      <c r="R1159" s="360"/>
    </row>
    <row r="1160" customFormat="false" ht="39.75" hidden="false" customHeight="true" outlineLevel="0" collapsed="false">
      <c r="A1160" s="562"/>
      <c r="B1160" s="574"/>
      <c r="C1160" s="562"/>
      <c r="D1160" s="562"/>
      <c r="E1160" s="562"/>
      <c r="F1160" s="563"/>
      <c r="G1160" s="563"/>
      <c r="H1160" s="564"/>
      <c r="I1160" s="565"/>
      <c r="J1160" s="580"/>
      <c r="K1160" s="360"/>
      <c r="L1160" s="360"/>
      <c r="M1160" s="360"/>
      <c r="N1160" s="360"/>
      <c r="O1160" s="360"/>
      <c r="P1160" s="360"/>
      <c r="Q1160" s="360"/>
      <c r="R1160" s="360"/>
    </row>
    <row r="1161" customFormat="false" ht="39.75" hidden="false" customHeight="true" outlineLevel="0" collapsed="false">
      <c r="A1161" s="562"/>
      <c r="B1161" s="574"/>
      <c r="C1161" s="562"/>
      <c r="D1161" s="562"/>
      <c r="E1161" s="562"/>
      <c r="F1161" s="563"/>
      <c r="G1161" s="563"/>
      <c r="H1161" s="564"/>
      <c r="I1161" s="565"/>
      <c r="J1161" s="580"/>
      <c r="K1161" s="360"/>
      <c r="L1161" s="360"/>
      <c r="M1161" s="360"/>
      <c r="N1161" s="360"/>
      <c r="O1161" s="360"/>
      <c r="P1161" s="360"/>
      <c r="Q1161" s="360"/>
      <c r="R1161" s="360"/>
    </row>
    <row r="1162" customFormat="false" ht="39.75" hidden="false" customHeight="true" outlineLevel="0" collapsed="false">
      <c r="A1162" s="562"/>
      <c r="B1162" s="574"/>
      <c r="C1162" s="562"/>
      <c r="D1162" s="562"/>
      <c r="E1162" s="562"/>
      <c r="F1162" s="563"/>
      <c r="G1162" s="563"/>
      <c r="H1162" s="564"/>
      <c r="I1162" s="565"/>
      <c r="J1162" s="580"/>
      <c r="K1162" s="360"/>
      <c r="L1162" s="360"/>
      <c r="M1162" s="360"/>
      <c r="N1162" s="360"/>
      <c r="O1162" s="360"/>
      <c r="P1162" s="360"/>
      <c r="Q1162" s="360"/>
      <c r="R1162" s="360"/>
    </row>
    <row r="1163" customFormat="false" ht="39.75" hidden="false" customHeight="true" outlineLevel="0" collapsed="false">
      <c r="A1163" s="562"/>
      <c r="B1163" s="574"/>
      <c r="C1163" s="562"/>
      <c r="D1163" s="562"/>
      <c r="E1163" s="562"/>
      <c r="F1163" s="563"/>
      <c r="G1163" s="563"/>
      <c r="H1163" s="564"/>
      <c r="I1163" s="565"/>
      <c r="J1163" s="580"/>
      <c r="K1163" s="360"/>
      <c r="L1163" s="360"/>
      <c r="M1163" s="360"/>
      <c r="N1163" s="360"/>
      <c r="O1163" s="360"/>
      <c r="P1163" s="360"/>
      <c r="Q1163" s="360"/>
      <c r="R1163" s="360"/>
    </row>
    <row r="1164" customFormat="false" ht="39.75" hidden="false" customHeight="true" outlineLevel="0" collapsed="false">
      <c r="A1164" s="562"/>
      <c r="B1164" s="574"/>
      <c r="C1164" s="562"/>
      <c r="D1164" s="562"/>
      <c r="E1164" s="562"/>
      <c r="F1164" s="563"/>
      <c r="G1164" s="563"/>
      <c r="H1164" s="564"/>
      <c r="I1164" s="565"/>
      <c r="J1164" s="580"/>
      <c r="K1164" s="360"/>
      <c r="L1164" s="360"/>
      <c r="M1164" s="360"/>
      <c r="N1164" s="360"/>
      <c r="O1164" s="360"/>
      <c r="P1164" s="360"/>
      <c r="Q1164" s="360"/>
      <c r="R1164" s="360"/>
    </row>
    <row r="1165" customFormat="false" ht="39.75" hidden="false" customHeight="true" outlineLevel="0" collapsed="false">
      <c r="A1165" s="562"/>
      <c r="B1165" s="574"/>
      <c r="C1165" s="562"/>
      <c r="D1165" s="562"/>
      <c r="E1165" s="562"/>
      <c r="F1165" s="563"/>
      <c r="G1165" s="563"/>
      <c r="H1165" s="564"/>
      <c r="I1165" s="565"/>
      <c r="J1165" s="580"/>
      <c r="K1165" s="360"/>
      <c r="L1165" s="360"/>
      <c r="M1165" s="360"/>
      <c r="N1165" s="360"/>
      <c r="O1165" s="360"/>
      <c r="P1165" s="360"/>
      <c r="Q1165" s="360"/>
      <c r="R1165" s="360"/>
    </row>
    <row r="1166" customFormat="false" ht="39.75" hidden="false" customHeight="true" outlineLevel="0" collapsed="false">
      <c r="A1166" s="562"/>
      <c r="B1166" s="574"/>
      <c r="C1166" s="562"/>
      <c r="D1166" s="562"/>
      <c r="E1166" s="562"/>
      <c r="F1166" s="563"/>
      <c r="G1166" s="563"/>
      <c r="H1166" s="564"/>
      <c r="I1166" s="565"/>
      <c r="J1166" s="580"/>
      <c r="K1166" s="360"/>
      <c r="L1166" s="360"/>
      <c r="M1166" s="360"/>
      <c r="N1166" s="360"/>
      <c r="O1166" s="360"/>
      <c r="P1166" s="360"/>
      <c r="Q1166" s="360"/>
      <c r="R1166" s="360"/>
    </row>
    <row r="1167" customFormat="false" ht="39.75" hidden="false" customHeight="true" outlineLevel="0" collapsed="false">
      <c r="A1167" s="562"/>
      <c r="B1167" s="574"/>
      <c r="C1167" s="562"/>
      <c r="D1167" s="562"/>
      <c r="E1167" s="562"/>
      <c r="F1167" s="563"/>
      <c r="G1167" s="563"/>
      <c r="H1167" s="564"/>
      <c r="I1167" s="565"/>
      <c r="J1167" s="580"/>
      <c r="K1167" s="360"/>
      <c r="L1167" s="360"/>
      <c r="M1167" s="360"/>
      <c r="N1167" s="360"/>
      <c r="O1167" s="360"/>
      <c r="P1167" s="360"/>
      <c r="Q1167" s="360"/>
      <c r="R1167" s="360"/>
    </row>
    <row r="1168" customFormat="false" ht="39.75" hidden="false" customHeight="true" outlineLevel="0" collapsed="false">
      <c r="A1168" s="562"/>
      <c r="B1168" s="574"/>
      <c r="C1168" s="562"/>
      <c r="D1168" s="562"/>
      <c r="E1168" s="562"/>
      <c r="F1168" s="563"/>
      <c r="G1168" s="563"/>
      <c r="H1168" s="564"/>
      <c r="I1168" s="565"/>
      <c r="J1168" s="580"/>
      <c r="K1168" s="360"/>
      <c r="L1168" s="360"/>
      <c r="M1168" s="360"/>
      <c r="N1168" s="360"/>
      <c r="O1168" s="360"/>
      <c r="P1168" s="360"/>
      <c r="Q1168" s="360"/>
      <c r="R1168" s="360"/>
    </row>
    <row r="1169" customFormat="false" ht="39.75" hidden="false" customHeight="true" outlineLevel="0" collapsed="false">
      <c r="A1169" s="562"/>
      <c r="B1169" s="574"/>
      <c r="C1169" s="562"/>
      <c r="D1169" s="562"/>
      <c r="E1169" s="562"/>
      <c r="F1169" s="563"/>
      <c r="G1169" s="563"/>
      <c r="H1169" s="564"/>
      <c r="I1169" s="565"/>
      <c r="J1169" s="580"/>
      <c r="K1169" s="360"/>
      <c r="L1169" s="360"/>
      <c r="M1169" s="360"/>
      <c r="N1169" s="360"/>
      <c r="O1169" s="360"/>
      <c r="P1169" s="360"/>
      <c r="Q1169" s="360"/>
      <c r="R1169" s="360"/>
    </row>
    <row r="1170" customFormat="false" ht="39.75" hidden="false" customHeight="true" outlineLevel="0" collapsed="false">
      <c r="A1170" s="562"/>
      <c r="B1170" s="574"/>
      <c r="C1170" s="562"/>
      <c r="D1170" s="562"/>
      <c r="E1170" s="562"/>
      <c r="F1170" s="563"/>
      <c r="G1170" s="563"/>
      <c r="H1170" s="564"/>
      <c r="I1170" s="565"/>
      <c r="J1170" s="580"/>
      <c r="K1170" s="360"/>
      <c r="L1170" s="360"/>
      <c r="M1170" s="360"/>
      <c r="N1170" s="360"/>
      <c r="O1170" s="360"/>
      <c r="P1170" s="360"/>
      <c r="Q1170" s="360"/>
      <c r="R1170" s="360"/>
    </row>
    <row r="1171" customFormat="false" ht="39.75" hidden="false" customHeight="true" outlineLevel="0" collapsed="false">
      <c r="A1171" s="562"/>
      <c r="B1171" s="574"/>
      <c r="C1171" s="562"/>
      <c r="D1171" s="562"/>
      <c r="E1171" s="562"/>
      <c r="F1171" s="563"/>
      <c r="G1171" s="563"/>
      <c r="H1171" s="564"/>
      <c r="I1171" s="565"/>
      <c r="J1171" s="580"/>
      <c r="K1171" s="360"/>
      <c r="L1171" s="360"/>
      <c r="M1171" s="360"/>
      <c r="N1171" s="360"/>
      <c r="O1171" s="360"/>
      <c r="P1171" s="360"/>
      <c r="Q1171" s="360"/>
      <c r="R1171" s="360"/>
    </row>
    <row r="1172" customFormat="false" ht="39.75" hidden="false" customHeight="true" outlineLevel="0" collapsed="false">
      <c r="A1172" s="562"/>
      <c r="B1172" s="574"/>
      <c r="C1172" s="562"/>
      <c r="D1172" s="562"/>
      <c r="E1172" s="562"/>
      <c r="F1172" s="563"/>
      <c r="G1172" s="563"/>
      <c r="H1172" s="564"/>
      <c r="I1172" s="565"/>
      <c r="J1172" s="580"/>
      <c r="K1172" s="360"/>
      <c r="L1172" s="360"/>
      <c r="M1172" s="360"/>
      <c r="N1172" s="360"/>
      <c r="O1172" s="360"/>
      <c r="P1172" s="360"/>
      <c r="Q1172" s="360"/>
      <c r="R1172" s="360"/>
    </row>
    <row r="1173" customFormat="false" ht="39.75" hidden="false" customHeight="true" outlineLevel="0" collapsed="false">
      <c r="A1173" s="562"/>
      <c r="B1173" s="574"/>
      <c r="C1173" s="562"/>
      <c r="D1173" s="562"/>
      <c r="E1173" s="562"/>
      <c r="F1173" s="563"/>
      <c r="G1173" s="563"/>
      <c r="H1173" s="564"/>
      <c r="I1173" s="565"/>
      <c r="J1173" s="580"/>
      <c r="K1173" s="360"/>
      <c r="L1173" s="360"/>
      <c r="M1173" s="360"/>
      <c r="N1173" s="360"/>
      <c r="O1173" s="360"/>
      <c r="P1173" s="360"/>
      <c r="Q1173" s="360"/>
      <c r="R1173" s="360"/>
    </row>
    <row r="1174" customFormat="false" ht="39.75" hidden="false" customHeight="true" outlineLevel="0" collapsed="false">
      <c r="A1174" s="562"/>
      <c r="B1174" s="574"/>
      <c r="C1174" s="562"/>
      <c r="D1174" s="562"/>
      <c r="E1174" s="562"/>
      <c r="F1174" s="563"/>
      <c r="G1174" s="563"/>
      <c r="H1174" s="564"/>
      <c r="I1174" s="565"/>
      <c r="J1174" s="580"/>
      <c r="K1174" s="360"/>
      <c r="L1174" s="360"/>
      <c r="M1174" s="360"/>
      <c r="N1174" s="360"/>
      <c r="O1174" s="360"/>
      <c r="P1174" s="360"/>
      <c r="Q1174" s="360"/>
      <c r="R1174" s="360"/>
    </row>
    <row r="1175" customFormat="false" ht="39.75" hidden="false" customHeight="true" outlineLevel="0" collapsed="false">
      <c r="A1175" s="562"/>
      <c r="B1175" s="574"/>
      <c r="C1175" s="562"/>
      <c r="D1175" s="562"/>
      <c r="E1175" s="562"/>
      <c r="F1175" s="563"/>
      <c r="G1175" s="563"/>
      <c r="H1175" s="564"/>
      <c r="I1175" s="565"/>
      <c r="J1175" s="580"/>
      <c r="K1175" s="360"/>
      <c r="L1175" s="360"/>
      <c r="M1175" s="360"/>
      <c r="N1175" s="360"/>
      <c r="O1175" s="360"/>
      <c r="P1175" s="360"/>
      <c r="Q1175" s="360"/>
      <c r="R1175" s="360"/>
    </row>
    <row r="1176" customFormat="false" ht="39.75" hidden="false" customHeight="true" outlineLevel="0" collapsed="false">
      <c r="A1176" s="562"/>
      <c r="B1176" s="574"/>
      <c r="C1176" s="562"/>
      <c r="D1176" s="562"/>
      <c r="E1176" s="562"/>
      <c r="F1176" s="563"/>
      <c r="G1176" s="563"/>
      <c r="H1176" s="564"/>
      <c r="I1176" s="565"/>
      <c r="J1176" s="580"/>
      <c r="K1176" s="360"/>
      <c r="L1176" s="360"/>
      <c r="M1176" s="360"/>
      <c r="N1176" s="360"/>
      <c r="O1176" s="360"/>
      <c r="P1176" s="360"/>
      <c r="Q1176" s="360"/>
      <c r="R1176" s="360"/>
    </row>
    <row r="1177" customFormat="false" ht="39.75" hidden="false" customHeight="true" outlineLevel="0" collapsed="false">
      <c r="A1177" s="562"/>
      <c r="B1177" s="574"/>
      <c r="C1177" s="562"/>
      <c r="D1177" s="562"/>
      <c r="E1177" s="562"/>
      <c r="F1177" s="563"/>
      <c r="G1177" s="563"/>
      <c r="H1177" s="564"/>
      <c r="I1177" s="565"/>
      <c r="J1177" s="580"/>
      <c r="K1177" s="360"/>
      <c r="L1177" s="360"/>
      <c r="M1177" s="360"/>
      <c r="N1177" s="360"/>
      <c r="O1177" s="360"/>
      <c r="P1177" s="360"/>
      <c r="Q1177" s="360"/>
      <c r="R1177" s="360"/>
    </row>
    <row r="1178" customFormat="false" ht="39.75" hidden="false" customHeight="true" outlineLevel="0" collapsed="false">
      <c r="A1178" s="562"/>
      <c r="B1178" s="574"/>
      <c r="C1178" s="562"/>
      <c r="D1178" s="562"/>
      <c r="E1178" s="562"/>
      <c r="F1178" s="563"/>
      <c r="G1178" s="563"/>
      <c r="H1178" s="564"/>
      <c r="I1178" s="565"/>
      <c r="J1178" s="580"/>
      <c r="K1178" s="360"/>
      <c r="L1178" s="360"/>
      <c r="M1178" s="360"/>
      <c r="N1178" s="360"/>
      <c r="O1178" s="360"/>
      <c r="P1178" s="360"/>
      <c r="Q1178" s="360"/>
      <c r="R1178" s="360"/>
    </row>
    <row r="1179" customFormat="false" ht="39.75" hidden="false" customHeight="true" outlineLevel="0" collapsed="false">
      <c r="A1179" s="562"/>
      <c r="B1179" s="574"/>
      <c r="C1179" s="562"/>
      <c r="D1179" s="562"/>
      <c r="E1179" s="562"/>
      <c r="F1179" s="563"/>
      <c r="G1179" s="563"/>
      <c r="H1179" s="564"/>
      <c r="I1179" s="565"/>
      <c r="J1179" s="580"/>
      <c r="K1179" s="360"/>
      <c r="L1179" s="360"/>
      <c r="M1179" s="360"/>
      <c r="N1179" s="360"/>
      <c r="O1179" s="360"/>
      <c r="P1179" s="360"/>
      <c r="Q1179" s="360"/>
      <c r="R1179" s="360"/>
    </row>
    <row r="1180" customFormat="false" ht="39.75" hidden="false" customHeight="true" outlineLevel="0" collapsed="false">
      <c r="A1180" s="562"/>
      <c r="B1180" s="574"/>
      <c r="C1180" s="562"/>
      <c r="D1180" s="562"/>
      <c r="E1180" s="562"/>
      <c r="F1180" s="563"/>
      <c r="G1180" s="563"/>
      <c r="H1180" s="564"/>
      <c r="I1180" s="565"/>
      <c r="J1180" s="580"/>
      <c r="K1180" s="360"/>
      <c r="L1180" s="360"/>
      <c r="M1180" s="360"/>
      <c r="N1180" s="360"/>
      <c r="O1180" s="360"/>
      <c r="P1180" s="360"/>
      <c r="Q1180" s="360"/>
      <c r="R1180" s="360"/>
    </row>
    <row r="1181" customFormat="false" ht="39.75" hidden="false" customHeight="true" outlineLevel="0" collapsed="false">
      <c r="A1181" s="562"/>
      <c r="B1181" s="574"/>
      <c r="C1181" s="562"/>
      <c r="D1181" s="562"/>
      <c r="E1181" s="562"/>
      <c r="F1181" s="563"/>
      <c r="G1181" s="563"/>
      <c r="H1181" s="564"/>
      <c r="I1181" s="565"/>
      <c r="J1181" s="580"/>
      <c r="K1181" s="360"/>
      <c r="L1181" s="360"/>
      <c r="M1181" s="360"/>
      <c r="N1181" s="360"/>
      <c r="O1181" s="360"/>
      <c r="P1181" s="360"/>
      <c r="Q1181" s="360"/>
      <c r="R1181" s="360"/>
    </row>
    <row r="1182" customFormat="false" ht="39.75" hidden="false" customHeight="true" outlineLevel="0" collapsed="false">
      <c r="A1182" s="562"/>
      <c r="B1182" s="574"/>
      <c r="C1182" s="562"/>
      <c r="D1182" s="562"/>
      <c r="E1182" s="562"/>
      <c r="F1182" s="563"/>
      <c r="G1182" s="563"/>
      <c r="H1182" s="564"/>
      <c r="I1182" s="565"/>
      <c r="J1182" s="580"/>
      <c r="K1182" s="360"/>
      <c r="L1182" s="360"/>
      <c r="M1182" s="360"/>
      <c r="N1182" s="360"/>
      <c r="O1182" s="360"/>
      <c r="P1182" s="360"/>
      <c r="Q1182" s="360"/>
      <c r="R1182" s="360"/>
    </row>
    <row r="1183" customFormat="false" ht="39.75" hidden="false" customHeight="true" outlineLevel="0" collapsed="false">
      <c r="A1183" s="562"/>
      <c r="B1183" s="574"/>
      <c r="C1183" s="562"/>
      <c r="D1183" s="562"/>
      <c r="E1183" s="562"/>
      <c r="F1183" s="563"/>
      <c r="G1183" s="563"/>
      <c r="H1183" s="564"/>
      <c r="I1183" s="565"/>
      <c r="J1183" s="580"/>
      <c r="K1183" s="360"/>
      <c r="L1183" s="360"/>
      <c r="M1183" s="360"/>
      <c r="N1183" s="360"/>
      <c r="O1183" s="360"/>
      <c r="P1183" s="360"/>
      <c r="Q1183" s="360"/>
      <c r="R1183" s="360"/>
    </row>
    <row r="1184" customFormat="false" ht="39.75" hidden="false" customHeight="true" outlineLevel="0" collapsed="false">
      <c r="A1184" s="562"/>
      <c r="B1184" s="574"/>
      <c r="C1184" s="562"/>
      <c r="D1184" s="562"/>
      <c r="E1184" s="562"/>
      <c r="F1184" s="563"/>
      <c r="G1184" s="563"/>
      <c r="H1184" s="564"/>
      <c r="I1184" s="565"/>
      <c r="J1184" s="580"/>
      <c r="K1184" s="360"/>
      <c r="L1184" s="360"/>
      <c r="M1184" s="360"/>
      <c r="N1184" s="360"/>
      <c r="O1184" s="360"/>
      <c r="P1184" s="360"/>
      <c r="Q1184" s="360"/>
      <c r="R1184" s="360"/>
    </row>
    <row r="1185" customFormat="false" ht="39.75" hidden="false" customHeight="true" outlineLevel="0" collapsed="false">
      <c r="A1185" s="562"/>
      <c r="B1185" s="574"/>
      <c r="C1185" s="562"/>
      <c r="D1185" s="562"/>
      <c r="E1185" s="562"/>
      <c r="F1185" s="563"/>
      <c r="G1185" s="563"/>
      <c r="H1185" s="564"/>
      <c r="I1185" s="565"/>
      <c r="J1185" s="580"/>
      <c r="K1185" s="360"/>
      <c r="L1185" s="360"/>
      <c r="M1185" s="360"/>
      <c r="N1185" s="360"/>
      <c r="O1185" s="360"/>
      <c r="P1185" s="360"/>
      <c r="Q1185" s="360"/>
      <c r="R1185" s="360"/>
    </row>
    <row r="1186" customFormat="false" ht="39.75" hidden="false" customHeight="true" outlineLevel="0" collapsed="false">
      <c r="A1186" s="562"/>
      <c r="B1186" s="574"/>
      <c r="C1186" s="562"/>
      <c r="D1186" s="562"/>
      <c r="E1186" s="562"/>
      <c r="F1186" s="563"/>
      <c r="G1186" s="563"/>
      <c r="H1186" s="564"/>
      <c r="I1186" s="565"/>
      <c r="J1186" s="580"/>
      <c r="K1186" s="360"/>
      <c r="L1186" s="360"/>
      <c r="M1186" s="360"/>
      <c r="N1186" s="360"/>
      <c r="O1186" s="360"/>
      <c r="P1186" s="360"/>
      <c r="Q1186" s="360"/>
      <c r="R1186" s="360"/>
    </row>
    <row r="1187" customFormat="false" ht="39.75" hidden="false" customHeight="true" outlineLevel="0" collapsed="false">
      <c r="A1187" s="562"/>
      <c r="B1187" s="574"/>
      <c r="C1187" s="562"/>
      <c r="D1187" s="562"/>
      <c r="E1187" s="562"/>
      <c r="F1187" s="563"/>
      <c r="G1187" s="563"/>
      <c r="H1187" s="564"/>
      <c r="I1187" s="565"/>
      <c r="J1187" s="580"/>
      <c r="K1187" s="360"/>
      <c r="L1187" s="360"/>
      <c r="M1187" s="360"/>
      <c r="N1187" s="360"/>
      <c r="O1187" s="360"/>
      <c r="P1187" s="360"/>
      <c r="Q1187" s="360"/>
      <c r="R1187" s="360"/>
    </row>
    <row r="1188" customFormat="false" ht="39.75" hidden="false" customHeight="true" outlineLevel="0" collapsed="false">
      <c r="A1188" s="562"/>
      <c r="B1188" s="574"/>
      <c r="C1188" s="562"/>
      <c r="D1188" s="562"/>
      <c r="E1188" s="562"/>
      <c r="F1188" s="563"/>
      <c r="G1188" s="563"/>
      <c r="H1188" s="564"/>
      <c r="I1188" s="565"/>
      <c r="J1188" s="580"/>
      <c r="K1188" s="360"/>
      <c r="L1188" s="360"/>
      <c r="M1188" s="360"/>
      <c r="N1188" s="360"/>
      <c r="O1188" s="360"/>
      <c r="P1188" s="360"/>
      <c r="Q1188" s="360"/>
      <c r="R1188" s="360"/>
    </row>
    <row r="1189" customFormat="false" ht="39.75" hidden="false" customHeight="true" outlineLevel="0" collapsed="false">
      <c r="A1189" s="562"/>
      <c r="B1189" s="574"/>
      <c r="C1189" s="562"/>
      <c r="D1189" s="562"/>
      <c r="E1189" s="562"/>
      <c r="F1189" s="563"/>
      <c r="G1189" s="563"/>
      <c r="H1189" s="564"/>
      <c r="I1189" s="565"/>
      <c r="J1189" s="580"/>
      <c r="K1189" s="360"/>
      <c r="L1189" s="360"/>
      <c r="M1189" s="360"/>
      <c r="N1189" s="360"/>
      <c r="O1189" s="360"/>
      <c r="P1189" s="360"/>
      <c r="Q1189" s="360"/>
      <c r="R1189" s="360"/>
    </row>
    <row r="1190" customFormat="false" ht="39.75" hidden="false" customHeight="true" outlineLevel="0" collapsed="false">
      <c r="A1190" s="562"/>
      <c r="B1190" s="574"/>
      <c r="C1190" s="562"/>
      <c r="D1190" s="562"/>
      <c r="E1190" s="562"/>
      <c r="F1190" s="563"/>
      <c r="G1190" s="563"/>
      <c r="H1190" s="564"/>
      <c r="I1190" s="565"/>
      <c r="J1190" s="580"/>
      <c r="K1190" s="360"/>
      <c r="L1190" s="360"/>
      <c r="M1190" s="360"/>
      <c r="N1190" s="360"/>
      <c r="O1190" s="360"/>
      <c r="P1190" s="360"/>
      <c r="Q1190" s="360"/>
      <c r="R1190" s="360"/>
    </row>
    <row r="1191" customFormat="false" ht="39.75" hidden="false" customHeight="true" outlineLevel="0" collapsed="false">
      <c r="A1191" s="562"/>
      <c r="B1191" s="574"/>
      <c r="C1191" s="562"/>
      <c r="D1191" s="562"/>
      <c r="E1191" s="562"/>
      <c r="F1191" s="563"/>
      <c r="G1191" s="563"/>
      <c r="H1191" s="564"/>
      <c r="I1191" s="565"/>
      <c r="J1191" s="580"/>
      <c r="K1191" s="360"/>
      <c r="L1191" s="360"/>
      <c r="M1191" s="360"/>
      <c r="N1191" s="360"/>
      <c r="O1191" s="360"/>
      <c r="P1191" s="360"/>
      <c r="Q1191" s="360"/>
      <c r="R1191" s="360"/>
    </row>
    <row r="1192" customFormat="false" ht="39.75" hidden="false" customHeight="true" outlineLevel="0" collapsed="false">
      <c r="A1192" s="562"/>
      <c r="B1192" s="574"/>
      <c r="C1192" s="562"/>
      <c r="D1192" s="562"/>
      <c r="E1192" s="562"/>
      <c r="F1192" s="563"/>
      <c r="G1192" s="563"/>
      <c r="H1192" s="564"/>
      <c r="I1192" s="565"/>
      <c r="J1192" s="580"/>
      <c r="K1192" s="360"/>
      <c r="L1192" s="360"/>
      <c r="M1192" s="360"/>
      <c r="N1192" s="360"/>
      <c r="O1192" s="360"/>
      <c r="P1192" s="360"/>
      <c r="Q1192" s="360"/>
      <c r="R1192" s="360"/>
    </row>
    <row r="1193" customFormat="false" ht="39.75" hidden="false" customHeight="true" outlineLevel="0" collapsed="false">
      <c r="A1193" s="562"/>
      <c r="B1193" s="574"/>
      <c r="C1193" s="562"/>
      <c r="D1193" s="562"/>
      <c r="E1193" s="562"/>
      <c r="F1193" s="563"/>
      <c r="G1193" s="563"/>
      <c r="H1193" s="564"/>
      <c r="I1193" s="565"/>
      <c r="J1193" s="580"/>
      <c r="K1193" s="360"/>
      <c r="L1193" s="360"/>
      <c r="M1193" s="360"/>
      <c r="N1193" s="360"/>
      <c r="O1193" s="360"/>
      <c r="P1193" s="360"/>
      <c r="Q1193" s="360"/>
      <c r="R1193" s="360"/>
    </row>
    <row r="1194" customFormat="false" ht="39.75" hidden="false" customHeight="true" outlineLevel="0" collapsed="false">
      <c r="A1194" s="562"/>
      <c r="B1194" s="574"/>
      <c r="C1194" s="562"/>
      <c r="D1194" s="562"/>
      <c r="E1194" s="562"/>
      <c r="F1194" s="563"/>
      <c r="G1194" s="563"/>
      <c r="H1194" s="564"/>
      <c r="I1194" s="565"/>
      <c r="J1194" s="580"/>
      <c r="K1194" s="360"/>
      <c r="L1194" s="360"/>
      <c r="M1194" s="360"/>
      <c r="N1194" s="360"/>
      <c r="O1194" s="360"/>
      <c r="P1194" s="360"/>
      <c r="Q1194" s="360"/>
      <c r="R1194" s="360"/>
    </row>
    <row r="1195" customFormat="false" ht="39.75" hidden="false" customHeight="true" outlineLevel="0" collapsed="false">
      <c r="A1195" s="562"/>
      <c r="B1195" s="574"/>
      <c r="C1195" s="562"/>
      <c r="D1195" s="562"/>
      <c r="E1195" s="562"/>
      <c r="F1195" s="563"/>
      <c r="G1195" s="563"/>
      <c r="H1195" s="564"/>
      <c r="I1195" s="565"/>
      <c r="J1195" s="580"/>
      <c r="K1195" s="360"/>
      <c r="L1195" s="360"/>
      <c r="M1195" s="360"/>
      <c r="N1195" s="360"/>
      <c r="O1195" s="360"/>
      <c r="P1195" s="360"/>
      <c r="Q1195" s="360"/>
      <c r="R1195" s="360"/>
    </row>
    <row r="1196" customFormat="false" ht="39.75" hidden="false" customHeight="true" outlineLevel="0" collapsed="false">
      <c r="A1196" s="562"/>
      <c r="B1196" s="574"/>
      <c r="C1196" s="562"/>
      <c r="D1196" s="562"/>
      <c r="E1196" s="562"/>
      <c r="F1196" s="563"/>
      <c r="G1196" s="563"/>
      <c r="H1196" s="564"/>
      <c r="I1196" s="565"/>
      <c r="J1196" s="580"/>
      <c r="K1196" s="360"/>
      <c r="L1196" s="360"/>
      <c r="M1196" s="360"/>
      <c r="N1196" s="360"/>
      <c r="O1196" s="360"/>
      <c r="P1196" s="360"/>
      <c r="Q1196" s="360"/>
      <c r="R1196" s="360"/>
    </row>
    <row r="1197" customFormat="false" ht="39.75" hidden="false" customHeight="true" outlineLevel="0" collapsed="false">
      <c r="A1197" s="562"/>
      <c r="B1197" s="574"/>
      <c r="C1197" s="562"/>
      <c r="D1197" s="562"/>
      <c r="E1197" s="562"/>
      <c r="F1197" s="563"/>
      <c r="G1197" s="563"/>
      <c r="H1197" s="564"/>
      <c r="I1197" s="565"/>
      <c r="J1197" s="580"/>
      <c r="K1197" s="360"/>
      <c r="L1197" s="360"/>
      <c r="M1197" s="360"/>
      <c r="N1197" s="360"/>
      <c r="O1197" s="360"/>
      <c r="P1197" s="360"/>
      <c r="Q1197" s="360"/>
      <c r="R1197" s="360"/>
    </row>
    <row r="1198" customFormat="false" ht="39.75" hidden="false" customHeight="true" outlineLevel="0" collapsed="false">
      <c r="A1198" s="562"/>
      <c r="B1198" s="574"/>
      <c r="C1198" s="562"/>
      <c r="D1198" s="562"/>
      <c r="E1198" s="562"/>
      <c r="F1198" s="563"/>
      <c r="G1198" s="563"/>
      <c r="H1198" s="564"/>
      <c r="I1198" s="565"/>
      <c r="J1198" s="580"/>
      <c r="K1198" s="360"/>
      <c r="L1198" s="360"/>
      <c r="M1198" s="360"/>
      <c r="N1198" s="360"/>
      <c r="O1198" s="360"/>
      <c r="P1198" s="360"/>
      <c r="Q1198" s="360"/>
      <c r="R1198" s="360"/>
    </row>
    <row r="1199" customFormat="false" ht="39.75" hidden="false" customHeight="true" outlineLevel="0" collapsed="false">
      <c r="A1199" s="562"/>
      <c r="B1199" s="574"/>
      <c r="C1199" s="562"/>
      <c r="D1199" s="562"/>
      <c r="E1199" s="562"/>
      <c r="F1199" s="563"/>
      <c r="G1199" s="563"/>
      <c r="H1199" s="564"/>
      <c r="I1199" s="565"/>
      <c r="J1199" s="580"/>
      <c r="K1199" s="360"/>
      <c r="L1199" s="360"/>
      <c r="M1199" s="360"/>
      <c r="N1199" s="360"/>
      <c r="O1199" s="360"/>
      <c r="P1199" s="360"/>
      <c r="Q1199" s="360"/>
      <c r="R1199" s="360"/>
    </row>
    <row r="1200" customFormat="false" ht="39.75" hidden="false" customHeight="true" outlineLevel="0" collapsed="false">
      <c r="A1200" s="562"/>
      <c r="B1200" s="574"/>
      <c r="C1200" s="562"/>
      <c r="D1200" s="562"/>
      <c r="E1200" s="562"/>
      <c r="F1200" s="563"/>
      <c r="G1200" s="563"/>
      <c r="H1200" s="564"/>
      <c r="I1200" s="565"/>
      <c r="J1200" s="580"/>
      <c r="K1200" s="360"/>
      <c r="L1200" s="360"/>
      <c r="M1200" s="360"/>
      <c r="N1200" s="360"/>
      <c r="O1200" s="360"/>
      <c r="P1200" s="360"/>
      <c r="Q1200" s="360"/>
      <c r="R1200" s="360"/>
    </row>
    <row r="1201" customFormat="false" ht="39.75" hidden="false" customHeight="true" outlineLevel="0" collapsed="false">
      <c r="A1201" s="562"/>
      <c r="B1201" s="574"/>
      <c r="C1201" s="562"/>
      <c r="D1201" s="562"/>
      <c r="E1201" s="562"/>
      <c r="F1201" s="563"/>
      <c r="G1201" s="563"/>
      <c r="H1201" s="564"/>
      <c r="I1201" s="565"/>
      <c r="J1201" s="580"/>
      <c r="K1201" s="360"/>
      <c r="L1201" s="360"/>
      <c r="M1201" s="360"/>
      <c r="N1201" s="360"/>
      <c r="O1201" s="360"/>
      <c r="P1201" s="360"/>
      <c r="Q1201" s="360"/>
      <c r="R1201" s="360"/>
    </row>
    <row r="1202" customFormat="false" ht="39.75" hidden="false" customHeight="true" outlineLevel="0" collapsed="false">
      <c r="A1202" s="562"/>
      <c r="B1202" s="574"/>
      <c r="C1202" s="562"/>
      <c r="D1202" s="562"/>
      <c r="E1202" s="562"/>
      <c r="F1202" s="563"/>
      <c r="G1202" s="563"/>
      <c r="H1202" s="564"/>
      <c r="I1202" s="565"/>
      <c r="J1202" s="580"/>
      <c r="K1202" s="360"/>
      <c r="L1202" s="360"/>
      <c r="M1202" s="360"/>
      <c r="N1202" s="360"/>
      <c r="O1202" s="360"/>
      <c r="P1202" s="360"/>
      <c r="Q1202" s="360"/>
      <c r="R1202" s="360"/>
    </row>
    <row r="1203" customFormat="false" ht="39.75" hidden="false" customHeight="true" outlineLevel="0" collapsed="false">
      <c r="A1203" s="562"/>
      <c r="B1203" s="574"/>
      <c r="C1203" s="562"/>
      <c r="D1203" s="562"/>
      <c r="E1203" s="562"/>
      <c r="F1203" s="563"/>
      <c r="G1203" s="563"/>
      <c r="H1203" s="564"/>
      <c r="I1203" s="565"/>
      <c r="J1203" s="580"/>
      <c r="K1203" s="360"/>
      <c r="L1203" s="360"/>
      <c r="M1203" s="360"/>
      <c r="N1203" s="360"/>
      <c r="O1203" s="360"/>
      <c r="P1203" s="360"/>
      <c r="Q1203" s="360"/>
      <c r="R1203" s="360"/>
    </row>
    <row r="1204" customFormat="false" ht="39.75" hidden="false" customHeight="true" outlineLevel="0" collapsed="false">
      <c r="A1204" s="562"/>
      <c r="B1204" s="574"/>
      <c r="C1204" s="562"/>
      <c r="D1204" s="562"/>
      <c r="E1204" s="562"/>
      <c r="F1204" s="563"/>
      <c r="G1204" s="563"/>
      <c r="H1204" s="564"/>
      <c r="I1204" s="565"/>
      <c r="J1204" s="580"/>
      <c r="K1204" s="360"/>
      <c r="L1204" s="360"/>
      <c r="M1204" s="360"/>
      <c r="N1204" s="360"/>
      <c r="O1204" s="360"/>
      <c r="P1204" s="360"/>
      <c r="Q1204" s="360"/>
      <c r="R1204" s="360"/>
    </row>
    <row r="1205" customFormat="false" ht="39.75" hidden="false" customHeight="true" outlineLevel="0" collapsed="false">
      <c r="A1205" s="562"/>
      <c r="B1205" s="574"/>
      <c r="C1205" s="562"/>
      <c r="D1205" s="562"/>
      <c r="E1205" s="562"/>
      <c r="F1205" s="563"/>
      <c r="G1205" s="563"/>
      <c r="H1205" s="564"/>
      <c r="I1205" s="565"/>
      <c r="J1205" s="580"/>
      <c r="K1205" s="360"/>
      <c r="L1205" s="360"/>
      <c r="M1205" s="360"/>
      <c r="N1205" s="360"/>
      <c r="O1205" s="360"/>
      <c r="P1205" s="360"/>
      <c r="Q1205" s="360"/>
      <c r="R1205" s="360"/>
    </row>
    <row r="1206" customFormat="false" ht="39.75" hidden="false" customHeight="true" outlineLevel="0" collapsed="false">
      <c r="A1206" s="562"/>
      <c r="B1206" s="574"/>
      <c r="C1206" s="562"/>
      <c r="D1206" s="562"/>
      <c r="E1206" s="562"/>
      <c r="F1206" s="563"/>
      <c r="G1206" s="563"/>
      <c r="H1206" s="564"/>
      <c r="I1206" s="565"/>
      <c r="J1206" s="580"/>
      <c r="K1206" s="360"/>
      <c r="L1206" s="360"/>
      <c r="M1206" s="360"/>
      <c r="N1206" s="360"/>
      <c r="O1206" s="360"/>
      <c r="P1206" s="360"/>
      <c r="Q1206" s="360"/>
      <c r="R1206" s="360"/>
    </row>
    <row r="1207" customFormat="false" ht="39.75" hidden="false" customHeight="true" outlineLevel="0" collapsed="false">
      <c r="A1207" s="562"/>
      <c r="B1207" s="574"/>
      <c r="C1207" s="562"/>
      <c r="D1207" s="562"/>
      <c r="E1207" s="562"/>
      <c r="F1207" s="563"/>
      <c r="G1207" s="563"/>
      <c r="H1207" s="564"/>
      <c r="I1207" s="565"/>
      <c r="J1207" s="580"/>
      <c r="K1207" s="360"/>
      <c r="L1207" s="360"/>
      <c r="M1207" s="360"/>
      <c r="N1207" s="360"/>
      <c r="O1207" s="360"/>
      <c r="P1207" s="360"/>
      <c r="Q1207" s="360"/>
      <c r="R1207" s="360"/>
    </row>
    <row r="1208" customFormat="false" ht="39.75" hidden="false" customHeight="true" outlineLevel="0" collapsed="false">
      <c r="A1208" s="562"/>
      <c r="B1208" s="574"/>
      <c r="C1208" s="562"/>
      <c r="D1208" s="562"/>
      <c r="E1208" s="562"/>
      <c r="F1208" s="563"/>
      <c r="G1208" s="563"/>
      <c r="H1208" s="564"/>
      <c r="I1208" s="565"/>
      <c r="J1208" s="580"/>
      <c r="K1208" s="360"/>
      <c r="L1208" s="360"/>
      <c r="M1208" s="360"/>
      <c r="N1208" s="360"/>
      <c r="O1208" s="360"/>
      <c r="P1208" s="360"/>
      <c r="Q1208" s="360"/>
      <c r="R1208" s="360"/>
    </row>
    <row r="1209" customFormat="false" ht="39.75" hidden="false" customHeight="true" outlineLevel="0" collapsed="false">
      <c r="A1209" s="562"/>
      <c r="B1209" s="574"/>
      <c r="C1209" s="562"/>
      <c r="D1209" s="562"/>
      <c r="E1209" s="562"/>
      <c r="F1209" s="563"/>
      <c r="G1209" s="563"/>
      <c r="H1209" s="564"/>
      <c r="I1209" s="565"/>
      <c r="J1209" s="580"/>
      <c r="K1209" s="360"/>
      <c r="L1209" s="360"/>
      <c r="M1209" s="360"/>
      <c r="N1209" s="360"/>
      <c r="O1209" s="360"/>
      <c r="P1209" s="360"/>
      <c r="Q1209" s="360"/>
      <c r="R1209" s="360"/>
    </row>
    <row r="1210" customFormat="false" ht="39.75" hidden="false" customHeight="true" outlineLevel="0" collapsed="false">
      <c r="A1210" s="562"/>
      <c r="B1210" s="574"/>
      <c r="C1210" s="562"/>
      <c r="D1210" s="562"/>
      <c r="E1210" s="562"/>
      <c r="F1210" s="563"/>
      <c r="G1210" s="563"/>
      <c r="H1210" s="564"/>
      <c r="I1210" s="565"/>
      <c r="J1210" s="580"/>
      <c r="K1210" s="360"/>
      <c r="L1210" s="360"/>
      <c r="M1210" s="360"/>
      <c r="N1210" s="360"/>
      <c r="O1210" s="360"/>
      <c r="P1210" s="360"/>
      <c r="Q1210" s="360"/>
      <c r="R1210" s="360"/>
    </row>
    <row r="1211" customFormat="false" ht="39.75" hidden="false" customHeight="true" outlineLevel="0" collapsed="false">
      <c r="A1211" s="562"/>
      <c r="B1211" s="574"/>
      <c r="C1211" s="562"/>
      <c r="D1211" s="562"/>
      <c r="E1211" s="562"/>
      <c r="F1211" s="563"/>
      <c r="G1211" s="563"/>
      <c r="H1211" s="564"/>
      <c r="I1211" s="565"/>
      <c r="J1211" s="580"/>
      <c r="K1211" s="360"/>
      <c r="L1211" s="360"/>
      <c r="M1211" s="360"/>
      <c r="N1211" s="360"/>
      <c r="O1211" s="360"/>
      <c r="P1211" s="360"/>
      <c r="Q1211" s="360"/>
      <c r="R1211" s="360"/>
    </row>
    <row r="1212" customFormat="false" ht="39.75" hidden="false" customHeight="true" outlineLevel="0" collapsed="false">
      <c r="A1212" s="562"/>
      <c r="B1212" s="574"/>
      <c r="C1212" s="562"/>
      <c r="D1212" s="562"/>
      <c r="E1212" s="562"/>
      <c r="F1212" s="563"/>
      <c r="G1212" s="563"/>
      <c r="H1212" s="564"/>
      <c r="I1212" s="565"/>
      <c r="J1212" s="580"/>
      <c r="K1212" s="360"/>
      <c r="L1212" s="360"/>
      <c r="M1212" s="360"/>
      <c r="N1212" s="360"/>
      <c r="O1212" s="360"/>
      <c r="P1212" s="360"/>
      <c r="Q1212" s="360"/>
      <c r="R1212" s="360"/>
    </row>
    <row r="1213" customFormat="false" ht="39.75" hidden="false" customHeight="true" outlineLevel="0" collapsed="false">
      <c r="A1213" s="562"/>
      <c r="B1213" s="574"/>
      <c r="C1213" s="562"/>
      <c r="D1213" s="562"/>
      <c r="E1213" s="562"/>
      <c r="F1213" s="563"/>
      <c r="G1213" s="563"/>
      <c r="H1213" s="564"/>
      <c r="I1213" s="565"/>
      <c r="J1213" s="580"/>
      <c r="K1213" s="360"/>
      <c r="L1213" s="360"/>
      <c r="M1213" s="360"/>
      <c r="N1213" s="360"/>
      <c r="O1213" s="360"/>
      <c r="P1213" s="360"/>
      <c r="Q1213" s="360"/>
      <c r="R1213" s="360"/>
    </row>
    <row r="1214" customFormat="false" ht="39.75" hidden="false" customHeight="true" outlineLevel="0" collapsed="false">
      <c r="A1214" s="562"/>
      <c r="B1214" s="574"/>
      <c r="C1214" s="562"/>
      <c r="D1214" s="562"/>
      <c r="E1214" s="562"/>
      <c r="F1214" s="563"/>
      <c r="G1214" s="563"/>
      <c r="H1214" s="564"/>
      <c r="I1214" s="565"/>
      <c r="J1214" s="580"/>
      <c r="K1214" s="360"/>
      <c r="L1214" s="360"/>
      <c r="M1214" s="360"/>
      <c r="N1214" s="360"/>
      <c r="O1214" s="360"/>
      <c r="P1214" s="360"/>
      <c r="Q1214" s="360"/>
      <c r="R1214" s="360"/>
    </row>
    <row r="1215" customFormat="false" ht="39.75" hidden="false" customHeight="true" outlineLevel="0" collapsed="false">
      <c r="A1215" s="562"/>
      <c r="B1215" s="574"/>
      <c r="C1215" s="562"/>
      <c r="D1215" s="562"/>
      <c r="E1215" s="562"/>
      <c r="F1215" s="563"/>
      <c r="G1215" s="563"/>
      <c r="H1215" s="564"/>
      <c r="I1215" s="565"/>
      <c r="J1215" s="580"/>
      <c r="K1215" s="360"/>
      <c r="L1215" s="360"/>
      <c r="M1215" s="360"/>
      <c r="N1215" s="360"/>
      <c r="O1215" s="360"/>
      <c r="P1215" s="360"/>
      <c r="Q1215" s="360"/>
      <c r="R1215" s="360"/>
    </row>
    <row r="1216" customFormat="false" ht="39.75" hidden="false" customHeight="true" outlineLevel="0" collapsed="false">
      <c r="A1216" s="562"/>
      <c r="B1216" s="574"/>
      <c r="C1216" s="562"/>
      <c r="D1216" s="562"/>
      <c r="E1216" s="562"/>
      <c r="F1216" s="563"/>
      <c r="G1216" s="563"/>
      <c r="H1216" s="564"/>
      <c r="I1216" s="565"/>
      <c r="J1216" s="580"/>
      <c r="K1216" s="360"/>
      <c r="L1216" s="360"/>
      <c r="M1216" s="360"/>
      <c r="N1216" s="360"/>
      <c r="O1216" s="360"/>
      <c r="P1216" s="360"/>
      <c r="Q1216" s="360"/>
      <c r="R1216" s="360"/>
    </row>
    <row r="1217" customFormat="false" ht="39.75" hidden="false" customHeight="true" outlineLevel="0" collapsed="false">
      <c r="A1217" s="562"/>
      <c r="B1217" s="574"/>
      <c r="C1217" s="562"/>
      <c r="D1217" s="562"/>
      <c r="E1217" s="562"/>
      <c r="F1217" s="563"/>
      <c r="G1217" s="563"/>
      <c r="H1217" s="564"/>
      <c r="I1217" s="565"/>
      <c r="J1217" s="580"/>
      <c r="K1217" s="360"/>
      <c r="L1217" s="360"/>
      <c r="M1217" s="360"/>
      <c r="N1217" s="360"/>
      <c r="O1217" s="360"/>
      <c r="P1217" s="360"/>
      <c r="Q1217" s="360"/>
      <c r="R1217" s="360"/>
    </row>
    <row r="1218" customFormat="false" ht="39.75" hidden="false" customHeight="true" outlineLevel="0" collapsed="false">
      <c r="A1218" s="562"/>
      <c r="B1218" s="574"/>
      <c r="C1218" s="562"/>
      <c r="D1218" s="562"/>
      <c r="E1218" s="562"/>
      <c r="F1218" s="563"/>
      <c r="G1218" s="563"/>
      <c r="H1218" s="564"/>
      <c r="I1218" s="565"/>
      <c r="J1218" s="580"/>
      <c r="K1218" s="360"/>
      <c r="L1218" s="360"/>
      <c r="M1218" s="360"/>
      <c r="N1218" s="360"/>
      <c r="O1218" s="360"/>
      <c r="P1218" s="360"/>
      <c r="Q1218" s="360"/>
      <c r="R1218" s="360"/>
    </row>
    <row r="1219" customFormat="false" ht="39.75" hidden="false" customHeight="true" outlineLevel="0" collapsed="false">
      <c r="A1219" s="562"/>
      <c r="B1219" s="574"/>
      <c r="C1219" s="562"/>
      <c r="D1219" s="562"/>
      <c r="E1219" s="562"/>
      <c r="F1219" s="563"/>
      <c r="G1219" s="563"/>
      <c r="H1219" s="564"/>
      <c r="I1219" s="565"/>
      <c r="J1219" s="580"/>
      <c r="K1219" s="360"/>
      <c r="L1219" s="360"/>
      <c r="M1219" s="360"/>
      <c r="N1219" s="360"/>
      <c r="O1219" s="360"/>
      <c r="P1219" s="360"/>
      <c r="Q1219" s="360"/>
      <c r="R1219" s="360"/>
    </row>
    <row r="1220" customFormat="false" ht="39.75" hidden="false" customHeight="true" outlineLevel="0" collapsed="false">
      <c r="A1220" s="562"/>
      <c r="B1220" s="574"/>
      <c r="C1220" s="562"/>
      <c r="D1220" s="562"/>
      <c r="E1220" s="562"/>
      <c r="F1220" s="563"/>
      <c r="G1220" s="563"/>
      <c r="H1220" s="564"/>
      <c r="I1220" s="565"/>
      <c r="J1220" s="580"/>
      <c r="K1220" s="360"/>
      <c r="L1220" s="360"/>
      <c r="M1220" s="360"/>
      <c r="N1220" s="360"/>
      <c r="O1220" s="360"/>
      <c r="P1220" s="360"/>
      <c r="Q1220" s="360"/>
      <c r="R1220" s="360"/>
    </row>
    <row r="1221" customFormat="false" ht="39.75" hidden="false" customHeight="true" outlineLevel="0" collapsed="false">
      <c r="A1221" s="562"/>
      <c r="B1221" s="574"/>
      <c r="C1221" s="562"/>
      <c r="D1221" s="562"/>
      <c r="E1221" s="562"/>
      <c r="F1221" s="563"/>
      <c r="G1221" s="563"/>
      <c r="H1221" s="564"/>
      <c r="I1221" s="565"/>
      <c r="J1221" s="580"/>
      <c r="K1221" s="360"/>
      <c r="L1221" s="360"/>
      <c r="M1221" s="360"/>
      <c r="N1221" s="360"/>
      <c r="O1221" s="360"/>
      <c r="P1221" s="360"/>
      <c r="Q1221" s="360"/>
      <c r="R1221" s="360"/>
    </row>
    <row r="1222" customFormat="false" ht="39.75" hidden="false" customHeight="true" outlineLevel="0" collapsed="false">
      <c r="A1222" s="562"/>
      <c r="B1222" s="574"/>
      <c r="C1222" s="562"/>
      <c r="D1222" s="562"/>
      <c r="E1222" s="562"/>
      <c r="F1222" s="563"/>
      <c r="G1222" s="563"/>
      <c r="H1222" s="564"/>
      <c r="I1222" s="565"/>
      <c r="J1222" s="580"/>
      <c r="K1222" s="360"/>
      <c r="L1222" s="360"/>
      <c r="M1222" s="360"/>
      <c r="N1222" s="360"/>
      <c r="O1222" s="360"/>
      <c r="P1222" s="360"/>
      <c r="Q1222" s="360"/>
      <c r="R1222" s="360"/>
    </row>
    <row r="1223" customFormat="false" ht="39.75" hidden="false" customHeight="true" outlineLevel="0" collapsed="false">
      <c r="A1223" s="562"/>
      <c r="B1223" s="574"/>
      <c r="C1223" s="562"/>
      <c r="D1223" s="562"/>
      <c r="E1223" s="562"/>
      <c r="F1223" s="563"/>
      <c r="G1223" s="563"/>
      <c r="H1223" s="564"/>
      <c r="I1223" s="565"/>
      <c r="J1223" s="580"/>
      <c r="K1223" s="360"/>
      <c r="L1223" s="360"/>
      <c r="M1223" s="360"/>
      <c r="N1223" s="360"/>
      <c r="O1223" s="360"/>
      <c r="P1223" s="360"/>
      <c r="Q1223" s="360"/>
      <c r="R1223" s="360"/>
    </row>
    <row r="1224" customFormat="false" ht="39.75" hidden="false" customHeight="true" outlineLevel="0" collapsed="false">
      <c r="A1224" s="562"/>
      <c r="B1224" s="574"/>
      <c r="C1224" s="562"/>
      <c r="D1224" s="562"/>
      <c r="E1224" s="562"/>
      <c r="F1224" s="563"/>
      <c r="G1224" s="563"/>
      <c r="H1224" s="564"/>
      <c r="I1224" s="565"/>
      <c r="J1224" s="580"/>
      <c r="K1224" s="360"/>
      <c r="L1224" s="360"/>
      <c r="M1224" s="360"/>
      <c r="N1224" s="360"/>
      <c r="O1224" s="360"/>
      <c r="P1224" s="360"/>
      <c r="Q1224" s="360"/>
      <c r="R1224" s="360"/>
    </row>
    <row r="1225" customFormat="false" ht="39.75" hidden="false" customHeight="true" outlineLevel="0" collapsed="false">
      <c r="A1225" s="562"/>
      <c r="B1225" s="574"/>
      <c r="C1225" s="562"/>
      <c r="D1225" s="562"/>
      <c r="E1225" s="562"/>
      <c r="F1225" s="563"/>
      <c r="G1225" s="563"/>
      <c r="H1225" s="564"/>
      <c r="I1225" s="565"/>
      <c r="J1225" s="580"/>
      <c r="K1225" s="360"/>
      <c r="L1225" s="360"/>
      <c r="M1225" s="360"/>
      <c r="N1225" s="360"/>
      <c r="O1225" s="360"/>
      <c r="P1225" s="360"/>
      <c r="Q1225" s="360"/>
      <c r="R1225" s="360"/>
    </row>
    <row r="1226" customFormat="false" ht="39.75" hidden="false" customHeight="true" outlineLevel="0" collapsed="false">
      <c r="A1226" s="562"/>
      <c r="B1226" s="574"/>
      <c r="C1226" s="562"/>
      <c r="D1226" s="562"/>
      <c r="E1226" s="562"/>
      <c r="F1226" s="563"/>
      <c r="G1226" s="563"/>
      <c r="H1226" s="564"/>
      <c r="I1226" s="565"/>
      <c r="J1226" s="580"/>
      <c r="K1226" s="360"/>
      <c r="L1226" s="360"/>
      <c r="M1226" s="360"/>
      <c r="N1226" s="360"/>
      <c r="O1226" s="360"/>
      <c r="P1226" s="360"/>
      <c r="Q1226" s="360"/>
      <c r="R1226" s="360"/>
    </row>
    <row r="1227" customFormat="false" ht="39.75" hidden="false" customHeight="true" outlineLevel="0" collapsed="false">
      <c r="A1227" s="562"/>
      <c r="B1227" s="574"/>
      <c r="C1227" s="562"/>
      <c r="D1227" s="562"/>
      <c r="E1227" s="562"/>
      <c r="F1227" s="563"/>
      <c r="G1227" s="563"/>
      <c r="H1227" s="564"/>
      <c r="I1227" s="565"/>
      <c r="J1227" s="580"/>
      <c r="K1227" s="360"/>
      <c r="L1227" s="360"/>
      <c r="M1227" s="360"/>
      <c r="N1227" s="360"/>
      <c r="O1227" s="360"/>
      <c r="P1227" s="360"/>
      <c r="Q1227" s="360"/>
      <c r="R1227" s="360"/>
    </row>
    <row r="1228" customFormat="false" ht="39.75" hidden="false" customHeight="true" outlineLevel="0" collapsed="false">
      <c r="A1228" s="562"/>
      <c r="B1228" s="574"/>
      <c r="C1228" s="562"/>
      <c r="D1228" s="562"/>
      <c r="E1228" s="562"/>
      <c r="F1228" s="563"/>
      <c r="G1228" s="563"/>
      <c r="H1228" s="564"/>
      <c r="I1228" s="565"/>
      <c r="J1228" s="580"/>
      <c r="K1228" s="360"/>
      <c r="L1228" s="360"/>
      <c r="M1228" s="360"/>
      <c r="N1228" s="360"/>
      <c r="O1228" s="360"/>
      <c r="P1228" s="360"/>
      <c r="Q1228" s="360"/>
      <c r="R1228" s="360"/>
    </row>
    <row r="1229" customFormat="false" ht="39.75" hidden="false" customHeight="true" outlineLevel="0" collapsed="false">
      <c r="A1229" s="562"/>
      <c r="B1229" s="574"/>
      <c r="C1229" s="562"/>
      <c r="D1229" s="562"/>
      <c r="E1229" s="562"/>
      <c r="F1229" s="563"/>
      <c r="G1229" s="563"/>
      <c r="H1229" s="564"/>
      <c r="I1229" s="565"/>
      <c r="J1229" s="580"/>
      <c r="K1229" s="360"/>
      <c r="L1229" s="360"/>
      <c r="M1229" s="360"/>
      <c r="N1229" s="360"/>
      <c r="O1229" s="360"/>
      <c r="P1229" s="360"/>
      <c r="Q1229" s="360"/>
      <c r="R1229" s="360"/>
    </row>
    <row r="1230" customFormat="false" ht="39.75" hidden="false" customHeight="true" outlineLevel="0" collapsed="false">
      <c r="A1230" s="562"/>
      <c r="B1230" s="574"/>
      <c r="C1230" s="562"/>
      <c r="D1230" s="562"/>
      <c r="E1230" s="562"/>
      <c r="F1230" s="563"/>
      <c r="G1230" s="563"/>
      <c r="H1230" s="564"/>
      <c r="I1230" s="565"/>
      <c r="J1230" s="580"/>
      <c r="K1230" s="360"/>
      <c r="L1230" s="360"/>
      <c r="M1230" s="360"/>
      <c r="N1230" s="360"/>
      <c r="O1230" s="360"/>
      <c r="P1230" s="360"/>
      <c r="Q1230" s="360"/>
      <c r="R1230" s="360"/>
    </row>
    <row r="1231" customFormat="false" ht="39.75" hidden="false" customHeight="true" outlineLevel="0" collapsed="false">
      <c r="A1231" s="562"/>
      <c r="B1231" s="574"/>
      <c r="C1231" s="562"/>
      <c r="D1231" s="562"/>
      <c r="E1231" s="562"/>
      <c r="F1231" s="563"/>
      <c r="G1231" s="563"/>
      <c r="H1231" s="564"/>
      <c r="I1231" s="565"/>
      <c r="J1231" s="580"/>
      <c r="K1231" s="360"/>
      <c r="L1231" s="360"/>
      <c r="M1231" s="360"/>
      <c r="N1231" s="360"/>
      <c r="O1231" s="360"/>
      <c r="P1231" s="360"/>
      <c r="Q1231" s="360"/>
      <c r="R1231" s="360"/>
    </row>
    <row r="1232" customFormat="false" ht="39.75" hidden="false" customHeight="true" outlineLevel="0" collapsed="false">
      <c r="A1232" s="562"/>
      <c r="B1232" s="574"/>
      <c r="C1232" s="562"/>
      <c r="D1232" s="562"/>
      <c r="E1232" s="562"/>
      <c r="F1232" s="563"/>
      <c r="G1232" s="563"/>
      <c r="H1232" s="564"/>
      <c r="I1232" s="565"/>
      <c r="J1232" s="580"/>
      <c r="K1232" s="360"/>
      <c r="L1232" s="360"/>
      <c r="M1232" s="360"/>
      <c r="N1232" s="360"/>
      <c r="O1232" s="360"/>
      <c r="P1232" s="360"/>
      <c r="Q1232" s="360"/>
      <c r="R1232" s="360"/>
    </row>
    <row r="1233" customFormat="false" ht="39.75" hidden="false" customHeight="true" outlineLevel="0" collapsed="false">
      <c r="A1233" s="562"/>
      <c r="B1233" s="574"/>
      <c r="C1233" s="562"/>
      <c r="D1233" s="562"/>
      <c r="E1233" s="562"/>
      <c r="F1233" s="563"/>
      <c r="G1233" s="563"/>
      <c r="H1233" s="564"/>
      <c r="I1233" s="565"/>
      <c r="J1233" s="580"/>
      <c r="K1233" s="360"/>
      <c r="L1233" s="360"/>
      <c r="M1233" s="360"/>
      <c r="N1233" s="360"/>
      <c r="O1233" s="360"/>
      <c r="P1233" s="360"/>
      <c r="Q1233" s="360"/>
      <c r="R1233" s="360"/>
    </row>
    <row r="1234" customFormat="false" ht="39.75" hidden="false" customHeight="true" outlineLevel="0" collapsed="false">
      <c r="A1234" s="562"/>
      <c r="B1234" s="574"/>
      <c r="C1234" s="562"/>
      <c r="D1234" s="562"/>
      <c r="E1234" s="562"/>
      <c r="F1234" s="563"/>
      <c r="G1234" s="563"/>
      <c r="H1234" s="564"/>
      <c r="I1234" s="565"/>
      <c r="J1234" s="580"/>
      <c r="K1234" s="360"/>
      <c r="L1234" s="360"/>
      <c r="M1234" s="360"/>
      <c r="N1234" s="360"/>
      <c r="O1234" s="360"/>
      <c r="P1234" s="360"/>
      <c r="Q1234" s="360"/>
      <c r="R1234" s="360"/>
    </row>
    <row r="1235" customFormat="false" ht="39.75" hidden="false" customHeight="true" outlineLevel="0" collapsed="false">
      <c r="A1235" s="562"/>
      <c r="B1235" s="574"/>
      <c r="C1235" s="562"/>
      <c r="D1235" s="562"/>
      <c r="E1235" s="562"/>
      <c r="F1235" s="563"/>
      <c r="G1235" s="563"/>
      <c r="H1235" s="564"/>
      <c r="I1235" s="565"/>
      <c r="J1235" s="580"/>
      <c r="K1235" s="360"/>
      <c r="L1235" s="360"/>
      <c r="M1235" s="360"/>
      <c r="N1235" s="360"/>
      <c r="O1235" s="360"/>
      <c r="P1235" s="360"/>
      <c r="Q1235" s="360"/>
      <c r="R1235" s="360"/>
    </row>
    <row r="1236" customFormat="false" ht="39.75" hidden="false" customHeight="true" outlineLevel="0" collapsed="false">
      <c r="A1236" s="562"/>
      <c r="B1236" s="574"/>
      <c r="C1236" s="562"/>
      <c r="D1236" s="562"/>
      <c r="E1236" s="562"/>
      <c r="F1236" s="563"/>
      <c r="G1236" s="563"/>
      <c r="H1236" s="564"/>
      <c r="I1236" s="565"/>
      <c r="J1236" s="580"/>
      <c r="K1236" s="360"/>
      <c r="L1236" s="360"/>
      <c r="M1236" s="360"/>
      <c r="N1236" s="360"/>
      <c r="O1236" s="360"/>
      <c r="P1236" s="360"/>
      <c r="Q1236" s="360"/>
      <c r="R1236" s="360"/>
    </row>
    <row r="1237" customFormat="false" ht="39.75" hidden="false" customHeight="true" outlineLevel="0" collapsed="false">
      <c r="A1237" s="562"/>
      <c r="B1237" s="574"/>
      <c r="C1237" s="562"/>
      <c r="D1237" s="562"/>
      <c r="E1237" s="562"/>
      <c r="F1237" s="563"/>
      <c r="G1237" s="563"/>
      <c r="H1237" s="564"/>
      <c r="I1237" s="565"/>
      <c r="J1237" s="580"/>
      <c r="K1237" s="360"/>
      <c r="L1237" s="360"/>
      <c r="M1237" s="360"/>
      <c r="N1237" s="360"/>
      <c r="O1237" s="360"/>
      <c r="P1237" s="360"/>
      <c r="Q1237" s="360"/>
      <c r="R1237" s="360"/>
    </row>
    <row r="1238" customFormat="false" ht="39.75" hidden="false" customHeight="true" outlineLevel="0" collapsed="false">
      <c r="A1238" s="562"/>
      <c r="B1238" s="574"/>
      <c r="C1238" s="562"/>
      <c r="D1238" s="562"/>
      <c r="E1238" s="562"/>
      <c r="F1238" s="563"/>
      <c r="G1238" s="563"/>
      <c r="H1238" s="564"/>
      <c r="I1238" s="565"/>
      <c r="J1238" s="580"/>
      <c r="K1238" s="360"/>
      <c r="L1238" s="360"/>
      <c r="M1238" s="360"/>
      <c r="N1238" s="360"/>
      <c r="O1238" s="360"/>
      <c r="P1238" s="360"/>
      <c r="Q1238" s="360"/>
      <c r="R1238" s="360"/>
    </row>
    <row r="1239" customFormat="false" ht="39.75" hidden="false" customHeight="true" outlineLevel="0" collapsed="false">
      <c r="A1239" s="562"/>
      <c r="B1239" s="574"/>
      <c r="C1239" s="562"/>
      <c r="D1239" s="562"/>
      <c r="E1239" s="562"/>
      <c r="F1239" s="563"/>
      <c r="G1239" s="563"/>
      <c r="H1239" s="564"/>
      <c r="I1239" s="565"/>
      <c r="J1239" s="580"/>
      <c r="K1239" s="360"/>
      <c r="L1239" s="360"/>
      <c r="M1239" s="360"/>
      <c r="N1239" s="360"/>
      <c r="O1239" s="360"/>
      <c r="P1239" s="360"/>
      <c r="Q1239" s="360"/>
      <c r="R1239" s="360"/>
    </row>
    <row r="1240" customFormat="false" ht="39.75" hidden="false" customHeight="true" outlineLevel="0" collapsed="false">
      <c r="A1240" s="562"/>
      <c r="B1240" s="574"/>
      <c r="C1240" s="562"/>
      <c r="D1240" s="562"/>
      <c r="E1240" s="562"/>
      <c r="F1240" s="563"/>
      <c r="G1240" s="563"/>
      <c r="H1240" s="564"/>
      <c r="I1240" s="565"/>
      <c r="J1240" s="580"/>
      <c r="K1240" s="360"/>
      <c r="L1240" s="360"/>
      <c r="M1240" s="360"/>
      <c r="N1240" s="360"/>
      <c r="O1240" s="360"/>
      <c r="P1240" s="360"/>
      <c r="Q1240" s="360"/>
      <c r="R1240" s="360"/>
    </row>
    <row r="1241" customFormat="false" ht="39.75" hidden="false" customHeight="true" outlineLevel="0" collapsed="false">
      <c r="A1241" s="562"/>
      <c r="B1241" s="574"/>
      <c r="C1241" s="562"/>
      <c r="D1241" s="562"/>
      <c r="E1241" s="562"/>
      <c r="F1241" s="563"/>
      <c r="G1241" s="563"/>
      <c r="H1241" s="564"/>
      <c r="I1241" s="565"/>
      <c r="J1241" s="580"/>
      <c r="K1241" s="360"/>
      <c r="L1241" s="360"/>
      <c r="M1241" s="360"/>
      <c r="N1241" s="360"/>
      <c r="O1241" s="360"/>
      <c r="P1241" s="360"/>
      <c r="Q1241" s="360"/>
      <c r="R1241" s="360"/>
    </row>
    <row r="1242" customFormat="false" ht="39.75" hidden="false" customHeight="true" outlineLevel="0" collapsed="false">
      <c r="A1242" s="562"/>
      <c r="B1242" s="574"/>
      <c r="C1242" s="562"/>
      <c r="D1242" s="562"/>
      <c r="E1242" s="562"/>
      <c r="F1242" s="563"/>
      <c r="G1242" s="563"/>
      <c r="H1242" s="564"/>
      <c r="I1242" s="565"/>
      <c r="J1242" s="580"/>
      <c r="K1242" s="360"/>
      <c r="L1242" s="360"/>
      <c r="M1242" s="360"/>
      <c r="N1242" s="360"/>
      <c r="O1242" s="360"/>
      <c r="P1242" s="360"/>
      <c r="Q1242" s="360"/>
      <c r="R1242" s="360"/>
    </row>
    <row r="1243" customFormat="false" ht="39.75" hidden="false" customHeight="true" outlineLevel="0" collapsed="false">
      <c r="A1243" s="562"/>
      <c r="B1243" s="574"/>
      <c r="C1243" s="562"/>
      <c r="D1243" s="562"/>
      <c r="E1243" s="562"/>
      <c r="F1243" s="563"/>
      <c r="G1243" s="563"/>
      <c r="H1243" s="564"/>
      <c r="I1243" s="565"/>
      <c r="J1243" s="580"/>
      <c r="K1243" s="360"/>
      <c r="L1243" s="360"/>
      <c r="M1243" s="360"/>
      <c r="N1243" s="360"/>
      <c r="O1243" s="360"/>
      <c r="P1243" s="360"/>
      <c r="Q1243" s="360"/>
      <c r="R1243" s="360"/>
    </row>
    <row r="1244" customFormat="false" ht="39.75" hidden="false" customHeight="true" outlineLevel="0" collapsed="false">
      <c r="A1244" s="562"/>
      <c r="B1244" s="574"/>
      <c r="C1244" s="562"/>
      <c r="D1244" s="562"/>
      <c r="E1244" s="562"/>
      <c r="F1244" s="563"/>
      <c r="G1244" s="563"/>
      <c r="H1244" s="564"/>
      <c r="I1244" s="565"/>
      <c r="J1244" s="580"/>
      <c r="K1244" s="360"/>
      <c r="L1244" s="360"/>
      <c r="M1244" s="360"/>
      <c r="N1244" s="360"/>
      <c r="O1244" s="360"/>
      <c r="P1244" s="360"/>
      <c r="Q1244" s="360"/>
      <c r="R1244" s="360"/>
    </row>
    <row r="1245" customFormat="false" ht="39.75" hidden="false" customHeight="true" outlineLevel="0" collapsed="false">
      <c r="A1245" s="562"/>
      <c r="B1245" s="574"/>
      <c r="C1245" s="562"/>
      <c r="D1245" s="562"/>
      <c r="E1245" s="562"/>
      <c r="F1245" s="563"/>
      <c r="G1245" s="563"/>
      <c r="H1245" s="564"/>
      <c r="I1245" s="565"/>
      <c r="J1245" s="580"/>
      <c r="K1245" s="360"/>
      <c r="L1245" s="360"/>
      <c r="M1245" s="360"/>
      <c r="N1245" s="360"/>
      <c r="O1245" s="360"/>
      <c r="P1245" s="360"/>
      <c r="Q1245" s="360"/>
      <c r="R1245" s="360"/>
    </row>
    <row r="1246" customFormat="false" ht="39.75" hidden="false" customHeight="true" outlineLevel="0" collapsed="false">
      <c r="A1246" s="562"/>
      <c r="B1246" s="574"/>
      <c r="C1246" s="562"/>
      <c r="D1246" s="562"/>
      <c r="E1246" s="562"/>
      <c r="F1246" s="563"/>
      <c r="G1246" s="563"/>
      <c r="H1246" s="564"/>
      <c r="I1246" s="565"/>
      <c r="J1246" s="580"/>
      <c r="K1246" s="360"/>
      <c r="L1246" s="360"/>
      <c r="M1246" s="360"/>
      <c r="N1246" s="360"/>
      <c r="O1246" s="360"/>
      <c r="P1246" s="360"/>
      <c r="Q1246" s="360"/>
      <c r="R1246" s="360"/>
    </row>
    <row r="1247" customFormat="false" ht="39.75" hidden="false" customHeight="true" outlineLevel="0" collapsed="false">
      <c r="A1247" s="562"/>
      <c r="B1247" s="574"/>
      <c r="C1247" s="562"/>
      <c r="D1247" s="562"/>
      <c r="E1247" s="562"/>
      <c r="F1247" s="563"/>
      <c r="G1247" s="563"/>
      <c r="H1247" s="564"/>
      <c r="I1247" s="565"/>
      <c r="J1247" s="580"/>
      <c r="K1247" s="360"/>
      <c r="L1247" s="360"/>
      <c r="M1247" s="360"/>
      <c r="N1247" s="360"/>
      <c r="O1247" s="360"/>
      <c r="P1247" s="360"/>
      <c r="Q1247" s="360"/>
      <c r="R1247" s="360"/>
    </row>
    <row r="1248" customFormat="false" ht="39.75" hidden="false" customHeight="true" outlineLevel="0" collapsed="false">
      <c r="A1248" s="562"/>
      <c r="B1248" s="574"/>
      <c r="C1248" s="562"/>
      <c r="D1248" s="562"/>
      <c r="E1248" s="562"/>
      <c r="F1248" s="563"/>
      <c r="G1248" s="563"/>
      <c r="H1248" s="564"/>
      <c r="I1248" s="565"/>
      <c r="J1248" s="580"/>
      <c r="K1248" s="360"/>
      <c r="L1248" s="360"/>
      <c r="M1248" s="360"/>
      <c r="N1248" s="360"/>
      <c r="O1248" s="360"/>
      <c r="P1248" s="360"/>
      <c r="Q1248" s="360"/>
      <c r="R1248" s="360"/>
    </row>
    <row r="1249" customFormat="false" ht="39.75" hidden="false" customHeight="true" outlineLevel="0" collapsed="false">
      <c r="A1249" s="562"/>
      <c r="B1249" s="574"/>
      <c r="C1249" s="562"/>
      <c r="D1249" s="562"/>
      <c r="E1249" s="562"/>
      <c r="F1249" s="563"/>
      <c r="G1249" s="563"/>
      <c r="H1249" s="564"/>
      <c r="I1249" s="565"/>
      <c r="J1249" s="580"/>
      <c r="K1249" s="360"/>
      <c r="L1249" s="360"/>
      <c r="M1249" s="360"/>
      <c r="N1249" s="360"/>
      <c r="O1249" s="360"/>
      <c r="P1249" s="360"/>
      <c r="Q1249" s="360"/>
      <c r="R1249" s="360"/>
    </row>
    <row r="1250" customFormat="false" ht="39.75" hidden="false" customHeight="true" outlineLevel="0" collapsed="false">
      <c r="A1250" s="562"/>
      <c r="B1250" s="574"/>
      <c r="C1250" s="562"/>
      <c r="D1250" s="562"/>
      <c r="E1250" s="562"/>
      <c r="F1250" s="563"/>
      <c r="G1250" s="563"/>
      <c r="H1250" s="564"/>
      <c r="I1250" s="565"/>
      <c r="J1250" s="580"/>
      <c r="K1250" s="360"/>
      <c r="L1250" s="360"/>
      <c r="M1250" s="360"/>
      <c r="N1250" s="360"/>
      <c r="O1250" s="360"/>
      <c r="P1250" s="360"/>
      <c r="Q1250" s="360"/>
      <c r="R1250" s="360"/>
    </row>
    <row r="1251" customFormat="false" ht="39.75" hidden="false" customHeight="true" outlineLevel="0" collapsed="false">
      <c r="A1251" s="562"/>
      <c r="B1251" s="574"/>
      <c r="C1251" s="562"/>
      <c r="D1251" s="562"/>
      <c r="E1251" s="562"/>
      <c r="F1251" s="563"/>
      <c r="G1251" s="563"/>
      <c r="H1251" s="564"/>
      <c r="I1251" s="565"/>
      <c r="J1251" s="580"/>
      <c r="K1251" s="360"/>
      <c r="L1251" s="360"/>
      <c r="M1251" s="360"/>
      <c r="N1251" s="360"/>
      <c r="O1251" s="360"/>
      <c r="P1251" s="360"/>
      <c r="Q1251" s="360"/>
      <c r="R1251" s="360"/>
    </row>
    <row r="1252" customFormat="false" ht="39.75" hidden="false" customHeight="true" outlineLevel="0" collapsed="false">
      <c r="A1252" s="562"/>
      <c r="B1252" s="574"/>
      <c r="C1252" s="562"/>
      <c r="D1252" s="562"/>
      <c r="E1252" s="562"/>
      <c r="F1252" s="563"/>
      <c r="G1252" s="563"/>
      <c r="H1252" s="564"/>
      <c r="I1252" s="565"/>
      <c r="J1252" s="580"/>
      <c r="K1252" s="360"/>
      <c r="L1252" s="360"/>
      <c r="M1252" s="360"/>
      <c r="N1252" s="360"/>
      <c r="O1252" s="360"/>
      <c r="P1252" s="360"/>
      <c r="Q1252" s="360"/>
      <c r="R1252" s="360"/>
    </row>
    <row r="1253" customFormat="false" ht="39.75" hidden="false" customHeight="true" outlineLevel="0" collapsed="false">
      <c r="A1253" s="562"/>
      <c r="B1253" s="574"/>
      <c r="C1253" s="562"/>
      <c r="D1253" s="562"/>
      <c r="E1253" s="562"/>
      <c r="F1253" s="563"/>
      <c r="G1253" s="563"/>
      <c r="H1253" s="564"/>
      <c r="I1253" s="565"/>
      <c r="J1253" s="580"/>
      <c r="K1253" s="360"/>
      <c r="L1253" s="360"/>
      <c r="M1253" s="360"/>
      <c r="N1253" s="360"/>
      <c r="O1253" s="360"/>
      <c r="P1253" s="360"/>
      <c r="Q1253" s="360"/>
      <c r="R1253" s="360"/>
    </row>
    <row r="1254" customFormat="false" ht="39.75" hidden="false" customHeight="true" outlineLevel="0" collapsed="false">
      <c r="A1254" s="562"/>
      <c r="B1254" s="574"/>
      <c r="C1254" s="562"/>
      <c r="D1254" s="562"/>
      <c r="E1254" s="562"/>
      <c r="F1254" s="563"/>
      <c r="G1254" s="563"/>
      <c r="H1254" s="564"/>
      <c r="I1254" s="565"/>
      <c r="J1254" s="580"/>
      <c r="K1254" s="360"/>
      <c r="L1254" s="360"/>
      <c r="M1254" s="360"/>
      <c r="N1254" s="360"/>
      <c r="O1254" s="360"/>
      <c r="P1254" s="360"/>
      <c r="Q1254" s="360"/>
      <c r="R1254" s="360"/>
    </row>
    <row r="1255" customFormat="false" ht="39.75" hidden="false" customHeight="true" outlineLevel="0" collapsed="false">
      <c r="A1255" s="562"/>
      <c r="B1255" s="574"/>
      <c r="C1255" s="562"/>
      <c r="D1255" s="562"/>
      <c r="E1255" s="562"/>
      <c r="F1255" s="563"/>
      <c r="G1255" s="563"/>
      <c r="H1255" s="564"/>
      <c r="I1255" s="565"/>
      <c r="J1255" s="580"/>
      <c r="K1255" s="360"/>
      <c r="L1255" s="360"/>
      <c r="M1255" s="360"/>
      <c r="N1255" s="360"/>
      <c r="O1255" s="360"/>
      <c r="P1255" s="360"/>
      <c r="Q1255" s="360"/>
      <c r="R1255" s="360"/>
    </row>
    <row r="1256" customFormat="false" ht="39.75" hidden="false" customHeight="true" outlineLevel="0" collapsed="false">
      <c r="A1256" s="562"/>
      <c r="B1256" s="574"/>
      <c r="C1256" s="562"/>
      <c r="D1256" s="562"/>
      <c r="E1256" s="562"/>
      <c r="F1256" s="563"/>
      <c r="G1256" s="563"/>
      <c r="H1256" s="564"/>
      <c r="I1256" s="565"/>
      <c r="J1256" s="580"/>
      <c r="K1256" s="360"/>
      <c r="L1256" s="360"/>
      <c r="M1256" s="360"/>
      <c r="N1256" s="360"/>
      <c r="O1256" s="360"/>
      <c r="P1256" s="360"/>
      <c r="Q1256" s="360"/>
      <c r="R1256" s="360"/>
    </row>
    <row r="1257" customFormat="false" ht="39.75" hidden="false" customHeight="true" outlineLevel="0" collapsed="false">
      <c r="A1257" s="562"/>
      <c r="B1257" s="574"/>
      <c r="C1257" s="562"/>
      <c r="D1257" s="562"/>
      <c r="E1257" s="562"/>
      <c r="F1257" s="563"/>
      <c r="G1257" s="563"/>
      <c r="H1257" s="564"/>
      <c r="I1257" s="565"/>
      <c r="J1257" s="580"/>
      <c r="K1257" s="360"/>
      <c r="L1257" s="360"/>
      <c r="M1257" s="360"/>
      <c r="N1257" s="360"/>
      <c r="O1257" s="360"/>
      <c r="P1257" s="360"/>
      <c r="Q1257" s="360"/>
      <c r="R1257" s="360"/>
    </row>
    <row r="1258" customFormat="false" ht="39.75" hidden="false" customHeight="true" outlineLevel="0" collapsed="false">
      <c r="A1258" s="562"/>
      <c r="B1258" s="574"/>
      <c r="C1258" s="562"/>
      <c r="D1258" s="562"/>
      <c r="E1258" s="562"/>
      <c r="F1258" s="563"/>
      <c r="G1258" s="563"/>
      <c r="H1258" s="564"/>
      <c r="I1258" s="565"/>
      <c r="J1258" s="580"/>
      <c r="K1258" s="360"/>
      <c r="L1258" s="360"/>
      <c r="M1258" s="360"/>
      <c r="N1258" s="360"/>
      <c r="O1258" s="360"/>
      <c r="P1258" s="360"/>
      <c r="Q1258" s="360"/>
      <c r="R1258" s="360"/>
    </row>
    <row r="1259" customFormat="false" ht="39.75" hidden="false" customHeight="true" outlineLevel="0" collapsed="false">
      <c r="A1259" s="562"/>
      <c r="B1259" s="574"/>
      <c r="C1259" s="562"/>
      <c r="D1259" s="562"/>
      <c r="E1259" s="562"/>
      <c r="F1259" s="563"/>
      <c r="G1259" s="563"/>
      <c r="H1259" s="564"/>
      <c r="I1259" s="565"/>
      <c r="J1259" s="580"/>
      <c r="K1259" s="360"/>
      <c r="L1259" s="360"/>
      <c r="M1259" s="360"/>
      <c r="N1259" s="360"/>
      <c r="O1259" s="360"/>
      <c r="P1259" s="360"/>
      <c r="Q1259" s="360"/>
      <c r="R1259" s="360"/>
    </row>
    <row r="1260" customFormat="false" ht="39.75" hidden="false" customHeight="true" outlineLevel="0" collapsed="false">
      <c r="A1260" s="562"/>
      <c r="B1260" s="574"/>
      <c r="C1260" s="562"/>
      <c r="D1260" s="562"/>
      <c r="E1260" s="562"/>
      <c r="F1260" s="563"/>
      <c r="G1260" s="563"/>
      <c r="H1260" s="564"/>
      <c r="I1260" s="565"/>
      <c r="J1260" s="580"/>
      <c r="K1260" s="360"/>
      <c r="L1260" s="360"/>
      <c r="M1260" s="360"/>
      <c r="N1260" s="360"/>
      <c r="O1260" s="360"/>
      <c r="P1260" s="360"/>
      <c r="Q1260" s="360"/>
      <c r="R1260" s="360"/>
    </row>
    <row r="1261" customFormat="false" ht="39.75" hidden="false" customHeight="true" outlineLevel="0" collapsed="false">
      <c r="A1261" s="562"/>
      <c r="B1261" s="574"/>
      <c r="C1261" s="562"/>
      <c r="D1261" s="562"/>
      <c r="E1261" s="562"/>
      <c r="F1261" s="563"/>
      <c r="G1261" s="563"/>
      <c r="H1261" s="564"/>
      <c r="I1261" s="565"/>
      <c r="J1261" s="580"/>
      <c r="K1261" s="360"/>
      <c r="L1261" s="360"/>
      <c r="M1261" s="360"/>
      <c r="N1261" s="360"/>
      <c r="O1261" s="360"/>
      <c r="P1261" s="360"/>
      <c r="Q1261" s="360"/>
      <c r="R1261" s="360"/>
    </row>
    <row r="1262" customFormat="false" ht="39.75" hidden="false" customHeight="true" outlineLevel="0" collapsed="false">
      <c r="A1262" s="562"/>
      <c r="B1262" s="574"/>
      <c r="C1262" s="562"/>
      <c r="D1262" s="562"/>
      <c r="E1262" s="562"/>
      <c r="F1262" s="563"/>
      <c r="G1262" s="563"/>
      <c r="H1262" s="564"/>
      <c r="I1262" s="565"/>
      <c r="J1262" s="580"/>
      <c r="K1262" s="360"/>
      <c r="L1262" s="360"/>
      <c r="M1262" s="360"/>
      <c r="N1262" s="360"/>
      <c r="O1262" s="360"/>
      <c r="P1262" s="360"/>
      <c r="Q1262" s="360"/>
      <c r="R1262" s="360"/>
    </row>
    <row r="1263" customFormat="false" ht="39.75" hidden="false" customHeight="true" outlineLevel="0" collapsed="false">
      <c r="A1263" s="562"/>
      <c r="B1263" s="574"/>
      <c r="C1263" s="562"/>
      <c r="D1263" s="562"/>
      <c r="E1263" s="562"/>
      <c r="F1263" s="563"/>
      <c r="G1263" s="563"/>
      <c r="H1263" s="564"/>
      <c r="I1263" s="565"/>
      <c r="J1263" s="580"/>
      <c r="K1263" s="360"/>
      <c r="L1263" s="360"/>
      <c r="M1263" s="360"/>
      <c r="N1263" s="360"/>
      <c r="O1263" s="360"/>
      <c r="P1263" s="360"/>
      <c r="Q1263" s="360"/>
      <c r="R1263" s="360"/>
    </row>
    <row r="1264" customFormat="false" ht="39.75" hidden="false" customHeight="true" outlineLevel="0" collapsed="false">
      <c r="A1264" s="562"/>
      <c r="B1264" s="574"/>
      <c r="C1264" s="562"/>
      <c r="D1264" s="562"/>
      <c r="E1264" s="562"/>
      <c r="F1264" s="563"/>
      <c r="G1264" s="563"/>
      <c r="H1264" s="564"/>
      <c r="I1264" s="565"/>
      <c r="J1264" s="580"/>
      <c r="K1264" s="360"/>
      <c r="L1264" s="360"/>
      <c r="M1264" s="360"/>
      <c r="N1264" s="360"/>
      <c r="O1264" s="360"/>
      <c r="P1264" s="360"/>
      <c r="Q1264" s="360"/>
      <c r="R1264" s="360"/>
    </row>
    <row r="1265" customFormat="false" ht="39.75" hidden="false" customHeight="true" outlineLevel="0" collapsed="false">
      <c r="A1265" s="562"/>
      <c r="B1265" s="574"/>
      <c r="C1265" s="562"/>
      <c r="D1265" s="562"/>
      <c r="E1265" s="562"/>
      <c r="F1265" s="563"/>
      <c r="G1265" s="563"/>
      <c r="H1265" s="564"/>
      <c r="I1265" s="565"/>
      <c r="J1265" s="580"/>
      <c r="K1265" s="360"/>
      <c r="L1265" s="360"/>
      <c r="M1265" s="360"/>
      <c r="N1265" s="360"/>
      <c r="O1265" s="360"/>
      <c r="P1265" s="360"/>
      <c r="Q1265" s="360"/>
      <c r="R1265" s="360"/>
    </row>
    <row r="1266" customFormat="false" ht="39.75" hidden="false" customHeight="true" outlineLevel="0" collapsed="false">
      <c r="A1266" s="562"/>
      <c r="B1266" s="574"/>
      <c r="C1266" s="562"/>
      <c r="D1266" s="562"/>
      <c r="E1266" s="562"/>
      <c r="F1266" s="563"/>
      <c r="G1266" s="563"/>
      <c r="H1266" s="564"/>
      <c r="I1266" s="565"/>
      <c r="J1266" s="580"/>
      <c r="K1266" s="360"/>
      <c r="L1266" s="360"/>
      <c r="M1266" s="360"/>
      <c r="N1266" s="360"/>
      <c r="O1266" s="360"/>
      <c r="P1266" s="360"/>
      <c r="Q1266" s="360"/>
      <c r="R1266" s="360"/>
    </row>
    <row r="1267" customFormat="false" ht="39.75" hidden="false" customHeight="true" outlineLevel="0" collapsed="false">
      <c r="A1267" s="562"/>
      <c r="B1267" s="574"/>
      <c r="C1267" s="562"/>
      <c r="D1267" s="562"/>
      <c r="E1267" s="562"/>
      <c r="F1267" s="563"/>
      <c r="G1267" s="563"/>
      <c r="H1267" s="564"/>
      <c r="I1267" s="565"/>
      <c r="J1267" s="580"/>
      <c r="K1267" s="360"/>
      <c r="L1267" s="360"/>
      <c r="M1267" s="360"/>
      <c r="N1267" s="360"/>
      <c r="O1267" s="360"/>
      <c r="P1267" s="360"/>
      <c r="Q1267" s="360"/>
      <c r="R1267" s="360"/>
    </row>
    <row r="1268" customFormat="false" ht="39.75" hidden="false" customHeight="true" outlineLevel="0" collapsed="false">
      <c r="A1268" s="562"/>
      <c r="B1268" s="574"/>
      <c r="C1268" s="562"/>
      <c r="D1268" s="562"/>
      <c r="E1268" s="562"/>
      <c r="F1268" s="563"/>
      <c r="G1268" s="563"/>
      <c r="H1268" s="564"/>
      <c r="I1268" s="565"/>
      <c r="J1268" s="580"/>
      <c r="K1268" s="360"/>
      <c r="L1268" s="360"/>
      <c r="M1268" s="360"/>
      <c r="N1268" s="360"/>
      <c r="O1268" s="360"/>
      <c r="P1268" s="360"/>
      <c r="Q1268" s="360"/>
      <c r="R1268" s="360"/>
    </row>
    <row r="1269" customFormat="false" ht="39.75" hidden="false" customHeight="true" outlineLevel="0" collapsed="false">
      <c r="A1269" s="562"/>
      <c r="B1269" s="574"/>
      <c r="C1269" s="562"/>
      <c r="D1269" s="562"/>
      <c r="E1269" s="562"/>
      <c r="F1269" s="563"/>
      <c r="G1269" s="563"/>
      <c r="H1269" s="564"/>
      <c r="I1269" s="565"/>
      <c r="J1269" s="580"/>
      <c r="K1269" s="360"/>
      <c r="L1269" s="360"/>
      <c r="M1269" s="360"/>
      <c r="N1269" s="360"/>
      <c r="O1269" s="360"/>
      <c r="P1269" s="360"/>
      <c r="Q1269" s="360"/>
      <c r="R1269" s="360"/>
    </row>
    <row r="1270" customFormat="false" ht="39.75" hidden="false" customHeight="true" outlineLevel="0" collapsed="false">
      <c r="A1270" s="562"/>
      <c r="B1270" s="574"/>
      <c r="C1270" s="562"/>
      <c r="D1270" s="562"/>
      <c r="E1270" s="562"/>
      <c r="F1270" s="563"/>
      <c r="G1270" s="563"/>
      <c r="H1270" s="564"/>
      <c r="I1270" s="565"/>
      <c r="J1270" s="580"/>
      <c r="K1270" s="360"/>
      <c r="L1270" s="360"/>
      <c r="M1270" s="360"/>
      <c r="N1270" s="360"/>
      <c r="O1270" s="360"/>
      <c r="P1270" s="360"/>
      <c r="Q1270" s="360"/>
      <c r="R1270" s="360"/>
    </row>
    <row r="1271" customFormat="false" ht="39.75" hidden="false" customHeight="true" outlineLevel="0" collapsed="false">
      <c r="A1271" s="562"/>
      <c r="B1271" s="574"/>
      <c r="C1271" s="562"/>
      <c r="D1271" s="562"/>
      <c r="E1271" s="562"/>
      <c r="F1271" s="563"/>
      <c r="G1271" s="563"/>
      <c r="H1271" s="564"/>
      <c r="I1271" s="565"/>
      <c r="J1271" s="580"/>
      <c r="K1271" s="360"/>
      <c r="L1271" s="360"/>
      <c r="M1271" s="360"/>
      <c r="N1271" s="360"/>
      <c r="O1271" s="360"/>
      <c r="P1271" s="360"/>
      <c r="Q1271" s="360"/>
      <c r="R1271" s="360"/>
    </row>
    <row r="1272" customFormat="false" ht="39.75" hidden="false" customHeight="true" outlineLevel="0" collapsed="false">
      <c r="A1272" s="562"/>
      <c r="B1272" s="574"/>
      <c r="C1272" s="562"/>
      <c r="D1272" s="562"/>
      <c r="E1272" s="562"/>
      <c r="F1272" s="563"/>
      <c r="G1272" s="563"/>
      <c r="H1272" s="564"/>
      <c r="I1272" s="565"/>
      <c r="J1272" s="580"/>
      <c r="K1272" s="360"/>
      <c r="L1272" s="360"/>
      <c r="M1272" s="360"/>
      <c r="N1272" s="360"/>
      <c r="O1272" s="360"/>
      <c r="P1272" s="360"/>
      <c r="Q1272" s="360"/>
      <c r="R1272" s="360"/>
    </row>
    <row r="1273" customFormat="false" ht="39.75" hidden="false" customHeight="true" outlineLevel="0" collapsed="false">
      <c r="A1273" s="562"/>
      <c r="B1273" s="574"/>
      <c r="C1273" s="562"/>
      <c r="D1273" s="562"/>
      <c r="E1273" s="562"/>
      <c r="F1273" s="563"/>
      <c r="G1273" s="563"/>
      <c r="H1273" s="564"/>
      <c r="I1273" s="565"/>
      <c r="J1273" s="580"/>
      <c r="K1273" s="360"/>
      <c r="L1273" s="360"/>
      <c r="M1273" s="360"/>
      <c r="N1273" s="360"/>
      <c r="O1273" s="360"/>
      <c r="P1273" s="360"/>
      <c r="Q1273" s="360"/>
      <c r="R1273" s="360"/>
    </row>
    <row r="1274" customFormat="false" ht="39.75" hidden="false" customHeight="true" outlineLevel="0" collapsed="false">
      <c r="A1274" s="562"/>
      <c r="B1274" s="574"/>
      <c r="C1274" s="562"/>
      <c r="D1274" s="562"/>
      <c r="E1274" s="562"/>
      <c r="F1274" s="563"/>
      <c r="G1274" s="563"/>
      <c r="H1274" s="564"/>
      <c r="I1274" s="565"/>
      <c r="J1274" s="580"/>
      <c r="K1274" s="360"/>
      <c r="L1274" s="360"/>
      <c r="M1274" s="360"/>
      <c r="N1274" s="360"/>
      <c r="O1274" s="360"/>
      <c r="P1274" s="360"/>
      <c r="Q1274" s="360"/>
      <c r="R1274" s="360"/>
    </row>
    <row r="1275" customFormat="false" ht="39.75" hidden="false" customHeight="true" outlineLevel="0" collapsed="false">
      <c r="A1275" s="562"/>
      <c r="B1275" s="574"/>
      <c r="C1275" s="562"/>
      <c r="D1275" s="562"/>
      <c r="E1275" s="562"/>
      <c r="F1275" s="563"/>
      <c r="G1275" s="563"/>
      <c r="H1275" s="564"/>
      <c r="I1275" s="565"/>
      <c r="J1275" s="580"/>
      <c r="K1275" s="360"/>
      <c r="L1275" s="360"/>
      <c r="M1275" s="360"/>
      <c r="N1275" s="360"/>
      <c r="O1275" s="360"/>
      <c r="P1275" s="360"/>
      <c r="Q1275" s="360"/>
      <c r="R1275" s="360"/>
    </row>
    <row r="1276" customFormat="false" ht="39.75" hidden="false" customHeight="true" outlineLevel="0" collapsed="false">
      <c r="A1276" s="562"/>
      <c r="B1276" s="574"/>
      <c r="C1276" s="562"/>
      <c r="D1276" s="562"/>
      <c r="E1276" s="562"/>
      <c r="F1276" s="563"/>
      <c r="G1276" s="563"/>
      <c r="H1276" s="564"/>
      <c r="I1276" s="565"/>
      <c r="J1276" s="580"/>
      <c r="K1276" s="360"/>
      <c r="L1276" s="360"/>
      <c r="M1276" s="360"/>
      <c r="N1276" s="360"/>
      <c r="O1276" s="360"/>
      <c r="P1276" s="360"/>
      <c r="Q1276" s="360"/>
      <c r="R1276" s="360"/>
    </row>
    <row r="1277" customFormat="false" ht="39.75" hidden="false" customHeight="true" outlineLevel="0" collapsed="false">
      <c r="A1277" s="562"/>
      <c r="B1277" s="574"/>
      <c r="C1277" s="562"/>
      <c r="D1277" s="562"/>
      <c r="E1277" s="562"/>
      <c r="F1277" s="563"/>
      <c r="G1277" s="563"/>
      <c r="H1277" s="564"/>
      <c r="I1277" s="565"/>
      <c r="J1277" s="580"/>
      <c r="K1277" s="360"/>
      <c r="L1277" s="360"/>
      <c r="M1277" s="360"/>
      <c r="N1277" s="360"/>
      <c r="O1277" s="360"/>
      <c r="P1277" s="360"/>
      <c r="Q1277" s="360"/>
      <c r="R1277" s="360"/>
    </row>
    <row r="1278" customFormat="false" ht="39.75" hidden="false" customHeight="true" outlineLevel="0" collapsed="false">
      <c r="A1278" s="562"/>
      <c r="B1278" s="574"/>
      <c r="C1278" s="562"/>
      <c r="D1278" s="562"/>
      <c r="E1278" s="562"/>
      <c r="F1278" s="563"/>
      <c r="G1278" s="563"/>
      <c r="H1278" s="564"/>
      <c r="I1278" s="565"/>
      <c r="J1278" s="580"/>
      <c r="K1278" s="360"/>
      <c r="L1278" s="360"/>
      <c r="M1278" s="360"/>
      <c r="N1278" s="360"/>
      <c r="O1278" s="360"/>
      <c r="P1278" s="360"/>
      <c r="Q1278" s="360"/>
      <c r="R1278" s="360"/>
    </row>
    <row r="1279" customFormat="false" ht="39.75" hidden="false" customHeight="true" outlineLevel="0" collapsed="false">
      <c r="A1279" s="562"/>
      <c r="B1279" s="574"/>
      <c r="C1279" s="562"/>
      <c r="D1279" s="562"/>
      <c r="E1279" s="562"/>
      <c r="F1279" s="563"/>
      <c r="G1279" s="563"/>
      <c r="H1279" s="564"/>
      <c r="I1279" s="565"/>
      <c r="J1279" s="580"/>
      <c r="K1279" s="360"/>
      <c r="L1279" s="360"/>
      <c r="M1279" s="360"/>
      <c r="N1279" s="360"/>
      <c r="O1279" s="360"/>
      <c r="P1279" s="360"/>
      <c r="Q1279" s="360"/>
      <c r="R1279" s="360"/>
    </row>
    <row r="1280" customFormat="false" ht="39.75" hidden="false" customHeight="true" outlineLevel="0" collapsed="false">
      <c r="A1280" s="562"/>
      <c r="B1280" s="574"/>
      <c r="C1280" s="562"/>
      <c r="D1280" s="562"/>
      <c r="E1280" s="562"/>
      <c r="F1280" s="563"/>
      <c r="G1280" s="563"/>
      <c r="H1280" s="564"/>
      <c r="I1280" s="565"/>
      <c r="J1280" s="580"/>
      <c r="K1280" s="360"/>
      <c r="L1280" s="360"/>
      <c r="M1280" s="360"/>
      <c r="N1280" s="360"/>
      <c r="O1280" s="360"/>
      <c r="P1280" s="360"/>
      <c r="Q1280" s="360"/>
      <c r="R1280" s="360"/>
    </row>
    <row r="1281" customFormat="false" ht="39.75" hidden="false" customHeight="true" outlineLevel="0" collapsed="false">
      <c r="A1281" s="562"/>
      <c r="B1281" s="574"/>
      <c r="C1281" s="562"/>
      <c r="D1281" s="562"/>
      <c r="E1281" s="562"/>
      <c r="F1281" s="563"/>
      <c r="G1281" s="563"/>
      <c r="H1281" s="564"/>
      <c r="I1281" s="565"/>
      <c r="J1281" s="580"/>
      <c r="K1281" s="360"/>
      <c r="L1281" s="360"/>
      <c r="M1281" s="360"/>
      <c r="N1281" s="360"/>
      <c r="O1281" s="360"/>
      <c r="P1281" s="360"/>
      <c r="Q1281" s="360"/>
      <c r="R1281" s="360"/>
    </row>
    <row r="1282" customFormat="false" ht="39.75" hidden="false" customHeight="true" outlineLevel="0" collapsed="false">
      <c r="A1282" s="562"/>
      <c r="B1282" s="574"/>
      <c r="C1282" s="562"/>
      <c r="D1282" s="562"/>
      <c r="E1282" s="562"/>
      <c r="F1282" s="563"/>
      <c r="G1282" s="563"/>
      <c r="H1282" s="564"/>
      <c r="I1282" s="565"/>
      <c r="J1282" s="580"/>
      <c r="K1282" s="360"/>
      <c r="L1282" s="360"/>
      <c r="M1282" s="360"/>
      <c r="N1282" s="360"/>
      <c r="O1282" s="360"/>
      <c r="P1282" s="360"/>
      <c r="Q1282" s="360"/>
      <c r="R1282" s="360"/>
    </row>
    <row r="1283" customFormat="false" ht="39.75" hidden="false" customHeight="true" outlineLevel="0" collapsed="false">
      <c r="A1283" s="562"/>
      <c r="B1283" s="574"/>
      <c r="C1283" s="562"/>
      <c r="D1283" s="562"/>
      <c r="E1283" s="562"/>
      <c r="F1283" s="563"/>
      <c r="G1283" s="563"/>
      <c r="H1283" s="564"/>
      <c r="I1283" s="565"/>
      <c r="J1283" s="580"/>
      <c r="K1283" s="360"/>
      <c r="L1283" s="360"/>
      <c r="M1283" s="360"/>
      <c r="N1283" s="360"/>
      <c r="O1283" s="360"/>
      <c r="P1283" s="360"/>
      <c r="Q1283" s="360"/>
      <c r="R1283" s="360"/>
    </row>
    <row r="1284" customFormat="false" ht="39.75" hidden="false" customHeight="true" outlineLevel="0" collapsed="false">
      <c r="A1284" s="562"/>
      <c r="B1284" s="574"/>
      <c r="C1284" s="562"/>
      <c r="D1284" s="562"/>
      <c r="E1284" s="562"/>
      <c r="F1284" s="563"/>
      <c r="G1284" s="563"/>
      <c r="H1284" s="564"/>
      <c r="I1284" s="565"/>
      <c r="J1284" s="580"/>
      <c r="K1284" s="360"/>
      <c r="L1284" s="360"/>
      <c r="M1284" s="360"/>
      <c r="N1284" s="360"/>
      <c r="O1284" s="360"/>
      <c r="P1284" s="360"/>
      <c r="Q1284" s="360"/>
      <c r="R1284" s="360"/>
    </row>
    <row r="1285" customFormat="false" ht="39.75" hidden="false" customHeight="true" outlineLevel="0" collapsed="false">
      <c r="A1285" s="562"/>
      <c r="B1285" s="574"/>
      <c r="C1285" s="562"/>
      <c r="D1285" s="562"/>
      <c r="E1285" s="562"/>
      <c r="F1285" s="563"/>
      <c r="G1285" s="563"/>
      <c r="H1285" s="564"/>
      <c r="I1285" s="565"/>
      <c r="J1285" s="580"/>
      <c r="K1285" s="360"/>
      <c r="L1285" s="360"/>
      <c r="M1285" s="360"/>
      <c r="N1285" s="360"/>
      <c r="O1285" s="360"/>
      <c r="P1285" s="360"/>
      <c r="Q1285" s="360"/>
      <c r="R1285" s="360"/>
    </row>
    <row r="1286" customFormat="false" ht="39.75" hidden="false" customHeight="true" outlineLevel="0" collapsed="false">
      <c r="A1286" s="562"/>
      <c r="B1286" s="574"/>
      <c r="C1286" s="562"/>
      <c r="D1286" s="562"/>
      <c r="E1286" s="562"/>
      <c r="F1286" s="563"/>
      <c r="G1286" s="563"/>
      <c r="H1286" s="564"/>
      <c r="I1286" s="565"/>
      <c r="J1286" s="580"/>
      <c r="K1286" s="360"/>
      <c r="L1286" s="360"/>
      <c r="M1286" s="360"/>
      <c r="N1286" s="360"/>
      <c r="O1286" s="360"/>
      <c r="P1286" s="360"/>
      <c r="Q1286" s="360"/>
      <c r="R1286" s="360"/>
    </row>
    <row r="1287" customFormat="false" ht="39.75" hidden="false" customHeight="true" outlineLevel="0" collapsed="false">
      <c r="A1287" s="562"/>
      <c r="B1287" s="574"/>
      <c r="C1287" s="562"/>
      <c r="D1287" s="562"/>
      <c r="E1287" s="562"/>
      <c r="F1287" s="563"/>
      <c r="G1287" s="563"/>
      <c r="H1287" s="564"/>
      <c r="I1287" s="565"/>
      <c r="J1287" s="580"/>
      <c r="K1287" s="360"/>
      <c r="L1287" s="360"/>
      <c r="M1287" s="360"/>
      <c r="N1287" s="360"/>
      <c r="O1287" s="360"/>
      <c r="P1287" s="360"/>
      <c r="Q1287" s="360"/>
      <c r="R1287" s="360"/>
    </row>
    <row r="1288" customFormat="false" ht="39.75" hidden="false" customHeight="true" outlineLevel="0" collapsed="false">
      <c r="A1288" s="562"/>
      <c r="B1288" s="574"/>
      <c r="C1288" s="562"/>
      <c r="D1288" s="562"/>
      <c r="E1288" s="562"/>
      <c r="F1288" s="563"/>
      <c r="G1288" s="563"/>
      <c r="H1288" s="564"/>
      <c r="I1288" s="565"/>
      <c r="J1288" s="580"/>
      <c r="K1288" s="360"/>
      <c r="L1288" s="360"/>
      <c r="M1288" s="360"/>
      <c r="N1288" s="360"/>
      <c r="O1288" s="360"/>
      <c r="P1288" s="360"/>
      <c r="Q1288" s="360"/>
      <c r="R1288" s="360"/>
    </row>
    <row r="1289" customFormat="false" ht="39.75" hidden="false" customHeight="true" outlineLevel="0" collapsed="false">
      <c r="A1289" s="562"/>
      <c r="B1289" s="574"/>
      <c r="C1289" s="562"/>
      <c r="D1289" s="562"/>
      <c r="E1289" s="562"/>
      <c r="F1289" s="563"/>
      <c r="G1289" s="563"/>
      <c r="H1289" s="564"/>
      <c r="I1289" s="565"/>
      <c r="J1289" s="580"/>
      <c r="K1289" s="360"/>
      <c r="L1289" s="360"/>
      <c r="M1289" s="360"/>
      <c r="N1289" s="360"/>
      <c r="O1289" s="360"/>
      <c r="P1289" s="360"/>
      <c r="Q1289" s="360"/>
      <c r="R1289" s="360"/>
    </row>
    <row r="1290" customFormat="false" ht="39.75" hidden="false" customHeight="true" outlineLevel="0" collapsed="false">
      <c r="A1290" s="562"/>
      <c r="B1290" s="574"/>
      <c r="C1290" s="562"/>
      <c r="D1290" s="562"/>
      <c r="E1290" s="562"/>
      <c r="F1290" s="563"/>
      <c r="G1290" s="563"/>
      <c r="H1290" s="564"/>
      <c r="I1290" s="565"/>
      <c r="J1290" s="580"/>
      <c r="K1290" s="360"/>
      <c r="L1290" s="360"/>
      <c r="M1290" s="360"/>
      <c r="N1290" s="360"/>
      <c r="O1290" s="360"/>
      <c r="P1290" s="360"/>
      <c r="Q1290" s="360"/>
      <c r="R1290" s="360"/>
    </row>
    <row r="1291" customFormat="false" ht="39.75" hidden="false" customHeight="true" outlineLevel="0" collapsed="false">
      <c r="A1291" s="562"/>
      <c r="B1291" s="574"/>
      <c r="C1291" s="562"/>
      <c r="D1291" s="562"/>
      <c r="E1291" s="562"/>
      <c r="F1291" s="563"/>
      <c r="G1291" s="563"/>
      <c r="H1291" s="564"/>
      <c r="I1291" s="565"/>
      <c r="J1291" s="580"/>
      <c r="K1291" s="360"/>
      <c r="L1291" s="360"/>
      <c r="M1291" s="360"/>
      <c r="N1291" s="360"/>
      <c r="O1291" s="360"/>
      <c r="P1291" s="360"/>
      <c r="Q1291" s="360"/>
      <c r="R1291" s="360"/>
    </row>
    <row r="1292" customFormat="false" ht="39.75" hidden="false" customHeight="true" outlineLevel="0" collapsed="false">
      <c r="A1292" s="562"/>
      <c r="B1292" s="574"/>
      <c r="C1292" s="562"/>
      <c r="D1292" s="562"/>
      <c r="E1292" s="562"/>
      <c r="F1292" s="563"/>
      <c r="G1292" s="563"/>
      <c r="H1292" s="564"/>
      <c r="I1292" s="565"/>
      <c r="J1292" s="580"/>
      <c r="K1292" s="360"/>
      <c r="L1292" s="360"/>
      <c r="M1292" s="360"/>
      <c r="N1292" s="360"/>
      <c r="O1292" s="360"/>
      <c r="P1292" s="360"/>
      <c r="Q1292" s="360"/>
      <c r="R1292" s="360"/>
    </row>
    <row r="1293" customFormat="false" ht="39.75" hidden="false" customHeight="true" outlineLevel="0" collapsed="false">
      <c r="A1293" s="562"/>
      <c r="B1293" s="574"/>
      <c r="C1293" s="562"/>
      <c r="D1293" s="562"/>
      <c r="E1293" s="562"/>
      <c r="F1293" s="563"/>
      <c r="G1293" s="563"/>
      <c r="H1293" s="564"/>
      <c r="I1293" s="565"/>
      <c r="J1293" s="580"/>
      <c r="K1293" s="360"/>
      <c r="L1293" s="360"/>
      <c r="M1293" s="360"/>
      <c r="N1293" s="360"/>
      <c r="O1293" s="360"/>
      <c r="P1293" s="360"/>
      <c r="Q1293" s="360"/>
      <c r="R1293" s="360"/>
    </row>
  </sheetData>
  <mergeCells count="1293">
    <mergeCell ref="A1:R1"/>
    <mergeCell ref="K2:R2"/>
    <mergeCell ref="K3:R3"/>
    <mergeCell ref="K4:R4"/>
    <mergeCell ref="K5:R5"/>
    <mergeCell ref="K6:R6"/>
    <mergeCell ref="K7:R7"/>
    <mergeCell ref="K8:R8"/>
    <mergeCell ref="K9:R9"/>
    <mergeCell ref="K10:R10"/>
    <mergeCell ref="K11:R11"/>
    <mergeCell ref="K12:R12"/>
    <mergeCell ref="K13:R13"/>
    <mergeCell ref="K14:R14"/>
    <mergeCell ref="K15:R15"/>
    <mergeCell ref="K16:R16"/>
    <mergeCell ref="K17:R17"/>
    <mergeCell ref="K18:R18"/>
    <mergeCell ref="K19:R19"/>
    <mergeCell ref="K20:R20"/>
    <mergeCell ref="K21:R21"/>
    <mergeCell ref="K22:R22"/>
    <mergeCell ref="K23:R23"/>
    <mergeCell ref="K24:R24"/>
    <mergeCell ref="K25:R25"/>
    <mergeCell ref="K26:R26"/>
    <mergeCell ref="K27:R27"/>
    <mergeCell ref="K28:R28"/>
    <mergeCell ref="K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K39:R39"/>
    <mergeCell ref="K40:R40"/>
    <mergeCell ref="K41:R41"/>
    <mergeCell ref="K42:R42"/>
    <mergeCell ref="K43:R43"/>
    <mergeCell ref="K44:R44"/>
    <mergeCell ref="K45:R45"/>
    <mergeCell ref="K46:R46"/>
    <mergeCell ref="K47:R47"/>
    <mergeCell ref="K48:R48"/>
    <mergeCell ref="K49:R49"/>
    <mergeCell ref="K50:R50"/>
    <mergeCell ref="K51:R51"/>
    <mergeCell ref="K52:R52"/>
    <mergeCell ref="K53:R53"/>
    <mergeCell ref="K54:R54"/>
    <mergeCell ref="K55:R55"/>
    <mergeCell ref="K56:R56"/>
    <mergeCell ref="K57:R57"/>
    <mergeCell ref="K58:R58"/>
    <mergeCell ref="K59:R59"/>
    <mergeCell ref="K60:R60"/>
    <mergeCell ref="K61:R61"/>
    <mergeCell ref="K62:R62"/>
    <mergeCell ref="K63:R63"/>
    <mergeCell ref="K64:R64"/>
    <mergeCell ref="K65:R65"/>
    <mergeCell ref="K66:R66"/>
    <mergeCell ref="K67:R67"/>
    <mergeCell ref="K68:R68"/>
    <mergeCell ref="K69:R69"/>
    <mergeCell ref="K70:R70"/>
    <mergeCell ref="K71:R71"/>
    <mergeCell ref="K72:R72"/>
    <mergeCell ref="K73:R73"/>
    <mergeCell ref="K74:R74"/>
    <mergeCell ref="K75:R75"/>
    <mergeCell ref="K76:R76"/>
    <mergeCell ref="K77:R77"/>
    <mergeCell ref="K78:R78"/>
    <mergeCell ref="K79:R79"/>
    <mergeCell ref="K80:R80"/>
    <mergeCell ref="K81:R81"/>
    <mergeCell ref="K82:R82"/>
    <mergeCell ref="K83:R83"/>
    <mergeCell ref="K84:R84"/>
    <mergeCell ref="K85:R85"/>
    <mergeCell ref="K86:R86"/>
    <mergeCell ref="K87:R87"/>
    <mergeCell ref="K88:R88"/>
    <mergeCell ref="K89:R89"/>
    <mergeCell ref="K90:R90"/>
    <mergeCell ref="K91:R91"/>
    <mergeCell ref="K92:R92"/>
    <mergeCell ref="K93:R93"/>
    <mergeCell ref="K94:R94"/>
    <mergeCell ref="K95:R95"/>
    <mergeCell ref="K96:R96"/>
    <mergeCell ref="K97:R97"/>
    <mergeCell ref="K98:R98"/>
    <mergeCell ref="K99:R99"/>
    <mergeCell ref="K100:R100"/>
    <mergeCell ref="K101:R101"/>
    <mergeCell ref="K102:R102"/>
    <mergeCell ref="K103:R103"/>
    <mergeCell ref="K104:R104"/>
    <mergeCell ref="K105:R105"/>
    <mergeCell ref="K106:R106"/>
    <mergeCell ref="K107:R107"/>
    <mergeCell ref="K108:R108"/>
    <mergeCell ref="K109:R109"/>
    <mergeCell ref="K110:R110"/>
    <mergeCell ref="K111:R111"/>
    <mergeCell ref="K112:R112"/>
    <mergeCell ref="K113:R113"/>
    <mergeCell ref="K114:R114"/>
    <mergeCell ref="K115:R115"/>
    <mergeCell ref="K116:R116"/>
    <mergeCell ref="K117:R117"/>
    <mergeCell ref="K118:R118"/>
    <mergeCell ref="K119:R119"/>
    <mergeCell ref="K120:R120"/>
    <mergeCell ref="K121:R121"/>
    <mergeCell ref="K122:R122"/>
    <mergeCell ref="K123:R123"/>
    <mergeCell ref="K124:R124"/>
    <mergeCell ref="K125:R125"/>
    <mergeCell ref="K126:R126"/>
    <mergeCell ref="K127:R127"/>
    <mergeCell ref="K128:R128"/>
    <mergeCell ref="K129:R129"/>
    <mergeCell ref="K130:R130"/>
    <mergeCell ref="K131:R131"/>
    <mergeCell ref="K132:R132"/>
    <mergeCell ref="K133:R133"/>
    <mergeCell ref="K134:R134"/>
    <mergeCell ref="K135:R135"/>
    <mergeCell ref="K136:R136"/>
    <mergeCell ref="K137:R137"/>
    <mergeCell ref="K138:R138"/>
    <mergeCell ref="K139:R139"/>
    <mergeCell ref="K140:R140"/>
    <mergeCell ref="K141:R141"/>
    <mergeCell ref="K142:R142"/>
    <mergeCell ref="K143:R143"/>
    <mergeCell ref="K144:R144"/>
    <mergeCell ref="K145:R145"/>
    <mergeCell ref="K146:R146"/>
    <mergeCell ref="K147:R147"/>
    <mergeCell ref="K148:R148"/>
    <mergeCell ref="K149:R149"/>
    <mergeCell ref="K150:R150"/>
    <mergeCell ref="K151:R151"/>
    <mergeCell ref="K152:R152"/>
    <mergeCell ref="K153:R153"/>
    <mergeCell ref="K154:R154"/>
    <mergeCell ref="K155:R155"/>
    <mergeCell ref="K156:R156"/>
    <mergeCell ref="K157:R157"/>
    <mergeCell ref="K158:R158"/>
    <mergeCell ref="K159:R159"/>
    <mergeCell ref="K160:R160"/>
    <mergeCell ref="K161:R161"/>
    <mergeCell ref="K162:R162"/>
    <mergeCell ref="K163:R163"/>
    <mergeCell ref="K164:R164"/>
    <mergeCell ref="K165:R165"/>
    <mergeCell ref="K166:R166"/>
    <mergeCell ref="K167:R167"/>
    <mergeCell ref="K168:R168"/>
    <mergeCell ref="K169:R169"/>
    <mergeCell ref="K170:R170"/>
    <mergeCell ref="K171:R171"/>
    <mergeCell ref="K172:R172"/>
    <mergeCell ref="K173:R173"/>
    <mergeCell ref="K174:R174"/>
    <mergeCell ref="K175:R175"/>
    <mergeCell ref="K176:R176"/>
    <mergeCell ref="K177:R177"/>
    <mergeCell ref="K178:R178"/>
    <mergeCell ref="K179:R179"/>
    <mergeCell ref="K180:R180"/>
    <mergeCell ref="K181:R181"/>
    <mergeCell ref="K182:R182"/>
    <mergeCell ref="K183:R183"/>
    <mergeCell ref="K184:R184"/>
    <mergeCell ref="K185:R185"/>
    <mergeCell ref="K186:R186"/>
    <mergeCell ref="K187:R187"/>
    <mergeCell ref="K188:R188"/>
    <mergeCell ref="K189:R189"/>
    <mergeCell ref="K190:R190"/>
    <mergeCell ref="K191:R191"/>
    <mergeCell ref="K192:R192"/>
    <mergeCell ref="K193:R193"/>
    <mergeCell ref="K194:R194"/>
    <mergeCell ref="K195:R195"/>
    <mergeCell ref="K196:R196"/>
    <mergeCell ref="K197:R197"/>
    <mergeCell ref="K198:R198"/>
    <mergeCell ref="K199:R199"/>
    <mergeCell ref="K200:R200"/>
    <mergeCell ref="K201:R201"/>
    <mergeCell ref="K202:R202"/>
    <mergeCell ref="K203:R203"/>
    <mergeCell ref="K204:R204"/>
    <mergeCell ref="K205:R205"/>
    <mergeCell ref="K206:R206"/>
    <mergeCell ref="K207:R207"/>
    <mergeCell ref="K208:R208"/>
    <mergeCell ref="K209:R209"/>
    <mergeCell ref="K210:R210"/>
    <mergeCell ref="K211:R211"/>
    <mergeCell ref="K212:R212"/>
    <mergeCell ref="K213:R213"/>
    <mergeCell ref="K214:R214"/>
    <mergeCell ref="K215:R215"/>
    <mergeCell ref="K216:R216"/>
    <mergeCell ref="K217:R217"/>
    <mergeCell ref="K218:R218"/>
    <mergeCell ref="K219:R219"/>
    <mergeCell ref="K220:R220"/>
    <mergeCell ref="K221:R221"/>
    <mergeCell ref="K222:R222"/>
    <mergeCell ref="K223:R223"/>
    <mergeCell ref="K224:R224"/>
    <mergeCell ref="K225:R225"/>
    <mergeCell ref="K226:R226"/>
    <mergeCell ref="K227:R227"/>
    <mergeCell ref="K228:R228"/>
    <mergeCell ref="K229:R229"/>
    <mergeCell ref="K230:R230"/>
    <mergeCell ref="K231:R231"/>
    <mergeCell ref="K232:R232"/>
    <mergeCell ref="K233:R233"/>
    <mergeCell ref="K234:R234"/>
    <mergeCell ref="K235:R235"/>
    <mergeCell ref="K236:R236"/>
    <mergeCell ref="K237:R237"/>
    <mergeCell ref="K238:R238"/>
    <mergeCell ref="K239:R239"/>
    <mergeCell ref="K240:R240"/>
    <mergeCell ref="K241:R241"/>
    <mergeCell ref="K242:R242"/>
    <mergeCell ref="K243:R243"/>
    <mergeCell ref="K244:R244"/>
    <mergeCell ref="K245:R245"/>
    <mergeCell ref="K246:R246"/>
    <mergeCell ref="K247:R247"/>
    <mergeCell ref="K248:R248"/>
    <mergeCell ref="K249:R249"/>
    <mergeCell ref="K250:R250"/>
    <mergeCell ref="K251:R251"/>
    <mergeCell ref="K252:R252"/>
    <mergeCell ref="K253:R253"/>
    <mergeCell ref="K254:R254"/>
    <mergeCell ref="K255:R255"/>
    <mergeCell ref="K256:R256"/>
    <mergeCell ref="K257:R257"/>
    <mergeCell ref="K258:R258"/>
    <mergeCell ref="K259:R259"/>
    <mergeCell ref="K260:R260"/>
    <mergeCell ref="K261:R261"/>
    <mergeCell ref="K262:R262"/>
    <mergeCell ref="K263:R263"/>
    <mergeCell ref="K264:R264"/>
    <mergeCell ref="K265:R265"/>
    <mergeCell ref="K266:R266"/>
    <mergeCell ref="K267:R267"/>
    <mergeCell ref="K268:R268"/>
    <mergeCell ref="K269:R269"/>
    <mergeCell ref="K270:R270"/>
    <mergeCell ref="K271:R271"/>
    <mergeCell ref="K272:R272"/>
    <mergeCell ref="K273:R273"/>
    <mergeCell ref="K274:R274"/>
    <mergeCell ref="K275:R275"/>
    <mergeCell ref="K276:R276"/>
    <mergeCell ref="K277:R277"/>
    <mergeCell ref="K278:R278"/>
    <mergeCell ref="K279:R279"/>
    <mergeCell ref="K280:R280"/>
    <mergeCell ref="K281:R281"/>
    <mergeCell ref="K282:R282"/>
    <mergeCell ref="K283:R283"/>
    <mergeCell ref="K284:R284"/>
    <mergeCell ref="K285:R285"/>
    <mergeCell ref="K286:R286"/>
    <mergeCell ref="K287:R287"/>
    <mergeCell ref="K288:R288"/>
    <mergeCell ref="K289:R289"/>
    <mergeCell ref="K290:R290"/>
    <mergeCell ref="K291:R291"/>
    <mergeCell ref="K292:R292"/>
    <mergeCell ref="K293:R293"/>
    <mergeCell ref="K294:R294"/>
    <mergeCell ref="K295:R295"/>
    <mergeCell ref="K296:R296"/>
    <mergeCell ref="K297:R297"/>
    <mergeCell ref="K298:R298"/>
    <mergeCell ref="K299:R299"/>
    <mergeCell ref="K300:R300"/>
    <mergeCell ref="K301:R301"/>
    <mergeCell ref="K302:R302"/>
    <mergeCell ref="K303:R303"/>
    <mergeCell ref="K304:R304"/>
    <mergeCell ref="K305:R305"/>
    <mergeCell ref="K306:R306"/>
    <mergeCell ref="K307:R307"/>
    <mergeCell ref="K308:R308"/>
    <mergeCell ref="K309:R309"/>
    <mergeCell ref="K310:R310"/>
    <mergeCell ref="K311:R311"/>
    <mergeCell ref="K312:R312"/>
    <mergeCell ref="K313:R313"/>
    <mergeCell ref="K314:R314"/>
    <mergeCell ref="K315:R315"/>
    <mergeCell ref="K316:R316"/>
    <mergeCell ref="K317:R317"/>
    <mergeCell ref="K318:R318"/>
    <mergeCell ref="K319:R319"/>
    <mergeCell ref="K320:R320"/>
    <mergeCell ref="K321:R321"/>
    <mergeCell ref="K322:R322"/>
    <mergeCell ref="K323:R323"/>
    <mergeCell ref="K324:R324"/>
    <mergeCell ref="K325:R325"/>
    <mergeCell ref="K326:R326"/>
    <mergeCell ref="K327:R327"/>
    <mergeCell ref="K328:R328"/>
    <mergeCell ref="K329:R329"/>
    <mergeCell ref="K330:R330"/>
    <mergeCell ref="K331:R331"/>
    <mergeCell ref="K332:R332"/>
    <mergeCell ref="K333:R333"/>
    <mergeCell ref="K334:R334"/>
    <mergeCell ref="K335:R335"/>
    <mergeCell ref="K336:R336"/>
    <mergeCell ref="K337:R337"/>
    <mergeCell ref="K338:R338"/>
    <mergeCell ref="K339:R339"/>
    <mergeCell ref="K340:R340"/>
    <mergeCell ref="K341:R341"/>
    <mergeCell ref="K342:R342"/>
    <mergeCell ref="K343:R343"/>
    <mergeCell ref="K344:R344"/>
    <mergeCell ref="K345:R345"/>
    <mergeCell ref="K346:R346"/>
    <mergeCell ref="K347:R347"/>
    <mergeCell ref="K348:R348"/>
    <mergeCell ref="K349:R349"/>
    <mergeCell ref="K350:R350"/>
    <mergeCell ref="K351:R351"/>
    <mergeCell ref="K352:R352"/>
    <mergeCell ref="K353:R353"/>
    <mergeCell ref="K354:R354"/>
    <mergeCell ref="K355:R355"/>
    <mergeCell ref="K356:R356"/>
    <mergeCell ref="K357:R357"/>
    <mergeCell ref="K358:R358"/>
    <mergeCell ref="K359:R359"/>
    <mergeCell ref="K360:R360"/>
    <mergeCell ref="K361:R361"/>
    <mergeCell ref="K362:R362"/>
    <mergeCell ref="K363:R363"/>
    <mergeCell ref="K364:R364"/>
    <mergeCell ref="K365:R365"/>
    <mergeCell ref="K366:R366"/>
    <mergeCell ref="K367:R367"/>
    <mergeCell ref="K368:R368"/>
    <mergeCell ref="K369:R369"/>
    <mergeCell ref="K370:R370"/>
    <mergeCell ref="K371:R371"/>
    <mergeCell ref="K372:R372"/>
    <mergeCell ref="K373:R373"/>
    <mergeCell ref="K374:R374"/>
    <mergeCell ref="K375:R375"/>
    <mergeCell ref="K376:R376"/>
    <mergeCell ref="K377:R377"/>
    <mergeCell ref="K378:R378"/>
    <mergeCell ref="K379:R379"/>
    <mergeCell ref="K380:R380"/>
    <mergeCell ref="K381:R381"/>
    <mergeCell ref="K382:R382"/>
    <mergeCell ref="K383:R383"/>
    <mergeCell ref="K384:R384"/>
    <mergeCell ref="K385:R385"/>
    <mergeCell ref="K386:R386"/>
    <mergeCell ref="K387:R387"/>
    <mergeCell ref="K388:R388"/>
    <mergeCell ref="K389:R389"/>
    <mergeCell ref="K390:R390"/>
    <mergeCell ref="K391:R391"/>
    <mergeCell ref="K392:R392"/>
    <mergeCell ref="K393:R393"/>
    <mergeCell ref="K394:R394"/>
    <mergeCell ref="K395:R395"/>
    <mergeCell ref="K396:R396"/>
    <mergeCell ref="K397:R397"/>
    <mergeCell ref="K398:R398"/>
    <mergeCell ref="K399:R399"/>
    <mergeCell ref="K400:R400"/>
    <mergeCell ref="K401:R401"/>
    <mergeCell ref="K402:R402"/>
    <mergeCell ref="K403:R403"/>
    <mergeCell ref="K404:R404"/>
    <mergeCell ref="K405:R405"/>
    <mergeCell ref="K406:R406"/>
    <mergeCell ref="K407:R407"/>
    <mergeCell ref="K408:R408"/>
    <mergeCell ref="K409:R409"/>
    <mergeCell ref="K410:R410"/>
    <mergeCell ref="K411:R411"/>
    <mergeCell ref="K412:R412"/>
    <mergeCell ref="K413:R413"/>
    <mergeCell ref="K414:R414"/>
    <mergeCell ref="K415:R415"/>
    <mergeCell ref="K416:R416"/>
    <mergeCell ref="K417:R417"/>
    <mergeCell ref="K418:R418"/>
    <mergeCell ref="K419:R419"/>
    <mergeCell ref="K420:R420"/>
    <mergeCell ref="K421:R421"/>
    <mergeCell ref="K422:R422"/>
    <mergeCell ref="K423:R423"/>
    <mergeCell ref="K424:R424"/>
    <mergeCell ref="K425:R425"/>
    <mergeCell ref="K426:R426"/>
    <mergeCell ref="K427:R427"/>
    <mergeCell ref="K428:R428"/>
    <mergeCell ref="K429:R429"/>
    <mergeCell ref="K430:R430"/>
    <mergeCell ref="K431:R431"/>
    <mergeCell ref="K432:R432"/>
    <mergeCell ref="K433:R433"/>
    <mergeCell ref="K434:R434"/>
    <mergeCell ref="K435:R435"/>
    <mergeCell ref="K436:R436"/>
    <mergeCell ref="K437:R437"/>
    <mergeCell ref="K438:R438"/>
    <mergeCell ref="K439:R439"/>
    <mergeCell ref="K440:R440"/>
    <mergeCell ref="K441:R441"/>
    <mergeCell ref="K442:R442"/>
    <mergeCell ref="K443:R443"/>
    <mergeCell ref="K444:R444"/>
    <mergeCell ref="K445:R445"/>
    <mergeCell ref="K446:R446"/>
    <mergeCell ref="K447:R447"/>
    <mergeCell ref="K448:R448"/>
    <mergeCell ref="K449:R449"/>
    <mergeCell ref="K450:R450"/>
    <mergeCell ref="K451:R451"/>
    <mergeCell ref="K452:R452"/>
    <mergeCell ref="K453:R453"/>
    <mergeCell ref="K454:R454"/>
    <mergeCell ref="K455:R455"/>
    <mergeCell ref="K456:R456"/>
    <mergeCell ref="K457:R457"/>
    <mergeCell ref="K458:R458"/>
    <mergeCell ref="K459:R459"/>
    <mergeCell ref="K460:R460"/>
    <mergeCell ref="K461:R461"/>
    <mergeCell ref="K462:R462"/>
    <mergeCell ref="K463:R463"/>
    <mergeCell ref="K464:R464"/>
    <mergeCell ref="K465:R465"/>
    <mergeCell ref="K466:R466"/>
    <mergeCell ref="K467:R467"/>
    <mergeCell ref="K468:R468"/>
    <mergeCell ref="K469:R469"/>
    <mergeCell ref="K470:R470"/>
    <mergeCell ref="K471:R471"/>
    <mergeCell ref="K472:R472"/>
    <mergeCell ref="K473:R473"/>
    <mergeCell ref="K474:R474"/>
    <mergeCell ref="K475:R475"/>
    <mergeCell ref="K476:R476"/>
    <mergeCell ref="K477:R477"/>
    <mergeCell ref="K478:R478"/>
    <mergeCell ref="K479:R479"/>
    <mergeCell ref="K480:R480"/>
    <mergeCell ref="K481:R481"/>
    <mergeCell ref="K482:R482"/>
    <mergeCell ref="K483:R483"/>
    <mergeCell ref="K484:R484"/>
    <mergeCell ref="K485:R485"/>
    <mergeCell ref="K486:R486"/>
    <mergeCell ref="K487:R487"/>
    <mergeCell ref="K488:R488"/>
    <mergeCell ref="K489:R489"/>
    <mergeCell ref="K490:R490"/>
    <mergeCell ref="K491:R491"/>
    <mergeCell ref="K492:R492"/>
    <mergeCell ref="K493:R493"/>
    <mergeCell ref="K494:R494"/>
    <mergeCell ref="K495:R495"/>
    <mergeCell ref="K496:R496"/>
    <mergeCell ref="K497:R497"/>
    <mergeCell ref="K498:R498"/>
    <mergeCell ref="K499:R499"/>
    <mergeCell ref="K500:R500"/>
    <mergeCell ref="K501:R501"/>
    <mergeCell ref="K502:R502"/>
    <mergeCell ref="K503:R503"/>
    <mergeCell ref="K504:R504"/>
    <mergeCell ref="K505:R505"/>
    <mergeCell ref="K506:R506"/>
    <mergeCell ref="K507:R507"/>
    <mergeCell ref="K508:R508"/>
    <mergeCell ref="K509:R509"/>
    <mergeCell ref="K510:R510"/>
    <mergeCell ref="K511:R511"/>
    <mergeCell ref="K512:R512"/>
    <mergeCell ref="K513:R513"/>
    <mergeCell ref="K514:R514"/>
    <mergeCell ref="K515:R515"/>
    <mergeCell ref="K516:R516"/>
    <mergeCell ref="K517:R517"/>
    <mergeCell ref="K518:R518"/>
    <mergeCell ref="K519:R519"/>
    <mergeCell ref="K520:R520"/>
    <mergeCell ref="K521:R521"/>
    <mergeCell ref="K522:R522"/>
    <mergeCell ref="K523:R523"/>
    <mergeCell ref="K524:R524"/>
    <mergeCell ref="K525:R525"/>
    <mergeCell ref="K526:R526"/>
    <mergeCell ref="K527:R527"/>
    <mergeCell ref="K528:R528"/>
    <mergeCell ref="K529:R529"/>
    <mergeCell ref="K530:R530"/>
    <mergeCell ref="K531:R531"/>
    <mergeCell ref="K532:R532"/>
    <mergeCell ref="K533:R533"/>
    <mergeCell ref="K534:R534"/>
    <mergeCell ref="K535:R535"/>
    <mergeCell ref="K536:R536"/>
    <mergeCell ref="K537:R537"/>
    <mergeCell ref="K538:R538"/>
    <mergeCell ref="K539:R539"/>
    <mergeCell ref="K540:R540"/>
    <mergeCell ref="K541:R541"/>
    <mergeCell ref="K542:R542"/>
    <mergeCell ref="K543:R543"/>
    <mergeCell ref="K544:R544"/>
    <mergeCell ref="K545:R545"/>
    <mergeCell ref="K546:R546"/>
    <mergeCell ref="K547:R547"/>
    <mergeCell ref="K548:R548"/>
    <mergeCell ref="K549:R549"/>
    <mergeCell ref="K550:R550"/>
    <mergeCell ref="K551:R551"/>
    <mergeCell ref="K552:R552"/>
    <mergeCell ref="K553:R553"/>
    <mergeCell ref="K554:R554"/>
    <mergeCell ref="K555:R555"/>
    <mergeCell ref="K556:R556"/>
    <mergeCell ref="K557:R557"/>
    <mergeCell ref="K558:R558"/>
    <mergeCell ref="K559:R559"/>
    <mergeCell ref="K560:R560"/>
    <mergeCell ref="K561:R561"/>
    <mergeCell ref="K562:R562"/>
    <mergeCell ref="K563:R563"/>
    <mergeCell ref="K564:R564"/>
    <mergeCell ref="K565:R565"/>
    <mergeCell ref="K566:R566"/>
    <mergeCell ref="K567:R567"/>
    <mergeCell ref="K568:R568"/>
    <mergeCell ref="K569:R569"/>
    <mergeCell ref="K570:R570"/>
    <mergeCell ref="K571:R571"/>
    <mergeCell ref="K572:R572"/>
    <mergeCell ref="K573:R573"/>
    <mergeCell ref="K574:R574"/>
    <mergeCell ref="K575:R575"/>
    <mergeCell ref="K576:R576"/>
    <mergeCell ref="K577:R577"/>
    <mergeCell ref="K578:R578"/>
    <mergeCell ref="K579:R579"/>
    <mergeCell ref="K580:R580"/>
    <mergeCell ref="K581:R581"/>
    <mergeCell ref="K582:R582"/>
    <mergeCell ref="K583:R583"/>
    <mergeCell ref="K584:R584"/>
    <mergeCell ref="K585:R585"/>
    <mergeCell ref="K586:R586"/>
    <mergeCell ref="K587:R587"/>
    <mergeCell ref="K588:R588"/>
    <mergeCell ref="K589:R589"/>
    <mergeCell ref="K590:R590"/>
    <mergeCell ref="K591:R591"/>
    <mergeCell ref="K592:R592"/>
    <mergeCell ref="K593:R593"/>
    <mergeCell ref="K594:R594"/>
    <mergeCell ref="K595:R595"/>
    <mergeCell ref="K596:R596"/>
    <mergeCell ref="K597:R597"/>
    <mergeCell ref="K598:R598"/>
    <mergeCell ref="K599:R599"/>
    <mergeCell ref="K600:R600"/>
    <mergeCell ref="K601:R601"/>
    <mergeCell ref="K602:R602"/>
    <mergeCell ref="K603:R603"/>
    <mergeCell ref="K604:R604"/>
    <mergeCell ref="K605:R605"/>
    <mergeCell ref="K606:R606"/>
    <mergeCell ref="K607:R607"/>
    <mergeCell ref="K608:R608"/>
    <mergeCell ref="K609:R609"/>
    <mergeCell ref="K610:R610"/>
    <mergeCell ref="K611:R611"/>
    <mergeCell ref="K612:R612"/>
    <mergeCell ref="K613:R613"/>
    <mergeCell ref="K614:R614"/>
    <mergeCell ref="K615:R615"/>
    <mergeCell ref="K616:R616"/>
    <mergeCell ref="K617:R617"/>
    <mergeCell ref="K618:R618"/>
    <mergeCell ref="K619:R619"/>
    <mergeCell ref="K620:R620"/>
    <mergeCell ref="K621:R621"/>
    <mergeCell ref="K622:R622"/>
    <mergeCell ref="K623:R623"/>
    <mergeCell ref="K624:R624"/>
    <mergeCell ref="K625:R625"/>
    <mergeCell ref="K626:R626"/>
    <mergeCell ref="K627:R627"/>
    <mergeCell ref="K628:R628"/>
    <mergeCell ref="K629:R629"/>
    <mergeCell ref="K630:R630"/>
    <mergeCell ref="K631:R631"/>
    <mergeCell ref="K632:R632"/>
    <mergeCell ref="K633:R633"/>
    <mergeCell ref="K634:R634"/>
    <mergeCell ref="K635:R635"/>
    <mergeCell ref="K636:R636"/>
    <mergeCell ref="K637:R637"/>
    <mergeCell ref="K638:R638"/>
    <mergeCell ref="K639:R639"/>
    <mergeCell ref="K640:R640"/>
    <mergeCell ref="K641:R641"/>
    <mergeCell ref="K642:R642"/>
    <mergeCell ref="K643:R643"/>
    <mergeCell ref="K644:R644"/>
    <mergeCell ref="K645:R645"/>
    <mergeCell ref="K646:R646"/>
    <mergeCell ref="K647:R647"/>
    <mergeCell ref="K648:R648"/>
    <mergeCell ref="K649:R649"/>
    <mergeCell ref="K650:R650"/>
    <mergeCell ref="K651:R651"/>
    <mergeCell ref="K652:R652"/>
    <mergeCell ref="K653:R653"/>
    <mergeCell ref="K654:R654"/>
    <mergeCell ref="K655:R655"/>
    <mergeCell ref="K656:R656"/>
    <mergeCell ref="K657:R657"/>
    <mergeCell ref="K658:R658"/>
    <mergeCell ref="K659:R659"/>
    <mergeCell ref="K660:R660"/>
    <mergeCell ref="K661:R661"/>
    <mergeCell ref="K662:R662"/>
    <mergeCell ref="K663:R663"/>
    <mergeCell ref="K664:R664"/>
    <mergeCell ref="K665:R665"/>
    <mergeCell ref="K666:R666"/>
    <mergeCell ref="K667:R667"/>
    <mergeCell ref="K668:R668"/>
    <mergeCell ref="K669:R669"/>
    <mergeCell ref="K670:R670"/>
    <mergeCell ref="K671:R671"/>
    <mergeCell ref="K672:R672"/>
    <mergeCell ref="K673:R673"/>
    <mergeCell ref="K674:R674"/>
    <mergeCell ref="K675:R675"/>
    <mergeCell ref="K676:R676"/>
    <mergeCell ref="K677:R677"/>
    <mergeCell ref="K678:R678"/>
    <mergeCell ref="K679:R679"/>
    <mergeCell ref="K680:R680"/>
    <mergeCell ref="K681:R681"/>
    <mergeCell ref="K682:R682"/>
    <mergeCell ref="K683:R683"/>
    <mergeCell ref="K684:R684"/>
    <mergeCell ref="K685:R685"/>
    <mergeCell ref="K686:R686"/>
    <mergeCell ref="K687:R687"/>
    <mergeCell ref="K688:R688"/>
    <mergeCell ref="K689:R689"/>
    <mergeCell ref="K690:R690"/>
    <mergeCell ref="K691:R691"/>
    <mergeCell ref="K692:R692"/>
    <mergeCell ref="K693:R693"/>
    <mergeCell ref="K694:R694"/>
    <mergeCell ref="K695:R695"/>
    <mergeCell ref="K696:R696"/>
    <mergeCell ref="K697:R697"/>
    <mergeCell ref="K698:R698"/>
    <mergeCell ref="K699:R699"/>
    <mergeCell ref="K700:R700"/>
    <mergeCell ref="K701:R701"/>
    <mergeCell ref="K702:R702"/>
    <mergeCell ref="K703:R703"/>
    <mergeCell ref="K704:R704"/>
    <mergeCell ref="K705:R705"/>
    <mergeCell ref="K706:R706"/>
    <mergeCell ref="K707:R707"/>
    <mergeCell ref="K708:R708"/>
    <mergeCell ref="K709:R709"/>
    <mergeCell ref="K710:R710"/>
    <mergeCell ref="K711:R711"/>
    <mergeCell ref="K712:R712"/>
    <mergeCell ref="K713:R713"/>
    <mergeCell ref="K714:R714"/>
    <mergeCell ref="K715:R715"/>
    <mergeCell ref="K716:R716"/>
    <mergeCell ref="K717:R717"/>
    <mergeCell ref="K718:R718"/>
    <mergeCell ref="K719:R719"/>
    <mergeCell ref="K720:R720"/>
    <mergeCell ref="K721:R721"/>
    <mergeCell ref="K722:R722"/>
    <mergeCell ref="K723:R723"/>
    <mergeCell ref="K724:R724"/>
    <mergeCell ref="K725:R725"/>
    <mergeCell ref="K726:R726"/>
    <mergeCell ref="K727:R727"/>
    <mergeCell ref="K728:R728"/>
    <mergeCell ref="K729:R729"/>
    <mergeCell ref="K730:R730"/>
    <mergeCell ref="K731:R731"/>
    <mergeCell ref="K732:R732"/>
    <mergeCell ref="K733:R733"/>
    <mergeCell ref="K734:R734"/>
    <mergeCell ref="K735:R735"/>
    <mergeCell ref="K736:R736"/>
    <mergeCell ref="K737:R737"/>
    <mergeCell ref="K738:R738"/>
    <mergeCell ref="K739:R739"/>
    <mergeCell ref="K740:R740"/>
    <mergeCell ref="K741:R741"/>
    <mergeCell ref="K742:R742"/>
    <mergeCell ref="K743:R743"/>
    <mergeCell ref="K744:R744"/>
    <mergeCell ref="K745:R745"/>
    <mergeCell ref="K746:R746"/>
    <mergeCell ref="K747:R747"/>
    <mergeCell ref="K748:R748"/>
    <mergeCell ref="K749:R749"/>
    <mergeCell ref="K750:R750"/>
    <mergeCell ref="K751:R751"/>
    <mergeCell ref="K752:R752"/>
    <mergeCell ref="K753:R753"/>
    <mergeCell ref="K754:R754"/>
    <mergeCell ref="K755:R755"/>
    <mergeCell ref="K756:R756"/>
    <mergeCell ref="K757:R757"/>
    <mergeCell ref="K758:R758"/>
    <mergeCell ref="K759:R759"/>
    <mergeCell ref="K760:R760"/>
    <mergeCell ref="K761:R761"/>
    <mergeCell ref="K762:R762"/>
    <mergeCell ref="K763:R763"/>
    <mergeCell ref="K764:R764"/>
    <mergeCell ref="K765:R765"/>
    <mergeCell ref="K766:R766"/>
    <mergeCell ref="K767:R767"/>
    <mergeCell ref="K768:R768"/>
    <mergeCell ref="K769:R769"/>
    <mergeCell ref="K770:R770"/>
    <mergeCell ref="K771:R771"/>
    <mergeCell ref="K772:R772"/>
    <mergeCell ref="K773:R773"/>
    <mergeCell ref="K774:R774"/>
    <mergeCell ref="K775:R775"/>
    <mergeCell ref="K776:R776"/>
    <mergeCell ref="K777:R777"/>
    <mergeCell ref="K778:R778"/>
    <mergeCell ref="K779:R779"/>
    <mergeCell ref="K780:R780"/>
    <mergeCell ref="K781:R781"/>
    <mergeCell ref="K782:R782"/>
    <mergeCell ref="K783:R783"/>
    <mergeCell ref="K784:R784"/>
    <mergeCell ref="K785:R785"/>
    <mergeCell ref="K786:R786"/>
    <mergeCell ref="K787:R787"/>
    <mergeCell ref="K788:R788"/>
    <mergeCell ref="K789:R789"/>
    <mergeCell ref="K790:R790"/>
    <mergeCell ref="K791:R791"/>
    <mergeCell ref="K792:R792"/>
    <mergeCell ref="K793:R793"/>
    <mergeCell ref="K794:R794"/>
    <mergeCell ref="K795:R795"/>
    <mergeCell ref="K796:R796"/>
    <mergeCell ref="K797:R797"/>
    <mergeCell ref="K798:R798"/>
    <mergeCell ref="K799:R799"/>
    <mergeCell ref="K800:R800"/>
    <mergeCell ref="K801:R801"/>
    <mergeCell ref="K802:R802"/>
    <mergeCell ref="K803:R803"/>
    <mergeCell ref="K804:R804"/>
    <mergeCell ref="K805:R805"/>
    <mergeCell ref="K806:R806"/>
    <mergeCell ref="K807:R807"/>
    <mergeCell ref="K808:R808"/>
    <mergeCell ref="K809:R809"/>
    <mergeCell ref="K810:R810"/>
    <mergeCell ref="K811:R811"/>
    <mergeCell ref="K812:R812"/>
    <mergeCell ref="K813:R813"/>
    <mergeCell ref="K814:R814"/>
    <mergeCell ref="K815:R815"/>
    <mergeCell ref="K816:R816"/>
    <mergeCell ref="K817:R817"/>
    <mergeCell ref="K818:R818"/>
    <mergeCell ref="K819:R819"/>
    <mergeCell ref="K820:R820"/>
    <mergeCell ref="K821:R821"/>
    <mergeCell ref="K822:R822"/>
    <mergeCell ref="K823:R823"/>
    <mergeCell ref="K824:R824"/>
    <mergeCell ref="K825:R825"/>
    <mergeCell ref="K826:R826"/>
    <mergeCell ref="K827:R827"/>
    <mergeCell ref="K828:R828"/>
    <mergeCell ref="K829:R829"/>
    <mergeCell ref="K830:R830"/>
    <mergeCell ref="K831:R831"/>
    <mergeCell ref="K832:R832"/>
    <mergeCell ref="K833:R833"/>
    <mergeCell ref="K834:R834"/>
    <mergeCell ref="K835:R835"/>
    <mergeCell ref="K836:R836"/>
    <mergeCell ref="K837:R837"/>
    <mergeCell ref="K838:R838"/>
    <mergeCell ref="K839:R839"/>
    <mergeCell ref="K840:R840"/>
    <mergeCell ref="K841:R841"/>
    <mergeCell ref="K842:R842"/>
    <mergeCell ref="K843:R843"/>
    <mergeCell ref="K844:R844"/>
    <mergeCell ref="K845:R845"/>
    <mergeCell ref="K846:R846"/>
    <mergeCell ref="K847:R847"/>
    <mergeCell ref="K848:R848"/>
    <mergeCell ref="K849:R849"/>
    <mergeCell ref="K850:R850"/>
    <mergeCell ref="K851:R851"/>
    <mergeCell ref="K852:R852"/>
    <mergeCell ref="K853:R853"/>
    <mergeCell ref="K854:R854"/>
    <mergeCell ref="K855:R855"/>
    <mergeCell ref="K856:R856"/>
    <mergeCell ref="K857:R857"/>
    <mergeCell ref="K858:R858"/>
    <mergeCell ref="K859:R859"/>
    <mergeCell ref="K860:R860"/>
    <mergeCell ref="K861:R861"/>
    <mergeCell ref="K862:R862"/>
    <mergeCell ref="K863:R863"/>
    <mergeCell ref="K864:R864"/>
    <mergeCell ref="K865:R865"/>
    <mergeCell ref="K866:R866"/>
    <mergeCell ref="K867:R867"/>
    <mergeCell ref="K868:R868"/>
    <mergeCell ref="K869:R869"/>
    <mergeCell ref="K870:R870"/>
    <mergeCell ref="K871:R871"/>
    <mergeCell ref="K872:R872"/>
    <mergeCell ref="K873:R873"/>
    <mergeCell ref="K874:R874"/>
    <mergeCell ref="K875:R875"/>
    <mergeCell ref="K876:R876"/>
    <mergeCell ref="K877:R877"/>
    <mergeCell ref="K878:R878"/>
    <mergeCell ref="K879:R879"/>
    <mergeCell ref="K880:R880"/>
    <mergeCell ref="K881:R881"/>
    <mergeCell ref="K882:R882"/>
    <mergeCell ref="K883:R883"/>
    <mergeCell ref="K884:R884"/>
    <mergeCell ref="K885:R885"/>
    <mergeCell ref="K886:R886"/>
    <mergeCell ref="K887:R887"/>
    <mergeCell ref="K888:R888"/>
    <mergeCell ref="K889:R889"/>
    <mergeCell ref="K890:R890"/>
    <mergeCell ref="K891:R891"/>
    <mergeCell ref="K892:R892"/>
    <mergeCell ref="K893:R893"/>
    <mergeCell ref="K894:R894"/>
    <mergeCell ref="K895:R895"/>
    <mergeCell ref="K896:R896"/>
    <mergeCell ref="K897:R897"/>
    <mergeCell ref="K898:R898"/>
    <mergeCell ref="K899:R899"/>
    <mergeCell ref="K900:R900"/>
    <mergeCell ref="K901:R901"/>
    <mergeCell ref="K902:R902"/>
    <mergeCell ref="K903:R903"/>
    <mergeCell ref="K904:R904"/>
    <mergeCell ref="K905:R905"/>
    <mergeCell ref="K906:R906"/>
    <mergeCell ref="K907:R907"/>
    <mergeCell ref="K908:R908"/>
    <mergeCell ref="K909:R909"/>
    <mergeCell ref="K910:R910"/>
    <mergeCell ref="K911:R911"/>
    <mergeCell ref="K912:R912"/>
    <mergeCell ref="K913:R913"/>
    <mergeCell ref="K914:R914"/>
    <mergeCell ref="K915:R915"/>
    <mergeCell ref="K916:R916"/>
    <mergeCell ref="K917:R917"/>
    <mergeCell ref="K918:R918"/>
    <mergeCell ref="K919:R919"/>
    <mergeCell ref="K920:R920"/>
    <mergeCell ref="K921:R921"/>
    <mergeCell ref="K922:R922"/>
    <mergeCell ref="K923:R923"/>
    <mergeCell ref="K924:R924"/>
    <mergeCell ref="K925:R925"/>
    <mergeCell ref="K926:R926"/>
    <mergeCell ref="K927:R927"/>
    <mergeCell ref="K928:R928"/>
    <mergeCell ref="K929:R929"/>
    <mergeCell ref="K930:R930"/>
    <mergeCell ref="K931:R931"/>
    <mergeCell ref="K932:R932"/>
    <mergeCell ref="K933:R933"/>
    <mergeCell ref="K934:R934"/>
    <mergeCell ref="K935:R935"/>
    <mergeCell ref="K936:R936"/>
    <mergeCell ref="K937:R937"/>
    <mergeCell ref="K938:R938"/>
    <mergeCell ref="K939:R939"/>
    <mergeCell ref="K940:R940"/>
    <mergeCell ref="K941:R941"/>
    <mergeCell ref="K942:R942"/>
    <mergeCell ref="K943:R943"/>
    <mergeCell ref="K944:R944"/>
    <mergeCell ref="K945:R945"/>
    <mergeCell ref="K946:R946"/>
    <mergeCell ref="K947:R947"/>
    <mergeCell ref="K948:R948"/>
    <mergeCell ref="K949:R949"/>
    <mergeCell ref="K950:R950"/>
    <mergeCell ref="K951:R951"/>
    <mergeCell ref="K952:R952"/>
    <mergeCell ref="K953:R953"/>
    <mergeCell ref="K954:R954"/>
    <mergeCell ref="K955:R955"/>
    <mergeCell ref="K956:R956"/>
    <mergeCell ref="K957:R957"/>
    <mergeCell ref="K958:R958"/>
    <mergeCell ref="K959:R959"/>
    <mergeCell ref="K960:R960"/>
    <mergeCell ref="K961:R961"/>
    <mergeCell ref="K962:R962"/>
    <mergeCell ref="K963:R963"/>
    <mergeCell ref="K964:R964"/>
    <mergeCell ref="K965:R965"/>
    <mergeCell ref="K966:R966"/>
    <mergeCell ref="K967:R967"/>
    <mergeCell ref="K968:R968"/>
    <mergeCell ref="K969:R969"/>
    <mergeCell ref="K970:R970"/>
    <mergeCell ref="K971:R971"/>
    <mergeCell ref="K972:R972"/>
    <mergeCell ref="K973:R973"/>
    <mergeCell ref="K974:R974"/>
    <mergeCell ref="K975:R975"/>
    <mergeCell ref="K976:R976"/>
    <mergeCell ref="K977:R977"/>
    <mergeCell ref="K978:R978"/>
    <mergeCell ref="K979:R979"/>
    <mergeCell ref="K980:R980"/>
    <mergeCell ref="K981:R981"/>
    <mergeCell ref="K982:R982"/>
    <mergeCell ref="K983:R983"/>
    <mergeCell ref="K984:R984"/>
    <mergeCell ref="K985:R985"/>
    <mergeCell ref="K986:R986"/>
    <mergeCell ref="K987:R987"/>
    <mergeCell ref="K988:R988"/>
    <mergeCell ref="K989:R989"/>
    <mergeCell ref="K990:R990"/>
    <mergeCell ref="K991:R991"/>
    <mergeCell ref="K992:R992"/>
    <mergeCell ref="K993:R993"/>
    <mergeCell ref="K994:R994"/>
    <mergeCell ref="K995:R995"/>
    <mergeCell ref="K996:R996"/>
    <mergeCell ref="K997:R997"/>
    <mergeCell ref="K998:R998"/>
    <mergeCell ref="K999:R999"/>
    <mergeCell ref="K1000:R1000"/>
    <mergeCell ref="K1001:R1001"/>
    <mergeCell ref="K1002:R1002"/>
    <mergeCell ref="K1003:R1003"/>
    <mergeCell ref="K1004:R1004"/>
    <mergeCell ref="K1005:R1005"/>
    <mergeCell ref="K1006:R1006"/>
    <mergeCell ref="K1007:R1007"/>
    <mergeCell ref="K1008:R1008"/>
    <mergeCell ref="K1009:R1009"/>
    <mergeCell ref="K1010:R1010"/>
    <mergeCell ref="K1011:R1011"/>
    <mergeCell ref="K1012:R1012"/>
    <mergeCell ref="K1013:R1013"/>
    <mergeCell ref="K1014:R1014"/>
    <mergeCell ref="K1015:R1015"/>
    <mergeCell ref="K1016:R1016"/>
    <mergeCell ref="K1017:R1017"/>
    <mergeCell ref="K1018:R1018"/>
    <mergeCell ref="K1019:R1019"/>
    <mergeCell ref="K1020:R1020"/>
    <mergeCell ref="K1021:R1021"/>
    <mergeCell ref="K1022:R1022"/>
    <mergeCell ref="K1023:R1023"/>
    <mergeCell ref="K1024:R1024"/>
    <mergeCell ref="K1025:R1025"/>
    <mergeCell ref="K1026:R1026"/>
    <mergeCell ref="K1027:R1027"/>
    <mergeCell ref="K1028:R1028"/>
    <mergeCell ref="K1029:R1029"/>
    <mergeCell ref="K1030:R1030"/>
    <mergeCell ref="K1031:R1031"/>
    <mergeCell ref="K1032:R1032"/>
    <mergeCell ref="K1033:R1033"/>
    <mergeCell ref="K1034:R1034"/>
    <mergeCell ref="K1035:R1035"/>
    <mergeCell ref="K1036:R1036"/>
    <mergeCell ref="K1037:R1037"/>
    <mergeCell ref="K1038:R1038"/>
    <mergeCell ref="K1039:R1039"/>
    <mergeCell ref="K1040:R1040"/>
    <mergeCell ref="K1041:R1041"/>
    <mergeCell ref="K1042:R1042"/>
    <mergeCell ref="K1043:R1043"/>
    <mergeCell ref="K1044:R1044"/>
    <mergeCell ref="K1045:R1045"/>
    <mergeCell ref="K1046:R1046"/>
    <mergeCell ref="K1047:R1047"/>
    <mergeCell ref="K1048:R1048"/>
    <mergeCell ref="K1049:R1049"/>
    <mergeCell ref="K1050:R1050"/>
    <mergeCell ref="K1051:R1051"/>
    <mergeCell ref="K1052:R1052"/>
    <mergeCell ref="K1053:R1053"/>
    <mergeCell ref="K1054:R1054"/>
    <mergeCell ref="K1055:R1055"/>
    <mergeCell ref="K1056:R1056"/>
    <mergeCell ref="K1057:R1057"/>
    <mergeCell ref="K1058:R1058"/>
    <mergeCell ref="K1059:R1059"/>
    <mergeCell ref="K1060:R1060"/>
    <mergeCell ref="K1061:R1061"/>
    <mergeCell ref="K1062:R1062"/>
    <mergeCell ref="K1063:R1063"/>
    <mergeCell ref="K1064:R1064"/>
    <mergeCell ref="K1065:R1065"/>
    <mergeCell ref="K1066:R1066"/>
    <mergeCell ref="K1067:R1067"/>
    <mergeCell ref="K1068:R1068"/>
    <mergeCell ref="K1069:R1069"/>
    <mergeCell ref="K1070:R1070"/>
    <mergeCell ref="K1071:R1071"/>
    <mergeCell ref="K1072:R1072"/>
    <mergeCell ref="K1073:R1073"/>
    <mergeCell ref="K1074:R1074"/>
    <mergeCell ref="K1075:R1075"/>
    <mergeCell ref="K1076:R1076"/>
    <mergeCell ref="K1077:R1077"/>
    <mergeCell ref="K1078:R1078"/>
    <mergeCell ref="K1079:R1079"/>
    <mergeCell ref="K1080:R1080"/>
    <mergeCell ref="K1081:R1081"/>
    <mergeCell ref="K1082:R1082"/>
    <mergeCell ref="K1083:R1083"/>
    <mergeCell ref="K1084:R1084"/>
    <mergeCell ref="K1085:R1085"/>
    <mergeCell ref="K1086:R1086"/>
    <mergeCell ref="K1087:R1087"/>
    <mergeCell ref="K1088:R1088"/>
    <mergeCell ref="K1089:R1089"/>
    <mergeCell ref="K1090:R1090"/>
    <mergeCell ref="K1091:R1091"/>
    <mergeCell ref="K1092:R1092"/>
    <mergeCell ref="K1093:R1093"/>
    <mergeCell ref="K1094:R1094"/>
    <mergeCell ref="K1095:R1095"/>
    <mergeCell ref="K1096:R1096"/>
    <mergeCell ref="K1097:R1097"/>
    <mergeCell ref="K1098:R1098"/>
    <mergeCell ref="K1099:R1099"/>
    <mergeCell ref="K1100:R1100"/>
    <mergeCell ref="K1101:R1101"/>
    <mergeCell ref="K1102:R1102"/>
    <mergeCell ref="K1103:R1103"/>
    <mergeCell ref="K1104:R1104"/>
    <mergeCell ref="K1105:R1105"/>
    <mergeCell ref="K1106:R1106"/>
    <mergeCell ref="K1107:R1107"/>
    <mergeCell ref="K1108:R1108"/>
    <mergeCell ref="K1109:R1109"/>
    <mergeCell ref="K1110:R1110"/>
    <mergeCell ref="K1111:R1111"/>
    <mergeCell ref="K1112:R1112"/>
    <mergeCell ref="K1113:R1113"/>
    <mergeCell ref="K1114:R1114"/>
    <mergeCell ref="K1115:R1115"/>
    <mergeCell ref="K1116:R1116"/>
    <mergeCell ref="K1117:R1117"/>
    <mergeCell ref="K1118:R1118"/>
    <mergeCell ref="K1119:R1119"/>
    <mergeCell ref="K1120:R1120"/>
    <mergeCell ref="K1121:R1121"/>
    <mergeCell ref="K1122:R1122"/>
    <mergeCell ref="K1123:R1123"/>
    <mergeCell ref="K1124:R1124"/>
    <mergeCell ref="K1125:R1125"/>
    <mergeCell ref="K1126:R1126"/>
    <mergeCell ref="K1127:R1127"/>
    <mergeCell ref="K1128:R1128"/>
    <mergeCell ref="K1129:R1129"/>
    <mergeCell ref="K1130:R1130"/>
    <mergeCell ref="K1131:R1131"/>
    <mergeCell ref="K1132:R1132"/>
    <mergeCell ref="K1133:R1133"/>
    <mergeCell ref="K1134:R1134"/>
    <mergeCell ref="K1135:R1135"/>
    <mergeCell ref="K1136:R1136"/>
    <mergeCell ref="K1137:R1137"/>
    <mergeCell ref="K1138:R1138"/>
    <mergeCell ref="K1139:R1139"/>
    <mergeCell ref="K1140:R1140"/>
    <mergeCell ref="K1141:R1141"/>
    <mergeCell ref="K1142:R1142"/>
    <mergeCell ref="K1143:R1143"/>
    <mergeCell ref="K1144:R1144"/>
    <mergeCell ref="K1145:R1145"/>
    <mergeCell ref="K1146:R1146"/>
    <mergeCell ref="K1147:R1147"/>
    <mergeCell ref="K1148:R1148"/>
    <mergeCell ref="K1149:R1149"/>
    <mergeCell ref="K1150:R1150"/>
    <mergeCell ref="K1151:R1151"/>
    <mergeCell ref="K1152:R1152"/>
    <mergeCell ref="K1153:R1153"/>
    <mergeCell ref="K1154:R1154"/>
    <mergeCell ref="K1155:R1155"/>
    <mergeCell ref="K1156:R1156"/>
    <mergeCell ref="K1157:R1157"/>
    <mergeCell ref="K1158:R1158"/>
    <mergeCell ref="K1159:R1159"/>
    <mergeCell ref="K1160:R1160"/>
    <mergeCell ref="K1161:R1161"/>
    <mergeCell ref="K1162:R1162"/>
    <mergeCell ref="K1163:R1163"/>
    <mergeCell ref="K1164:R1164"/>
    <mergeCell ref="K1165:R1165"/>
    <mergeCell ref="K1166:R1166"/>
    <mergeCell ref="K1167:R1167"/>
    <mergeCell ref="K1168:R1168"/>
    <mergeCell ref="K1169:R1169"/>
    <mergeCell ref="K1170:R1170"/>
    <mergeCell ref="K1171:R1171"/>
    <mergeCell ref="K1172:R1172"/>
    <mergeCell ref="K1173:R1173"/>
    <mergeCell ref="K1174:R1174"/>
    <mergeCell ref="K1175:R1175"/>
    <mergeCell ref="K1176:R1176"/>
    <mergeCell ref="K1177:R1177"/>
    <mergeCell ref="K1178:R1178"/>
    <mergeCell ref="K1179:R1179"/>
    <mergeCell ref="K1180:R1180"/>
    <mergeCell ref="K1181:R1181"/>
    <mergeCell ref="K1182:R1182"/>
    <mergeCell ref="K1183:R1183"/>
    <mergeCell ref="K1184:R1184"/>
    <mergeCell ref="K1185:R1185"/>
    <mergeCell ref="K1186:R1186"/>
    <mergeCell ref="K1187:R1187"/>
    <mergeCell ref="K1188:R1188"/>
    <mergeCell ref="K1189:R1189"/>
    <mergeCell ref="K1190:R1190"/>
    <mergeCell ref="K1191:R1191"/>
    <mergeCell ref="K1192:R1192"/>
    <mergeCell ref="K1193:R1193"/>
    <mergeCell ref="K1194:R1194"/>
    <mergeCell ref="K1195:R1195"/>
    <mergeCell ref="K1196:R1196"/>
    <mergeCell ref="K1197:R1197"/>
    <mergeCell ref="K1198:R1198"/>
    <mergeCell ref="K1199:R1199"/>
    <mergeCell ref="K1200:R1200"/>
    <mergeCell ref="K1201:R1201"/>
    <mergeCell ref="K1202:R1202"/>
    <mergeCell ref="K1203:R1203"/>
    <mergeCell ref="K1204:R1204"/>
    <mergeCell ref="K1205:R1205"/>
    <mergeCell ref="K1206:R1206"/>
    <mergeCell ref="K1207:R1207"/>
    <mergeCell ref="K1208:R1208"/>
    <mergeCell ref="K1209:R1209"/>
    <mergeCell ref="K1210:R1210"/>
    <mergeCell ref="K1211:R1211"/>
    <mergeCell ref="K1212:R1212"/>
    <mergeCell ref="K1213:R1213"/>
    <mergeCell ref="K1214:R1214"/>
    <mergeCell ref="K1215:R1215"/>
    <mergeCell ref="K1216:R1216"/>
    <mergeCell ref="K1217:R1217"/>
    <mergeCell ref="K1218:R1218"/>
    <mergeCell ref="K1219:R1219"/>
    <mergeCell ref="K1220:R1220"/>
    <mergeCell ref="K1221:R1221"/>
    <mergeCell ref="K1222:R1222"/>
    <mergeCell ref="K1223:R1223"/>
    <mergeCell ref="K1224:R1224"/>
    <mergeCell ref="K1225:R1225"/>
    <mergeCell ref="K1226:R1226"/>
    <mergeCell ref="K1227:R1227"/>
    <mergeCell ref="K1228:R1228"/>
    <mergeCell ref="K1229:R1229"/>
    <mergeCell ref="K1230:R1230"/>
    <mergeCell ref="K1231:R1231"/>
    <mergeCell ref="K1232:R1232"/>
    <mergeCell ref="K1233:R1233"/>
    <mergeCell ref="K1234:R1234"/>
    <mergeCell ref="K1235:R1235"/>
    <mergeCell ref="K1236:R1236"/>
    <mergeCell ref="K1237:R1237"/>
    <mergeCell ref="K1238:R1238"/>
    <mergeCell ref="K1239:R1239"/>
    <mergeCell ref="K1240:R1240"/>
    <mergeCell ref="K1241:R1241"/>
    <mergeCell ref="K1242:R1242"/>
    <mergeCell ref="K1243:R1243"/>
    <mergeCell ref="K1244:R1244"/>
    <mergeCell ref="K1245:R1245"/>
    <mergeCell ref="K1246:R1246"/>
    <mergeCell ref="K1247:R1247"/>
    <mergeCell ref="K1248:R1248"/>
    <mergeCell ref="K1249:R1249"/>
    <mergeCell ref="K1250:R1250"/>
    <mergeCell ref="K1251:R1251"/>
    <mergeCell ref="K1252:R1252"/>
    <mergeCell ref="K1253:R1253"/>
    <mergeCell ref="K1254:R1254"/>
    <mergeCell ref="K1255:R1255"/>
    <mergeCell ref="K1256:R1256"/>
    <mergeCell ref="K1257:R1257"/>
    <mergeCell ref="K1258:R1258"/>
    <mergeCell ref="K1259:R1259"/>
    <mergeCell ref="K1260:R1260"/>
    <mergeCell ref="K1261:R1261"/>
    <mergeCell ref="K1262:R1262"/>
    <mergeCell ref="K1263:R1263"/>
    <mergeCell ref="K1264:R1264"/>
    <mergeCell ref="K1265:R1265"/>
    <mergeCell ref="K1266:R1266"/>
    <mergeCell ref="K1267:R1267"/>
    <mergeCell ref="K1268:R1268"/>
    <mergeCell ref="K1269:R1269"/>
    <mergeCell ref="K1270:R1270"/>
    <mergeCell ref="K1271:R1271"/>
    <mergeCell ref="K1272:R1272"/>
    <mergeCell ref="K1273:R1273"/>
    <mergeCell ref="K1274:R1274"/>
    <mergeCell ref="K1275:R1275"/>
    <mergeCell ref="K1276:R1276"/>
    <mergeCell ref="K1277:R1277"/>
    <mergeCell ref="K1278:R1278"/>
    <mergeCell ref="K1279:R1279"/>
    <mergeCell ref="K1280:R1280"/>
    <mergeCell ref="K1281:R1281"/>
    <mergeCell ref="K1282:R1282"/>
    <mergeCell ref="K1283:R1283"/>
    <mergeCell ref="K1284:R1284"/>
    <mergeCell ref="K1285:R1285"/>
    <mergeCell ref="K1286:R1286"/>
    <mergeCell ref="K1287:R1287"/>
    <mergeCell ref="K1288:R1288"/>
    <mergeCell ref="K1289:R1289"/>
    <mergeCell ref="K1290:R1290"/>
    <mergeCell ref="K1291:R1291"/>
    <mergeCell ref="K1292:R1292"/>
    <mergeCell ref="K1293:R1293"/>
  </mergeCells>
  <conditionalFormatting sqref="C3:C1293">
    <cfRule type="cellIs" priority="2" operator="equal" aboveAverage="0" equalAverage="0" bottom="0" percent="0" rank="0" text="" dxfId="1">
      <formula>"상해지점"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9694"/>
    <pageSetUpPr fitToPage="true"/>
  </sheetPr>
  <dimension ref="A4:AL3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4" activeCellId="0" sqref="A24"/>
    </sheetView>
  </sheetViews>
  <sheetFormatPr defaultColWidth="9" defaultRowHeight="19.5" zeroHeight="false" outlineLevelRow="0" outlineLevelCol="0"/>
  <cols>
    <col collapsed="false" customWidth="true" hidden="false" outlineLevel="0" max="1" min="1" style="581" width="8.75"/>
    <col collapsed="false" customWidth="true" hidden="false" outlineLevel="0" max="2" min="2" style="581" width="11.13"/>
    <col collapsed="false" customWidth="true" hidden="false" outlineLevel="0" max="3" min="3" style="582" width="16.75"/>
    <col collapsed="false" customWidth="true" hidden="false" outlineLevel="0" max="4" min="4" style="583" width="17.25"/>
    <col collapsed="false" customWidth="true" hidden="false" outlineLevel="0" max="5" min="5" style="583" width="25.25"/>
    <col collapsed="false" customWidth="true" hidden="false" outlineLevel="0" max="6" min="6" style="583" width="7.88"/>
    <col collapsed="false" customWidth="true" hidden="false" outlineLevel="0" max="7" min="7" style="584" width="16.88"/>
    <col collapsed="false" customWidth="true" hidden="false" outlineLevel="0" max="9" min="8" style="582" width="16.88"/>
    <col collapsed="false" customWidth="true" hidden="false" outlineLevel="0" max="10" min="10" style="582" width="6.25"/>
    <col collapsed="false" customWidth="true" hidden="false" outlineLevel="0" max="11" min="11" style="582" width="6.63"/>
    <col collapsed="false" customWidth="true" hidden="false" outlineLevel="0" max="12" min="12" style="398" width="13.25"/>
    <col collapsed="false" customWidth="true" hidden="false" outlineLevel="0" max="13" min="13" style="398" width="13.38"/>
    <col collapsed="false" customWidth="true" hidden="false" outlineLevel="0" max="14" min="14" style="398" width="14"/>
    <col collapsed="false" customWidth="true" hidden="false" outlineLevel="0" max="17" min="15" style="583" width="10.5"/>
    <col collapsed="false" customWidth="false" hidden="false" outlineLevel="0" max="16384" min="18" style="398" width="9"/>
  </cols>
  <sheetData>
    <row r="4" s="398" customFormat="true" ht="31.5" hidden="false" customHeight="true" outlineLevel="0" collapsed="false">
      <c r="C4" s="585" t="s">
        <v>2124</v>
      </c>
      <c r="D4" s="585"/>
      <c r="E4" s="585"/>
      <c r="F4" s="585"/>
      <c r="G4" s="585"/>
      <c r="H4" s="585"/>
      <c r="I4" s="585"/>
      <c r="J4" s="585"/>
      <c r="K4" s="585"/>
      <c r="L4" s="585"/>
      <c r="M4" s="585"/>
      <c r="N4" s="585"/>
      <c r="O4" s="585"/>
      <c r="P4" s="586"/>
      <c r="Q4" s="586"/>
    </row>
    <row r="5" s="398" customFormat="true" ht="31.5" hidden="false" customHeight="true" outlineLevel="0" collapsed="false">
      <c r="C5" s="587" t="n">
        <v>45931</v>
      </c>
      <c r="D5" s="587"/>
      <c r="E5" s="587"/>
      <c r="F5" s="587"/>
      <c r="G5" s="587"/>
      <c r="H5" s="587"/>
      <c r="I5" s="587"/>
      <c r="J5" s="587"/>
      <c r="K5" s="587"/>
      <c r="L5" s="587"/>
      <c r="M5" s="587"/>
      <c r="N5" s="587"/>
      <c r="O5" s="587"/>
      <c r="P5" s="588"/>
      <c r="Q5" s="588"/>
    </row>
    <row r="6" s="398" customFormat="true" ht="33" hidden="false" customHeight="true" outlineLevel="0" collapsed="false">
      <c r="C6" s="588"/>
      <c r="D6" s="588"/>
      <c r="E6" s="588"/>
      <c r="F6" s="588"/>
      <c r="G6" s="588"/>
      <c r="H6" s="588"/>
      <c r="I6" s="588"/>
      <c r="J6" s="588"/>
      <c r="K6" s="588"/>
      <c r="L6" s="589"/>
      <c r="M6" s="589"/>
      <c r="N6" s="589"/>
      <c r="O6" s="588"/>
      <c r="P6" s="590" t="s">
        <v>2125</v>
      </c>
      <c r="Q6" s="590" t="s">
        <v>2126</v>
      </c>
    </row>
    <row r="7" s="398" customFormat="true" ht="51" hidden="false" customHeight="true" outlineLevel="0" collapsed="false">
      <c r="C7" s="588"/>
      <c r="D7" s="588"/>
      <c r="E7" s="588"/>
      <c r="F7" s="588"/>
      <c r="G7" s="588"/>
      <c r="H7" s="588"/>
      <c r="I7" s="588"/>
      <c r="J7" s="588"/>
      <c r="K7" s="588"/>
      <c r="L7" s="591"/>
      <c r="M7" s="591"/>
      <c r="N7" s="591"/>
      <c r="O7" s="588"/>
      <c r="P7" s="590"/>
      <c r="Q7" s="590"/>
    </row>
    <row r="8" customFormat="false" ht="34.5" hidden="false" customHeight="true" outlineLevel="0" collapsed="false">
      <c r="A8" s="592" t="s">
        <v>2127</v>
      </c>
      <c r="B8" s="592" t="s">
        <v>2128</v>
      </c>
      <c r="C8" s="593" t="s">
        <v>2129</v>
      </c>
      <c r="D8" s="594" t="s">
        <v>2130</v>
      </c>
      <c r="E8" s="594" t="s">
        <v>2131</v>
      </c>
      <c r="F8" s="594" t="s">
        <v>1355</v>
      </c>
      <c r="G8" s="595" t="s">
        <v>1363</v>
      </c>
      <c r="H8" s="596" t="s">
        <v>61</v>
      </c>
      <c r="I8" s="596" t="s">
        <v>62</v>
      </c>
      <c r="J8" s="596" t="s">
        <v>64</v>
      </c>
      <c r="K8" s="596" t="s">
        <v>63</v>
      </c>
      <c r="L8" s="596" t="s">
        <v>52</v>
      </c>
      <c r="M8" s="596"/>
      <c r="N8" s="596"/>
      <c r="O8" s="594" t="s">
        <v>77</v>
      </c>
      <c r="P8" s="594" t="s">
        <v>83</v>
      </c>
      <c r="Q8" s="594" t="s">
        <v>2132</v>
      </c>
    </row>
    <row r="9" customFormat="false" ht="23.25" hidden="false" customHeight="true" outlineLevel="0" collapsed="false">
      <c r="A9" s="592"/>
      <c r="B9" s="592"/>
      <c r="C9" s="592"/>
      <c r="D9" s="592"/>
      <c r="E9" s="592"/>
      <c r="F9" s="592"/>
      <c r="G9" s="592"/>
      <c r="H9" s="592"/>
      <c r="I9" s="592"/>
      <c r="J9" s="592"/>
      <c r="K9" s="592"/>
      <c r="L9" s="594" t="s">
        <v>74</v>
      </c>
      <c r="M9" s="594" t="s">
        <v>2133</v>
      </c>
      <c r="N9" s="596" t="s">
        <v>2134</v>
      </c>
      <c r="O9" s="594"/>
      <c r="P9" s="594"/>
      <c r="Q9" s="594"/>
    </row>
    <row r="10" customFormat="false" ht="23.25" hidden="false" customHeight="true" outlineLevel="0" collapsed="false">
      <c r="A10" s="592"/>
      <c r="B10" s="592"/>
      <c r="C10" s="592"/>
      <c r="D10" s="592"/>
      <c r="E10" s="592"/>
      <c r="F10" s="592"/>
      <c r="G10" s="592"/>
      <c r="H10" s="592"/>
      <c r="I10" s="592"/>
      <c r="J10" s="592"/>
      <c r="K10" s="592"/>
      <c r="L10" s="592"/>
      <c r="M10" s="592"/>
      <c r="N10" s="592"/>
      <c r="O10" s="592"/>
      <c r="P10" s="592"/>
      <c r="Q10" s="592"/>
    </row>
    <row r="11" customFormat="false" ht="27" hidden="false" customHeight="true" outlineLevel="0" collapsed="false">
      <c r="A11" s="597" t="n">
        <v>1</v>
      </c>
      <c r="B11" s="598" t="s">
        <v>2135</v>
      </c>
      <c r="C11" s="599" t="str">
        <f aca="false">K24</f>
        <v>정기예금</v>
      </c>
      <c r="D11" s="600" t="str">
        <f aca="false">C24</f>
        <v>중동지점</v>
      </c>
      <c r="E11" s="601" t="str">
        <f aca="false">F24</f>
        <v>동화인더스트리</v>
      </c>
      <c r="F11" s="597" t="s">
        <v>2136</v>
      </c>
      <c r="G11" s="602" t="n">
        <f aca="false">L24*1000000</f>
        <v>2000000</v>
      </c>
      <c r="H11" s="603" t="n">
        <f aca="false">G24</f>
        <v>46085</v>
      </c>
      <c r="I11" s="604" t="n">
        <f aca="false">H24</f>
        <v>46118</v>
      </c>
      <c r="J11" s="605" t="n">
        <f aca="false">J24</f>
        <v>1</v>
      </c>
      <c r="K11" s="606" t="n">
        <f aca="false">I11-H11</f>
        <v>33</v>
      </c>
      <c r="L11" s="607" t="n">
        <f aca="false">V24</f>
        <v>0.039655</v>
      </c>
      <c r="M11" s="607" t="n">
        <f aca="false">W24</f>
        <v>0.000793</v>
      </c>
      <c r="N11" s="607" t="n">
        <f aca="false">X24</f>
        <v>0.002586</v>
      </c>
      <c r="O11" s="607" t="n">
        <f aca="false">AE24</f>
        <v>0.030277</v>
      </c>
      <c r="P11" s="607" t="n">
        <f aca="false">AF24</f>
        <v>0.00422300000000001</v>
      </c>
      <c r="Q11" s="608" t="n">
        <f aca="false">AG24</f>
        <v>0.0345</v>
      </c>
    </row>
    <row r="12" customFormat="false" ht="27" hidden="false" customHeight="true" outlineLevel="0" collapsed="false">
      <c r="A12" s="597"/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97"/>
      <c r="N12" s="597"/>
      <c r="O12" s="597"/>
      <c r="P12" s="597"/>
      <c r="Q12" s="597"/>
    </row>
    <row r="13" customFormat="false" ht="27" hidden="false" customHeight="true" outlineLevel="0" collapsed="false">
      <c r="A13" s="597" t="n">
        <v>2</v>
      </c>
      <c r="B13" s="598" t="s">
        <v>2135</v>
      </c>
      <c r="C13" s="599" t="str">
        <f aca="false">K26</f>
        <v>정기예금</v>
      </c>
      <c r="D13" s="600" t="str">
        <f aca="false">C26</f>
        <v>경산공단영업부</v>
      </c>
      <c r="E13" s="601" t="str">
        <f aca="false">F26</f>
        <v>㈜일지테크</v>
      </c>
      <c r="F13" s="597" t="s">
        <v>2136</v>
      </c>
      <c r="G13" s="602" t="n">
        <f aca="false">L26*1000000</f>
        <v>2000000</v>
      </c>
      <c r="H13" s="603" t="n">
        <f aca="false">G26</f>
        <v>45940</v>
      </c>
      <c r="I13" s="604" t="n">
        <f aca="false">H26</f>
        <v>45947</v>
      </c>
      <c r="J13" s="605" t="n">
        <f aca="false">J26</f>
        <v>0</v>
      </c>
      <c r="K13" s="606" t="n">
        <f aca="false">I13-H13</f>
        <v>7</v>
      </c>
      <c r="L13" s="607" t="n">
        <f aca="false">V26</f>
        <v>0.043565</v>
      </c>
      <c r="M13" s="607" t="n">
        <f aca="false">W26</f>
        <v>0.00305</v>
      </c>
      <c r="N13" s="607" t="n">
        <f aca="false">X26</f>
        <v>0.003739</v>
      </c>
      <c r="O13" s="607" t="n">
        <f aca="false">AE26</f>
        <v>0.031876</v>
      </c>
      <c r="P13" s="607" t="n">
        <f aca="false">AF26</f>
        <v>0.003124</v>
      </c>
      <c r="Q13" s="608" t="n">
        <f aca="false">AG26</f>
        <v>0.035</v>
      </c>
    </row>
    <row r="14" customFormat="false" ht="27" hidden="false" customHeight="true" outlineLevel="0" collapsed="false">
      <c r="A14" s="597"/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97"/>
      <c r="N14" s="597"/>
      <c r="O14" s="597"/>
      <c r="P14" s="597"/>
      <c r="Q14" s="597"/>
    </row>
    <row r="15" customFormat="false" ht="19.5" hidden="false" customHeight="true" outlineLevel="0" collapsed="false">
      <c r="A15" s="597" t="n">
        <v>3</v>
      </c>
      <c r="B15" s="598" t="s">
        <v>2135</v>
      </c>
      <c r="C15" s="599" t="str">
        <f aca="false">K28</f>
        <v>정기예금</v>
      </c>
      <c r="D15" s="600" t="str">
        <f aca="false">C28</f>
        <v>경산공단영업부</v>
      </c>
      <c r="E15" s="601" t="str">
        <f aca="false">F28</f>
        <v>㈜일지테크</v>
      </c>
      <c r="F15" s="597" t="s">
        <v>2136</v>
      </c>
      <c r="G15" s="602" t="n">
        <f aca="false">L28*1000000</f>
        <v>2000000</v>
      </c>
      <c r="H15" s="603" t="n">
        <f aca="false">G28</f>
        <v>45940</v>
      </c>
      <c r="I15" s="604" t="n">
        <f aca="false">H28</f>
        <v>45947</v>
      </c>
      <c r="J15" s="605" t="n">
        <f aca="false">J28</f>
        <v>0</v>
      </c>
      <c r="K15" s="606" t="n">
        <f aca="false">I15-H15</f>
        <v>7</v>
      </c>
      <c r="L15" s="607" t="n">
        <f aca="false">V28</f>
        <v>0.043565</v>
      </c>
      <c r="M15" s="607" t="n">
        <f aca="false">W28</f>
        <v>0.00305</v>
      </c>
      <c r="N15" s="607" t="n">
        <f aca="false">X28</f>
        <v>0.003739</v>
      </c>
      <c r="O15" s="607" t="n">
        <f aca="false">AE28</f>
        <v>0.031876</v>
      </c>
      <c r="P15" s="607" t="n">
        <f aca="false">AF28</f>
        <v>0.003124</v>
      </c>
      <c r="Q15" s="608" t="n">
        <f aca="false">AG28</f>
        <v>0.035</v>
      </c>
    </row>
    <row r="16" customFormat="false" ht="19.5" hidden="false" customHeight="true" outlineLevel="0" collapsed="false">
      <c r="A16" s="597"/>
      <c r="B16" s="597"/>
      <c r="C16" s="597"/>
      <c r="D16" s="597"/>
      <c r="E16" s="597"/>
      <c r="F16" s="597"/>
      <c r="G16" s="597"/>
      <c r="H16" s="597"/>
      <c r="I16" s="597"/>
      <c r="J16" s="597"/>
      <c r="K16" s="597"/>
      <c r="L16" s="597"/>
      <c r="M16" s="597"/>
      <c r="N16" s="597"/>
      <c r="O16" s="597"/>
      <c r="P16" s="597"/>
      <c r="Q16" s="597"/>
    </row>
    <row r="17" customFormat="false" ht="19.5" hidden="false" customHeight="true" outlineLevel="0" collapsed="false">
      <c r="A17" s="597" t="n">
        <v>4</v>
      </c>
      <c r="B17" s="598" t="s">
        <v>2135</v>
      </c>
      <c r="C17" s="599" t="str">
        <f aca="false">K30</f>
        <v>MMDA</v>
      </c>
      <c r="D17" s="600" t="str">
        <f aca="false">C30</f>
        <v>성남영업부</v>
      </c>
      <c r="E17" s="601" t="str">
        <f aca="false">F30</f>
        <v>㈜이수스페셜티케미컬</v>
      </c>
      <c r="F17" s="597" t="s">
        <v>2136</v>
      </c>
      <c r="G17" s="602" t="n">
        <f aca="false">L30*1000000</f>
        <v>3170000</v>
      </c>
      <c r="H17" s="603" t="n">
        <f aca="false">G30</f>
        <v>45940</v>
      </c>
      <c r="I17" s="604" t="n">
        <f aca="false">H30</f>
        <v>45971</v>
      </c>
      <c r="J17" s="605" t="n">
        <f aca="false">J30</f>
        <v>1</v>
      </c>
      <c r="K17" s="606" t="n">
        <f aca="false">I17-H17</f>
        <v>31</v>
      </c>
      <c r="L17" s="607" t="n">
        <f aca="false">V30</f>
        <v>0.044165</v>
      </c>
      <c r="M17" s="607" t="n">
        <f aca="false">W30</f>
        <v>0.003092</v>
      </c>
      <c r="N17" s="607" t="n">
        <f aca="false">X30</f>
        <v>0.004297</v>
      </c>
      <c r="O17" s="607" t="n">
        <f aca="false">AE30</f>
        <v>0.029876</v>
      </c>
      <c r="P17" s="607" t="n">
        <f aca="false">AF30</f>
        <v>0.005124</v>
      </c>
      <c r="Q17" s="608" t="n">
        <f aca="false">AG30</f>
        <v>0.035</v>
      </c>
    </row>
    <row r="18" customFormat="false" ht="19.5" hidden="false" customHeight="true" outlineLevel="0" collapsed="false">
      <c r="A18" s="597"/>
      <c r="B18" s="597"/>
      <c r="C18" s="597"/>
      <c r="D18" s="597"/>
      <c r="E18" s="59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597"/>
      <c r="Q18" s="597"/>
    </row>
    <row r="19" customFormat="false" ht="19.5" hidden="false" customHeight="true" outlineLevel="0" collapsed="false">
      <c r="A19" s="597" t="n">
        <v>5</v>
      </c>
      <c r="B19" s="598" t="s">
        <v>2135</v>
      </c>
      <c r="C19" s="599" t="n">
        <f aca="false">K32</f>
        <v>0</v>
      </c>
      <c r="D19" s="600" t="n">
        <f aca="false">C32</f>
        <v>0</v>
      </c>
      <c r="E19" s="601" t="n">
        <f aca="false">F32</f>
        <v>0</v>
      </c>
      <c r="F19" s="597" t="s">
        <v>2136</v>
      </c>
      <c r="G19" s="602" t="n">
        <f aca="false">L32*1000000</f>
        <v>0</v>
      </c>
      <c r="H19" s="603" t="n">
        <f aca="false">G32</f>
        <v>0</v>
      </c>
      <c r="I19" s="604" t="n">
        <f aca="false">H32</f>
        <v>0</v>
      </c>
      <c r="J19" s="605" t="n">
        <f aca="false">J32</f>
        <v>0</v>
      </c>
      <c r="K19" s="606" t="n">
        <f aca="false">I19-H19</f>
        <v>0</v>
      </c>
      <c r="L19" s="607" t="n">
        <f aca="false">V32</f>
        <v>0</v>
      </c>
      <c r="M19" s="607" t="n">
        <f aca="false">W32</f>
        <v>0</v>
      </c>
      <c r="N19" s="607" t="n">
        <f aca="false">X32</f>
        <v>0</v>
      </c>
      <c r="O19" s="607" t="n">
        <f aca="false">AE32</f>
        <v>0</v>
      </c>
      <c r="P19" s="607" t="n">
        <f aca="false">AF32</f>
        <v>0</v>
      </c>
      <c r="Q19" s="608" t="n">
        <f aca="false">AG32</f>
        <v>0</v>
      </c>
    </row>
    <row r="20" customFormat="false" ht="19.5" hidden="false" customHeight="true" outlineLevel="0" collapsed="false">
      <c r="A20" s="597"/>
      <c r="B20" s="597"/>
      <c r="C20" s="597"/>
      <c r="D20" s="597"/>
      <c r="E20" s="597"/>
      <c r="F20" s="597"/>
      <c r="G20" s="597"/>
      <c r="H20" s="597"/>
      <c r="I20" s="597"/>
      <c r="J20" s="597"/>
      <c r="K20" s="597"/>
      <c r="L20" s="597"/>
      <c r="M20" s="597"/>
      <c r="N20" s="597"/>
      <c r="O20" s="597"/>
      <c r="P20" s="597"/>
      <c r="Q20" s="597"/>
    </row>
    <row r="21" customFormat="false" ht="19.5" hidden="false" customHeight="true" outlineLevel="0" collapsed="false">
      <c r="A21" s="597" t="n">
        <v>6</v>
      </c>
      <c r="B21" s="598" t="s">
        <v>2135</v>
      </c>
      <c r="C21" s="599" t="n">
        <f aca="false">K34</f>
        <v>0</v>
      </c>
      <c r="D21" s="600" t="n">
        <f aca="false">C34</f>
        <v>0</v>
      </c>
      <c r="E21" s="601" t="n">
        <f aca="false">F34</f>
        <v>0</v>
      </c>
      <c r="F21" s="597" t="s">
        <v>2136</v>
      </c>
      <c r="G21" s="602" t="n">
        <f aca="false">L34*1000000</f>
        <v>0</v>
      </c>
      <c r="H21" s="603" t="n">
        <f aca="false">G34</f>
        <v>0</v>
      </c>
      <c r="I21" s="604" t="n">
        <f aca="false">H34</f>
        <v>0</v>
      </c>
      <c r="J21" s="605" t="n">
        <f aca="false">J34</f>
        <v>0</v>
      </c>
      <c r="K21" s="606" t="n">
        <f aca="false">I21-H21</f>
        <v>0</v>
      </c>
      <c r="L21" s="607" t="n">
        <f aca="false">V34</f>
        <v>0</v>
      </c>
      <c r="M21" s="607" t="n">
        <f aca="false">W34</f>
        <v>0</v>
      </c>
      <c r="N21" s="607" t="n">
        <f aca="false">X34</f>
        <v>0</v>
      </c>
      <c r="O21" s="607" t="n">
        <f aca="false">AE34</f>
        <v>0</v>
      </c>
      <c r="P21" s="607" t="n">
        <f aca="false">AF34</f>
        <v>0</v>
      </c>
      <c r="Q21" s="608" t="n">
        <f aca="false">AG34</f>
        <v>0</v>
      </c>
    </row>
    <row r="22" customFormat="false" ht="19.5" hidden="false" customHeight="true" outlineLevel="0" collapsed="false">
      <c r="A22" s="597"/>
      <c r="B22" s="597"/>
      <c r="C22" s="597"/>
      <c r="D22" s="597"/>
      <c r="E22" s="597"/>
      <c r="F22" s="597"/>
      <c r="G22" s="597"/>
      <c r="H22" s="597"/>
      <c r="I22" s="597"/>
      <c r="J22" s="597"/>
      <c r="K22" s="597"/>
      <c r="L22" s="597"/>
      <c r="M22" s="597"/>
      <c r="N22" s="597"/>
      <c r="O22" s="597"/>
      <c r="P22" s="597"/>
      <c r="Q22" s="597"/>
    </row>
    <row r="23" customFormat="false" ht="19.5" hidden="false" customHeight="true" outlineLevel="0" collapsed="false">
      <c r="A23" s="581" t="s">
        <v>2137</v>
      </c>
      <c r="B23" s="609" t="s">
        <v>2138</v>
      </c>
    </row>
    <row r="24" s="268" customFormat="true" ht="20.25" hidden="false" customHeight="true" outlineLevel="0" collapsed="false">
      <c r="A24" s="402" t="n">
        <v>632</v>
      </c>
      <c r="B24" s="363" t="n">
        <v>46085</v>
      </c>
      <c r="C24" s="402" t="s">
        <v>1129</v>
      </c>
      <c r="D24" s="402" t="s">
        <v>1130</v>
      </c>
      <c r="E24" s="402" t="s">
        <v>1214</v>
      </c>
      <c r="F24" s="402" t="s">
        <v>1132</v>
      </c>
      <c r="G24" s="404" t="n">
        <v>46085</v>
      </c>
      <c r="H24" s="404" t="n">
        <v>46118</v>
      </c>
      <c r="I24" s="402" t="n">
        <v>33</v>
      </c>
      <c r="J24" s="405" t="n">
        <v>1</v>
      </c>
      <c r="K24" s="406" t="s">
        <v>95</v>
      </c>
      <c r="L24" s="407" t="n">
        <v>2</v>
      </c>
      <c r="M24" s="408"/>
      <c r="N24" s="409"/>
      <c r="O24" s="405" t="s">
        <v>303</v>
      </c>
      <c r="P24" s="410" t="n">
        <v>0.0367115</v>
      </c>
      <c r="Q24" s="410"/>
      <c r="R24" s="411" t="s">
        <v>914</v>
      </c>
      <c r="S24" s="412"/>
      <c r="T24" s="411"/>
      <c r="U24" s="412"/>
      <c r="V24" s="412" t="n">
        <v>0.039655</v>
      </c>
      <c r="W24" s="412" t="n">
        <v>0.000793</v>
      </c>
      <c r="X24" s="412" t="n">
        <v>0.002586</v>
      </c>
      <c r="Y24" s="412" t="n">
        <v>0.030277</v>
      </c>
      <c r="Z24" s="412" t="n">
        <v>0.00172</v>
      </c>
      <c r="AA24" s="412" t="n">
        <v>0.002</v>
      </c>
      <c r="AB24" s="374" t="n">
        <v>-0.00172</v>
      </c>
      <c r="AC24" s="374" t="n">
        <v>-0.00372</v>
      </c>
      <c r="AD24" s="413" t="n">
        <v>0.0345</v>
      </c>
      <c r="AE24" s="412" t="n">
        <v>0.030277</v>
      </c>
      <c r="AF24" s="445" t="n">
        <v>0.00422300000000001</v>
      </c>
      <c r="AG24" s="412" t="n">
        <v>0.0345</v>
      </c>
      <c r="AH24" s="378" t="n">
        <v>46085</v>
      </c>
      <c r="AI24" s="414" t="n">
        <v>1</v>
      </c>
      <c r="AJ24" s="415" t="s">
        <v>466</v>
      </c>
      <c r="AK24" s="416" t="s">
        <v>1286</v>
      </c>
      <c r="AL24" s="267"/>
    </row>
    <row r="25" customFormat="false" ht="19.5" hidden="false" customHeight="true" outlineLevel="0" collapsed="false">
      <c r="A25" s="364" t="n">
        <v>633</v>
      </c>
      <c r="B25" s="363" t="n">
        <v>46085</v>
      </c>
      <c r="C25" s="364" t="s">
        <v>770</v>
      </c>
      <c r="D25" s="364" t="s">
        <v>1111</v>
      </c>
      <c r="E25" s="364" t="s">
        <v>1004</v>
      </c>
      <c r="F25" s="364" t="s">
        <v>773</v>
      </c>
      <c r="G25" s="365" t="n">
        <v>46085</v>
      </c>
      <c r="H25" s="365" t="n">
        <v>46177</v>
      </c>
      <c r="I25" s="364" t="n">
        <v>92</v>
      </c>
      <c r="J25" s="366" t="n">
        <v>3</v>
      </c>
      <c r="K25" s="395" t="s">
        <v>95</v>
      </c>
      <c r="L25" s="368" t="n">
        <v>2</v>
      </c>
      <c r="M25" s="408"/>
      <c r="N25" s="409"/>
      <c r="O25" s="405" t="s">
        <v>300</v>
      </c>
      <c r="P25" s="410" t="n">
        <v>0.0366804</v>
      </c>
      <c r="Q25" s="371"/>
      <c r="R25" s="372" t="s">
        <v>914</v>
      </c>
      <c r="S25" s="373"/>
      <c r="T25" s="372"/>
      <c r="U25" s="373"/>
      <c r="V25" s="412" t="n">
        <v>0.041067</v>
      </c>
      <c r="W25" s="412" t="n">
        <v>0.000821</v>
      </c>
      <c r="X25" s="412" t="n">
        <v>0.00247</v>
      </c>
      <c r="Y25" s="412" t="n">
        <v>0.030946</v>
      </c>
      <c r="Z25" s="412" t="n">
        <v>0.00172</v>
      </c>
      <c r="AA25" s="412" t="n">
        <v>0.002</v>
      </c>
      <c r="AB25" s="374" t="n">
        <v>-0.00172</v>
      </c>
      <c r="AC25" s="374" t="n">
        <v>-0.00372</v>
      </c>
      <c r="AD25" s="375" t="n">
        <v>0.036</v>
      </c>
      <c r="AE25" s="412" t="n">
        <v>0.030946</v>
      </c>
      <c r="AF25" s="445" t="n">
        <v>0.005054</v>
      </c>
      <c r="AG25" s="377" t="n">
        <v>0.036</v>
      </c>
      <c r="AH25" s="378" t="n">
        <v>46085</v>
      </c>
      <c r="AI25" s="379" t="n">
        <v>2</v>
      </c>
      <c r="AJ25" s="610" t="s">
        <v>466</v>
      </c>
      <c r="AK25" s="416" t="s">
        <v>1294</v>
      </c>
    </row>
    <row r="26" customFormat="false" ht="19.5" hidden="false" customHeight="true" outlineLevel="0" collapsed="false">
      <c r="A26" s="364" t="n">
        <v>468</v>
      </c>
      <c r="B26" s="363" t="n">
        <v>45940</v>
      </c>
      <c r="C26" s="364" t="s">
        <v>187</v>
      </c>
      <c r="D26" s="444" t="s">
        <v>1062</v>
      </c>
      <c r="E26" s="364" t="s">
        <v>1165</v>
      </c>
      <c r="F26" s="364" t="s">
        <v>877</v>
      </c>
      <c r="G26" s="365" t="n">
        <v>45940</v>
      </c>
      <c r="H26" s="365" t="n">
        <v>45947</v>
      </c>
      <c r="I26" s="364" t="n">
        <v>7</v>
      </c>
      <c r="J26" s="366" t="n">
        <v>0</v>
      </c>
      <c r="K26" s="395" t="s">
        <v>95</v>
      </c>
      <c r="L26" s="368" t="n">
        <v>2</v>
      </c>
      <c r="M26" s="369"/>
      <c r="N26" s="370"/>
      <c r="O26" s="366" t="s">
        <v>305</v>
      </c>
      <c r="P26" s="373" t="n">
        <v>0.0410504</v>
      </c>
      <c r="Q26" s="371"/>
      <c r="R26" s="372" t="s">
        <v>914</v>
      </c>
      <c r="S26" s="373"/>
      <c r="T26" s="372"/>
      <c r="U26" s="373"/>
      <c r="V26" s="373" t="n">
        <v>0.043565</v>
      </c>
      <c r="W26" s="373" t="n">
        <v>0.00305</v>
      </c>
      <c r="X26" s="373" t="n">
        <v>0.003739</v>
      </c>
      <c r="Y26" s="373" t="n">
        <v>0.031876</v>
      </c>
      <c r="Z26" s="373" t="n">
        <v>0.00172</v>
      </c>
      <c r="AA26" s="373" t="n">
        <v>0.002</v>
      </c>
      <c r="AB26" s="374" t="n">
        <v>-0.00172</v>
      </c>
      <c r="AC26" s="374" t="n">
        <v>-0.00372</v>
      </c>
      <c r="AD26" s="375" t="n">
        <v>0.035</v>
      </c>
      <c r="AE26" s="373" t="n">
        <v>0.031876</v>
      </c>
      <c r="AF26" s="376" t="n">
        <v>0.003124</v>
      </c>
      <c r="AG26" s="377" t="n">
        <v>0.035</v>
      </c>
      <c r="AH26" s="378" t="n">
        <v>45940</v>
      </c>
      <c r="AI26" s="379" t="n">
        <v>3</v>
      </c>
      <c r="AJ26" s="610" t="s">
        <v>466</v>
      </c>
      <c r="AK26" s="396" t="s">
        <v>1224</v>
      </c>
    </row>
    <row r="27" customFormat="false" ht="19.5" hidden="false" customHeight="true" outlineLevel="0" collapsed="false">
      <c r="A27" s="581" t="n">
        <v>469</v>
      </c>
      <c r="B27" s="581" t="n">
        <v>45940</v>
      </c>
      <c r="C27" s="611" t="s">
        <v>187</v>
      </c>
      <c r="D27" s="612" t="s">
        <v>1062</v>
      </c>
      <c r="E27" s="612" t="s">
        <v>1165</v>
      </c>
      <c r="F27" s="612" t="s">
        <v>877</v>
      </c>
      <c r="G27" s="613" t="n">
        <v>45940</v>
      </c>
      <c r="H27" s="614" t="n">
        <v>45947</v>
      </c>
      <c r="I27" s="582" t="n">
        <v>7</v>
      </c>
      <c r="J27" s="582" t="n">
        <v>0</v>
      </c>
      <c r="K27" s="611" t="s">
        <v>95</v>
      </c>
      <c r="L27" s="398" t="n">
        <v>2</v>
      </c>
      <c r="O27" s="583" t="s">
        <v>305</v>
      </c>
      <c r="P27" s="583" t="n">
        <v>0.0410504</v>
      </c>
      <c r="R27" s="398" t="s">
        <v>914</v>
      </c>
      <c r="V27" s="398" t="n">
        <v>0.043565</v>
      </c>
      <c r="W27" s="398" t="n">
        <v>0.00305</v>
      </c>
      <c r="X27" s="398" t="n">
        <v>0.003739</v>
      </c>
      <c r="Y27" s="398" t="n">
        <v>0.031876</v>
      </c>
      <c r="Z27" s="398" t="n">
        <v>0.00172</v>
      </c>
      <c r="AA27" s="398" t="n">
        <v>0.002</v>
      </c>
      <c r="AB27" s="398" t="n">
        <v>-0.00172</v>
      </c>
      <c r="AC27" s="398" t="n">
        <v>-0.00372</v>
      </c>
      <c r="AD27" s="398" t="n">
        <v>0.035</v>
      </c>
      <c r="AE27" s="398" t="n">
        <v>0.031876</v>
      </c>
      <c r="AF27" s="398" t="n">
        <v>0.003124</v>
      </c>
      <c r="AG27" s="398" t="n">
        <v>0.035</v>
      </c>
      <c r="AH27" s="398" t="n">
        <v>45940</v>
      </c>
      <c r="AI27" s="398" t="n">
        <v>4</v>
      </c>
      <c r="AJ27" s="398" t="s">
        <v>466</v>
      </c>
      <c r="AK27" s="398" t="s">
        <v>1224</v>
      </c>
    </row>
    <row r="28" customFormat="false" ht="19.5" hidden="false" customHeight="true" outlineLevel="0" collapsed="false">
      <c r="A28" s="581" t="n">
        <v>470</v>
      </c>
      <c r="B28" s="581" t="n">
        <v>45940</v>
      </c>
      <c r="C28" s="611" t="s">
        <v>187</v>
      </c>
      <c r="D28" s="612" t="s">
        <v>1062</v>
      </c>
      <c r="E28" s="612" t="s">
        <v>1165</v>
      </c>
      <c r="F28" s="612" t="s">
        <v>877</v>
      </c>
      <c r="G28" s="613" t="n">
        <v>45940</v>
      </c>
      <c r="H28" s="614" t="n">
        <v>45947</v>
      </c>
      <c r="I28" s="582" t="n">
        <v>7</v>
      </c>
      <c r="J28" s="582" t="n">
        <v>0</v>
      </c>
      <c r="K28" s="611" t="s">
        <v>95</v>
      </c>
      <c r="L28" s="398" t="n">
        <v>2</v>
      </c>
      <c r="O28" s="583" t="s">
        <v>305</v>
      </c>
      <c r="P28" s="583" t="n">
        <v>0.0410504</v>
      </c>
      <c r="R28" s="398" t="s">
        <v>914</v>
      </c>
      <c r="V28" s="398" t="n">
        <v>0.043565</v>
      </c>
      <c r="W28" s="398" t="n">
        <v>0.00305</v>
      </c>
      <c r="X28" s="398" t="n">
        <v>0.003739</v>
      </c>
      <c r="Y28" s="398" t="n">
        <v>0.031876</v>
      </c>
      <c r="Z28" s="398" t="n">
        <v>0.00172</v>
      </c>
      <c r="AA28" s="398" t="n">
        <v>0.002</v>
      </c>
      <c r="AB28" s="398" t="n">
        <v>-0.00172</v>
      </c>
      <c r="AC28" s="398" t="n">
        <v>-0.00372</v>
      </c>
      <c r="AD28" s="398" t="n">
        <v>0.035</v>
      </c>
      <c r="AE28" s="398" t="n">
        <v>0.031876</v>
      </c>
      <c r="AF28" s="398" t="n">
        <v>0.003124</v>
      </c>
      <c r="AG28" s="398" t="n">
        <v>0.035</v>
      </c>
      <c r="AH28" s="398" t="n">
        <v>45940</v>
      </c>
      <c r="AI28" s="398" t="n">
        <v>5</v>
      </c>
      <c r="AJ28" s="398" t="s">
        <v>466</v>
      </c>
      <c r="AK28" s="398" t="s">
        <v>1224</v>
      </c>
    </row>
    <row r="29" customFormat="false" ht="19.5" hidden="false" customHeight="true" outlineLevel="0" collapsed="false">
      <c r="A29" s="581" t="n">
        <v>471</v>
      </c>
      <c r="B29" s="581" t="n">
        <v>45940</v>
      </c>
      <c r="C29" s="611" t="s">
        <v>1066</v>
      </c>
      <c r="D29" s="612" t="s">
        <v>932</v>
      </c>
      <c r="E29" s="612" t="s">
        <v>1067</v>
      </c>
      <c r="F29" s="612" t="s">
        <v>1192</v>
      </c>
      <c r="G29" s="613" t="n">
        <v>45940</v>
      </c>
      <c r="H29" s="614" t="n">
        <v>45971</v>
      </c>
      <c r="I29" s="582" t="n">
        <v>31</v>
      </c>
      <c r="J29" s="582" t="n">
        <v>1</v>
      </c>
      <c r="K29" s="582" t="s">
        <v>99</v>
      </c>
      <c r="L29" s="398" t="n">
        <v>2</v>
      </c>
      <c r="O29" s="583" t="s">
        <v>303</v>
      </c>
      <c r="P29" s="583" t="n">
        <v>0.0404771</v>
      </c>
      <c r="R29" s="398" t="s">
        <v>914</v>
      </c>
      <c r="V29" s="398" t="n">
        <v>0.044165</v>
      </c>
      <c r="W29" s="398" t="n">
        <v>0.003092</v>
      </c>
      <c r="X29" s="398" t="n">
        <v>0.004297</v>
      </c>
      <c r="Y29" s="398" t="n">
        <v>0.029876</v>
      </c>
      <c r="Z29" s="398" t="n">
        <v>0.00172</v>
      </c>
      <c r="AA29" s="398" t="n">
        <v>0.002</v>
      </c>
      <c r="AB29" s="398" t="n">
        <v>-0.00172</v>
      </c>
      <c r="AC29" s="398" t="n">
        <v>-0.00372</v>
      </c>
      <c r="AD29" s="398" t="n">
        <v>0.035</v>
      </c>
      <c r="AE29" s="398" t="n">
        <v>0.029876</v>
      </c>
      <c r="AF29" s="398" t="n">
        <v>0.005124</v>
      </c>
      <c r="AG29" s="398" t="n">
        <v>0.035</v>
      </c>
      <c r="AH29" s="398" t="n">
        <v>45940</v>
      </c>
      <c r="AI29" s="398" t="n">
        <v>6</v>
      </c>
      <c r="AJ29" s="398" t="s">
        <v>466</v>
      </c>
      <c r="AK29" s="398" t="s">
        <v>1224</v>
      </c>
    </row>
    <row r="30" customFormat="false" ht="19.5" hidden="false" customHeight="true" outlineLevel="0" collapsed="false">
      <c r="A30" s="581" t="n">
        <v>472</v>
      </c>
      <c r="B30" s="581" t="n">
        <v>45940</v>
      </c>
      <c r="C30" s="611" t="s">
        <v>1066</v>
      </c>
      <c r="D30" s="612" t="s">
        <v>932</v>
      </c>
      <c r="E30" s="612" t="s">
        <v>970</v>
      </c>
      <c r="F30" s="612" t="s">
        <v>864</v>
      </c>
      <c r="G30" s="613" t="n">
        <v>45940</v>
      </c>
      <c r="H30" s="614" t="n">
        <v>45971</v>
      </c>
      <c r="I30" s="582" t="n">
        <v>31</v>
      </c>
      <c r="J30" s="582" t="n">
        <v>1</v>
      </c>
      <c r="K30" s="582" t="s">
        <v>99</v>
      </c>
      <c r="L30" s="398" t="n">
        <v>3.17</v>
      </c>
      <c r="O30" s="583" t="s">
        <v>303</v>
      </c>
      <c r="P30" s="583" t="n">
        <v>0.0404771</v>
      </c>
      <c r="R30" s="398" t="s">
        <v>914</v>
      </c>
      <c r="V30" s="398" t="n">
        <v>0.044165</v>
      </c>
      <c r="W30" s="398" t="n">
        <v>0.003092</v>
      </c>
      <c r="X30" s="398" t="n">
        <v>0.004297</v>
      </c>
      <c r="Y30" s="398" t="n">
        <v>0.029876</v>
      </c>
      <c r="Z30" s="398" t="n">
        <v>0.00172</v>
      </c>
      <c r="AA30" s="398" t="n">
        <v>0.002</v>
      </c>
      <c r="AB30" s="398" t="n">
        <v>-0.00172</v>
      </c>
      <c r="AC30" s="398" t="n">
        <v>-0.00372</v>
      </c>
      <c r="AD30" s="398" t="n">
        <v>0.035</v>
      </c>
      <c r="AE30" s="398" t="n">
        <v>0.029876</v>
      </c>
      <c r="AF30" s="398" t="n">
        <v>0.005124</v>
      </c>
      <c r="AG30" s="398" t="n">
        <v>0.035</v>
      </c>
      <c r="AH30" s="398" t="n">
        <v>45940</v>
      </c>
      <c r="AI30" s="398" t="n">
        <v>7</v>
      </c>
      <c r="AJ30" s="398" t="s">
        <v>466</v>
      </c>
      <c r="AK30" s="398" t="s">
        <v>1224</v>
      </c>
    </row>
  </sheetData>
  <mergeCells count="122">
    <mergeCell ref="C4:O4"/>
    <mergeCell ref="C5:O5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N8"/>
    <mergeCell ref="O8:O10"/>
    <mergeCell ref="P8:P10"/>
    <mergeCell ref="Q8:Q10"/>
    <mergeCell ref="L9:L10"/>
    <mergeCell ref="M9:M10"/>
    <mergeCell ref="N9:N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</mergeCells>
  <conditionalFormatting sqref="AG24:AG26">
    <cfRule type="cellIs" priority="2" operator="greaterThan" aboveAverage="0" equalAverage="0" bottom="0" percent="0" rank="0" text="" dxfId="0">
      <formula>$AD$11</formula>
    </cfRule>
  </conditionalFormatting>
  <conditionalFormatting sqref="C24:C25">
    <cfRule type="cellIs" priority="3" operator="equal" aboveAverage="0" equalAverage="0" bottom="0" percent="0" rank="0" text="" dxfId="1">
      <formula>"상해지점"</formula>
    </cfRule>
  </conditionalFormatting>
  <conditionalFormatting sqref="AJ24:AJ26">
    <cfRule type="cellIs" priority="4" operator="equal" aboveAverage="0" equalAverage="0" bottom="0" percent="0" rank="0" text="" dxfId="2">
      <formula>"N"</formula>
    </cfRule>
    <cfRule type="containsText" priority="5" operator="containsText" aboveAverage="0" equalAverage="0" bottom="0" percent="0" rank="0" text="Y" dxfId="1">
      <formula>NOT(ISERROR(SEARCH("Y",AJ24)))</formula>
    </cfRule>
  </conditionalFormatting>
  <conditionalFormatting sqref="A11:B11 A13:B13 A15:B15 A17:B17 A19:B19 A21:B21">
    <cfRule type="cellIs" priority="6" operator="equal" aboveAverage="0" equalAverage="0" bottom="0" percent="0" rank="0" text="" dxfId="2">
      <formula>"상담"</formula>
    </cfRule>
    <cfRule type="cellIs" priority="7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true"/>
  </sheetPr>
  <dimension ref="A1:BX12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23" activeCellId="0" sqref="H23"/>
    </sheetView>
  </sheetViews>
  <sheetFormatPr defaultColWidth="11.12890625" defaultRowHeight="24.75" zeroHeight="false" outlineLevelRow="0" outlineLevelCol="0"/>
  <cols>
    <col collapsed="false" customWidth="false" hidden="false" outlineLevel="0" max="1" min="1" style="1" width="11.13"/>
    <col collapsed="false" customWidth="true" hidden="false" outlineLevel="0" max="2" min="2" style="1" width="16.13"/>
    <col collapsed="false" customWidth="true" hidden="false" outlineLevel="0" max="3" min="3" style="1" width="21.25"/>
    <col collapsed="false" customWidth="true" hidden="false" outlineLevel="0" max="4" min="4" style="1" width="2.5"/>
    <col collapsed="false" customWidth="true" hidden="false" outlineLevel="0" max="5" min="5" style="1" width="2.75"/>
    <col collapsed="false" customWidth="true" hidden="false" outlineLevel="0" max="6" min="6" style="1" width="11.38"/>
    <col collapsed="false" customWidth="true" hidden="false" outlineLevel="0" max="7" min="7" style="1" width="12.88"/>
    <col collapsed="false" customWidth="true" hidden="false" outlineLevel="0" max="8" min="8" style="1" width="11.38"/>
    <col collapsed="false" customWidth="true" hidden="false" outlineLevel="0" max="9" min="9" style="1" width="3.25"/>
    <col collapsed="false" customWidth="true" hidden="false" outlineLevel="0" max="10" min="10" style="1" width="9.25"/>
    <col collapsed="false" customWidth="true" hidden="false" outlineLevel="0" max="11" min="11" style="1" width="11"/>
    <col collapsed="false" customWidth="true" hidden="false" outlineLevel="0" max="12" min="12" style="1" width="6.5"/>
    <col collapsed="false" customWidth="true" hidden="false" outlineLevel="0" max="13" min="13" style="1" width="22.5"/>
    <col collapsed="false" customWidth="true" hidden="false" outlineLevel="0" max="14" min="14" style="332" width="3.88"/>
    <col collapsed="false" customWidth="true" hidden="false" outlineLevel="0" max="15" min="15" style="332" width="4"/>
    <col collapsed="false" customWidth="true" hidden="false" outlineLevel="0" max="17" min="16" style="52" width="10.75"/>
    <col collapsed="false" customWidth="true" hidden="false" outlineLevel="0" max="18" min="18" style="1" width="8.13"/>
    <col collapsed="false" customWidth="true" hidden="false" outlineLevel="0" max="19" min="19" style="615" width="5.88"/>
    <col collapsed="false" customWidth="true" hidden="false" outlineLevel="0" max="23" min="20" style="616" width="16.38"/>
    <col collapsed="false" customWidth="true" hidden="false" outlineLevel="0" max="27" min="24" style="617" width="16.38"/>
    <col collapsed="false" customWidth="false" hidden="false" outlineLevel="0" max="76" min="28" style="332" width="11.13"/>
  </cols>
  <sheetData>
    <row r="1" s="332" customFormat="true" ht="24.75" hidden="false" customHeight="true" outlineLevel="0" collapsed="false">
      <c r="P1" s="617"/>
      <c r="Q1" s="617"/>
      <c r="R1" s="617"/>
      <c r="S1" s="618"/>
      <c r="T1" s="617"/>
      <c r="U1" s="617"/>
      <c r="V1" s="617"/>
      <c r="W1" s="617"/>
      <c r="X1" s="617"/>
      <c r="Y1" s="617"/>
      <c r="Z1" s="617"/>
      <c r="AA1" s="617"/>
    </row>
    <row r="2" customFormat="false" ht="24.75" hidden="false" customHeight="true" outlineLevel="0" collapsed="false">
      <c r="A2" s="332"/>
      <c r="B2" s="619" t="s">
        <v>2139</v>
      </c>
      <c r="C2" s="619"/>
      <c r="D2" s="332"/>
      <c r="E2" s="332"/>
      <c r="F2" s="332"/>
      <c r="G2" s="332"/>
      <c r="H2" s="332"/>
      <c r="I2" s="332"/>
      <c r="J2" s="620" t="s">
        <v>2140</v>
      </c>
      <c r="K2" s="620"/>
      <c r="L2" s="620"/>
      <c r="M2" s="620"/>
      <c r="P2" s="621" t="s">
        <v>2141</v>
      </c>
      <c r="Q2" s="621"/>
      <c r="R2" s="621"/>
      <c r="S2" s="618"/>
      <c r="T2" s="617"/>
      <c r="U2" s="617"/>
      <c r="V2" s="617"/>
      <c r="W2" s="617"/>
    </row>
    <row r="3" s="332" customFormat="true" ht="24.75" hidden="false" customHeight="true" outlineLevel="0" collapsed="false">
      <c r="B3" s="622" t="n">
        <f aca="false">IF($C$6="Buy/Sell",1,2)</f>
        <v>2</v>
      </c>
      <c r="C3" s="623" t="str">
        <f aca="false">VLOOKUP($C$7,$R$7:$AA$43,2,FALSE())</f>
        <v>E</v>
      </c>
      <c r="F3" s="624" t="str">
        <f aca="false">C3&amp;B3</f>
        <v>E2</v>
      </c>
      <c r="J3" s="625"/>
      <c r="K3" s="626"/>
      <c r="L3" s="626"/>
      <c r="M3" s="627"/>
      <c r="P3" s="628" t="s">
        <v>2142</v>
      </c>
      <c r="Q3" s="628"/>
      <c r="R3" s="623"/>
      <c r="S3" s="629"/>
      <c r="T3" s="630"/>
      <c r="U3" s="630"/>
      <c r="V3" s="630"/>
      <c r="W3" s="630"/>
      <c r="X3" s="631"/>
      <c r="Y3" s="631"/>
      <c r="Z3" s="631"/>
      <c r="AA3" s="631"/>
    </row>
    <row r="4" s="632" customFormat="true" ht="24.75" hidden="false" customHeight="true" outlineLevel="0" collapsed="false">
      <c r="J4" s="633"/>
      <c r="K4" s="634"/>
      <c r="L4" s="634"/>
      <c r="M4" s="635"/>
      <c r="P4" s="628"/>
      <c r="Q4" s="628"/>
      <c r="R4" s="636" t="n">
        <v>1</v>
      </c>
      <c r="S4" s="637" t="n">
        <v>2</v>
      </c>
      <c r="T4" s="637" t="n">
        <v>3</v>
      </c>
      <c r="U4" s="637" t="n">
        <v>4</v>
      </c>
      <c r="V4" s="637" t="n">
        <v>5</v>
      </c>
      <c r="W4" s="637" t="n">
        <v>6</v>
      </c>
      <c r="X4" s="636" t="n">
        <v>7</v>
      </c>
      <c r="Y4" s="636" t="n">
        <v>8</v>
      </c>
      <c r="Z4" s="636" t="n">
        <v>9</v>
      </c>
      <c r="AA4" s="636" t="n">
        <v>10</v>
      </c>
    </row>
    <row r="5" s="20" customFormat="true" ht="24.75" hidden="false" customHeight="true" outlineLevel="0" collapsed="false">
      <c r="A5" s="632"/>
      <c r="B5" s="632"/>
      <c r="C5" s="632"/>
      <c r="D5" s="632"/>
      <c r="E5" s="632"/>
      <c r="F5" s="632"/>
      <c r="G5" s="632"/>
      <c r="H5" s="632"/>
      <c r="I5" s="632"/>
      <c r="J5" s="633"/>
      <c r="K5" s="634"/>
      <c r="L5" s="634"/>
      <c r="M5" s="635"/>
      <c r="N5" s="632"/>
      <c r="O5" s="632"/>
      <c r="P5" s="628"/>
      <c r="Q5" s="628"/>
      <c r="R5" s="636"/>
      <c r="S5" s="637"/>
      <c r="T5" s="638" t="n">
        <f aca="false">IF(AND($C$3="A",$B$3=1),1,-1)</f>
        <v>-1</v>
      </c>
      <c r="U5" s="638" t="n">
        <f aca="false">IF(AND($C$3="A",$B$3=1),-1,1)</f>
        <v>1</v>
      </c>
      <c r="V5" s="638" t="n">
        <f aca="false">IF(AND($C$3="A",$B$3=1),-1,1)</f>
        <v>1</v>
      </c>
      <c r="W5" s="638" t="n">
        <f aca="false">IF(AND($C$3="A",$B$3=1),1,-1)</f>
        <v>-1</v>
      </c>
      <c r="X5" s="639"/>
      <c r="Y5" s="639"/>
      <c r="Z5" s="639"/>
      <c r="AA5" s="639"/>
      <c r="AB5" s="632"/>
      <c r="AC5" s="632"/>
      <c r="AD5" s="632"/>
      <c r="AE5" s="632"/>
      <c r="AF5" s="632"/>
      <c r="AG5" s="632"/>
      <c r="AH5" s="632"/>
      <c r="AI5" s="632"/>
      <c r="AJ5" s="632"/>
      <c r="AK5" s="632"/>
      <c r="AL5" s="632"/>
      <c r="AM5" s="632"/>
      <c r="AN5" s="632"/>
      <c r="AO5" s="632"/>
      <c r="AP5" s="632"/>
      <c r="AQ5" s="632"/>
      <c r="AR5" s="632"/>
      <c r="AS5" s="632"/>
      <c r="AT5" s="632"/>
      <c r="AU5" s="632"/>
      <c r="AV5" s="632"/>
      <c r="AW5" s="632"/>
      <c r="AX5" s="632"/>
      <c r="AY5" s="632"/>
      <c r="AZ5" s="632"/>
      <c r="BA5" s="632"/>
      <c r="BB5" s="632"/>
      <c r="BC5" s="632"/>
      <c r="BD5" s="632"/>
      <c r="BE5" s="632"/>
      <c r="BF5" s="632"/>
      <c r="BG5" s="632"/>
      <c r="BH5" s="632"/>
      <c r="BI5" s="632"/>
      <c r="BJ5" s="632"/>
      <c r="BK5" s="632"/>
      <c r="BL5" s="632"/>
      <c r="BM5" s="632"/>
      <c r="BN5" s="632"/>
      <c r="BO5" s="632"/>
      <c r="BP5" s="632"/>
      <c r="BQ5" s="632"/>
      <c r="BR5" s="632"/>
      <c r="BS5" s="632"/>
      <c r="BT5" s="632"/>
      <c r="BU5" s="632"/>
      <c r="BV5" s="632"/>
      <c r="BW5" s="632"/>
      <c r="BX5" s="632"/>
    </row>
    <row r="6" customFormat="false" ht="24.75" hidden="false" customHeight="true" outlineLevel="0" collapsed="false">
      <c r="A6" s="332"/>
      <c r="B6" s="640" t="s">
        <v>2143</v>
      </c>
      <c r="C6" s="641" t="s">
        <v>2144</v>
      </c>
      <c r="D6" s="331"/>
      <c r="E6" s="331"/>
      <c r="F6" s="331"/>
      <c r="G6" s="331"/>
      <c r="H6" s="331"/>
      <c r="I6" s="331"/>
      <c r="J6" s="642" t="str">
        <f aca="false">M7&amp;"/"&amp;M10</f>
        <v>USD/KRW</v>
      </c>
      <c r="K6" s="642"/>
      <c r="L6" s="642"/>
      <c r="M6" s="642"/>
      <c r="N6" s="331"/>
      <c r="O6" s="643"/>
      <c r="P6" s="644" t="s">
        <v>2145</v>
      </c>
      <c r="Q6" s="644" t="s">
        <v>2146</v>
      </c>
      <c r="R6" s="644" t="s">
        <v>1355</v>
      </c>
      <c r="S6" s="645" t="s">
        <v>1350</v>
      </c>
      <c r="T6" s="646" t="s">
        <v>2147</v>
      </c>
      <c r="U6" s="646" t="s">
        <v>2148</v>
      </c>
      <c r="V6" s="646" t="s">
        <v>2149</v>
      </c>
      <c r="W6" s="646" t="s">
        <v>2150</v>
      </c>
      <c r="X6" s="647"/>
      <c r="Y6" s="647"/>
      <c r="Z6" s="647"/>
      <c r="AA6" s="647"/>
    </row>
    <row r="7" customFormat="false" ht="24.75" hidden="false" customHeight="true" outlineLevel="0" collapsed="false">
      <c r="A7" s="332"/>
      <c r="B7" s="648" t="s">
        <v>2151</v>
      </c>
      <c r="C7" s="649" t="s">
        <v>2152</v>
      </c>
      <c r="D7" s="632"/>
      <c r="E7" s="632"/>
      <c r="F7" s="632"/>
      <c r="G7" s="632"/>
      <c r="H7" s="632"/>
      <c r="I7" s="632"/>
      <c r="J7" s="650" t="s">
        <v>2153</v>
      </c>
      <c r="K7" s="651" t="n">
        <v>1</v>
      </c>
      <c r="L7" s="652" t="str">
        <f aca="false">IF($L$8&gt;0,"B",IF($L$8&lt;0,"S",""))</f>
        <v>B</v>
      </c>
      <c r="M7" s="653" t="str">
        <f aca="false">IF($C$3="A",$C$7,"USD")</f>
        <v>USD</v>
      </c>
      <c r="O7" s="654"/>
      <c r="P7" s="655" t="s">
        <v>2154</v>
      </c>
      <c r="Q7" s="655"/>
      <c r="R7" s="655" t="s">
        <v>2152</v>
      </c>
      <c r="S7" s="645" t="str">
        <f aca="false">LEFT(P7,1)</f>
        <v>E</v>
      </c>
      <c r="T7" s="646" t="n">
        <f aca="false">IFERROR(IF(AND(R7=$C$7,S7="A"),$C$9,IF(AND(R7=$C$7,S7="E"),$C$9*$C$12,""))*$T$5,"")</f>
        <v>-1380000000</v>
      </c>
      <c r="U7" s="646" t="n">
        <f aca="false">IFERROR(IF(AND(R7=$C$7,S7="A"),$C$9*$C$12,IF(AND(R7=$C$7,S7="E"),$C$9,""))*$U$5,"")</f>
        <v>1000000</v>
      </c>
      <c r="V7" s="646" t="n">
        <f aca="false">IFERROR(IF(AND(R7=$C$7,S7="A"),$C$9,IF(AND(R7=$C$7,S7="E"),$C$9*$C$14,""))*$V$5,"")</f>
        <v>1380279000</v>
      </c>
      <c r="W7" s="646" t="n">
        <f aca="false">IFERROR(IF(AND(R7=$C$7,S7="A"),$C$9*$C$14,IF(AND(R7=$C$7,S7="E"),$C$9,""))*$W$5,"")</f>
        <v>-1000000</v>
      </c>
      <c r="X7" s="647"/>
      <c r="Y7" s="647"/>
      <c r="Z7" s="647"/>
      <c r="AA7" s="647"/>
    </row>
    <row r="8" customFormat="false" ht="24.75" hidden="false" customHeight="true" outlineLevel="0" collapsed="false">
      <c r="A8" s="332"/>
      <c r="B8" s="656"/>
      <c r="C8" s="332"/>
      <c r="D8" s="332"/>
      <c r="E8" s="332"/>
      <c r="F8" s="624" t="s">
        <v>2136</v>
      </c>
      <c r="G8" s="624" t="str">
        <f aca="false">C7</f>
        <v>KRW</v>
      </c>
      <c r="H8" s="332"/>
      <c r="I8" s="332"/>
      <c r="J8" s="650"/>
      <c r="K8" s="651"/>
      <c r="L8" s="657" t="n">
        <f aca="false">IF($C$7="KRW",VLOOKUP($C$7,$R$7:$AA$43,4,FALSE()),VLOOKUP($C$7,$R$7:$AA$43,3,FALSE()))</f>
        <v>1000000</v>
      </c>
      <c r="M8" s="657"/>
      <c r="O8" s="654"/>
      <c r="P8" s="655" t="s">
        <v>2155</v>
      </c>
      <c r="Q8" s="655"/>
      <c r="R8" s="655" t="s">
        <v>2156</v>
      </c>
      <c r="S8" s="645" t="str">
        <f aca="false">LEFT(P8,1)</f>
        <v>A</v>
      </c>
      <c r="T8" s="646" t="str">
        <f aca="false">IFERROR(IF(AND(R8=$C$7,S8="A"),$C$9,IF(AND(R8=$C$7,S8="E"),$C$9/$C$12,""))*$T$5,"")</f>
        <v/>
      </c>
      <c r="U8" s="646" t="str">
        <f aca="false">IFERROR(IF(AND(R8=$C$7,S8="A"),$C$9*$C$12,IF(AND(R8=$C$7,S8="E"),$C$9,""))*$U$5,"")</f>
        <v/>
      </c>
      <c r="V8" s="646" t="str">
        <f aca="false">IFERROR(IF(AND(R8=$C$7,S8="A"),$C$9,IF(AND(R8=$C$7,S8="E"),$C$9/$C$14,""))*$V$5,"")</f>
        <v/>
      </c>
      <c r="W8" s="646" t="str">
        <f aca="false">IFERROR(IF(AND(R8=$C$7,S8="A"),$C$9*$C$14,IF(AND(R8=$C$7,S8="E"),$C$9,""))*$W$5,"")</f>
        <v/>
      </c>
      <c r="X8" s="647"/>
      <c r="Y8" s="647"/>
      <c r="Z8" s="647"/>
      <c r="AA8" s="647"/>
    </row>
    <row r="9" customFormat="false" ht="24.75" hidden="false" customHeight="true" outlineLevel="0" collapsed="false">
      <c r="A9" s="332"/>
      <c r="B9" s="658" t="str">
        <f aca="false">IF($C$7="KRW","USD",C7)</f>
        <v>USD</v>
      </c>
      <c r="C9" s="659" t="n">
        <v>1000000</v>
      </c>
      <c r="D9" s="660"/>
      <c r="E9" s="660"/>
      <c r="F9" s="661" t="n">
        <f aca="false">IF($C$3="A",L11,L8)</f>
        <v>1000000</v>
      </c>
      <c r="G9" s="661" t="n">
        <f aca="false">IF($C$3="A",L8,L11)</f>
        <v>-1380000000</v>
      </c>
      <c r="H9" s="660"/>
      <c r="I9" s="660"/>
      <c r="J9" s="650"/>
      <c r="K9" s="651" t="s">
        <v>2157</v>
      </c>
      <c r="L9" s="662" t="n">
        <f aca="false">$C$12</f>
        <v>1380</v>
      </c>
      <c r="M9" s="662"/>
      <c r="N9" s="660"/>
      <c r="O9" s="654"/>
      <c r="P9" s="655" t="s">
        <v>2154</v>
      </c>
      <c r="Q9" s="655"/>
      <c r="R9" s="655" t="s">
        <v>1267</v>
      </c>
      <c r="S9" s="645" t="str">
        <f aca="false">LEFT(P9,1)</f>
        <v>E</v>
      </c>
      <c r="T9" s="646" t="str">
        <f aca="false">IFERROR(IF(AND(R9=$C$7,S9="A"),$C$9,IF(AND(R9=$C$7,S9="E"),$C$9/$C$12,""))*$T$5,"")</f>
        <v/>
      </c>
      <c r="U9" s="646" t="str">
        <f aca="false">IFERROR(IF(AND(R9=$C$7,S9="A"),$C$9*$C$12,IF(AND(R9=$C$7,S9="E"),$C$9,""))*$U$5,"")</f>
        <v/>
      </c>
      <c r="V9" s="646" t="str">
        <f aca="false">IFERROR(IF(AND(R9=$C$7,S9="A"),$C$9,IF(AND(R9=$C$7,S9="E"),$C$9/$C$14,""))*$V$5,"")</f>
        <v/>
      </c>
      <c r="W9" s="646" t="str">
        <f aca="false">IFERROR(IF(AND(R9=$C$7,S9="A"),$C$9*$C$14,IF(AND(R9=$C$7,S9="E"),$C$9,""))*$W$5,"")</f>
        <v/>
      </c>
      <c r="X9" s="647"/>
      <c r="Y9" s="647"/>
      <c r="Z9" s="647"/>
      <c r="AA9" s="647"/>
    </row>
    <row r="10" customFormat="false" ht="24.75" hidden="false" customHeight="true" outlineLevel="0" collapsed="false">
      <c r="A10" s="332"/>
      <c r="B10" s="663" t="s">
        <v>2158</v>
      </c>
      <c r="C10" s="664" t="n">
        <v>45491</v>
      </c>
      <c r="D10" s="660"/>
      <c r="E10" s="660"/>
      <c r="F10" s="665"/>
      <c r="G10" s="660"/>
      <c r="H10" s="660"/>
      <c r="I10" s="660"/>
      <c r="J10" s="650"/>
      <c r="K10" s="651" t="n">
        <v>2</v>
      </c>
      <c r="L10" s="666" t="str">
        <f aca="false">IF($L$11&gt;0,"B",IF($L$11&lt;0,"S",""))</f>
        <v>S</v>
      </c>
      <c r="M10" s="667" t="str">
        <f aca="false">IF($C$3="E",$C$7,"USD")</f>
        <v>KRW</v>
      </c>
      <c r="N10" s="660"/>
      <c r="O10" s="654"/>
      <c r="P10" s="655" t="s">
        <v>2155</v>
      </c>
      <c r="Q10" s="655"/>
      <c r="R10" s="655" t="s">
        <v>2159</v>
      </c>
      <c r="S10" s="645" t="str">
        <f aca="false">LEFT(P10,1)</f>
        <v>A</v>
      </c>
      <c r="T10" s="646" t="str">
        <f aca="false">IFERROR(IF(AND(R10=$C$7,S10="A"),$C$9,IF(AND(R10=$C$7,S10="E"),$C$9/$C$12,""))*$T$5,"")</f>
        <v/>
      </c>
      <c r="U10" s="646" t="str">
        <f aca="false">IFERROR(IF(AND(R10=$C$7,S10="A"),$C$9*$C$12,IF(AND(R10=$C$7,S10="E"),$C$9,""))*$U$5,"")</f>
        <v/>
      </c>
      <c r="V10" s="646" t="str">
        <f aca="false">IFERROR(IF(AND(R10=$C$7,S10="A"),$C$9,IF(AND(R10=$C$7,S10="E"),$C$9/$C$14,""))*$V$5,"")</f>
        <v/>
      </c>
      <c r="W10" s="646" t="str">
        <f aca="false">IFERROR(IF(AND(R10=$C$7,S10="A"),$C$9*$C$14,IF(AND(R10=$C$7,S10="E"),$C$9,""))*$W$5,"")</f>
        <v/>
      </c>
      <c r="X10" s="647"/>
      <c r="Y10" s="647"/>
      <c r="Z10" s="647"/>
      <c r="AA10" s="647"/>
      <c r="AB10" s="668"/>
    </row>
    <row r="11" customFormat="false" ht="24.75" hidden="false" customHeight="true" outlineLevel="0" collapsed="false">
      <c r="A11" s="332"/>
      <c r="B11" s="663" t="s">
        <v>2160</v>
      </c>
      <c r="C11" s="664" t="n">
        <v>45856</v>
      </c>
      <c r="D11" s="660"/>
      <c r="E11" s="660"/>
      <c r="F11" s="660"/>
      <c r="G11" s="660"/>
      <c r="H11" s="660"/>
      <c r="I11" s="660"/>
      <c r="J11" s="650"/>
      <c r="K11" s="651"/>
      <c r="L11" s="657" t="n">
        <f aca="false">IF($C$7="KRW",VLOOKUP($C$7,$R$7:$AA$43,3,FALSE()),VLOOKUP($C$7,$R$7:$AA$43,4,FALSE()))</f>
        <v>-1380000000</v>
      </c>
      <c r="M11" s="657"/>
      <c r="N11" s="660"/>
      <c r="O11" s="654"/>
      <c r="P11" s="655" t="s">
        <v>2154</v>
      </c>
      <c r="Q11" s="655"/>
      <c r="R11" s="655" t="s">
        <v>2161</v>
      </c>
      <c r="S11" s="645" t="str">
        <f aca="false">LEFT(P11,1)</f>
        <v>E</v>
      </c>
      <c r="T11" s="646" t="str">
        <f aca="false">IFERROR(IF(AND(R11=$C$7,S11="A"),$C$9,IF(AND(R11=$C$7,S11="E"),$C$9/$C$12,""))*$T$5,"")</f>
        <v/>
      </c>
      <c r="U11" s="646" t="str">
        <f aca="false">IFERROR(IF(AND(R11=$C$7,S11="A"),$C$9*$C$12,IF(AND(R11=$C$7,S11="E"),$C$9,""))*$U$5,"")</f>
        <v/>
      </c>
      <c r="V11" s="646" t="str">
        <f aca="false">IFERROR(IF(AND(R11=$C$7,S11="A"),$C$9,IF(AND(R11=$C$7,S11="E"),$C$9/$C$14,""))*$V$5,"")</f>
        <v/>
      </c>
      <c r="W11" s="646" t="str">
        <f aca="false">IFERROR(IF(AND(R11=$C$7,S11="A"),$C$9*$C$14,IF(AND(R11=$C$7,S11="E"),$C$9,""))*$W$5,"")</f>
        <v/>
      </c>
      <c r="X11" s="647"/>
      <c r="Y11" s="647"/>
      <c r="Z11" s="647"/>
      <c r="AA11" s="647"/>
      <c r="AB11" s="668"/>
    </row>
    <row r="12" customFormat="false" ht="24.75" hidden="false" customHeight="true" outlineLevel="0" collapsed="false">
      <c r="A12" s="332"/>
      <c r="B12" s="663" t="s">
        <v>2162</v>
      </c>
      <c r="C12" s="669" t="n">
        <v>1380</v>
      </c>
      <c r="D12" s="660"/>
      <c r="E12" s="660"/>
      <c r="F12" s="660"/>
      <c r="G12" s="660"/>
      <c r="H12" s="660"/>
      <c r="I12" s="660"/>
      <c r="J12" s="650" t="s">
        <v>2163</v>
      </c>
      <c r="K12" s="651" t="n">
        <v>1</v>
      </c>
      <c r="L12" s="670" t="str">
        <f aca="false">IF($L$13&gt;0,"B",IF($L$13&lt;0,"S",""))</f>
        <v>S</v>
      </c>
      <c r="M12" s="667" t="str">
        <f aca="false">M7</f>
        <v>USD</v>
      </c>
      <c r="N12" s="660"/>
      <c r="O12" s="654"/>
      <c r="P12" s="655" t="s">
        <v>2154</v>
      </c>
      <c r="Q12" s="655"/>
      <c r="R12" s="655" t="s">
        <v>2164</v>
      </c>
      <c r="S12" s="645" t="str">
        <f aca="false">LEFT(P12,1)</f>
        <v>E</v>
      </c>
      <c r="T12" s="646" t="str">
        <f aca="false">IFERROR(IF(AND(R12=$C$7,S12="A"),$C$9,IF(AND(R12=$C$7,S12="E"),$C$9/$C$12,""))*$T$5,"")</f>
        <v/>
      </c>
      <c r="U12" s="646" t="str">
        <f aca="false">IFERROR(IF(AND(R12=$C$7,S12="A"),$C$9*$C$12,IF(AND(R12=$C$7,S12="E"),$C$9,""))*$U$5,"")</f>
        <v/>
      </c>
      <c r="V12" s="646" t="str">
        <f aca="false">IFERROR(IF(AND(R12=$C$7,S12="A"),$C$9,IF(AND(R12=$C$7,S12="E"),$C$9/$C$14,""))*$V$5,"")</f>
        <v/>
      </c>
      <c r="W12" s="646" t="str">
        <f aca="false">IFERROR(IF(AND(R12=$C$7,S12="A"),$C$9*$C$14,IF(AND(R12=$C$7,S12="E"),$C$9,""))*$W$5,"")</f>
        <v/>
      </c>
      <c r="X12" s="647"/>
      <c r="Y12" s="647"/>
      <c r="Z12" s="647"/>
      <c r="AA12" s="647"/>
      <c r="AB12" s="668"/>
    </row>
    <row r="13" customFormat="false" ht="24.75" hidden="false" customHeight="true" outlineLevel="0" collapsed="false">
      <c r="A13" s="332"/>
      <c r="B13" s="663" t="s">
        <v>2165</v>
      </c>
      <c r="C13" s="671" t="n">
        <v>27.9</v>
      </c>
      <c r="D13" s="660"/>
      <c r="E13" s="660"/>
      <c r="F13" s="672" t="n">
        <f aca="false">IF($C$7="KRW",$C$13*100,$C$13)</f>
        <v>2790</v>
      </c>
      <c r="G13" s="660"/>
      <c r="H13" s="660"/>
      <c r="I13" s="660"/>
      <c r="J13" s="650"/>
      <c r="K13" s="651"/>
      <c r="L13" s="673" t="n">
        <f aca="false">IF($C$7="KRW",VLOOKUP($C$7,$R$7:$AA$43,6,FALSE()),VLOOKUP($C$7,$R$7:$AA$43,5,FALSE()))</f>
        <v>-1000000</v>
      </c>
      <c r="M13" s="673"/>
      <c r="N13" s="674"/>
      <c r="O13" s="654"/>
      <c r="P13" s="655" t="s">
        <v>2155</v>
      </c>
      <c r="Q13" s="655"/>
      <c r="R13" s="655" t="s">
        <v>2166</v>
      </c>
      <c r="S13" s="645" t="str">
        <f aca="false">LEFT(P13,1)</f>
        <v>A</v>
      </c>
      <c r="T13" s="646" t="str">
        <f aca="false">IFERROR(IF(AND(R13=$C$7,S13="A"),$C$9,IF(AND(R13=$C$7,S13="E"),$C$9/$C$12,""))*$T$5,"")</f>
        <v/>
      </c>
      <c r="U13" s="646" t="str">
        <f aca="false">IFERROR(IF(AND(R13=$C$7,S13="A"),$C$9*$C$12,IF(AND(R13=$C$7,S13="E"),$C$9,""))*$U$5,"")</f>
        <v/>
      </c>
      <c r="V13" s="646" t="str">
        <f aca="false">IFERROR(IF(AND(R13=$C$7,S13="A"),$C$9,IF(AND(R13=$C$7,S13="E"),$C$9/$C$14,""))*$V$5,"")</f>
        <v/>
      </c>
      <c r="W13" s="646" t="str">
        <f aca="false">IFERROR(IF(AND(R13=$C$7,S13="A"),$C$9*$C$14,IF(AND(R13=$C$7,S13="E"),$C$9,""))*$W$5,"")</f>
        <v/>
      </c>
      <c r="X13" s="647"/>
      <c r="Y13" s="647"/>
      <c r="Z13" s="647"/>
      <c r="AA13" s="647"/>
      <c r="AB13" s="668"/>
    </row>
    <row r="14" customFormat="false" ht="24.75" hidden="false" customHeight="true" outlineLevel="0" collapsed="false">
      <c r="A14" s="675"/>
      <c r="B14" s="676" t="s">
        <v>2167</v>
      </c>
      <c r="C14" s="677" t="n">
        <f aca="false">C12+F13/10000</f>
        <v>1380.279</v>
      </c>
      <c r="D14" s="678"/>
      <c r="E14" s="678"/>
      <c r="F14" s="678"/>
      <c r="G14" s="678"/>
      <c r="H14" s="678"/>
      <c r="I14" s="678"/>
      <c r="J14" s="650"/>
      <c r="K14" s="651" t="s">
        <v>2157</v>
      </c>
      <c r="L14" s="662" t="n">
        <f aca="false">$C$14</f>
        <v>1380.279</v>
      </c>
      <c r="M14" s="662"/>
      <c r="O14" s="654"/>
      <c r="P14" s="655" t="s">
        <v>2154</v>
      </c>
      <c r="Q14" s="655"/>
      <c r="R14" s="655" t="s">
        <v>2168</v>
      </c>
      <c r="S14" s="645" t="str">
        <f aca="false">LEFT(P14,1)</f>
        <v>E</v>
      </c>
      <c r="T14" s="646" t="str">
        <f aca="false">IFERROR(IF(AND(R14=$C$7,S14="A"),$C$9,IF(AND(R14=$C$7,S14="E"),$C$9/$C$12,""))*$T$5,"")</f>
        <v/>
      </c>
      <c r="U14" s="646" t="str">
        <f aca="false">IFERROR(IF(AND(R14=$C$7,S14="A"),$C$9*$C$12,IF(AND(R14=$C$7,S14="E"),$C$9,""))*$U$5,"")</f>
        <v/>
      </c>
      <c r="V14" s="646" t="str">
        <f aca="false">IFERROR(IF(AND(R14=$C$7,S14="A"),$C$9,IF(AND(R14=$C$7,S14="E"),$C$9/$C$14,""))*$V$5,"")</f>
        <v/>
      </c>
      <c r="W14" s="646" t="str">
        <f aca="false">IFERROR(IF(AND(R14=$C$7,S14="A"),$C$9*$C$14,IF(AND(R14=$C$7,S14="E"),$C$9,""))*$W$5,"")</f>
        <v/>
      </c>
      <c r="X14" s="647"/>
      <c r="Y14" s="647"/>
      <c r="Z14" s="647"/>
      <c r="AA14" s="647"/>
      <c r="AB14" s="668"/>
    </row>
    <row r="15" customFormat="false" ht="24.75" hidden="false" customHeight="true" outlineLevel="0" collapsed="false">
      <c r="A15" s="332"/>
      <c r="B15" s="332"/>
      <c r="C15" s="332"/>
      <c r="D15" s="674"/>
      <c r="E15" s="674"/>
      <c r="F15" s="674"/>
      <c r="G15" s="674"/>
      <c r="H15" s="674"/>
      <c r="I15" s="674"/>
      <c r="J15" s="650"/>
      <c r="K15" s="651" t="n">
        <v>2</v>
      </c>
      <c r="L15" s="670" t="str">
        <f aca="false">IF($L$16&gt;0,"B",IF($L$16&lt;0,"S",""))</f>
        <v>B</v>
      </c>
      <c r="M15" s="667" t="str">
        <f aca="false">M10</f>
        <v>KRW</v>
      </c>
      <c r="O15" s="654"/>
      <c r="P15" s="655" t="s">
        <v>2154</v>
      </c>
      <c r="Q15" s="655"/>
      <c r="R15" s="655" t="s">
        <v>2169</v>
      </c>
      <c r="S15" s="645" t="str">
        <f aca="false">LEFT(P15,1)</f>
        <v>E</v>
      </c>
      <c r="T15" s="646" t="str">
        <f aca="false">IFERROR(IF(AND(R15=$C$7,S15="A"),$C$9,IF(AND(R15=$C$7,S15="E"),$C$9/$C$12,""))*$T$5,"")</f>
        <v/>
      </c>
      <c r="U15" s="646" t="str">
        <f aca="false">IFERROR(IF(AND(R15=$C$7,S15="A"),$C$9*$C$12,IF(AND(R15=$C$7,S15="E"),$C$9,""))*$U$5,"")</f>
        <v/>
      </c>
      <c r="V15" s="646" t="str">
        <f aca="false">IFERROR(IF(AND(R15=$C$7,S15="A"),$C$9,IF(AND(R15=$C$7,S15="E"),$C$9/$C$14,""))*$V$5,"")</f>
        <v/>
      </c>
      <c r="W15" s="646" t="str">
        <f aca="false">IFERROR(IF(AND(R15=$C$7,S15="A"),$C$9*$C$14,IF(AND(R15=$C$7,S15="E"),$C$9,""))*$W$5,"")</f>
        <v/>
      </c>
      <c r="X15" s="647"/>
      <c r="Y15" s="647"/>
      <c r="Z15" s="647"/>
      <c r="AA15" s="647"/>
      <c r="AB15" s="668"/>
    </row>
    <row r="16" customFormat="false" ht="24.75" hidden="false" customHeight="true" outlineLevel="0" collapsed="false">
      <c r="A16" s="332"/>
      <c r="B16" s="679" t="s">
        <v>2170</v>
      </c>
      <c r="C16" s="680" t="str">
        <f aca="false">IF(C13&gt;0,M10,IF(C13=0,"동일",M7))</f>
        <v>KRW</v>
      </c>
      <c r="D16" s="681"/>
      <c r="E16" s="682"/>
      <c r="F16" s="683"/>
      <c r="G16" s="683"/>
      <c r="H16" s="683"/>
      <c r="I16" s="332"/>
      <c r="J16" s="650"/>
      <c r="K16" s="651"/>
      <c r="L16" s="684" t="n">
        <f aca="false">IF($C$7="KRW",VLOOKUP($C$7,$R$7:$AA$43,5,FALSE()),VLOOKUP($C$7,$R$7:$AA$43,6,FALSE()))</f>
        <v>1380279000</v>
      </c>
      <c r="M16" s="684"/>
      <c r="N16" s="668"/>
      <c r="O16" s="654"/>
      <c r="P16" s="655" t="s">
        <v>2154</v>
      </c>
      <c r="Q16" s="655"/>
      <c r="R16" s="655" t="s">
        <v>2171</v>
      </c>
      <c r="S16" s="645" t="str">
        <f aca="false">LEFT(P16,1)</f>
        <v>E</v>
      </c>
      <c r="T16" s="646" t="str">
        <f aca="false">IFERROR(IF(AND(R16=$C$7,S16="A"),$C$9,IF(AND(R16=$C$7,S16="E"),$C$9/$C$12,""))*$T$5,"")</f>
        <v/>
      </c>
      <c r="U16" s="646" t="str">
        <f aca="false">IFERROR(IF(AND(R16=$C$7,S16="A"),$C$9*$C$12,IF(AND(R16=$C$7,S16="E"),$C$9,""))*$U$5,"")</f>
        <v/>
      </c>
      <c r="V16" s="646" t="str">
        <f aca="false">IFERROR(IF(AND(R16=$C$7,S16="A"),$C$9,IF(AND(R16=$C$7,S16="E"),$C$9/$C$14,""))*$V$5,"")</f>
        <v/>
      </c>
      <c r="W16" s="646" t="str">
        <f aca="false">IFERROR(IF(AND(R16=$C$7,S16="A"),$C$9*$C$14,IF(AND(R16=$C$7,S16="E"),$C$9,""))*$W$5,"")</f>
        <v/>
      </c>
      <c r="X16" s="647"/>
      <c r="Y16" s="647"/>
      <c r="Z16" s="647"/>
      <c r="AA16" s="647"/>
      <c r="AB16" s="668"/>
    </row>
    <row r="17" customFormat="false" ht="24.75" hidden="false" customHeight="true" outlineLevel="0" collapsed="false">
      <c r="A17" s="332"/>
      <c r="B17" s="685" t="s">
        <v>2172</v>
      </c>
      <c r="C17" s="686" t="str">
        <f aca="false">IF(C13&gt;0,M7,IF(C13=0,"동일",M10))</f>
        <v>USD</v>
      </c>
      <c r="D17" s="332"/>
      <c r="E17" s="687"/>
      <c r="F17" s="683"/>
      <c r="G17" s="683"/>
      <c r="H17" s="683"/>
      <c r="I17" s="332"/>
      <c r="J17" s="688" t="s">
        <v>49</v>
      </c>
      <c r="K17" s="688"/>
      <c r="L17" s="667" t="n">
        <f aca="false">C11-C10</f>
        <v>365</v>
      </c>
      <c r="M17" s="667"/>
      <c r="O17" s="654"/>
      <c r="P17" s="655" t="s">
        <v>2154</v>
      </c>
      <c r="Q17" s="655"/>
      <c r="R17" s="655" t="s">
        <v>2173</v>
      </c>
      <c r="S17" s="645" t="str">
        <f aca="false">LEFT(P17,1)</f>
        <v>E</v>
      </c>
      <c r="T17" s="646" t="str">
        <f aca="false">IFERROR(IF(AND(R17=$C$7,S17="A"),$C$9,IF(AND(R17=$C$7,S17="E"),$C$9/$C$12,""))*$T$5,"")</f>
        <v/>
      </c>
      <c r="U17" s="646" t="str">
        <f aca="false">IFERROR(IF(AND(R17=$C$7,S17="A"),$C$9*$C$12,IF(AND(R17=$C$7,S17="E"),$C$9,""))*$U$5,"")</f>
        <v/>
      </c>
      <c r="V17" s="646" t="str">
        <f aca="false">IFERROR(IF(AND(R17=$C$7,S17="A"),$C$9,IF(AND(R17=$C$7,S17="E"),$C$9/$C$14,""))*$V$5,"")</f>
        <v/>
      </c>
      <c r="W17" s="646" t="str">
        <f aca="false">IFERROR(IF(AND(R17=$C$7,S17="A"),$C$9*$C$14,IF(AND(R17=$C$7,S17="E"),$C$9,""))*$W$5,"")</f>
        <v/>
      </c>
      <c r="X17" s="647"/>
      <c r="Y17" s="647"/>
      <c r="Z17" s="647"/>
      <c r="AA17" s="647"/>
      <c r="AB17" s="668"/>
    </row>
    <row r="18" customFormat="false" ht="24.75" hidden="false" customHeight="true" outlineLevel="0" collapsed="false">
      <c r="A18" s="332"/>
      <c r="B18" s="332"/>
      <c r="C18" s="332"/>
      <c r="D18" s="674"/>
      <c r="E18" s="674"/>
      <c r="F18" s="674"/>
      <c r="G18" s="674"/>
      <c r="H18" s="674"/>
      <c r="I18" s="668"/>
      <c r="J18" s="689" t="s">
        <v>2174</v>
      </c>
      <c r="K18" s="689"/>
      <c r="L18" s="690" t="n">
        <f aca="false">C13</f>
        <v>27.9</v>
      </c>
      <c r="M18" s="690"/>
      <c r="N18" s="691"/>
      <c r="O18" s="654"/>
      <c r="P18" s="655" t="s">
        <v>2155</v>
      </c>
      <c r="Q18" s="655"/>
      <c r="R18" s="655" t="s">
        <v>2175</v>
      </c>
      <c r="S18" s="645" t="str">
        <f aca="false">LEFT(P18,1)</f>
        <v>A</v>
      </c>
      <c r="T18" s="646" t="str">
        <f aca="false">IFERROR(IF(AND(R18=$C$7,S18="A"),$C$9,IF(AND(R18=$C$7,S18="E"),$C$9/$C$12,""))*$T$5,"")</f>
        <v/>
      </c>
      <c r="U18" s="646" t="str">
        <f aca="false">IFERROR(IF(AND(R18=$C$7,S18="A"),$C$9*$C$12,IF(AND(R18=$C$7,S18="E"),$C$9,""))*$U$5,"")</f>
        <v/>
      </c>
      <c r="V18" s="646" t="str">
        <f aca="false">IFERROR(IF(AND(R18=$C$7,S18="A"),$C$9,IF(AND(R18=$C$7,S18="E"),$C$9/$C$14,""))*$V$5,"")</f>
        <v/>
      </c>
      <c r="W18" s="646" t="str">
        <f aca="false">IFERROR(IF(AND(R18=$C$7,S18="A"),$C$9*$C$14,IF(AND(R18=$C$7,S18="E"),$C$9,""))*$W$5,"")</f>
        <v/>
      </c>
      <c r="X18" s="647"/>
      <c r="Y18" s="647"/>
      <c r="Z18" s="647"/>
      <c r="AA18" s="647"/>
      <c r="AB18" s="668"/>
    </row>
    <row r="19" customFormat="false" ht="24.75" hidden="false" customHeight="true" outlineLevel="0" collapsed="false">
      <c r="A19" s="332"/>
      <c r="B19" s="692" t="s">
        <v>2176</v>
      </c>
      <c r="C19" s="693" t="n">
        <v>1380</v>
      </c>
      <c r="D19" s="332"/>
      <c r="E19" s="332"/>
      <c r="F19" s="332"/>
      <c r="G19" s="332"/>
      <c r="H19" s="332"/>
      <c r="I19" s="332"/>
      <c r="J19" s="694" t="s">
        <v>2177</v>
      </c>
      <c r="K19" s="694"/>
      <c r="L19" s="695" t="str">
        <f aca="false">IF($C$3="A",M10,IF($C$3="E",M7,""))</f>
        <v>USD</v>
      </c>
      <c r="M19" s="696" t="n">
        <f aca="false">IF($C$7="KRW",(($L$11+$L$16)/$C$19),IF($C$3="A",(L16+L11),IF($C$3="E",(L8+L13),"")))</f>
        <v>202.173913043478</v>
      </c>
      <c r="N19" s="681"/>
      <c r="P19" s="655" t="s">
        <v>2154</v>
      </c>
      <c r="Q19" s="655"/>
      <c r="R19" s="655" t="s">
        <v>2178</v>
      </c>
      <c r="S19" s="645" t="str">
        <f aca="false">LEFT(P19,1)</f>
        <v>E</v>
      </c>
      <c r="T19" s="646" t="str">
        <f aca="false">IFERROR(IF(AND(R19=$C$7,S19="A"),$C$9,IF(AND(R19=$C$7,S19="E"),$C$9/$C$12,""))*$T$5,"")</f>
        <v/>
      </c>
      <c r="U19" s="646" t="str">
        <f aca="false">IFERROR(IF(AND(R19=$C$7,S19="A"),$C$9*$C$12,IF(AND(R19=$C$7,S19="E"),$C$9,""))*$U$5,"")</f>
        <v/>
      </c>
      <c r="V19" s="646" t="str">
        <f aca="false">IFERROR(IF(AND(R19=$C$7,S19="A"),$C$9,IF(AND(R19=$C$7,S19="E"),$C$9/$C$14,""))*$V$5,"")</f>
        <v/>
      </c>
      <c r="W19" s="646" t="str">
        <f aca="false">IFERROR(IF(AND(R19=$C$7,S19="A"),$C$9*$C$14,IF(AND(R19=$C$7,S19="E"),$C$9,""))*$W$5,"")</f>
        <v/>
      </c>
      <c r="X19" s="647"/>
      <c r="Y19" s="647"/>
      <c r="Z19" s="647"/>
      <c r="AA19" s="647"/>
      <c r="AB19" s="668"/>
    </row>
    <row r="20" customFormat="false" ht="24.75" hidden="false" customHeight="true" outlineLevel="0" collapsed="false">
      <c r="A20" s="332"/>
      <c r="B20" s="697" t="s">
        <v>2179</v>
      </c>
      <c r="C20" s="698" t="n">
        <v>0.0532</v>
      </c>
      <c r="D20" s="332"/>
      <c r="E20" s="687" t="n">
        <v>1</v>
      </c>
      <c r="F20" s="683" t="n">
        <f aca="false">ABS($F$9*C20/365*$L$17)</f>
        <v>53200</v>
      </c>
      <c r="G20" s="699" t="n">
        <f aca="false">IF($F$3="A1",-$F$21,IF($F$3="A2",$F$20,IF($F$3="E1",$F$20,IF($F$3="E2",-$F$21,""))))</f>
        <v>-53500</v>
      </c>
      <c r="H20" s="683"/>
      <c r="I20" s="691"/>
      <c r="J20" s="694"/>
      <c r="K20" s="694"/>
      <c r="L20" s="700" t="s">
        <v>2152</v>
      </c>
      <c r="M20" s="701" t="n">
        <f aca="false">$M$19*$C$19</f>
        <v>279000</v>
      </c>
      <c r="O20" s="691"/>
      <c r="P20" s="702" t="s">
        <v>2154</v>
      </c>
      <c r="Q20" s="702"/>
      <c r="R20" s="655" t="s">
        <v>2180</v>
      </c>
      <c r="S20" s="645" t="str">
        <f aca="false">LEFT(P20,1)</f>
        <v>E</v>
      </c>
      <c r="T20" s="646" t="str">
        <f aca="false">IFERROR(IF(AND(R20=$C$7,S20="A"),$C$9,IF(AND(R20=$C$7,S20="E"),$C$9/$C$12,""))*$T$5,"")</f>
        <v/>
      </c>
      <c r="U20" s="646" t="str">
        <f aca="false">IFERROR(IF(AND(R20=$C$7,S20="A"),$C$9*$C$12,IF(AND(R20=$C$7,S20="E"),$C$9,""))*$U$5,"")</f>
        <v/>
      </c>
      <c r="V20" s="646" t="str">
        <f aca="false">IFERROR(IF(AND(R20=$C$7,S20="A"),$C$9,IF(AND(R20=$C$7,S20="E"),$C$9/$C$14,""))*$V$5,"")</f>
        <v/>
      </c>
      <c r="W20" s="646" t="str">
        <f aca="false">IFERROR(IF(AND(R20=$C$7,S20="A"),$C$9*$C$14,IF(AND(R20=$C$7,S20="E"),$C$9,""))*$W$5,"")</f>
        <v/>
      </c>
      <c r="X20" s="647"/>
      <c r="Y20" s="647"/>
      <c r="Z20" s="647"/>
      <c r="AA20" s="647"/>
      <c r="AB20" s="668"/>
    </row>
    <row r="21" customFormat="false" ht="24.75" hidden="false" customHeight="true" outlineLevel="0" collapsed="false">
      <c r="A21" s="332"/>
      <c r="B21" s="697" t="s">
        <v>2181</v>
      </c>
      <c r="C21" s="698" t="n">
        <v>0.0535</v>
      </c>
      <c r="D21" s="668"/>
      <c r="E21" s="682" t="n">
        <v>2</v>
      </c>
      <c r="F21" s="683" t="n">
        <f aca="false">ABS($F$9*C21/365*$L$17)</f>
        <v>53500</v>
      </c>
      <c r="G21" s="683"/>
      <c r="H21" s="683"/>
      <c r="I21" s="681"/>
      <c r="J21" s="703" t="s">
        <v>2182</v>
      </c>
      <c r="K21" s="703"/>
      <c r="L21" s="704" t="n">
        <f aca="false">ABS($M$19*360/$L$17/IF($C$7="KRW",$L$8,$L$11))</f>
        <v>0.000199404407385348</v>
      </c>
      <c r="M21" s="704"/>
      <c r="O21" s="681"/>
      <c r="P21" s="705" t="s">
        <v>2154</v>
      </c>
      <c r="Q21" s="705"/>
      <c r="R21" s="655" t="s">
        <v>2183</v>
      </c>
      <c r="S21" s="645" t="str">
        <f aca="false">LEFT(P21,1)</f>
        <v>E</v>
      </c>
      <c r="T21" s="646" t="str">
        <f aca="false">IFERROR(IF(AND(R21=$C$7,S21="A"),$C$9,IF(AND(R21=$C$7,S21="E"),$C$9/$C$12,""))*$T$5,"")</f>
        <v/>
      </c>
      <c r="U21" s="646" t="str">
        <f aca="false">IFERROR(IF(AND(R21=$C$7,S21="A"),$C$9*$C$12,IF(AND(R21=$C$7,S21="E"),$C$9,""))*$U$5,"")</f>
        <v/>
      </c>
      <c r="V21" s="646" t="str">
        <f aca="false">IFERROR(IF(AND(R21=$C$7,S21="A"),$C$9,IF(AND(R21=$C$7,S21="E"),$C$9/$C$14,""))*$V$5,"")</f>
        <v/>
      </c>
      <c r="W21" s="646" t="str">
        <f aca="false">IFERROR(IF(AND(R21=$C$7,S21="A"),$C$9*$C$14,IF(AND(R21=$C$7,S21="E"),$C$9,""))*$W$5,"")</f>
        <v/>
      </c>
      <c r="X21" s="647"/>
      <c r="Y21" s="647"/>
      <c r="Z21" s="647"/>
      <c r="AA21" s="647"/>
      <c r="AB21" s="668"/>
    </row>
    <row r="22" customFormat="false" ht="24.75" hidden="false" customHeight="true" outlineLevel="0" collapsed="false">
      <c r="A22" s="332"/>
      <c r="B22" s="706" t="s">
        <v>2184</v>
      </c>
      <c r="C22" s="707" t="n">
        <v>0.0528201</v>
      </c>
      <c r="D22" s="332"/>
      <c r="E22" s="687" t="n">
        <v>3</v>
      </c>
      <c r="F22" s="683" t="n">
        <f aca="false">ABS($F$9*C22/365*$L$17)</f>
        <v>52820.1</v>
      </c>
      <c r="G22" s="683"/>
      <c r="H22" s="683"/>
      <c r="I22" s="332"/>
      <c r="J22" s="708" t="s">
        <v>2185</v>
      </c>
      <c r="K22" s="708"/>
      <c r="L22" s="709" t="str">
        <f aca="false">IF($C$3="A",M10,IF($C$3="E",M7,""))</f>
        <v>USD</v>
      </c>
      <c r="M22" s="710" t="n">
        <f aca="false">IF($C$7="KRW",(($L$11+$L$16)/$C$19),IF($C$3="A",(L16+L11),IF($C$3="E",(L8+L13),"")))+G20</f>
        <v>-53297.8260869565</v>
      </c>
      <c r="P22" s="655"/>
      <c r="Q22" s="655"/>
      <c r="R22" s="655"/>
      <c r="S22" s="645" t="str">
        <f aca="false">LEFT(P22,1)</f>
        <v/>
      </c>
      <c r="T22" s="646" t="str">
        <f aca="false">IFERROR(IF(AND(R22=$C$7,S22="A"),$C$9,IF(AND(R22=$C$7,S22="E"),$C$9/$C$12,""))*$T$5,"")</f>
        <v/>
      </c>
      <c r="U22" s="646" t="str">
        <f aca="false">IFERROR(IF(AND(R22=$C$7,S22="A"),$C$9*$C$12,IF(AND(R22=$C$7,S22="E"),$C$9,""))*$U$5,"")</f>
        <v/>
      </c>
      <c r="V22" s="646" t="str">
        <f aca="false">IFERROR(IF(AND(R22=$C$7,S22="A"),$C$9,IF(AND(R22=$C$7,S22="E"),$C$9/$C$14,""))*$V$5,"")</f>
        <v/>
      </c>
      <c r="W22" s="646" t="str">
        <f aca="false">IFERROR(IF(AND(R22=$C$7,S22="A"),$C$9*$C$14,IF(AND(R22=$C$7,S22="E"),$C$9,""))*$W$5,"")</f>
        <v/>
      </c>
      <c r="X22" s="647"/>
      <c r="Y22" s="647"/>
      <c r="Z22" s="647"/>
      <c r="AA22" s="647"/>
      <c r="AB22" s="711"/>
    </row>
    <row r="23" customFormat="false" ht="24.75" hidden="false" customHeight="true" outlineLevel="0" collapsed="false">
      <c r="A23" s="332"/>
      <c r="B23" s="332"/>
      <c r="C23" s="332"/>
      <c r="D23" s="691"/>
      <c r="E23" s="712"/>
      <c r="F23" s="691"/>
      <c r="G23" s="691"/>
      <c r="H23" s="691"/>
      <c r="I23" s="332"/>
      <c r="J23" s="708"/>
      <c r="K23" s="708"/>
      <c r="L23" s="713" t="s">
        <v>2152</v>
      </c>
      <c r="M23" s="714" t="n">
        <f aca="false">$M$22*$C$19</f>
        <v>-73551000</v>
      </c>
      <c r="P23" s="655"/>
      <c r="Q23" s="655"/>
      <c r="R23" s="655"/>
      <c r="S23" s="645" t="str">
        <f aca="false">LEFT(P23,1)</f>
        <v/>
      </c>
      <c r="T23" s="646" t="str">
        <f aca="false">IFERROR(IF(AND(R23=$C$7,S23="A"),$C$9,IF(AND(R23=$C$7,S23="E"),$C$9/$C$12,""))*$T$5,"")</f>
        <v/>
      </c>
      <c r="U23" s="646" t="str">
        <f aca="false">IFERROR(IF(AND(R23=$C$7,S23="A"),$C$9*$C$12,IF(AND(R23=$C$7,S23="E"),$C$9,""))*$U$5,"")</f>
        <v/>
      </c>
      <c r="V23" s="646" t="str">
        <f aca="false">IFERROR(IF(AND(R23=$C$7,S23="A"),$C$9,IF(AND(R23=$C$7,S23="E"),$C$9/$C$14,""))*$V$5,"")</f>
        <v/>
      </c>
      <c r="W23" s="646" t="str">
        <f aca="false">IFERROR(IF(AND(R23=$C$7,S23="A"),$C$9*$C$14,IF(AND(R23=$C$7,S23="E"),$C$9,""))*$W$5,"")</f>
        <v/>
      </c>
      <c r="X23" s="647"/>
      <c r="Y23" s="647"/>
      <c r="Z23" s="647"/>
      <c r="AA23" s="647"/>
      <c r="AB23" s="668"/>
    </row>
    <row r="24" customFormat="false" ht="24.75" hidden="false" customHeight="true" outlineLevel="0" collapsed="false">
      <c r="A24" s="332"/>
      <c r="B24" s="715" t="str">
        <f aca="false">C7</f>
        <v>KRW</v>
      </c>
      <c r="C24" s="716" t="n">
        <v>0.035</v>
      </c>
      <c r="D24" s="681"/>
      <c r="E24" s="682" t="n">
        <v>4</v>
      </c>
      <c r="F24" s="683"/>
      <c r="G24" s="683"/>
      <c r="H24" s="683"/>
      <c r="I24" s="332"/>
      <c r="J24" s="717" t="s">
        <v>2182</v>
      </c>
      <c r="K24" s="717"/>
      <c r="L24" s="718" t="n">
        <f aca="false">ABS($M$22*360/$L$17/$L$11)</f>
        <v>3.80925499132507E-005</v>
      </c>
      <c r="M24" s="718"/>
      <c r="P24" s="655"/>
      <c r="Q24" s="655"/>
      <c r="R24" s="655"/>
      <c r="S24" s="645" t="str">
        <f aca="false">LEFT(P24,1)</f>
        <v/>
      </c>
      <c r="T24" s="646" t="str">
        <f aca="false">IFERROR(IF(AND(R24=$C$7,S24="A"),$C$9,IF(AND(R24=$C$7,S24="E"),$C$9/$C$12,""))*$T$5,"")</f>
        <v/>
      </c>
      <c r="U24" s="646" t="str">
        <f aca="false">IFERROR(IF(AND(R24=$C$7,S24="A"),$C$9*$C$12,IF(AND(R24=$C$7,S24="E"),$C$9,""))*$U$5,"")</f>
        <v/>
      </c>
      <c r="V24" s="646" t="str">
        <f aca="false">IFERROR(IF(AND(R24=$C$7,S24="A"),$C$9,IF(AND(R24=$C$7,S24="E"),$C$9/$C$14,""))*$V$5,"")</f>
        <v/>
      </c>
      <c r="W24" s="646" t="str">
        <f aca="false">IFERROR(IF(AND(R24=$C$7,S24="A"),$C$9*$C$14,IF(AND(R24=$C$7,S24="E"),$C$9,""))*$W$5,"")</f>
        <v/>
      </c>
      <c r="X24" s="647"/>
      <c r="Y24" s="647"/>
      <c r="Z24" s="647"/>
      <c r="AA24" s="647"/>
    </row>
    <row r="25" customFormat="false" ht="24.75" hidden="false" customHeight="true" outlineLevel="0" collapsed="false">
      <c r="A25" s="332"/>
      <c r="B25" s="719" t="str">
        <f aca="false">C7</f>
        <v>KRW</v>
      </c>
      <c r="C25" s="720" t="n">
        <v>0.035</v>
      </c>
      <c r="D25" s="332"/>
      <c r="E25" s="687" t="n">
        <v>5</v>
      </c>
      <c r="F25" s="683"/>
      <c r="G25" s="683"/>
      <c r="H25" s="683"/>
      <c r="I25" s="332"/>
      <c r="J25" s="332"/>
      <c r="K25" s="332"/>
      <c r="L25" s="332"/>
      <c r="M25" s="332"/>
      <c r="P25" s="655"/>
      <c r="Q25" s="655"/>
      <c r="R25" s="655"/>
      <c r="S25" s="645" t="str">
        <f aca="false">LEFT(P25,1)</f>
        <v/>
      </c>
      <c r="T25" s="646" t="str">
        <f aca="false">IFERROR(IF(AND(R25=$C$7,S25="A"),$C$9,IF(AND(R25=$C$7,S25="E"),$C$9/$C$12,""))*$T$5,"")</f>
        <v/>
      </c>
      <c r="U25" s="646" t="str">
        <f aca="false">IFERROR(IF(AND(R25=$C$7,S25="A"),$C$9*$C$12,IF(AND(R25=$C$7,S25="E"),$C$9,""))*$U$5,"")</f>
        <v/>
      </c>
      <c r="V25" s="646" t="str">
        <f aca="false">IFERROR(IF(AND(R25=$C$7,S25="A"),$C$9,IF(AND(R25=$C$7,S25="E"),$C$9/$C$14,""))*$V$5,"")</f>
        <v/>
      </c>
      <c r="W25" s="646" t="str">
        <f aca="false">IFERROR(IF(AND(R25=$C$7,S25="A"),$C$9*$C$14,IF(AND(R25=$C$7,S25="E"),$C$9,""))*$W$5,"")</f>
        <v/>
      </c>
      <c r="X25" s="647"/>
      <c r="Y25" s="647"/>
      <c r="Z25" s="647"/>
      <c r="AA25" s="647"/>
    </row>
    <row r="26" customFormat="false" ht="24.75" hidden="false" customHeight="true" outlineLevel="0" collapsed="false">
      <c r="A26" s="332"/>
      <c r="B26" s="332"/>
      <c r="C26" s="332"/>
      <c r="D26" s="332"/>
      <c r="E26" s="687"/>
      <c r="F26" s="332"/>
      <c r="G26" s="332"/>
      <c r="H26" s="332"/>
      <c r="I26" s="332"/>
      <c r="J26" s="332"/>
      <c r="K26" s="332"/>
      <c r="L26" s="332"/>
      <c r="M26" s="332"/>
      <c r="P26" s="655"/>
      <c r="Q26" s="655"/>
      <c r="R26" s="655"/>
      <c r="S26" s="645" t="str">
        <f aca="false">LEFT(P26,1)</f>
        <v/>
      </c>
      <c r="T26" s="646" t="str">
        <f aca="false">IFERROR(IF(AND(R26=$C$7,S26="A"),$C$9,IF(AND(R26=$C$7,S26="E"),$C$9/$C$12,""))*$T$5,"")</f>
        <v/>
      </c>
      <c r="U26" s="646" t="str">
        <f aca="false">IFERROR(IF(AND(R26=$C$7,S26="A"),$C$9*$C$12,IF(AND(R26=$C$7,S26="E"),$C$9,""))*$U$5,"")</f>
        <v/>
      </c>
      <c r="V26" s="646" t="str">
        <f aca="false">IFERROR(IF(AND(R26=$C$7,S26="A"),$C$9,IF(AND(R26=$C$7,S26="E"),$C$9/$C$14,""))*$V$5,"")</f>
        <v/>
      </c>
      <c r="W26" s="646" t="str">
        <f aca="false">IFERROR(IF(AND(R26=$C$7,S26="A"),$C$9*$C$14,IF(AND(R26=$C$7,S26="E"),$C$9,""))*$W$5,"")</f>
        <v/>
      </c>
      <c r="X26" s="647"/>
      <c r="Y26" s="647"/>
      <c r="Z26" s="647"/>
      <c r="AA26" s="647"/>
    </row>
    <row r="27" customFormat="false" ht="24.75" hidden="false" customHeight="true" outlineLevel="0" collapsed="false">
      <c r="A27" s="332"/>
      <c r="B27" s="721" t="s">
        <v>2186</v>
      </c>
      <c r="C27" s="721"/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P27" s="655"/>
      <c r="Q27" s="655"/>
      <c r="R27" s="655"/>
      <c r="S27" s="645" t="str">
        <f aca="false">LEFT(P27,1)</f>
        <v/>
      </c>
      <c r="T27" s="646" t="str">
        <f aca="false">IFERROR(IF(AND(R27=$C$7,S27="A"),$C$9,IF(AND(R27=$C$7,S27="E"),$C$9/$C$12,""))*$T$5,"")</f>
        <v/>
      </c>
      <c r="U27" s="646" t="str">
        <f aca="false">IFERROR(IF(AND(R27=$C$7,S27="A"),$C$9*$C$12,IF(AND(R27=$C$7,S27="E"),$C$9,""))*$U$5,"")</f>
        <v/>
      </c>
      <c r="V27" s="646" t="str">
        <f aca="false">IFERROR(IF(AND(R27=$C$7,S27="A"),$C$9,IF(AND(R27=$C$7,S27="E"),$C$9/$C$14,""))*$V$5,"")</f>
        <v/>
      </c>
      <c r="W27" s="646" t="str">
        <f aca="false">IFERROR(IF(AND(R27=$C$7,S27="A"),$C$9*$C$14,IF(AND(R27=$C$7,S27="E"),$C$9,""))*$W$5,"")</f>
        <v/>
      </c>
      <c r="X27" s="647"/>
      <c r="Y27" s="647"/>
      <c r="Z27" s="647"/>
      <c r="AA27" s="647"/>
    </row>
    <row r="28" customFormat="false" ht="24.75" hidden="false" customHeight="true" outlineLevel="0" collapsed="false">
      <c r="A28" s="332"/>
      <c r="B28" s="722" t="s">
        <v>2187</v>
      </c>
      <c r="C28" s="722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P28" s="655"/>
      <c r="Q28" s="655"/>
      <c r="R28" s="655"/>
      <c r="S28" s="645" t="str">
        <f aca="false">LEFT(P28,1)</f>
        <v/>
      </c>
      <c r="T28" s="646" t="str">
        <f aca="false">IFERROR(IF(AND(R28=$C$7,S28="A"),$C$9,IF(AND(R28=$C$7,S28="E"),$C$9/$C$12,""))*$T$5,"")</f>
        <v/>
      </c>
      <c r="U28" s="646" t="str">
        <f aca="false">IFERROR(IF(AND(R28=$C$7,S28="A"),$C$9*$C$12,IF(AND(R28=$C$7,S28="E"),$C$9,""))*$U$5,"")</f>
        <v/>
      </c>
      <c r="V28" s="646" t="str">
        <f aca="false">IFERROR(IF(AND(R28=$C$7,S28="A"),$C$9,IF(AND(R28=$C$7,S28="E"),$C$9/$C$14,""))*$V$5,"")</f>
        <v/>
      </c>
      <c r="W28" s="646" t="str">
        <f aca="false">IFERROR(IF(AND(R28=$C$7,S28="A"),$C$9*$C$14,IF(AND(R28=$C$7,S28="E"),$C$9,""))*$W$5,"")</f>
        <v/>
      </c>
      <c r="X28" s="647"/>
      <c r="Y28" s="647"/>
      <c r="Z28" s="647"/>
      <c r="AA28" s="647"/>
    </row>
    <row r="29" customFormat="false" ht="24.75" hidden="false" customHeight="true" outlineLevel="0" collapsed="false">
      <c r="A29" s="332"/>
      <c r="B29" s="723" t="s">
        <v>2188</v>
      </c>
      <c r="C29" s="723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P29" s="655"/>
      <c r="Q29" s="655"/>
      <c r="R29" s="655"/>
      <c r="S29" s="645" t="str">
        <f aca="false">LEFT(P29,1)</f>
        <v/>
      </c>
      <c r="T29" s="646" t="str">
        <f aca="false">IFERROR(IF(AND(R29=$C$7,S29="A"),$C$9,IF(AND(R29=$C$7,S29="E"),$C$9/$C$12,""))*$T$5,"")</f>
        <v/>
      </c>
      <c r="U29" s="646" t="str">
        <f aca="false">IFERROR(IF(AND(R29=$C$7,S29="A"),$C$9*$C$12,IF(AND(R29=$C$7,S29="E"),$C$9,""))*$U$5,"")</f>
        <v/>
      </c>
      <c r="V29" s="646" t="str">
        <f aca="false">IFERROR(IF(AND(R29=$C$7,S29="A"),$C$9,IF(AND(R29=$C$7,S29="E"),$C$9/$C$14,""))*$V$5,"")</f>
        <v/>
      </c>
      <c r="W29" s="646" t="str">
        <f aca="false">IFERROR(IF(AND(R29=$C$7,S29="A"),$C$9*$C$14,IF(AND(R29=$C$7,S29="E"),$C$9,""))*$W$5,"")</f>
        <v/>
      </c>
      <c r="X29" s="647" t="str">
        <f aca="false">IF(S29="E",$C$9,"")</f>
        <v/>
      </c>
      <c r="Y29" s="647" t="str">
        <f aca="false">IF(S29="A",$C$9,"")</f>
        <v/>
      </c>
      <c r="Z29" s="647" t="str">
        <f aca="false">IFERROR(X29*$C$14,"")</f>
        <v/>
      </c>
      <c r="AA29" s="647" t="str">
        <f aca="false">IFERROR(Y29*$C$14,"")</f>
        <v/>
      </c>
    </row>
    <row r="30" customFormat="false" ht="24.75" hidden="false" customHeight="true" outlineLevel="0" collapsed="false">
      <c r="A30" s="332"/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P30" s="655"/>
      <c r="Q30" s="655"/>
      <c r="R30" s="655"/>
      <c r="S30" s="645" t="str">
        <f aca="false">LEFT(P30,1)</f>
        <v/>
      </c>
      <c r="T30" s="646" t="str">
        <f aca="false">IFERROR(IF(AND(R30=$C$7,S30="A"),$C$9,IF(AND(R30=$C$7,S30="E"),$C$9/$C$12,""))*$T$5,"")</f>
        <v/>
      </c>
      <c r="U30" s="646" t="str">
        <f aca="false">IFERROR(IF(AND(R30=$C$7,S30="A"),$C$9*$C$12,IF(AND(R30=$C$7,S30="E"),$C$9,""))*$U$5,"")</f>
        <v/>
      </c>
      <c r="V30" s="646" t="str">
        <f aca="false">IFERROR(IF(AND(R30=$C$7,S30="A"),$C$9,IF(AND(R30=$C$7,S30="E"),$C$9/$C$14,""))*$V$5,"")</f>
        <v/>
      </c>
      <c r="W30" s="646" t="str">
        <f aca="false">IFERROR(IF(AND(R30=$C$7,S30="A"),$C$9*$C$14,IF(AND(R30=$C$7,S30="E"),$C$9,""))*$W$5,"")</f>
        <v/>
      </c>
      <c r="X30" s="647" t="str">
        <f aca="false">IF(S30="E",$C$9,"")</f>
        <v/>
      </c>
      <c r="Y30" s="647" t="str">
        <f aca="false">IF(S30="A",$C$9,"")</f>
        <v/>
      </c>
      <c r="Z30" s="647" t="str">
        <f aca="false">IFERROR(X30*$C$14,"")</f>
        <v/>
      </c>
      <c r="AA30" s="647" t="str">
        <f aca="false">IFERROR(Y30*$C$14,"")</f>
        <v/>
      </c>
    </row>
    <row r="31" customFormat="false" ht="24.75" hidden="false" customHeight="true" outlineLevel="0" collapsed="false">
      <c r="A31" s="332"/>
      <c r="B31" s="332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P31" s="655"/>
      <c r="Q31" s="655"/>
      <c r="R31" s="655"/>
      <c r="S31" s="645" t="str">
        <f aca="false">LEFT(P31,1)</f>
        <v/>
      </c>
      <c r="T31" s="646" t="str">
        <f aca="false">IFERROR(IF(AND(R31=$C$7,S31="A"),$C$9,IF(AND(R31=$C$7,S31="E"),$C$9/$C$12,""))*$T$5,"")</f>
        <v/>
      </c>
      <c r="U31" s="646" t="str">
        <f aca="false">IFERROR(IF(AND(R31=$C$7,S31="A"),$C$9*$C$12,IF(AND(R31=$C$7,S31="E"),$C$9,""))*$U$5,"")</f>
        <v/>
      </c>
      <c r="V31" s="646" t="str">
        <f aca="false">IFERROR(IF(AND(R31=$C$7,S31="A"),$C$9,IF(AND(R31=$C$7,S31="E"),$C$9/$C$14,""))*$V$5,"")</f>
        <v/>
      </c>
      <c r="W31" s="646" t="str">
        <f aca="false">IFERROR(IF(AND(R31=$C$7,S31="A"),$C$9*$C$14,IF(AND(R31=$C$7,S31="E"),$C$9,""))*$W$5,"")</f>
        <v/>
      </c>
      <c r="X31" s="647" t="str">
        <f aca="false">IF(S31="E",$C$9,"")</f>
        <v/>
      </c>
      <c r="Y31" s="647" t="str">
        <f aca="false">IF(S31="A",$C$9,"")</f>
        <v/>
      </c>
      <c r="Z31" s="647" t="str">
        <f aca="false">IFERROR(X31*$C$14,"")</f>
        <v/>
      </c>
      <c r="AA31" s="647" t="str">
        <f aca="false">IFERROR(Y31*$C$14,"")</f>
        <v/>
      </c>
    </row>
    <row r="32" customFormat="false" ht="24.75" hidden="false" customHeight="true" outlineLevel="0" collapsed="false">
      <c r="A32" s="332"/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P32" s="655"/>
      <c r="Q32" s="655"/>
      <c r="R32" s="655"/>
      <c r="S32" s="645" t="str">
        <f aca="false">LEFT(P32,1)</f>
        <v/>
      </c>
      <c r="T32" s="646" t="str">
        <f aca="false">IFERROR(IF(AND(R32=$C$7,S32="A"),$C$9,IF(AND(R32=$C$7,S32="E"),$C$9/$C$12,""))*$T$5,"")</f>
        <v/>
      </c>
      <c r="U32" s="646" t="str">
        <f aca="false">IFERROR(IF(AND(R32=$C$7,S32="A"),$C$9*$C$12,IF(AND(R32=$C$7,S32="E"),$C$9,""))*$U$5,"")</f>
        <v/>
      </c>
      <c r="V32" s="646" t="str">
        <f aca="false">IFERROR(IF(AND(R32=$C$7,S32="A"),$C$9,IF(AND(R32=$C$7,S32="E"),$C$9/$C$14,""))*$V$5,"")</f>
        <v/>
      </c>
      <c r="W32" s="646" t="str">
        <f aca="false">IFERROR(IF(AND(R32=$C$7,S32="A"),$C$9*$C$14,IF(AND(R32=$C$7,S32="E"),$C$9,""))*$W$5,"")</f>
        <v/>
      </c>
      <c r="X32" s="647" t="str">
        <f aca="false">IF(S32="E",$C$9,"")</f>
        <v/>
      </c>
      <c r="Y32" s="647" t="str">
        <f aca="false">IF(S32="A",$C$9,"")</f>
        <v/>
      </c>
      <c r="Z32" s="647" t="str">
        <f aca="false">IFERROR(X32*$C$14,"")</f>
        <v/>
      </c>
      <c r="AA32" s="647" t="str">
        <f aca="false">IFERROR(Y32*$C$14,"")</f>
        <v/>
      </c>
    </row>
    <row r="33" customFormat="false" ht="24.75" hidden="false" customHeight="true" outlineLevel="0" collapsed="false">
      <c r="A33" s="332"/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P33" s="655"/>
      <c r="Q33" s="655"/>
      <c r="R33" s="655"/>
      <c r="S33" s="645" t="str">
        <f aca="false">LEFT(P33,1)</f>
        <v/>
      </c>
      <c r="T33" s="646" t="str">
        <f aca="false">IFERROR(IF(AND(R33=$C$7,S33="A"),$C$9,IF(AND(R33=$C$7,S33="E"),$C$9/$C$12,""))*$T$5,"")</f>
        <v/>
      </c>
      <c r="U33" s="646" t="str">
        <f aca="false">IFERROR(IF(AND(R33=$C$7,S33="A"),$C$9*$C$12,IF(AND(R33=$C$7,S33="E"),$C$9,""))*$U$5,"")</f>
        <v/>
      </c>
      <c r="V33" s="646" t="str">
        <f aca="false">IFERROR(IF(AND(R33=$C$7,S33="A"),$C$9,IF(AND(R33=$C$7,S33="E"),$C$9/$C$14,""))*$V$5,"")</f>
        <v/>
      </c>
      <c r="W33" s="646" t="str">
        <f aca="false">IFERROR(IF(AND(R33=$C$7,S33="A"),$C$9*$C$14,IF(AND(R33=$C$7,S33="E"),$C$9,""))*$W$5,"")</f>
        <v/>
      </c>
      <c r="X33" s="647" t="str">
        <f aca="false">IF(S33="E",$C$9,"")</f>
        <v/>
      </c>
      <c r="Y33" s="647" t="str">
        <f aca="false">IF(S33="A",$C$9,"")</f>
        <v/>
      </c>
      <c r="Z33" s="647" t="str">
        <f aca="false">IFERROR(X33*$C$14,"")</f>
        <v/>
      </c>
      <c r="AA33" s="647" t="str">
        <f aca="false">IFERROR(Y33*$C$14,"")</f>
        <v/>
      </c>
    </row>
    <row r="34" customFormat="false" ht="24.75" hidden="false" customHeight="true" outlineLevel="0" collapsed="false">
      <c r="A34" s="332"/>
      <c r="B34" s="332"/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P34" s="655"/>
      <c r="Q34" s="655"/>
      <c r="R34" s="655"/>
      <c r="S34" s="645" t="str">
        <f aca="false">LEFT(P34,1)</f>
        <v/>
      </c>
      <c r="T34" s="646" t="str">
        <f aca="false">IFERROR(IF(AND(R34=$C$7,S34="A"),$C$9,IF(AND(R34=$C$7,S34="E"),$C$9/$C$12,""))*$T$5,"")</f>
        <v/>
      </c>
      <c r="U34" s="646" t="str">
        <f aca="false">IFERROR(IF(AND(R34=$C$7,S34="A"),$C$9*$C$12,IF(AND(R34=$C$7,S34="E"),$C$9,""))*$U$5,"")</f>
        <v/>
      </c>
      <c r="V34" s="646" t="str">
        <f aca="false">IFERROR(IF(AND(R34=$C$7,S34="A"),$C$9,IF(AND(R34=$C$7,S34="E"),$C$9/$C$14,""))*$V$5,"")</f>
        <v/>
      </c>
      <c r="W34" s="646" t="str">
        <f aca="false">IFERROR(IF(AND(R34=$C$7,S34="A"),$C$9*$C$14,IF(AND(R34=$C$7,S34="E"),$C$9,""))*$W$5,"")</f>
        <v/>
      </c>
      <c r="X34" s="647" t="str">
        <f aca="false">IF(S34="E",$C$9,"")</f>
        <v/>
      </c>
      <c r="Y34" s="647" t="str">
        <f aca="false">IF(S34="A",$C$9,"")</f>
        <v/>
      </c>
      <c r="Z34" s="647" t="str">
        <f aca="false">IFERROR(X34*$C$14,"")</f>
        <v/>
      </c>
      <c r="AA34" s="647" t="str">
        <f aca="false">IFERROR(Y34*$C$14,"")</f>
        <v/>
      </c>
    </row>
    <row r="35" customFormat="false" ht="24.75" hidden="false" customHeight="true" outlineLevel="0" collapsed="false">
      <c r="A35" s="332"/>
      <c r="B35" s="332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P35" s="655"/>
      <c r="Q35" s="655"/>
      <c r="R35" s="655"/>
      <c r="S35" s="645" t="str">
        <f aca="false">LEFT(P35,1)</f>
        <v/>
      </c>
      <c r="T35" s="646" t="str">
        <f aca="false">IFERROR(IF(AND(R35=$C$7,S35="A"),$C$9,IF(AND(R35=$C$7,S35="E"),$C$9/$C$12,""))*$T$5,"")</f>
        <v/>
      </c>
      <c r="U35" s="646" t="str">
        <f aca="false">IFERROR(IF(AND(R35=$C$7,S35="A"),$C$9*$C$12,IF(AND(R35=$C$7,S35="E"),$C$9,""))*$U$5,"")</f>
        <v/>
      </c>
      <c r="V35" s="646" t="str">
        <f aca="false">IFERROR(IF(AND(R35=$C$7,S35="A"),$C$9,IF(AND(R35=$C$7,S35="E"),$C$9/$C$14,""))*$V$5,"")</f>
        <v/>
      </c>
      <c r="W35" s="646" t="str">
        <f aca="false">IFERROR(IF(AND(R35=$C$7,S35="A"),$C$9*$C$14,IF(AND(R35=$C$7,S35="E"),$C$9,""))*$W$5,"")</f>
        <v/>
      </c>
      <c r="X35" s="647" t="str">
        <f aca="false">IF(S35="E",$C$9,"")</f>
        <v/>
      </c>
      <c r="Y35" s="647" t="str">
        <f aca="false">IF(S35="A",$C$9,"")</f>
        <v/>
      </c>
      <c r="Z35" s="647" t="str">
        <f aca="false">IFERROR(X35*$C$14,"")</f>
        <v/>
      </c>
      <c r="AA35" s="647" t="str">
        <f aca="false">IFERROR(Y35*$C$14,"")</f>
        <v/>
      </c>
    </row>
    <row r="36" customFormat="false" ht="24.75" hidden="false" customHeight="true" outlineLevel="0" collapsed="false">
      <c r="A36" s="332"/>
      <c r="B36" s="332"/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P36" s="655"/>
      <c r="Q36" s="655"/>
      <c r="R36" s="655"/>
      <c r="S36" s="645" t="str">
        <f aca="false">LEFT(P36,1)</f>
        <v/>
      </c>
      <c r="T36" s="646" t="str">
        <f aca="false">IFERROR(IF(AND(R36=$C$7,S36="A"),$C$9,IF(AND(R36=$C$7,S36="E"),$C$9/$C$12,""))*$T$5,"")</f>
        <v/>
      </c>
      <c r="U36" s="646" t="str">
        <f aca="false">IFERROR(IF(AND(R36=$C$7,S36="A"),$C$9*$C$12,IF(AND(R36=$C$7,S36="E"),$C$9,""))*$U$5,"")</f>
        <v/>
      </c>
      <c r="V36" s="646" t="str">
        <f aca="false">IFERROR(IF(AND(R36=$C$7,S36="A"),$C$9,IF(AND(R36=$C$7,S36="E"),$C$9/$C$14,""))*$V$5,"")</f>
        <v/>
      </c>
      <c r="W36" s="646" t="str">
        <f aca="false">IFERROR(IF(AND(R36=$C$7,S36="A"),$C$9*$C$14,IF(AND(R36=$C$7,S36="E"),$C$9,""))*$W$5,"")</f>
        <v/>
      </c>
      <c r="X36" s="647" t="str">
        <f aca="false">IF(S36="E",$C$9,"")</f>
        <v/>
      </c>
      <c r="Y36" s="647" t="str">
        <f aca="false">IF(S36="A",$C$9,"")</f>
        <v/>
      </c>
      <c r="Z36" s="647" t="str">
        <f aca="false">IFERROR(X36*$C$14,"")</f>
        <v/>
      </c>
      <c r="AA36" s="647" t="str">
        <f aca="false">IFERROR(Y36*$C$14,"")</f>
        <v/>
      </c>
    </row>
    <row r="37" customFormat="false" ht="24.75" hidden="false" customHeight="true" outlineLevel="0" collapsed="false">
      <c r="A37" s="332"/>
      <c r="B37" s="332"/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P37" s="655"/>
      <c r="Q37" s="655"/>
      <c r="R37" s="655"/>
      <c r="S37" s="645" t="str">
        <f aca="false">LEFT(P37,1)</f>
        <v/>
      </c>
      <c r="T37" s="646" t="str">
        <f aca="false">IFERROR(IF(AND(R37=$C$7,S37="A"),$C$9,IF(AND(R37=$C$7,S37="E"),$C$9/$C$12,""))*$T$5,"")</f>
        <v/>
      </c>
      <c r="U37" s="646" t="str">
        <f aca="false">IFERROR(IF(AND(R37=$C$7,S37="A"),$C$9*$C$12,IF(AND(R37=$C$7,S37="E"),$C$9,""))*$U$5,"")</f>
        <v/>
      </c>
      <c r="V37" s="646" t="str">
        <f aca="false">IFERROR(IF(AND(R37=$C$7,S37="A"),$C$9,IF(AND(R37=$C$7,S37="E"),$C$9/$C$14,""))*$V$5,"")</f>
        <v/>
      </c>
      <c r="W37" s="646" t="str">
        <f aca="false">IFERROR(IF(AND(R37=$C$7,S37="A"),$C$9*$C$14,IF(AND(R37=$C$7,S37="E"),$C$9,""))*$W$5,"")</f>
        <v/>
      </c>
      <c r="X37" s="647" t="str">
        <f aca="false">IF(S37="E",$C$9,"")</f>
        <v/>
      </c>
      <c r="Y37" s="647" t="str">
        <f aca="false">IF(S37="A",$C$9,"")</f>
        <v/>
      </c>
      <c r="Z37" s="647" t="str">
        <f aca="false">IFERROR(X37*$C$14,"")</f>
        <v/>
      </c>
      <c r="AA37" s="647" t="str">
        <f aca="false">IFERROR(Y37*$C$14,"")</f>
        <v/>
      </c>
    </row>
    <row r="38" customFormat="false" ht="24.75" hidden="false" customHeight="true" outlineLevel="0" collapsed="false">
      <c r="A38" s="332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P38" s="655"/>
      <c r="Q38" s="655"/>
      <c r="R38" s="655"/>
      <c r="S38" s="645" t="str">
        <f aca="false">LEFT(P38,1)</f>
        <v/>
      </c>
      <c r="T38" s="646" t="str">
        <f aca="false">IFERROR(IF(AND(R38=$C$7,S38="A"),$C$9,IF(AND(R38=$C$7,S38="E"),$C$9/$C$12,""))*$T$5,"")</f>
        <v/>
      </c>
      <c r="U38" s="646" t="str">
        <f aca="false">IFERROR(IF(AND(R38=$C$7,S38="A"),$C$9*$C$12,IF(AND(R38=$C$7,S38="E"),$C$9,""))*$U$5,"")</f>
        <v/>
      </c>
      <c r="V38" s="646" t="str">
        <f aca="false">IFERROR(IF(AND(R38=$C$7,S38="A"),$C$9,IF(AND(R38=$C$7,S38="E"),$C$9/$C$14,""))*$V$5,"")</f>
        <v/>
      </c>
      <c r="W38" s="646" t="str">
        <f aca="false">IFERROR(IF(AND(R38=$C$7,S38="A"),$C$9*$C$14,IF(AND(R38=$C$7,S38="E"),$C$9,""))*$W$5,"")</f>
        <v/>
      </c>
      <c r="X38" s="647" t="str">
        <f aca="false">IF(S38="E",$C$9,"")</f>
        <v/>
      </c>
      <c r="Y38" s="647" t="str">
        <f aca="false">IF(S38="A",$C$9,"")</f>
        <v/>
      </c>
      <c r="Z38" s="647" t="str">
        <f aca="false">IFERROR(X38*$C$14,"")</f>
        <v/>
      </c>
      <c r="AA38" s="647" t="str">
        <f aca="false">IFERROR(Y38*$C$14,"")</f>
        <v/>
      </c>
    </row>
    <row r="39" customFormat="false" ht="24.75" hidden="false" customHeight="true" outlineLevel="0" collapsed="false">
      <c r="A39" s="332"/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P39" s="655"/>
      <c r="Q39" s="655"/>
      <c r="R39" s="655"/>
      <c r="S39" s="645" t="str">
        <f aca="false">LEFT(P39,1)</f>
        <v/>
      </c>
      <c r="T39" s="646" t="str">
        <f aca="false">IFERROR(IF(AND(R39=$C$7,S39="A"),$C$9,IF(AND(R39=$C$7,S39="E"),$C$9/$C$12,""))*$T$5,"")</f>
        <v/>
      </c>
      <c r="U39" s="646" t="str">
        <f aca="false">IFERROR(IF(AND(R39=$C$7,S39="A"),$C$9*$C$12,IF(AND(R39=$C$7,S39="E"),$C$9,""))*$U$5,"")</f>
        <v/>
      </c>
      <c r="V39" s="646" t="str">
        <f aca="false">IFERROR(IF(AND(R39=$C$7,S39="A"),$C$9,IF(AND(R39=$C$7,S39="E"),$C$9/$C$14,""))*$V$5,"")</f>
        <v/>
      </c>
      <c r="W39" s="646" t="str">
        <f aca="false">IFERROR(IF(AND(R39=$C$7,S39="A"),$C$9*$C$14,IF(AND(R39=$C$7,S39="E"),$C$9,""))*$W$5,"")</f>
        <v/>
      </c>
      <c r="X39" s="647" t="str">
        <f aca="false">IF(S39="E",$C$9,"")</f>
        <v/>
      </c>
      <c r="Y39" s="647" t="str">
        <f aca="false">IF(S39="A",$C$9,"")</f>
        <v/>
      </c>
      <c r="Z39" s="647" t="str">
        <f aca="false">IFERROR(X39*$C$14,"")</f>
        <v/>
      </c>
      <c r="AA39" s="647" t="str">
        <f aca="false">IFERROR(Y39*$C$14,"")</f>
        <v/>
      </c>
    </row>
    <row r="40" customFormat="false" ht="24.75" hidden="false" customHeight="true" outlineLevel="0" collapsed="false">
      <c r="A40" s="332"/>
      <c r="B40" s="332"/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P40" s="655"/>
      <c r="Q40" s="655"/>
      <c r="R40" s="655"/>
      <c r="S40" s="645" t="str">
        <f aca="false">LEFT(P40,1)</f>
        <v/>
      </c>
      <c r="T40" s="646" t="str">
        <f aca="false">IFERROR(IF(AND(R40=$C$7,S40="A"),$C$9,IF(AND(R40=$C$7,S40="E"),$C$9/$C$12,""))*$T$5,"")</f>
        <v/>
      </c>
      <c r="U40" s="646" t="str">
        <f aca="false">IFERROR(IF(AND(R40=$C$7,S40="A"),$C$9*$C$12,IF(AND(R40=$C$7,S40="E"),$C$9,""))*$U$5,"")</f>
        <v/>
      </c>
      <c r="V40" s="646" t="str">
        <f aca="false">IFERROR(IF(AND(R40=$C$7,S40="A"),$C$9,IF(AND(R40=$C$7,S40="E"),$C$9/$C$14,""))*$V$5,"")</f>
        <v/>
      </c>
      <c r="W40" s="646" t="str">
        <f aca="false">IFERROR(IF(AND(R40=$C$7,S40="A"),$C$9*$C$14,IF(AND(R40=$C$7,S40="E"),$C$9,""))*$W$5,"")</f>
        <v/>
      </c>
      <c r="X40" s="647" t="str">
        <f aca="false">IF(S40="E",$C$9,"")</f>
        <v/>
      </c>
      <c r="Y40" s="647" t="str">
        <f aca="false">IF(S40="A",$C$9,"")</f>
        <v/>
      </c>
      <c r="Z40" s="647" t="str">
        <f aca="false">IFERROR(X40*$C$14,"")</f>
        <v/>
      </c>
      <c r="AA40" s="647" t="str">
        <f aca="false">IFERROR(Y40*$C$14,"")</f>
        <v/>
      </c>
    </row>
    <row r="41" customFormat="false" ht="24.75" hidden="false" customHeight="true" outlineLevel="0" collapsed="false">
      <c r="A41" s="332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P41" s="655"/>
      <c r="Q41" s="655"/>
      <c r="R41" s="655"/>
      <c r="S41" s="645" t="str">
        <f aca="false">LEFT(P41,1)</f>
        <v/>
      </c>
      <c r="T41" s="646" t="str">
        <f aca="false">IFERROR(IF(AND(R41=$C$7,S41="A"),$C$9,IF(AND(R41=$C$7,S41="E"),$C$9/$C$12,""))*$T$5,"")</f>
        <v/>
      </c>
      <c r="U41" s="646" t="str">
        <f aca="false">IFERROR(IF(AND(R41=$C$7,S41="A"),$C$9*$C$12,IF(AND(R41=$C$7,S41="E"),$C$9,""))*$U$5,"")</f>
        <v/>
      </c>
      <c r="V41" s="646" t="str">
        <f aca="false">IFERROR(IF(AND(R41=$C$7,S41="A"),$C$9,IF(AND(R41=$C$7,S41="E"),$C$9/$C$14,""))*$V$5,"")</f>
        <v/>
      </c>
      <c r="W41" s="646" t="str">
        <f aca="false">IFERROR(IF(AND(R41=$C$7,S41="A"),$C$9*$C$14,IF(AND(R41=$C$7,S41="E"),$C$9,""))*$W$5,"")</f>
        <v/>
      </c>
      <c r="X41" s="647" t="str">
        <f aca="false">IF(S41="E",$C$9,"")</f>
        <v/>
      </c>
      <c r="Y41" s="647" t="str">
        <f aca="false">IF(S41="A",$C$9,"")</f>
        <v/>
      </c>
      <c r="Z41" s="647" t="str">
        <f aca="false">IFERROR(X41*$C$14,"")</f>
        <v/>
      </c>
      <c r="AA41" s="647" t="str">
        <f aca="false">IFERROR(Y41*$C$14,"")</f>
        <v/>
      </c>
    </row>
    <row r="42" customFormat="false" ht="24.75" hidden="false" customHeight="true" outlineLevel="0" collapsed="false">
      <c r="A42" s="332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P42" s="655"/>
      <c r="Q42" s="655"/>
      <c r="R42" s="655"/>
      <c r="S42" s="645" t="str">
        <f aca="false">LEFT(P42,1)</f>
        <v/>
      </c>
      <c r="T42" s="646" t="str">
        <f aca="false">IFERROR(IF(AND(R42=$C$7,S42="A"),$C$9,IF(AND(R42=$C$7,S42="E"),$C$9/$C$12,""))*$T$5,"")</f>
        <v/>
      </c>
      <c r="U42" s="646" t="str">
        <f aca="false">IFERROR(IF(AND(R42=$C$7,S42="A"),$C$9*$C$12,IF(AND(R42=$C$7,S42="E"),$C$9,""))*$U$5,"")</f>
        <v/>
      </c>
      <c r="V42" s="646" t="str">
        <f aca="false">IFERROR(IF(AND(R42=$C$7,S42="A"),$C$9,IF(AND(R42=$C$7,S42="E"),$C$9/$C$14,""))*$V$5,"")</f>
        <v/>
      </c>
      <c r="W42" s="646" t="str">
        <f aca="false">IFERROR(IF(AND(R42=$C$7,S42="A"),$C$9*$C$14,IF(AND(R42=$C$7,S42="E"),$C$9,""))*$W$5,"")</f>
        <v/>
      </c>
      <c r="X42" s="647" t="str">
        <f aca="false">IF(S42="E",$C$9,"")</f>
        <v/>
      </c>
      <c r="Y42" s="647" t="str">
        <f aca="false">IF(S42="A",$C$9,"")</f>
        <v/>
      </c>
      <c r="Z42" s="647" t="str">
        <f aca="false">IFERROR(X42*$C$14,"")</f>
        <v/>
      </c>
      <c r="AA42" s="647" t="str">
        <f aca="false">IFERROR(Y42*$C$14,"")</f>
        <v/>
      </c>
    </row>
    <row r="43" customFormat="false" ht="24.75" hidden="false" customHeight="true" outlineLevel="0" collapsed="false">
      <c r="A43" s="332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P43" s="655"/>
      <c r="Q43" s="655"/>
      <c r="R43" s="655"/>
      <c r="S43" s="645" t="str">
        <f aca="false">LEFT(P43,1)</f>
        <v/>
      </c>
      <c r="T43" s="646" t="str">
        <f aca="false">IFERROR(IF(AND(R43=$C$7,S43="A"),$C$9,IF(AND(R43=$C$7,S43="E"),$C$9/$C$12,""))*$T$5,"")</f>
        <v/>
      </c>
      <c r="U43" s="646" t="str">
        <f aca="false">IFERROR(IF(AND(R43=$C$7,S43="A"),$C$9*$C$12,IF(AND(R43=$C$7,S43="E"),$C$9,""))*$U$5,"")</f>
        <v/>
      </c>
      <c r="V43" s="646" t="str">
        <f aca="false">IFERROR(IF(AND(R43=$C$7,S43="A"),$C$9,IF(AND(R43=$C$7,S43="E"),$C$9/$C$14,""))*$V$5,"")</f>
        <v/>
      </c>
      <c r="W43" s="646" t="str">
        <f aca="false">IFERROR(IF(AND(R43=$C$7,S43="A"),$C$9*$C$14,IF(AND(R43=$C$7,S43="E"),$C$9,""))*$W$5,"")</f>
        <v/>
      </c>
      <c r="X43" s="647" t="str">
        <f aca="false">IF(S43="E",$C$9,"")</f>
        <v/>
      </c>
      <c r="Y43" s="647" t="str">
        <f aca="false">IF(S43="A",$C$9,"")</f>
        <v/>
      </c>
      <c r="Z43" s="647" t="str">
        <f aca="false">IFERROR(X43*$C$14,"")</f>
        <v/>
      </c>
      <c r="AA43" s="647" t="str">
        <f aca="false">IFERROR(Y43*$C$14,"")</f>
        <v/>
      </c>
    </row>
    <row r="44" customFormat="false" ht="24.75" hidden="false" customHeight="true" outlineLevel="0" collapsed="false">
      <c r="A44" s="332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P44" s="618"/>
      <c r="Q44" s="618"/>
      <c r="R44" s="332"/>
    </row>
    <row r="45" customFormat="false" ht="24.75" hidden="false" customHeight="true" outlineLevel="0" collapsed="false">
      <c r="A45" s="332"/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P45" s="618"/>
      <c r="Q45" s="618"/>
      <c r="R45" s="332"/>
    </row>
    <row r="46" customFormat="false" ht="24.75" hidden="false" customHeight="true" outlineLevel="0" collapsed="false">
      <c r="A46" s="332"/>
      <c r="B46" s="332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P46" s="618"/>
      <c r="Q46" s="618"/>
      <c r="R46" s="332"/>
    </row>
    <row r="47" customFormat="false" ht="24.75" hidden="false" customHeight="true" outlineLevel="0" collapsed="false">
      <c r="A47" s="332"/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P47" s="618"/>
      <c r="Q47" s="618"/>
      <c r="R47" s="332"/>
    </row>
    <row r="48" customFormat="false" ht="24.75" hidden="false" customHeight="true" outlineLevel="0" collapsed="false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P48" s="618"/>
      <c r="Q48" s="618"/>
      <c r="R48" s="332"/>
    </row>
    <row r="49" customFormat="false" ht="24.75" hidden="false" customHeight="true" outlineLevel="0" collapsed="false">
      <c r="A49" s="332"/>
      <c r="B49" s="332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P49" s="618"/>
      <c r="Q49" s="618"/>
      <c r="R49" s="332"/>
    </row>
    <row r="50" customFormat="false" ht="24.75" hidden="false" customHeight="true" outlineLevel="0" collapsed="false">
      <c r="A50" s="332"/>
      <c r="B50" s="332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P50" s="618"/>
      <c r="Q50" s="618"/>
      <c r="R50" s="332"/>
    </row>
    <row r="51" customFormat="false" ht="24.75" hidden="false" customHeight="true" outlineLevel="0" collapsed="false">
      <c r="A51" s="332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P51" s="618"/>
      <c r="Q51" s="618"/>
      <c r="R51" s="332"/>
    </row>
    <row r="52" customFormat="false" ht="24.75" hidden="false" customHeight="true" outlineLevel="0" collapsed="false">
      <c r="A52" s="332"/>
      <c r="B52" s="332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P52" s="618"/>
      <c r="Q52" s="618"/>
      <c r="R52" s="332"/>
    </row>
    <row r="53" customFormat="false" ht="24.75" hidden="false" customHeight="true" outlineLevel="0" collapsed="false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P53" s="618"/>
      <c r="Q53" s="618"/>
      <c r="R53" s="332"/>
    </row>
    <row r="54" customFormat="false" ht="24.75" hidden="false" customHeight="true" outlineLevel="0" collapsed="false">
      <c r="A54" s="332"/>
      <c r="B54" s="332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P54" s="618"/>
      <c r="Q54" s="618"/>
      <c r="R54" s="332"/>
    </row>
    <row r="55" customFormat="false" ht="24.75" hidden="false" customHeight="true" outlineLevel="0" collapsed="false">
      <c r="A55" s="332"/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P55" s="618"/>
      <c r="Q55" s="618"/>
      <c r="R55" s="332"/>
    </row>
    <row r="56" customFormat="false" ht="24.75" hidden="false" customHeight="true" outlineLevel="0" collapsed="false">
      <c r="A56" s="332"/>
      <c r="B56" s="332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P56" s="618"/>
      <c r="Q56" s="618"/>
      <c r="R56" s="332"/>
    </row>
    <row r="57" customFormat="false" ht="24.75" hidden="false" customHeight="true" outlineLevel="0" collapsed="false">
      <c r="A57" s="332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P57" s="618"/>
      <c r="Q57" s="618"/>
      <c r="R57" s="332"/>
    </row>
    <row r="58" customFormat="false" ht="24.75" hidden="false" customHeight="true" outlineLevel="0" collapsed="false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P58" s="618"/>
      <c r="Q58" s="618"/>
      <c r="R58" s="332"/>
    </row>
    <row r="59" customFormat="false" ht="24.75" hidden="false" customHeight="true" outlineLevel="0" collapsed="false">
      <c r="A59" s="332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P59" s="618"/>
      <c r="Q59" s="618"/>
      <c r="R59" s="332"/>
    </row>
    <row r="60" customFormat="false" ht="24.75" hidden="false" customHeight="true" outlineLevel="0" collapsed="false">
      <c r="A60" s="332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P60" s="618"/>
      <c r="Q60" s="618"/>
      <c r="R60" s="332"/>
    </row>
    <row r="61" customFormat="false" ht="24.75" hidden="false" customHeight="true" outlineLevel="0" collapsed="false">
      <c r="A61" s="332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P61" s="618"/>
      <c r="Q61" s="618"/>
      <c r="R61" s="332"/>
    </row>
    <row r="62" customFormat="false" ht="24.75" hidden="false" customHeight="true" outlineLevel="0" collapsed="false">
      <c r="A62" s="332"/>
      <c r="B62" s="332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P62" s="618"/>
      <c r="Q62" s="618"/>
      <c r="R62" s="332"/>
    </row>
    <row r="63" customFormat="false" ht="24.75" hidden="false" customHeight="true" outlineLevel="0" collapsed="false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P63" s="618"/>
      <c r="Q63" s="618"/>
      <c r="R63" s="332"/>
    </row>
    <row r="64" customFormat="false" ht="24.75" hidden="false" customHeight="true" outlineLevel="0" collapsed="false">
      <c r="A64" s="332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P64" s="618"/>
      <c r="Q64" s="618"/>
      <c r="R64" s="332"/>
    </row>
    <row r="65" customFormat="false" ht="24.75" hidden="false" customHeight="true" outlineLevel="0" collapsed="false">
      <c r="A65" s="332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P65" s="618"/>
      <c r="Q65" s="618"/>
      <c r="R65" s="332"/>
    </row>
    <row r="66" customFormat="false" ht="24.75" hidden="false" customHeight="true" outlineLevel="0" collapsed="false">
      <c r="A66" s="332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P66" s="618"/>
      <c r="Q66" s="618"/>
      <c r="R66" s="332"/>
    </row>
    <row r="67" customFormat="false" ht="24.75" hidden="false" customHeight="true" outlineLevel="0" collapsed="false">
      <c r="A67" s="332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P67" s="618"/>
      <c r="Q67" s="618"/>
      <c r="R67" s="332"/>
    </row>
    <row r="68" customFormat="false" ht="24.75" hidden="false" customHeight="true" outlineLevel="0" collapsed="false">
      <c r="A68" s="332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P68" s="618"/>
      <c r="Q68" s="618"/>
      <c r="R68" s="332"/>
    </row>
    <row r="69" customFormat="false" ht="24.75" hidden="false" customHeight="true" outlineLevel="0" collapsed="false">
      <c r="A69" s="332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P69" s="618"/>
      <c r="Q69" s="618"/>
      <c r="R69" s="332"/>
    </row>
    <row r="70" customFormat="false" ht="24.75" hidden="false" customHeight="true" outlineLevel="0" collapsed="false">
      <c r="A70" s="332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P70" s="618"/>
      <c r="Q70" s="618"/>
      <c r="R70" s="332"/>
    </row>
    <row r="71" customFormat="false" ht="24.75" hidden="false" customHeight="true" outlineLevel="0" collapsed="false">
      <c r="A71" s="332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P71" s="618"/>
      <c r="Q71" s="618"/>
      <c r="R71" s="332"/>
    </row>
    <row r="72" customFormat="false" ht="24.75" hidden="false" customHeight="true" outlineLevel="0" collapsed="false">
      <c r="A72" s="332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P72" s="618"/>
      <c r="Q72" s="618"/>
      <c r="R72" s="332"/>
    </row>
    <row r="73" customFormat="false" ht="24.75" hidden="false" customHeight="true" outlineLevel="0" collapsed="false">
      <c r="A73" s="332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P73" s="618"/>
      <c r="Q73" s="618"/>
      <c r="R73" s="332"/>
    </row>
    <row r="74" customFormat="false" ht="24.75" hidden="false" customHeight="true" outlineLevel="0" collapsed="false">
      <c r="A74" s="332"/>
      <c r="B74" s="332"/>
      <c r="C74" s="332"/>
      <c r="D74" s="332"/>
      <c r="E74" s="332"/>
      <c r="F74" s="332"/>
      <c r="G74" s="332"/>
      <c r="H74" s="332"/>
      <c r="I74" s="332"/>
      <c r="J74" s="332"/>
      <c r="K74" s="332"/>
      <c r="L74" s="332"/>
      <c r="M74" s="332"/>
      <c r="P74" s="618"/>
      <c r="Q74" s="618"/>
      <c r="R74" s="332"/>
    </row>
    <row r="75" customFormat="false" ht="24.75" hidden="false" customHeight="true" outlineLevel="0" collapsed="false">
      <c r="A75" s="332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P75" s="618"/>
      <c r="Q75" s="618"/>
      <c r="R75" s="332"/>
    </row>
    <row r="76" customFormat="false" ht="24.75" hidden="false" customHeight="true" outlineLevel="0" collapsed="false">
      <c r="A76" s="332"/>
      <c r="B76" s="332"/>
      <c r="C76" s="332"/>
      <c r="D76" s="332"/>
      <c r="E76" s="332"/>
      <c r="F76" s="332"/>
      <c r="G76" s="332"/>
      <c r="H76" s="332"/>
      <c r="I76" s="332"/>
      <c r="J76" s="332"/>
      <c r="K76" s="332"/>
      <c r="L76" s="332"/>
      <c r="M76" s="332"/>
      <c r="P76" s="618"/>
      <c r="Q76" s="618"/>
      <c r="R76" s="332"/>
    </row>
    <row r="77" customFormat="false" ht="24.75" hidden="false" customHeight="true" outlineLevel="0" collapsed="false">
      <c r="A77" s="332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P77" s="618"/>
      <c r="Q77" s="618"/>
      <c r="R77" s="332"/>
    </row>
    <row r="78" customFormat="false" ht="24.75" hidden="false" customHeight="true" outlineLevel="0" collapsed="false">
      <c r="A78" s="332"/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P78" s="618"/>
      <c r="Q78" s="618"/>
      <c r="R78" s="332"/>
    </row>
    <row r="79" customFormat="false" ht="24.75" hidden="false" customHeight="true" outlineLevel="0" collapsed="false">
      <c r="A79" s="332"/>
      <c r="B79" s="332"/>
      <c r="C79" s="332"/>
      <c r="D79" s="332"/>
      <c r="E79" s="332"/>
      <c r="F79" s="332"/>
      <c r="G79" s="332"/>
      <c r="H79" s="332"/>
      <c r="I79" s="332"/>
      <c r="J79" s="332"/>
      <c r="K79" s="332"/>
      <c r="L79" s="332"/>
      <c r="M79" s="332"/>
      <c r="P79" s="618"/>
      <c r="Q79" s="618"/>
      <c r="R79" s="332"/>
    </row>
    <row r="80" customFormat="false" ht="24.75" hidden="false" customHeight="true" outlineLevel="0" collapsed="false">
      <c r="A80" s="332"/>
      <c r="B80" s="332"/>
      <c r="C80" s="332"/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P80" s="618"/>
      <c r="Q80" s="618"/>
      <c r="R80" s="332"/>
    </row>
    <row r="81" customFormat="false" ht="24.75" hidden="false" customHeight="true" outlineLevel="0" collapsed="false">
      <c r="A81" s="332"/>
      <c r="B81" s="332"/>
      <c r="C81" s="332"/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P81" s="618"/>
      <c r="Q81" s="618"/>
      <c r="R81" s="332"/>
    </row>
    <row r="82" customFormat="false" ht="24.75" hidden="false" customHeight="true" outlineLevel="0" collapsed="false">
      <c r="A82" s="332"/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P82" s="618"/>
      <c r="Q82" s="618"/>
      <c r="R82" s="332"/>
    </row>
    <row r="83" customFormat="false" ht="24.75" hidden="false" customHeight="true" outlineLevel="0" collapsed="false">
      <c r="A83" s="332"/>
      <c r="B83" s="332"/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P83" s="618"/>
      <c r="Q83" s="618"/>
      <c r="R83" s="332"/>
    </row>
    <row r="84" customFormat="false" ht="24.75" hidden="false" customHeight="true" outlineLevel="0" collapsed="false">
      <c r="A84" s="332"/>
      <c r="B84" s="332"/>
      <c r="C84" s="332"/>
      <c r="D84" s="332"/>
      <c r="E84" s="332"/>
      <c r="F84" s="332"/>
      <c r="G84" s="332"/>
      <c r="H84" s="332"/>
      <c r="I84" s="332"/>
      <c r="J84" s="332"/>
      <c r="K84" s="332"/>
      <c r="L84" s="332"/>
      <c r="M84" s="332"/>
      <c r="P84" s="618"/>
      <c r="Q84" s="618"/>
      <c r="R84" s="332"/>
    </row>
    <row r="85" customFormat="false" ht="24.75" hidden="false" customHeight="true" outlineLevel="0" collapsed="false">
      <c r="A85" s="332"/>
      <c r="B85" s="332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P85" s="618"/>
      <c r="Q85" s="618"/>
      <c r="R85" s="332"/>
    </row>
    <row r="86" customFormat="false" ht="24.75" hidden="false" customHeight="true" outlineLevel="0" collapsed="false">
      <c r="A86" s="332"/>
      <c r="B86" s="332"/>
      <c r="C86" s="332"/>
      <c r="D86" s="332"/>
      <c r="E86" s="332"/>
      <c r="F86" s="332"/>
      <c r="G86" s="332"/>
      <c r="H86" s="332"/>
      <c r="I86" s="332"/>
      <c r="J86" s="332"/>
      <c r="K86" s="332"/>
      <c r="L86" s="332"/>
      <c r="M86" s="332"/>
      <c r="P86" s="618"/>
      <c r="Q86" s="618"/>
      <c r="R86" s="332"/>
    </row>
    <row r="87" customFormat="false" ht="24.75" hidden="false" customHeight="true" outlineLevel="0" collapsed="false">
      <c r="A87" s="332"/>
      <c r="B87" s="332"/>
      <c r="C87" s="332"/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P87" s="618"/>
      <c r="Q87" s="618"/>
      <c r="R87" s="332"/>
    </row>
    <row r="88" customFormat="false" ht="24.75" hidden="false" customHeight="true" outlineLevel="0" collapsed="false">
      <c r="A88" s="332"/>
      <c r="B88" s="332"/>
      <c r="C88" s="332"/>
      <c r="D88" s="332"/>
      <c r="E88" s="332"/>
      <c r="F88" s="332"/>
      <c r="G88" s="332"/>
      <c r="H88" s="332"/>
      <c r="I88" s="332"/>
      <c r="J88" s="332"/>
      <c r="K88" s="332"/>
      <c r="L88" s="332"/>
      <c r="M88" s="332"/>
      <c r="P88" s="618"/>
      <c r="Q88" s="618"/>
      <c r="R88" s="332"/>
    </row>
    <row r="89" customFormat="false" ht="24.75" hidden="false" customHeight="true" outlineLevel="0" collapsed="false">
      <c r="A89" s="332"/>
      <c r="B89" s="332"/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P89" s="618"/>
      <c r="Q89" s="618"/>
      <c r="R89" s="332"/>
    </row>
    <row r="90" customFormat="false" ht="24.75" hidden="false" customHeight="true" outlineLevel="0" collapsed="false">
      <c r="A90" s="332"/>
      <c r="B90" s="332"/>
      <c r="C90" s="332"/>
      <c r="D90" s="332"/>
      <c r="E90" s="332"/>
      <c r="F90" s="332"/>
      <c r="G90" s="332"/>
      <c r="H90" s="332"/>
      <c r="I90" s="332"/>
      <c r="J90" s="332"/>
      <c r="K90" s="332"/>
      <c r="L90" s="332"/>
      <c r="M90" s="332"/>
      <c r="P90" s="618"/>
      <c r="Q90" s="618"/>
      <c r="R90" s="332"/>
    </row>
    <row r="91" customFormat="false" ht="24.75" hidden="false" customHeight="true" outlineLevel="0" collapsed="false">
      <c r="A91" s="332"/>
      <c r="B91" s="332"/>
      <c r="C91" s="332"/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P91" s="618"/>
      <c r="Q91" s="618"/>
      <c r="R91" s="332"/>
    </row>
    <row r="92" customFormat="false" ht="24.75" hidden="false" customHeight="true" outlineLevel="0" collapsed="false">
      <c r="A92" s="332"/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</row>
    <row r="93" customFormat="false" ht="24.75" hidden="false" customHeight="true" outlineLevel="0" collapsed="false">
      <c r="A93" s="332"/>
      <c r="B93" s="332"/>
      <c r="C93" s="332"/>
      <c r="D93" s="332"/>
      <c r="E93" s="332"/>
      <c r="F93" s="332"/>
      <c r="G93" s="332"/>
      <c r="H93" s="332"/>
      <c r="I93" s="332"/>
      <c r="J93" s="332"/>
      <c r="K93" s="332"/>
      <c r="L93" s="332"/>
      <c r="M93" s="332"/>
    </row>
    <row r="94" customFormat="false" ht="24.75" hidden="false" customHeight="true" outlineLevel="0" collapsed="false">
      <c r="A94" s="332"/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</row>
    <row r="95" customFormat="false" ht="24.75" hidden="false" customHeight="true" outlineLevel="0" collapsed="false">
      <c r="A95" s="332"/>
      <c r="B95" s="332"/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</row>
    <row r="96" customFormat="false" ht="24.75" hidden="false" customHeight="true" outlineLevel="0" collapsed="false">
      <c r="A96" s="332"/>
      <c r="B96" s="332"/>
      <c r="C96" s="332"/>
      <c r="D96" s="332"/>
      <c r="E96" s="332"/>
      <c r="F96" s="332"/>
      <c r="G96" s="332"/>
      <c r="H96" s="332"/>
      <c r="I96" s="332"/>
      <c r="J96" s="332"/>
      <c r="K96" s="332"/>
      <c r="L96" s="332"/>
      <c r="M96" s="332"/>
    </row>
    <row r="97" customFormat="false" ht="24.75" hidden="false" customHeight="true" outlineLevel="0" collapsed="false">
      <c r="A97" s="332"/>
      <c r="B97" s="332"/>
      <c r="C97" s="332"/>
      <c r="D97" s="332"/>
      <c r="E97" s="332"/>
      <c r="F97" s="332"/>
      <c r="G97" s="332"/>
      <c r="H97" s="332"/>
      <c r="I97" s="332"/>
      <c r="J97" s="332"/>
      <c r="K97" s="332"/>
      <c r="L97" s="332"/>
      <c r="M97" s="332"/>
    </row>
    <row r="98" customFormat="false" ht="24.75" hidden="false" customHeight="true" outlineLevel="0" collapsed="false">
      <c r="A98" s="332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</row>
    <row r="99" customFormat="false" ht="24.75" hidden="false" customHeight="true" outlineLevel="0" collapsed="false">
      <c r="A99" s="332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</row>
    <row r="100" customFormat="false" ht="24.75" hidden="false" customHeight="true" outlineLevel="0" collapsed="false">
      <c r="A100" s="332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</row>
    <row r="101" customFormat="false" ht="24.75" hidden="false" customHeight="true" outlineLevel="0" collapsed="false">
      <c r="A101" s="332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</row>
    <row r="102" customFormat="false" ht="24.75" hidden="false" customHeight="true" outlineLevel="0" collapsed="false">
      <c r="A102" s="332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</row>
    <row r="103" customFormat="false" ht="24.75" hidden="false" customHeight="true" outlineLevel="0" collapsed="false">
      <c r="A103" s="332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</row>
    <row r="104" customFormat="false" ht="24.75" hidden="false" customHeight="true" outlineLevel="0" collapsed="false">
      <c r="A104" s="332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</row>
    <row r="105" customFormat="false" ht="24.75" hidden="false" customHeight="true" outlineLevel="0" collapsed="false">
      <c r="A105" s="332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</row>
    <row r="106" customFormat="false" ht="24.75" hidden="false" customHeight="true" outlineLevel="0" collapsed="false">
      <c r="A106" s="332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</row>
    <row r="107" customFormat="false" ht="24.75" hidden="false" customHeight="true" outlineLevel="0" collapsed="false">
      <c r="A107" s="332"/>
      <c r="B107" s="332"/>
      <c r="C107" s="332"/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</row>
    <row r="108" customFormat="false" ht="24.75" hidden="false" customHeight="true" outlineLevel="0" collapsed="false">
      <c r="A108" s="332"/>
      <c r="B108" s="332"/>
      <c r="C108" s="332"/>
      <c r="D108" s="332"/>
      <c r="E108" s="332"/>
      <c r="F108" s="332"/>
      <c r="G108" s="332"/>
      <c r="H108" s="332"/>
      <c r="I108" s="332"/>
      <c r="J108" s="332"/>
      <c r="K108" s="332"/>
      <c r="L108" s="332"/>
      <c r="M108" s="332"/>
    </row>
    <row r="109" customFormat="false" ht="24.75" hidden="false" customHeight="true" outlineLevel="0" collapsed="false">
      <c r="A109" s="332"/>
      <c r="B109" s="332"/>
      <c r="C109" s="332"/>
      <c r="D109" s="332"/>
      <c r="E109" s="332"/>
      <c r="F109" s="332"/>
      <c r="G109" s="332"/>
      <c r="H109" s="332"/>
      <c r="I109" s="332"/>
      <c r="J109" s="332"/>
      <c r="K109" s="332"/>
      <c r="L109" s="332"/>
      <c r="M109" s="332"/>
    </row>
    <row r="110" customFormat="false" ht="24.75" hidden="false" customHeight="true" outlineLevel="0" collapsed="false">
      <c r="A110" s="332"/>
      <c r="B110" s="332"/>
      <c r="C110" s="332"/>
      <c r="D110" s="332"/>
      <c r="E110" s="332"/>
      <c r="F110" s="332"/>
      <c r="G110" s="332"/>
      <c r="H110" s="332"/>
      <c r="I110" s="332"/>
    </row>
    <row r="111" customFormat="false" ht="24.75" hidden="false" customHeight="true" outlineLevel="0" collapsed="false">
      <c r="A111" s="332"/>
      <c r="B111" s="332"/>
      <c r="C111" s="332"/>
      <c r="D111" s="332"/>
      <c r="E111" s="332"/>
      <c r="F111" s="332"/>
      <c r="G111" s="332"/>
      <c r="H111" s="332"/>
      <c r="I111" s="332"/>
    </row>
    <row r="112" customFormat="false" ht="24.75" hidden="false" customHeight="true" outlineLevel="0" collapsed="false">
      <c r="A112" s="332"/>
      <c r="B112" s="332"/>
      <c r="C112" s="332"/>
      <c r="D112" s="332"/>
      <c r="E112" s="332"/>
      <c r="F112" s="332"/>
      <c r="G112" s="332"/>
      <c r="H112" s="332"/>
      <c r="I112" s="332"/>
    </row>
    <row r="113" customFormat="false" ht="24.75" hidden="false" customHeight="true" outlineLevel="0" collapsed="false">
      <c r="A113" s="332"/>
      <c r="B113" s="332"/>
      <c r="C113" s="332"/>
      <c r="D113" s="332"/>
      <c r="E113" s="332"/>
      <c r="F113" s="332"/>
      <c r="G113" s="332"/>
      <c r="H113" s="332"/>
      <c r="I113" s="332"/>
    </row>
    <row r="114" customFormat="false" ht="24.75" hidden="false" customHeight="true" outlineLevel="0" collapsed="false">
      <c r="A114" s="332"/>
      <c r="B114" s="332"/>
      <c r="C114" s="332"/>
      <c r="D114" s="332"/>
      <c r="E114" s="332"/>
      <c r="F114" s="332"/>
      <c r="G114" s="332"/>
      <c r="H114" s="332"/>
      <c r="I114" s="332"/>
    </row>
    <row r="115" customFormat="false" ht="24.75" hidden="false" customHeight="true" outlineLevel="0" collapsed="false">
      <c r="A115" s="332"/>
      <c r="B115" s="332"/>
      <c r="C115" s="332"/>
      <c r="D115" s="332"/>
      <c r="E115" s="332"/>
      <c r="F115" s="332"/>
      <c r="G115" s="332"/>
      <c r="H115" s="332"/>
      <c r="I115" s="332"/>
    </row>
    <row r="116" customFormat="false" ht="24.75" hidden="false" customHeight="true" outlineLevel="0" collapsed="false">
      <c r="A116" s="332"/>
      <c r="B116" s="332"/>
      <c r="C116" s="332"/>
      <c r="D116" s="332"/>
      <c r="E116" s="332"/>
      <c r="F116" s="332"/>
      <c r="G116" s="332"/>
      <c r="H116" s="332"/>
      <c r="I116" s="332"/>
    </row>
    <row r="117" customFormat="false" ht="24.75" hidden="false" customHeight="true" outlineLevel="0" collapsed="false">
      <c r="A117" s="332"/>
      <c r="B117" s="332"/>
      <c r="C117" s="332"/>
      <c r="D117" s="332"/>
      <c r="E117" s="332"/>
      <c r="F117" s="332"/>
      <c r="G117" s="332"/>
      <c r="H117" s="332"/>
      <c r="I117" s="332"/>
    </row>
    <row r="118" customFormat="false" ht="24.75" hidden="false" customHeight="true" outlineLevel="0" collapsed="false">
      <c r="A118" s="332"/>
      <c r="B118" s="332"/>
      <c r="C118" s="332"/>
      <c r="D118" s="332"/>
      <c r="E118" s="332"/>
      <c r="F118" s="332"/>
      <c r="G118" s="332"/>
      <c r="H118" s="332"/>
      <c r="I118" s="332"/>
    </row>
    <row r="119" customFormat="false" ht="24.75" hidden="false" customHeight="true" outlineLevel="0" collapsed="false">
      <c r="A119" s="332"/>
      <c r="B119" s="332"/>
      <c r="C119" s="332"/>
      <c r="D119" s="332"/>
      <c r="E119" s="332"/>
      <c r="F119" s="332"/>
      <c r="G119" s="332"/>
      <c r="H119" s="332"/>
    </row>
    <row r="120" customFormat="false" ht="24.75" hidden="false" customHeight="true" outlineLevel="0" collapsed="false">
      <c r="A120" s="332"/>
      <c r="B120" s="332"/>
      <c r="C120" s="332"/>
      <c r="D120" s="332"/>
      <c r="E120" s="332"/>
      <c r="F120" s="332"/>
      <c r="G120" s="332"/>
      <c r="H120" s="332"/>
    </row>
    <row r="121" customFormat="false" ht="24.75" hidden="false" customHeight="true" outlineLevel="0" collapsed="false">
      <c r="D121" s="332"/>
      <c r="E121" s="332"/>
      <c r="F121" s="332"/>
      <c r="G121" s="332"/>
      <c r="H121" s="332"/>
    </row>
  </sheetData>
  <mergeCells count="29">
    <mergeCell ref="B2:C2"/>
    <mergeCell ref="J2:M2"/>
    <mergeCell ref="P2:R2"/>
    <mergeCell ref="J6:M6"/>
    <mergeCell ref="J7:J11"/>
    <mergeCell ref="K7:K8"/>
    <mergeCell ref="L8:M8"/>
    <mergeCell ref="L9:M9"/>
    <mergeCell ref="K10:K11"/>
    <mergeCell ref="L11:M11"/>
    <mergeCell ref="J12:J16"/>
    <mergeCell ref="K12:K13"/>
    <mergeCell ref="L13:M13"/>
    <mergeCell ref="L14:M14"/>
    <mergeCell ref="K15:K16"/>
    <mergeCell ref="L16:M16"/>
    <mergeCell ref="J17:K17"/>
    <mergeCell ref="L17:M17"/>
    <mergeCell ref="J18:K18"/>
    <mergeCell ref="L18:M18"/>
    <mergeCell ref="J19:K20"/>
    <mergeCell ref="J21:K21"/>
    <mergeCell ref="L21:M21"/>
    <mergeCell ref="J22:K23"/>
    <mergeCell ref="J24:K24"/>
    <mergeCell ref="L24:M24"/>
    <mergeCell ref="B27:C27"/>
    <mergeCell ref="B28:C28"/>
    <mergeCell ref="B29:C29"/>
  </mergeCells>
  <conditionalFormatting sqref="P2:Q1048576">
    <cfRule type="cellIs" priority="2" operator="equal" aboveAverage="0" equalAverage="0" bottom="0" percent="0" rank="0" text="" dxfId="5">
      <formula>"European"</formula>
    </cfRule>
    <cfRule type="cellIs" priority="3" operator="equal" aboveAverage="0" equalAverage="0" bottom="0" percent="0" rank="0" text="" dxfId="6">
      <formula>"American"</formula>
    </cfRule>
  </conditionalFormatting>
  <conditionalFormatting sqref="M10">
    <cfRule type="expression" priority="4" aboveAverage="0" equalAverage="0" bottom="0" percent="0" rank="0" text="" dxfId="5">
      <formula>$L$10="S"</formula>
    </cfRule>
    <cfRule type="expression" priority="5" aboveAverage="0" equalAverage="0" bottom="0" percent="0" rank="0" text="" dxfId="6">
      <formula>$L$10="B"</formula>
    </cfRule>
  </conditionalFormatting>
  <conditionalFormatting sqref="B3">
    <cfRule type="cellIs" priority="6" operator="equal" aboveAverage="0" equalAverage="0" bottom="0" percent="0" rank="0" text="" dxfId="1">
      <formula>$C$7</formula>
    </cfRule>
  </conditionalFormatting>
  <conditionalFormatting sqref="S3:AA3">
    <cfRule type="cellIs" priority="7" operator="equal" aboveAverage="0" equalAverage="0" bottom="0" percent="0" rank="0" text="" dxfId="1">
      <formula>$C$7</formula>
    </cfRule>
  </conditionalFormatting>
  <conditionalFormatting sqref="L8:M8 L11:M11 L13:M13 L16:M16">
    <cfRule type="cellIs" priority="8" operator="lessThan" aboveAverage="0" equalAverage="0" bottom="0" percent="0" rank="0" text="" dxfId="5">
      <formula>0</formula>
    </cfRule>
    <cfRule type="cellIs" priority="9" operator="greaterThan" aboveAverage="0" equalAverage="0" bottom="0" percent="0" rank="0" text="" dxfId="6">
      <formula>0</formula>
    </cfRule>
  </conditionalFormatting>
  <conditionalFormatting sqref="M15">
    <cfRule type="expression" priority="10" aboveAverage="0" equalAverage="0" bottom="0" percent="0" rank="0" text="" dxfId="5">
      <formula>$L$15="S"</formula>
    </cfRule>
    <cfRule type="expression" priority="11" aboveAverage="0" equalAverage="0" bottom="0" percent="0" rank="0" text="" dxfId="6">
      <formula>$L$15="B"</formula>
    </cfRule>
  </conditionalFormatting>
  <conditionalFormatting sqref="M7">
    <cfRule type="expression" priority="12" aboveAverage="0" equalAverage="0" bottom="0" percent="0" rank="0" text="" dxfId="5">
      <formula>$L$7="S"</formula>
    </cfRule>
    <cfRule type="expression" priority="13" aboveAverage="0" equalAverage="0" bottom="0" percent="0" rank="0" text="" dxfId="6">
      <formula>$L$7="B"</formula>
    </cfRule>
  </conditionalFormatting>
  <conditionalFormatting sqref="M12">
    <cfRule type="expression" priority="14" aboveAverage="0" equalAverage="0" bottom="0" percent="0" rank="0" text="" dxfId="6">
      <formula>$L$12="B"</formula>
    </cfRule>
    <cfRule type="expression" priority="15" aboveAverage="0" equalAverage="0" bottom="0" percent="0" rank="0" text="" dxfId="5">
      <formula>$L$12="S"</formula>
    </cfRule>
  </conditionalFormatting>
  <conditionalFormatting sqref="L7 L10 L12 L15">
    <cfRule type="cellIs" priority="16" operator="equal" aboveAverage="0" equalAverage="0" bottom="0" percent="0" rank="0" text="" dxfId="5">
      <formula>"S"</formula>
    </cfRule>
    <cfRule type="cellIs" priority="17" operator="equal" aboveAverage="0" equalAverage="0" bottom="0" percent="0" rank="0" text="" dxfId="6">
      <formula>"B"</formula>
    </cfRule>
  </conditionalFormatting>
  <conditionalFormatting sqref="R3:R1048576">
    <cfRule type="cellIs" priority="18" operator="equal" aboveAverage="0" equalAverage="0" bottom="0" percent="0" rank="0" text="" dxfId="1">
      <formula>$C$7</formula>
    </cfRule>
  </conditionalFormatting>
  <conditionalFormatting sqref="C6">
    <cfRule type="cellIs" priority="19" operator="equal" aboveAverage="0" equalAverage="0" bottom="0" percent="0" rank="0" text="" dxfId="7">
      <formula>"Buy/Sell"</formula>
    </cfRule>
    <cfRule type="cellIs" priority="20" operator="equal" aboveAverage="0" equalAverage="0" bottom="0" percent="0" rank="0" text="" dxfId="8">
      <formula>"Sell/Buy"</formula>
    </cfRule>
  </conditionalFormatting>
  <dataValidations count="3">
    <dataValidation allowBlank="true" errorStyle="stop" operator="between" showDropDown="false" showErrorMessage="true" showInputMessage="true" sqref="P7:P43" type="list">
      <formula1>"American,European"</formula1>
      <formula2>0</formula2>
    </dataValidation>
    <dataValidation allowBlank="true" errorStyle="stop" operator="between" showDropDown="false" showErrorMessage="true" showInputMessage="true" sqref="C7" type="list">
      <formula1>$R$7:$R$43</formula1>
      <formula2>0</formula2>
    </dataValidation>
    <dataValidation allowBlank="true" errorStyle="stop" operator="between" showDropDown="false" showErrorMessage="true" showInputMessage="true" sqref="C6" type="list">
      <formula1>"Buy/Sell,Sell/Buy"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A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9" defaultRowHeight="19.5" zeroHeight="false" outlineLevelRow="0" outlineLevelCol="0"/>
  <cols>
    <col collapsed="false" customWidth="true" hidden="false" outlineLevel="0" max="2" min="1" style="581" width="10.5"/>
    <col collapsed="false" customWidth="true" hidden="false" outlineLevel="0" max="3" min="3" style="582" width="22.13"/>
    <col collapsed="false" customWidth="true" hidden="false" outlineLevel="0" max="4" min="4" style="583" width="27"/>
    <col collapsed="false" customWidth="true" hidden="false" outlineLevel="0" max="5" min="5" style="583" width="38.13"/>
    <col collapsed="false" customWidth="true" hidden="false" outlineLevel="0" max="6" min="6" style="583" width="6"/>
    <col collapsed="false" customWidth="true" hidden="false" outlineLevel="0" max="7" min="7" style="584" width="19.63"/>
    <col collapsed="false" customWidth="true" hidden="false" outlineLevel="0" max="9" min="8" style="582" width="16"/>
    <col collapsed="false" customWidth="true" hidden="false" outlineLevel="0" max="11" min="10" style="582" width="11.38"/>
    <col collapsed="false" customWidth="true" hidden="false" outlineLevel="0" max="13" min="12" style="583" width="12.25"/>
    <col collapsed="false" customWidth="true" hidden="false" outlineLevel="0" max="14" min="14" style="583" width="12.38"/>
    <col collapsed="false" customWidth="true" hidden="false" outlineLevel="0" max="15" min="15" style="398" width="9.13"/>
    <col collapsed="false" customWidth="false" hidden="false" outlineLevel="0" max="16384" min="16" style="398" width="9"/>
  </cols>
  <sheetData>
    <row r="1" customFormat="false" ht="31.5" hidden="false" customHeight="true" outlineLevel="0" collapsed="false">
      <c r="A1" s="724"/>
      <c r="B1" s="724"/>
      <c r="C1" s="725" t="s">
        <v>2124</v>
      </c>
      <c r="D1" s="725"/>
      <c r="E1" s="725"/>
      <c r="F1" s="725"/>
      <c r="G1" s="725"/>
      <c r="H1" s="725"/>
      <c r="I1" s="725"/>
      <c r="J1" s="725"/>
      <c r="K1" s="725"/>
      <c r="L1" s="725"/>
      <c r="M1" s="726"/>
      <c r="N1" s="726"/>
    </row>
    <row r="2" customFormat="false" ht="17.25" hidden="false" customHeight="true" outlineLevel="0" collapsed="false">
      <c r="A2" s="724"/>
      <c r="B2" s="724"/>
      <c r="C2" s="727" t="n">
        <f aca="false">H7</f>
        <v>46188</v>
      </c>
      <c r="D2" s="727"/>
      <c r="E2" s="727"/>
      <c r="F2" s="727"/>
      <c r="G2" s="727"/>
      <c r="H2" s="727"/>
      <c r="I2" s="727"/>
      <c r="J2" s="727"/>
      <c r="K2" s="727"/>
      <c r="L2" s="727"/>
      <c r="M2" s="728"/>
      <c r="N2" s="728"/>
    </row>
    <row r="3" customFormat="false" ht="33" hidden="false" customHeight="true" outlineLevel="0" collapsed="false">
      <c r="A3" s="724"/>
      <c r="B3" s="724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9" t="s">
        <v>2125</v>
      </c>
      <c r="N3" s="729" t="s">
        <v>2126</v>
      </c>
    </row>
    <row r="4" customFormat="false" ht="51" hidden="false" customHeight="true" outlineLevel="0" collapsed="false">
      <c r="A4" s="724"/>
      <c r="B4" s="724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9"/>
      <c r="N4" s="729"/>
    </row>
    <row r="5" customFormat="false" ht="16.5" hidden="false" customHeight="true" outlineLevel="0" collapsed="false">
      <c r="A5" s="730" t="s">
        <v>2127</v>
      </c>
      <c r="B5" s="730" t="s">
        <v>2128</v>
      </c>
      <c r="C5" s="731" t="s">
        <v>2129</v>
      </c>
      <c r="D5" s="732" t="s">
        <v>2130</v>
      </c>
      <c r="E5" s="732" t="s">
        <v>2131</v>
      </c>
      <c r="F5" s="732" t="s">
        <v>1355</v>
      </c>
      <c r="G5" s="733" t="s">
        <v>1363</v>
      </c>
      <c r="H5" s="734" t="s">
        <v>2189</v>
      </c>
      <c r="I5" s="734" t="s">
        <v>62</v>
      </c>
      <c r="J5" s="734" t="s">
        <v>64</v>
      </c>
      <c r="K5" s="734" t="s">
        <v>63</v>
      </c>
      <c r="L5" s="732" t="s">
        <v>77</v>
      </c>
      <c r="M5" s="732" t="s">
        <v>83</v>
      </c>
      <c r="N5" s="732" t="s">
        <v>2132</v>
      </c>
    </row>
    <row r="6" customFormat="false" ht="16.5" hidden="false" customHeight="true" outlineLevel="0" collapsed="false">
      <c r="A6" s="730"/>
      <c r="B6" s="730"/>
      <c r="C6" s="730"/>
      <c r="D6" s="730"/>
      <c r="E6" s="730"/>
      <c r="F6" s="730"/>
      <c r="G6" s="730"/>
      <c r="H6" s="730"/>
      <c r="I6" s="730"/>
      <c r="J6" s="730"/>
      <c r="K6" s="730"/>
      <c r="L6" s="730"/>
      <c r="M6" s="730"/>
      <c r="N6" s="730"/>
    </row>
    <row r="7" customFormat="false" ht="20.25" hidden="false" customHeight="true" outlineLevel="0" collapsed="false">
      <c r="A7" s="735" t="n">
        <v>1</v>
      </c>
      <c r="B7" s="736" t="s">
        <v>2135</v>
      </c>
      <c r="C7" s="737" t="str">
        <f aca="false">K17</f>
        <v>MMDA</v>
      </c>
      <c r="D7" s="738" t="str">
        <f aca="false">C17</f>
        <v>본점영업부</v>
      </c>
      <c r="E7" s="739" t="str">
        <f aca="false">F17</f>
        <v>와이엠에스에이</v>
      </c>
      <c r="F7" s="735" t="s">
        <v>2136</v>
      </c>
      <c r="G7" s="740" t="n">
        <f aca="false">L17*1000000</f>
        <v>8090000</v>
      </c>
      <c r="H7" s="741" t="n">
        <f aca="false">G17</f>
        <v>46188</v>
      </c>
      <c r="I7" s="742" t="n">
        <f aca="false">H17</f>
        <v>46218</v>
      </c>
      <c r="J7" s="743" t="n">
        <f aca="false">J17</f>
        <v>1</v>
      </c>
      <c r="K7" s="744" t="n">
        <f aca="false">I7-H7</f>
        <v>30</v>
      </c>
      <c r="L7" s="745" t="n">
        <f aca="false">AE17</f>
        <v>0.022743</v>
      </c>
      <c r="M7" s="745" t="n">
        <f aca="false">AF17</f>
        <v>0.009257</v>
      </c>
      <c r="N7" s="745" t="n">
        <f aca="false">AG17</f>
        <v>0.032</v>
      </c>
    </row>
    <row r="8" customFormat="false" ht="20.25" hidden="false" customHeight="true" outlineLevel="0" collapsed="false">
      <c r="A8" s="735" t="n">
        <v>2</v>
      </c>
      <c r="B8" s="736" t="s">
        <v>2135</v>
      </c>
      <c r="C8" s="737" t="str">
        <f aca="false">K18</f>
        <v>MMDA</v>
      </c>
      <c r="D8" s="738" t="str">
        <f aca="false">C18</f>
        <v>성남영업부</v>
      </c>
      <c r="E8" s="735" t="str">
        <f aca="false">F18</f>
        <v>㈜현대그린푸드</v>
      </c>
      <c r="F8" s="735" t="s">
        <v>2136</v>
      </c>
      <c r="G8" s="740" t="n">
        <f aca="false">L18*1000000</f>
        <v>1430000</v>
      </c>
      <c r="H8" s="741" t="n">
        <f aca="false">G18</f>
        <v>46188</v>
      </c>
      <c r="I8" s="742" t="n">
        <f aca="false">H18</f>
        <v>46218</v>
      </c>
      <c r="J8" s="743" t="n">
        <f aca="false">J18</f>
        <v>1</v>
      </c>
      <c r="K8" s="744" t="n">
        <f aca="false">I8-H8</f>
        <v>30</v>
      </c>
      <c r="L8" s="745" t="n">
        <f aca="false">AE18</f>
        <v>0.022743</v>
      </c>
      <c r="M8" s="745" t="n">
        <f aca="false">AF18</f>
        <v>0.009257</v>
      </c>
      <c r="N8" s="745" t="n">
        <f aca="false">AG18</f>
        <v>0.032</v>
      </c>
    </row>
    <row r="9" customFormat="false" ht="20.25" hidden="false" customHeight="true" outlineLevel="0" collapsed="false">
      <c r="A9" s="735" t="n">
        <v>3</v>
      </c>
      <c r="B9" s="736" t="s">
        <v>2135</v>
      </c>
      <c r="C9" s="737" t="str">
        <f aca="false">K19</f>
        <v>MMDA</v>
      </c>
      <c r="D9" s="738" t="str">
        <f aca="false">C19</f>
        <v>이현공단영업부</v>
      </c>
      <c r="E9" s="735" t="str">
        <f aca="false">F19</f>
        <v>㈜지엠메탈</v>
      </c>
      <c r="F9" s="735" t="s">
        <v>2136</v>
      </c>
      <c r="G9" s="740" t="n">
        <f aca="false">L19*1000000</f>
        <v>19000000</v>
      </c>
      <c r="H9" s="741" t="n">
        <f aca="false">G19</f>
        <v>46188</v>
      </c>
      <c r="I9" s="742" t="n">
        <f aca="false">H19</f>
        <v>46218</v>
      </c>
      <c r="J9" s="743" t="n">
        <f aca="false">J19</f>
        <v>1</v>
      </c>
      <c r="K9" s="744" t="n">
        <f aca="false">I9-H9</f>
        <v>30</v>
      </c>
      <c r="L9" s="745" t="n">
        <f aca="false">AE19</f>
        <v>0.022743</v>
      </c>
      <c r="M9" s="745" t="n">
        <f aca="false">AF19</f>
        <v>0.009257</v>
      </c>
      <c r="N9" s="745" t="n">
        <f aca="false">AG19</f>
        <v>0.032</v>
      </c>
    </row>
    <row r="10" customFormat="false" ht="20.25" hidden="false" customHeight="true" outlineLevel="0" collapsed="false">
      <c r="A10" s="735" t="n">
        <v>4</v>
      </c>
      <c r="B10" s="736" t="s">
        <v>2135</v>
      </c>
      <c r="C10" s="737" t="str">
        <f aca="false">K20</f>
        <v>MMDA</v>
      </c>
      <c r="D10" s="738" t="str">
        <f aca="false">C20</f>
        <v>달성공단영업부</v>
      </c>
      <c r="E10" s="735" t="str">
        <f aca="false">F20</f>
        <v>한국비철㈜</v>
      </c>
      <c r="F10" s="735" t="s">
        <v>2136</v>
      </c>
      <c r="G10" s="740" t="n">
        <f aca="false">L20*1000000</f>
        <v>1110000</v>
      </c>
      <c r="H10" s="741" t="n">
        <f aca="false">G20</f>
        <v>46188</v>
      </c>
      <c r="I10" s="742" t="n">
        <f aca="false">H20</f>
        <v>46218</v>
      </c>
      <c r="J10" s="743" t="n">
        <f aca="false">J20</f>
        <v>1</v>
      </c>
      <c r="K10" s="744" t="n">
        <f aca="false">I10-H10</f>
        <v>30</v>
      </c>
      <c r="L10" s="745" t="n">
        <f aca="false">AE20</f>
        <v>0.022743</v>
      </c>
      <c r="M10" s="745" t="n">
        <f aca="false">AF20</f>
        <v>0.007257</v>
      </c>
      <c r="N10" s="745" t="n">
        <f aca="false">AG20</f>
        <v>0.03</v>
      </c>
    </row>
    <row r="11" customFormat="false" ht="20.25" hidden="false" customHeight="true" outlineLevel="0" collapsed="false">
      <c r="A11" s="735" t="n">
        <v>5</v>
      </c>
      <c r="B11" s="736" t="s">
        <v>2135</v>
      </c>
      <c r="C11" s="737" t="str">
        <f aca="false">K21</f>
        <v>MMDA</v>
      </c>
      <c r="D11" s="738" t="str">
        <f aca="false">C21</f>
        <v>달성공단영업부</v>
      </c>
      <c r="E11" s="735" t="str">
        <f aca="false">F21</f>
        <v>한국비앤씨㈜</v>
      </c>
      <c r="F11" s="735" t="s">
        <v>2136</v>
      </c>
      <c r="G11" s="740" t="n">
        <f aca="false">L21*1000000</f>
        <v>8670000</v>
      </c>
      <c r="H11" s="741" t="n">
        <f aca="false">G21</f>
        <v>46162</v>
      </c>
      <c r="I11" s="742" t="n">
        <f aca="false">H21</f>
        <v>46195</v>
      </c>
      <c r="J11" s="743" t="n">
        <f aca="false">J21</f>
        <v>1</v>
      </c>
      <c r="K11" s="744" t="n">
        <f aca="false">I11-H11</f>
        <v>33</v>
      </c>
      <c r="L11" s="745" t="n">
        <f aca="false">AE21</f>
        <v>0.02216</v>
      </c>
      <c r="M11" s="745" t="n">
        <f aca="false">AF21</f>
        <v>0.00984</v>
      </c>
      <c r="N11" s="745" t="n">
        <f aca="false">AG21</f>
        <v>0.032</v>
      </c>
    </row>
    <row r="12" customFormat="false" ht="20.25" hidden="false" customHeight="true" outlineLevel="0" collapsed="false">
      <c r="A12" s="735" t="n">
        <v>6</v>
      </c>
      <c r="B12" s="736" t="s">
        <v>2190</v>
      </c>
      <c r="C12" s="737" t="str">
        <f aca="false">K22</f>
        <v>MMDA</v>
      </c>
      <c r="D12" s="738" t="str">
        <f aca="false">C22</f>
        <v>원주금융센터</v>
      </c>
      <c r="E12" s="735" t="str">
        <f aca="false">F22</f>
        <v>㈜비알팜</v>
      </c>
      <c r="F12" s="735" t="s">
        <v>2136</v>
      </c>
      <c r="G12" s="740" t="n">
        <f aca="false">L22*1000000</f>
        <v>1630000</v>
      </c>
      <c r="H12" s="741" t="n">
        <f aca="false">G22</f>
        <v>46132</v>
      </c>
      <c r="I12" s="742" t="n">
        <f aca="false">H22</f>
        <v>46162</v>
      </c>
      <c r="J12" s="743" t="n">
        <f aca="false">J22</f>
        <v>1</v>
      </c>
      <c r="K12" s="744" t="n">
        <f aca="false">I12-H12</f>
        <v>30</v>
      </c>
      <c r="L12" s="745" t="n">
        <f aca="false">AE22</f>
        <v>0.023306</v>
      </c>
      <c r="M12" s="745" t="n">
        <f aca="false">AF22</f>
        <v>0.008694</v>
      </c>
      <c r="N12" s="745" t="n">
        <f aca="false">AG22</f>
        <v>0.032</v>
      </c>
    </row>
    <row r="13" customFormat="false" ht="19.5" hidden="false" customHeight="true" outlineLevel="0" collapsed="false">
      <c r="A13" s="746" t="n">
        <v>7</v>
      </c>
      <c r="B13" s="747" t="s">
        <v>2190</v>
      </c>
      <c r="C13" s="189" t="str">
        <f aca="false">K23</f>
        <v>정기예금</v>
      </c>
      <c r="D13" s="748" t="str">
        <f aca="false">C23</f>
        <v>경산공단영업부</v>
      </c>
      <c r="E13" s="749" t="str">
        <f aca="false">F23</f>
        <v>㈜일지테크</v>
      </c>
      <c r="F13" s="746" t="s">
        <v>2136</v>
      </c>
      <c r="G13" s="750" t="n">
        <f aca="false">L23*1000000</f>
        <v>4500000</v>
      </c>
      <c r="H13" s="751" t="n">
        <f aca="false">G23</f>
        <v>45961</v>
      </c>
      <c r="I13" s="559" t="n">
        <f aca="false">H23</f>
        <v>45968</v>
      </c>
      <c r="J13" s="149" t="n">
        <f aca="false">J23</f>
        <v>0</v>
      </c>
      <c r="K13" s="19" t="n">
        <f aca="false">I13-H13</f>
        <v>7</v>
      </c>
      <c r="L13" s="752" t="n">
        <f aca="false">AE23</f>
        <v>0.03286</v>
      </c>
      <c r="M13" s="752" t="n">
        <f aca="false">AF23</f>
        <v>0.00214</v>
      </c>
      <c r="N13" s="752" t="n">
        <f aca="false">AG23</f>
        <v>0.035</v>
      </c>
    </row>
    <row r="16" customFormat="false" ht="19.5" hidden="false" customHeight="true" outlineLevel="0" collapsed="false">
      <c r="A16" s="581" t="s">
        <v>2137</v>
      </c>
      <c r="B16" s="609" t="s">
        <v>2138</v>
      </c>
    </row>
    <row r="17" s="382" customFormat="true" ht="20.25" hidden="false" customHeight="true" outlineLevel="0" collapsed="false">
      <c r="A17" s="364" t="n">
        <v>705</v>
      </c>
      <c r="B17" s="363" t="n">
        <v>46188</v>
      </c>
      <c r="C17" s="364" t="s">
        <v>1172</v>
      </c>
      <c r="D17" s="364" t="s">
        <v>1327</v>
      </c>
      <c r="E17" s="364" t="s">
        <v>1218</v>
      </c>
      <c r="F17" s="364" t="s">
        <v>1175</v>
      </c>
      <c r="G17" s="365" t="n">
        <v>46188</v>
      </c>
      <c r="H17" s="365" t="n">
        <v>46218</v>
      </c>
      <c r="I17" s="364" t="n">
        <v>30</v>
      </c>
      <c r="J17" s="366" t="n">
        <v>1</v>
      </c>
      <c r="K17" s="367" t="s">
        <v>99</v>
      </c>
      <c r="L17" s="368" t="n">
        <v>8.09</v>
      </c>
      <c r="M17" s="369"/>
      <c r="N17" s="370"/>
      <c r="O17" s="366" t="s">
        <v>303</v>
      </c>
      <c r="P17" s="371" t="n">
        <v>0.0363312</v>
      </c>
      <c r="Q17" s="371"/>
      <c r="R17" s="372" t="s">
        <v>914</v>
      </c>
      <c r="S17" s="373"/>
      <c r="T17" s="372"/>
      <c r="U17" s="373"/>
      <c r="V17" s="373" t="n">
        <v>0.040198</v>
      </c>
      <c r="W17" s="373" t="n">
        <v>0.002813</v>
      </c>
      <c r="X17" s="412" t="n">
        <v>0.003609</v>
      </c>
      <c r="Y17" s="373" t="n">
        <v>0.022743</v>
      </c>
      <c r="Z17" s="373" t="n">
        <v>0.00172</v>
      </c>
      <c r="AA17" s="373" t="n">
        <v>0.002</v>
      </c>
      <c r="AB17" s="374" t="n">
        <v>-0.00172</v>
      </c>
      <c r="AC17" s="374" t="n">
        <v>-0.00372</v>
      </c>
      <c r="AD17" s="375" t="n">
        <v>0.032</v>
      </c>
      <c r="AE17" s="373" t="n">
        <v>0.022743</v>
      </c>
      <c r="AF17" s="376" t="n">
        <v>0.009257</v>
      </c>
      <c r="AG17" s="377" t="n">
        <v>0.032</v>
      </c>
      <c r="AH17" s="378" t="n">
        <v>46188</v>
      </c>
      <c r="AI17" s="379" t="n">
        <v>1</v>
      </c>
      <c r="AJ17" s="610" t="s">
        <v>466</v>
      </c>
      <c r="AK17" s="396" t="s">
        <v>1262</v>
      </c>
      <c r="AL17" s="397"/>
    </row>
    <row r="18" s="382" customFormat="true" ht="20.25" hidden="false" customHeight="true" outlineLevel="0" collapsed="false">
      <c r="A18" s="364" t="n">
        <v>706</v>
      </c>
      <c r="B18" s="363" t="n">
        <v>46188</v>
      </c>
      <c r="C18" s="364" t="s">
        <v>1066</v>
      </c>
      <c r="D18" s="364" t="s">
        <v>1280</v>
      </c>
      <c r="E18" s="364" t="s">
        <v>970</v>
      </c>
      <c r="F18" s="364" t="s">
        <v>1192</v>
      </c>
      <c r="G18" s="365" t="n">
        <v>46188</v>
      </c>
      <c r="H18" s="365" t="n">
        <v>46218</v>
      </c>
      <c r="I18" s="364" t="n">
        <v>30</v>
      </c>
      <c r="J18" s="366" t="n">
        <v>1</v>
      </c>
      <c r="K18" s="367" t="s">
        <v>99</v>
      </c>
      <c r="L18" s="368" t="n">
        <v>1.43</v>
      </c>
      <c r="M18" s="369"/>
      <c r="N18" s="370"/>
      <c r="O18" s="366" t="s">
        <v>303</v>
      </c>
      <c r="P18" s="371" t="n">
        <v>0.0363312</v>
      </c>
      <c r="Q18" s="371"/>
      <c r="R18" s="372" t="s">
        <v>914</v>
      </c>
      <c r="S18" s="373"/>
      <c r="T18" s="372"/>
      <c r="U18" s="373"/>
      <c r="V18" s="373" t="n">
        <v>0.040198</v>
      </c>
      <c r="W18" s="373" t="n">
        <v>0.002813</v>
      </c>
      <c r="X18" s="412" t="n">
        <v>0.003609</v>
      </c>
      <c r="Y18" s="373" t="n">
        <v>0.022743</v>
      </c>
      <c r="Z18" s="373" t="n">
        <v>0.00172</v>
      </c>
      <c r="AA18" s="373" t="n">
        <v>0.002</v>
      </c>
      <c r="AB18" s="374" t="n">
        <v>-0.00172</v>
      </c>
      <c r="AC18" s="374" t="n">
        <v>-0.00372</v>
      </c>
      <c r="AD18" s="375" t="n">
        <v>0.032</v>
      </c>
      <c r="AE18" s="373" t="n">
        <v>0.022743</v>
      </c>
      <c r="AF18" s="376" t="n">
        <v>0.009257</v>
      </c>
      <c r="AG18" s="377" t="n">
        <v>0.032</v>
      </c>
      <c r="AH18" s="378" t="n">
        <v>46188</v>
      </c>
      <c r="AI18" s="379" t="n">
        <v>2</v>
      </c>
      <c r="AJ18" s="610" t="s">
        <v>466</v>
      </c>
      <c r="AK18" s="396" t="s">
        <v>1262</v>
      </c>
      <c r="AL18" s="397"/>
    </row>
    <row r="19" s="382" customFormat="true" ht="20.25" hidden="false" customHeight="true" outlineLevel="0" collapsed="false">
      <c r="A19" s="364" t="n">
        <v>707</v>
      </c>
      <c r="B19" s="363" t="n">
        <v>46188</v>
      </c>
      <c r="C19" s="364" t="s">
        <v>1149</v>
      </c>
      <c r="D19" s="364" t="s">
        <v>1150</v>
      </c>
      <c r="E19" s="364" t="s">
        <v>1183</v>
      </c>
      <c r="F19" s="364" t="s">
        <v>1152</v>
      </c>
      <c r="G19" s="365" t="n">
        <v>46188</v>
      </c>
      <c r="H19" s="365" t="n">
        <v>46218</v>
      </c>
      <c r="I19" s="364" t="n">
        <v>30</v>
      </c>
      <c r="J19" s="366" t="n">
        <v>1</v>
      </c>
      <c r="K19" s="367" t="s">
        <v>99</v>
      </c>
      <c r="L19" s="368" t="n">
        <v>19</v>
      </c>
      <c r="M19" s="369"/>
      <c r="N19" s="370"/>
      <c r="O19" s="366" t="s">
        <v>303</v>
      </c>
      <c r="P19" s="371" t="n">
        <v>0.0363312</v>
      </c>
      <c r="Q19" s="371"/>
      <c r="R19" s="372" t="s">
        <v>914</v>
      </c>
      <c r="S19" s="373"/>
      <c r="T19" s="372"/>
      <c r="U19" s="373"/>
      <c r="V19" s="373" t="n">
        <v>0.040198</v>
      </c>
      <c r="W19" s="373" t="n">
        <v>0.002813</v>
      </c>
      <c r="X19" s="412" t="n">
        <v>0.003609</v>
      </c>
      <c r="Y19" s="373" t="n">
        <v>0.022743</v>
      </c>
      <c r="Z19" s="373" t="n">
        <v>0.00172</v>
      </c>
      <c r="AA19" s="373" t="n">
        <v>0.002</v>
      </c>
      <c r="AB19" s="374" t="n">
        <v>-0.00172</v>
      </c>
      <c r="AC19" s="374" t="n">
        <v>-0.00372</v>
      </c>
      <c r="AD19" s="375" t="n">
        <v>0.032</v>
      </c>
      <c r="AE19" s="373" t="n">
        <v>0.022743</v>
      </c>
      <c r="AF19" s="376" t="n">
        <v>0.009257</v>
      </c>
      <c r="AG19" s="377" t="n">
        <v>0.032</v>
      </c>
      <c r="AH19" s="378" t="n">
        <v>46188</v>
      </c>
      <c r="AI19" s="379" t="n">
        <v>3</v>
      </c>
      <c r="AJ19" s="610" t="s">
        <v>466</v>
      </c>
      <c r="AK19" s="396" t="s">
        <v>1262</v>
      </c>
      <c r="AL19" s="397"/>
    </row>
    <row r="20" s="382" customFormat="true" ht="20.25" hidden="false" customHeight="true" outlineLevel="0" collapsed="false">
      <c r="A20" s="364" t="n">
        <v>708</v>
      </c>
      <c r="B20" s="363" t="n">
        <v>46188</v>
      </c>
      <c r="C20" s="364" t="s">
        <v>209</v>
      </c>
      <c r="D20" s="364" t="s">
        <v>1309</v>
      </c>
      <c r="E20" s="364" t="s">
        <v>1342</v>
      </c>
      <c r="F20" s="364" t="s">
        <v>697</v>
      </c>
      <c r="G20" s="365" t="n">
        <v>46188</v>
      </c>
      <c r="H20" s="365" t="n">
        <v>46218</v>
      </c>
      <c r="I20" s="364" t="n">
        <v>30</v>
      </c>
      <c r="J20" s="366" t="n">
        <v>1</v>
      </c>
      <c r="K20" s="367" t="s">
        <v>99</v>
      </c>
      <c r="L20" s="368" t="n">
        <v>1.11</v>
      </c>
      <c r="M20" s="408"/>
      <c r="N20" s="409"/>
      <c r="O20" s="405" t="s">
        <v>303</v>
      </c>
      <c r="P20" s="410" t="n">
        <v>0.0363312</v>
      </c>
      <c r="Q20" s="371"/>
      <c r="R20" s="372" t="s">
        <v>914</v>
      </c>
      <c r="S20" s="373"/>
      <c r="T20" s="372"/>
      <c r="U20" s="373"/>
      <c r="V20" s="412" t="n">
        <v>0.040198</v>
      </c>
      <c r="W20" s="412" t="n">
        <v>0.002813</v>
      </c>
      <c r="X20" s="373" t="n">
        <v>0.005609</v>
      </c>
      <c r="Y20" s="412" t="n">
        <v>0.022743</v>
      </c>
      <c r="Z20" s="412" t="n">
        <v>0.00172</v>
      </c>
      <c r="AA20" s="412" t="n">
        <v>0.002</v>
      </c>
      <c r="AB20" s="374" t="n">
        <v>-0.00172</v>
      </c>
      <c r="AC20" s="374" t="n">
        <v>-0.00372</v>
      </c>
      <c r="AD20" s="375" t="n">
        <v>0.03</v>
      </c>
      <c r="AE20" s="412" t="n">
        <v>0.022743</v>
      </c>
      <c r="AF20" s="412" t="n">
        <v>0.007257</v>
      </c>
      <c r="AG20" s="375" t="n">
        <v>0.03</v>
      </c>
      <c r="AH20" s="378" t="n">
        <v>46188</v>
      </c>
      <c r="AI20" s="379" t="n">
        <v>4</v>
      </c>
      <c r="AJ20" s="610" t="s">
        <v>466</v>
      </c>
      <c r="AK20" s="396" t="s">
        <v>1262</v>
      </c>
      <c r="AL20" s="397"/>
    </row>
    <row r="21" s="382" customFormat="true" ht="20.25" hidden="false" customHeight="true" outlineLevel="0" collapsed="false">
      <c r="A21" s="364" t="n">
        <v>693</v>
      </c>
      <c r="B21" s="363" t="n">
        <v>46162</v>
      </c>
      <c r="C21" s="364" t="s">
        <v>209</v>
      </c>
      <c r="D21" s="364" t="s">
        <v>1054</v>
      </c>
      <c r="E21" s="364" t="s">
        <v>1312</v>
      </c>
      <c r="F21" s="364" t="s">
        <v>1313</v>
      </c>
      <c r="G21" s="365" t="n">
        <v>46162</v>
      </c>
      <c r="H21" s="365" t="n">
        <v>46195</v>
      </c>
      <c r="I21" s="364" t="n">
        <v>33</v>
      </c>
      <c r="J21" s="366" t="n">
        <v>1</v>
      </c>
      <c r="K21" s="367" t="s">
        <v>99</v>
      </c>
      <c r="L21" s="368" t="n">
        <v>8.67</v>
      </c>
      <c r="M21" s="369"/>
      <c r="N21" s="370"/>
      <c r="O21" s="366" t="s">
        <v>303</v>
      </c>
      <c r="P21" s="371" t="n">
        <v>0.0359824</v>
      </c>
      <c r="Q21" s="371"/>
      <c r="R21" s="372" t="s">
        <v>914</v>
      </c>
      <c r="S21" s="373"/>
      <c r="T21" s="372"/>
      <c r="U21" s="373"/>
      <c r="V21" s="373" t="n">
        <v>0.039972</v>
      </c>
      <c r="W21" s="373" t="n">
        <v>0.002798</v>
      </c>
      <c r="X21" s="373" t="n">
        <v>0.003398</v>
      </c>
      <c r="Y21" s="373" t="n">
        <v>0.02216</v>
      </c>
      <c r="Z21" s="373" t="n">
        <v>0.00172</v>
      </c>
      <c r="AA21" s="373" t="n">
        <v>0.002</v>
      </c>
      <c r="AB21" s="374" t="n">
        <v>-0.00172</v>
      </c>
      <c r="AC21" s="374" t="n">
        <v>-0.00372</v>
      </c>
      <c r="AD21" s="375" t="n">
        <v>0.032</v>
      </c>
      <c r="AE21" s="373" t="n">
        <v>0.02216</v>
      </c>
      <c r="AF21" s="412" t="n">
        <v>0.00984</v>
      </c>
      <c r="AG21" s="506" t="n">
        <v>0.032</v>
      </c>
      <c r="AH21" s="378" t="n">
        <v>46162</v>
      </c>
      <c r="AI21" s="379" t="n">
        <v>5</v>
      </c>
      <c r="AJ21" s="610" t="s">
        <v>466</v>
      </c>
      <c r="AK21" s="396" t="s">
        <v>1258</v>
      </c>
      <c r="AL21" s="397"/>
    </row>
    <row r="22" customFormat="false" ht="19.5" hidden="false" customHeight="true" outlineLevel="0" collapsed="false">
      <c r="A22" s="364" t="n">
        <v>670</v>
      </c>
      <c r="B22" s="363" t="n">
        <v>46132</v>
      </c>
      <c r="C22" s="364" t="s">
        <v>1081</v>
      </c>
      <c r="D22" s="364" t="s">
        <v>1082</v>
      </c>
      <c r="E22" s="364" t="s">
        <v>900</v>
      </c>
      <c r="F22" s="364" t="s">
        <v>1083</v>
      </c>
      <c r="G22" s="365" t="n">
        <v>46132</v>
      </c>
      <c r="H22" s="365" t="n">
        <v>46162</v>
      </c>
      <c r="I22" s="364" t="n">
        <v>30</v>
      </c>
      <c r="J22" s="366" t="n">
        <v>1</v>
      </c>
      <c r="K22" s="367" t="s">
        <v>99</v>
      </c>
      <c r="L22" s="368" t="n">
        <v>1.63</v>
      </c>
      <c r="M22" s="369"/>
      <c r="N22" s="370"/>
      <c r="O22" s="366" t="s">
        <v>303</v>
      </c>
      <c r="P22" s="371" t="n">
        <v>0.0365719</v>
      </c>
      <c r="Q22" s="371"/>
      <c r="R22" s="372" t="s">
        <v>914</v>
      </c>
      <c r="S22" s="373"/>
      <c r="T22" s="372"/>
      <c r="U22" s="373"/>
      <c r="V22" s="373" t="n">
        <v>0.040431</v>
      </c>
      <c r="W22" s="373" t="n">
        <v>0.002838</v>
      </c>
      <c r="X22" s="373" t="n">
        <v>0.003736</v>
      </c>
      <c r="Y22" s="373" t="n">
        <v>0.023306</v>
      </c>
      <c r="Z22" s="373" t="n">
        <v>0.00172</v>
      </c>
      <c r="AA22" s="373" t="n">
        <v>0.002</v>
      </c>
      <c r="AB22" s="374" t="n">
        <v>-0.00172</v>
      </c>
      <c r="AC22" s="374" t="n">
        <v>-0.00372</v>
      </c>
      <c r="AD22" s="375" t="n">
        <v>0.032</v>
      </c>
      <c r="AE22" s="373" t="n">
        <v>0.023306</v>
      </c>
      <c r="AF22" s="412" t="n">
        <v>0.008694</v>
      </c>
      <c r="AG22" s="506" t="n">
        <v>0.032</v>
      </c>
      <c r="AH22" s="378" t="n">
        <v>46132</v>
      </c>
      <c r="AI22" s="379" t="n">
        <v>6</v>
      </c>
      <c r="AJ22" s="610" t="s">
        <v>466</v>
      </c>
      <c r="AK22" s="396" t="s">
        <v>1262</v>
      </c>
    </row>
    <row r="23" customFormat="false" ht="19.5" hidden="false" customHeight="true" outlineLevel="0" collapsed="false">
      <c r="A23" s="364" t="n">
        <v>508</v>
      </c>
      <c r="B23" s="363" t="n">
        <v>45954</v>
      </c>
      <c r="C23" s="364" t="s">
        <v>187</v>
      </c>
      <c r="D23" s="364" t="s">
        <v>1062</v>
      </c>
      <c r="E23" s="364" t="s">
        <v>1165</v>
      </c>
      <c r="F23" s="364" t="s">
        <v>877</v>
      </c>
      <c r="G23" s="365" t="n">
        <v>45961</v>
      </c>
      <c r="H23" s="365" t="n">
        <v>45968</v>
      </c>
      <c r="I23" s="364" t="n">
        <v>7</v>
      </c>
      <c r="J23" s="366" t="n">
        <v>0</v>
      </c>
      <c r="K23" s="395" t="s">
        <v>95</v>
      </c>
      <c r="L23" s="368" t="n">
        <v>4.5</v>
      </c>
      <c r="M23" s="408"/>
      <c r="N23" s="409"/>
      <c r="O23" s="405" t="s">
        <v>305</v>
      </c>
      <c r="P23" s="410" t="n">
        <v>0.0421083</v>
      </c>
      <c r="Q23" s="371"/>
      <c r="R23" s="372" t="s">
        <v>914</v>
      </c>
      <c r="S23" s="373"/>
      <c r="T23" s="372"/>
      <c r="U23" s="373"/>
      <c r="V23" s="412" t="n">
        <v>0.043256</v>
      </c>
      <c r="W23" s="412" t="n">
        <v>0.003065</v>
      </c>
      <c r="X23" s="412" t="n">
        <v>0.003944</v>
      </c>
      <c r="Y23" s="412" t="n">
        <v>0.03286</v>
      </c>
      <c r="Z23" s="412" t="n">
        <v>0.00172</v>
      </c>
      <c r="AA23" s="412" t="n">
        <v>0.002</v>
      </c>
      <c r="AB23" s="374" t="n">
        <v>-0.00172</v>
      </c>
      <c r="AC23" s="374" t="n">
        <v>-0.00372</v>
      </c>
      <c r="AD23" s="375" t="n">
        <v>0.035</v>
      </c>
      <c r="AE23" s="412" t="n">
        <v>0.03286</v>
      </c>
      <c r="AF23" s="412" t="n">
        <v>0.00214</v>
      </c>
      <c r="AG23" s="377" t="n">
        <v>0.035</v>
      </c>
      <c r="AH23" s="378" t="n">
        <v>45961</v>
      </c>
      <c r="AI23" s="379" t="n">
        <v>7</v>
      </c>
      <c r="AJ23" s="753" t="s">
        <v>466</v>
      </c>
      <c r="AK23" s="416" t="s">
        <v>1236</v>
      </c>
    </row>
  </sheetData>
  <mergeCells count="16">
    <mergeCell ref="C1:L1"/>
    <mergeCell ref="C2:L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</mergeCells>
  <conditionalFormatting sqref="C17:C23">
    <cfRule type="cellIs" priority="2" operator="equal" aboveAverage="0" equalAverage="0" bottom="0" percent="0" rank="0" text="" dxfId="1">
      <formula>"상해지점"</formula>
    </cfRule>
  </conditionalFormatting>
  <conditionalFormatting sqref="AJ17:AJ23">
    <cfRule type="cellIs" priority="3" operator="equal" aboveAverage="0" equalAverage="0" bottom="0" percent="0" rank="0" text="" dxfId="2">
      <formula>"N"</formula>
    </cfRule>
    <cfRule type="containsText" priority="4" operator="containsText" aboveAverage="0" equalAverage="0" bottom="0" percent="0" rank="0" text="Y" dxfId="1">
      <formula>NOT(ISERROR(SEARCH("Y",AJ17)))</formula>
    </cfRule>
  </conditionalFormatting>
  <conditionalFormatting sqref="AG17:AG19">
    <cfRule type="cellIs" priority="5" operator="greaterThan" aboveAverage="0" equalAverage="0" bottom="0" percent="0" rank="0" text="" dxfId="0">
      <formula>$AD$11</formula>
    </cfRule>
  </conditionalFormatting>
  <conditionalFormatting sqref="AG21:AG23">
    <cfRule type="cellIs" priority="6" operator="greaterThan" aboveAverage="0" equalAverage="0" bottom="0" percent="0" rank="0" text="" dxfId="0">
      <formula>$AD$11</formula>
    </cfRule>
  </conditionalFormatting>
  <conditionalFormatting sqref="A7:B13">
    <cfRule type="cellIs" priority="7" operator="equal" aboveAverage="0" equalAverage="0" bottom="0" percent="0" rank="0" text="" dxfId="2">
      <formula>"상담"</formula>
    </cfRule>
    <cfRule type="cellIs" priority="8" operator="equal" aboveAverage="0" equalAverage="0" bottom="0" percent="0" rank="0" text="" dxfId="1">
      <formula>"취소"</formula>
    </cfRule>
  </conditionalFormatting>
  <printOptions headings="false" gridLines="false" gridLinesSet="true" horizontalCentered="true" verticalCentered="false"/>
  <pageMargins left="0.708333333333333" right="0.708333333333333" top="0.7875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O174"/>
  <sheetViews>
    <sheetView showFormulas="false" showGridLines="true" showRowColHeaders="true" showZeros="true" rightToLeft="false" tabSelected="false" showOutlineSymbols="true" defaultGridColor="true" view="normal" topLeftCell="A165" colorId="64" zoomScale="100" zoomScaleNormal="100" zoomScalePageLayoutView="100" workbookViewId="0">
      <selection pane="topLeft" activeCell="P200" activeCellId="0" sqref="P200"/>
    </sheetView>
  </sheetViews>
  <sheetFormatPr defaultColWidth="9" defaultRowHeight="13.5" zeroHeight="false" outlineLevelRow="0" outlineLevelCol="0"/>
  <cols>
    <col collapsed="false" customWidth="false" hidden="false" outlineLevel="0" max="16384" min="1" style="754" width="9"/>
  </cols>
  <sheetData>
    <row r="1" customFormat="false" ht="13.5" hidden="false" customHeight="true" outlineLevel="0" collapsed="false">
      <c r="A1" s="755" t="s">
        <v>2191</v>
      </c>
      <c r="B1" s="755"/>
    </row>
    <row r="3" customFormat="false" ht="16.5" hidden="false" customHeight="true" outlineLevel="0" collapsed="false">
      <c r="A3" s="756" t="s">
        <v>2192</v>
      </c>
    </row>
    <row r="4" customFormat="false" ht="16.5" hidden="false" customHeight="true" outlineLevel="0" collapsed="false">
      <c r="A4" s="754" t="s">
        <v>2193</v>
      </c>
    </row>
    <row r="5" customFormat="false" ht="16.5" hidden="false" customHeight="true" outlineLevel="0" collapsed="false">
      <c r="A5" s="756" t="s">
        <v>2194</v>
      </c>
    </row>
    <row r="6" customFormat="false" ht="16.5" hidden="false" customHeight="true" outlineLevel="0" collapsed="false">
      <c r="A6" s="756" t="s">
        <v>2195</v>
      </c>
    </row>
    <row r="7" customFormat="false" ht="16.5" hidden="false" customHeight="true" outlineLevel="0" collapsed="false">
      <c r="A7" s="756" t="s">
        <v>2196</v>
      </c>
    </row>
    <row r="8" customFormat="false" ht="16.5" hidden="false" customHeight="true" outlineLevel="0" collapsed="false">
      <c r="A8" s="756" t="s">
        <v>2197</v>
      </c>
    </row>
    <row r="9" customFormat="false" ht="16.5" hidden="false" customHeight="true" outlineLevel="0" collapsed="false">
      <c r="A9" s="756" t="s">
        <v>2198</v>
      </c>
    </row>
    <row r="11" customFormat="false" ht="16.5" hidden="false" customHeight="true" outlineLevel="0" collapsed="false">
      <c r="A11" s="754" t="s">
        <v>2199</v>
      </c>
    </row>
    <row r="12" customFormat="false" ht="16.5" hidden="false" customHeight="true" outlineLevel="0" collapsed="false">
      <c r="A12" s="756" t="s">
        <v>2200</v>
      </c>
    </row>
    <row r="13" customFormat="false" ht="16.5" hidden="false" customHeight="true" outlineLevel="0" collapsed="false">
      <c r="A13" s="756" t="s">
        <v>2201</v>
      </c>
    </row>
    <row r="14" customFormat="false" ht="13.5" hidden="false" customHeight="true" outlineLevel="0" collapsed="false">
      <c r="A14" s="754" t="s">
        <v>2202</v>
      </c>
    </row>
    <row r="15" customFormat="false" ht="16.5" hidden="false" customHeight="true" outlineLevel="0" collapsed="false">
      <c r="A15" s="757" t="s">
        <v>2203</v>
      </c>
    </row>
    <row r="16" customFormat="false" ht="16.5" hidden="false" customHeight="true" outlineLevel="0" collapsed="false">
      <c r="A16" s="756" t="s">
        <v>2204</v>
      </c>
    </row>
    <row r="17" customFormat="false" ht="16.5" hidden="false" customHeight="true" outlineLevel="0" collapsed="false">
      <c r="A17" s="754" t="s">
        <v>2205</v>
      </c>
      <c r="B17" s="758"/>
      <c r="C17" s="758"/>
      <c r="D17" s="758"/>
      <c r="E17" s="758"/>
    </row>
    <row r="18" customFormat="false" ht="16.5" hidden="false" customHeight="true" outlineLevel="0" collapsed="false">
      <c r="A18" s="754" t="s">
        <v>2206</v>
      </c>
      <c r="B18" s="758"/>
      <c r="C18" s="758"/>
      <c r="D18" s="758"/>
      <c r="E18" s="758"/>
    </row>
    <row r="19" customFormat="false" ht="16.5" hidden="false" customHeight="true" outlineLevel="0" collapsed="false">
      <c r="A19" s="756" t="s">
        <v>2207</v>
      </c>
    </row>
    <row r="20" customFormat="false" ht="16.5" hidden="false" customHeight="true" outlineLevel="0" collapsed="false">
      <c r="A20" s="756" t="s">
        <v>2208</v>
      </c>
    </row>
    <row r="21" customFormat="false" ht="16.5" hidden="false" customHeight="true" outlineLevel="0" collapsed="false">
      <c r="A21" s="756" t="s">
        <v>2209</v>
      </c>
    </row>
    <row r="22" customFormat="false" ht="16.5" hidden="false" customHeight="true" outlineLevel="0" collapsed="false">
      <c r="A22" s="754" t="s">
        <v>2210</v>
      </c>
    </row>
    <row r="23" customFormat="false" ht="16.5" hidden="false" customHeight="true" outlineLevel="0" collapsed="false">
      <c r="A23" s="754" t="s">
        <v>2211</v>
      </c>
    </row>
    <row r="24" customFormat="false" ht="16.5" hidden="false" customHeight="true" outlineLevel="0" collapsed="false">
      <c r="A24" s="754" t="s">
        <v>2212</v>
      </c>
    </row>
    <row r="25" customFormat="false" ht="16.5" hidden="false" customHeight="true" outlineLevel="0" collapsed="false">
      <c r="A25" s="754" t="s">
        <v>2213</v>
      </c>
    </row>
    <row r="26" customFormat="false" ht="16.5" hidden="false" customHeight="true" outlineLevel="0" collapsed="false">
      <c r="A26" s="754" t="s">
        <v>2214</v>
      </c>
    </row>
    <row r="27" customFormat="false" ht="16.5" hidden="false" customHeight="true" outlineLevel="0" collapsed="false">
      <c r="A27" s="754" t="s">
        <v>2215</v>
      </c>
    </row>
    <row r="28" customFormat="false" ht="16.5" hidden="false" customHeight="true" outlineLevel="0" collapsed="false">
      <c r="A28" s="756" t="s">
        <v>2216</v>
      </c>
    </row>
    <row r="29" customFormat="false" ht="16.5" hidden="false" customHeight="true" outlineLevel="0" collapsed="false">
      <c r="A29" s="756" t="s">
        <v>2217</v>
      </c>
    </row>
    <row r="30" customFormat="false" ht="16.5" hidden="false" customHeight="true" outlineLevel="0" collapsed="false">
      <c r="A30" s="756" t="s">
        <v>2218</v>
      </c>
    </row>
    <row r="31" customFormat="false" ht="16.5" hidden="false" customHeight="true" outlineLevel="0" collapsed="false">
      <c r="A31" s="754" t="s">
        <v>2219</v>
      </c>
    </row>
    <row r="32" customFormat="false" ht="16.5" hidden="false" customHeight="true" outlineLevel="0" collapsed="false">
      <c r="A32" s="754" t="s">
        <v>2220</v>
      </c>
    </row>
    <row r="33" customFormat="false" ht="16.5" hidden="false" customHeight="true" outlineLevel="0" collapsed="false">
      <c r="A33" s="754" t="s">
        <v>2221</v>
      </c>
    </row>
    <row r="34" customFormat="false" ht="16.5" hidden="false" customHeight="true" outlineLevel="0" collapsed="false">
      <c r="A34" s="754" t="s">
        <v>2222</v>
      </c>
    </row>
    <row r="36" customFormat="false" ht="16.5" hidden="false" customHeight="true" outlineLevel="0" collapsed="false">
      <c r="A36" s="754" t="s">
        <v>2223</v>
      </c>
    </row>
    <row r="38" customFormat="false" ht="16.5" hidden="false" customHeight="true" outlineLevel="0" collapsed="false">
      <c r="A38" s="756" t="s">
        <v>2224</v>
      </c>
    </row>
    <row r="39" customFormat="false" ht="13.5" hidden="false" customHeight="true" outlineLevel="0" collapsed="false">
      <c r="A39" s="754" t="s">
        <v>2202</v>
      </c>
    </row>
    <row r="40" customFormat="false" ht="16.5" hidden="false" customHeight="true" outlineLevel="0" collapsed="false">
      <c r="A40" s="754" t="s">
        <v>2225</v>
      </c>
    </row>
    <row r="42" customFormat="false" ht="16.5" hidden="false" customHeight="true" outlineLevel="0" collapsed="false">
      <c r="A42" s="759" t="s">
        <v>2226</v>
      </c>
    </row>
    <row r="43" customFormat="false" ht="13.5" hidden="false" customHeight="true" outlineLevel="0" collapsed="false">
      <c r="A43" s="754" t="s">
        <v>2202</v>
      </c>
    </row>
    <row r="44" customFormat="false" ht="16.5" hidden="false" customHeight="true" outlineLevel="0" collapsed="false">
      <c r="A44" s="754" t="s">
        <v>2227</v>
      </c>
    </row>
    <row r="45" customFormat="false" ht="16.5" hidden="false" customHeight="true" outlineLevel="0" collapsed="false">
      <c r="A45" s="756" t="s">
        <v>2228</v>
      </c>
    </row>
    <row r="46" customFormat="false" ht="16.5" hidden="false" customHeight="true" outlineLevel="0" collapsed="false">
      <c r="A46" s="756" t="s">
        <v>2229</v>
      </c>
    </row>
    <row r="47" customFormat="false" ht="16.5" hidden="false" customHeight="true" outlineLevel="0" collapsed="false">
      <c r="A47" s="756" t="s">
        <v>2230</v>
      </c>
    </row>
    <row r="48" customFormat="false" ht="16.5" hidden="false" customHeight="true" outlineLevel="0" collapsed="false">
      <c r="A48" s="754" t="s">
        <v>2231</v>
      </c>
    </row>
    <row r="49" customFormat="false" ht="16.5" hidden="false" customHeight="true" outlineLevel="0" collapsed="false">
      <c r="A49" s="754" t="s">
        <v>2232</v>
      </c>
    </row>
    <row r="50" customFormat="false" ht="13.5" hidden="false" customHeight="true" outlineLevel="0" collapsed="false">
      <c r="A50" s="754" t="s">
        <v>2202</v>
      </c>
    </row>
    <row r="51" customFormat="false" ht="16.5" hidden="false" customHeight="true" outlineLevel="0" collapsed="false">
      <c r="A51" s="754" t="s">
        <v>2233</v>
      </c>
    </row>
    <row r="53" customFormat="false" ht="16.5" hidden="false" customHeight="true" outlineLevel="0" collapsed="false">
      <c r="A53" s="756" t="s">
        <v>2234</v>
      </c>
    </row>
    <row r="54" customFormat="false" ht="13.5" hidden="false" customHeight="true" outlineLevel="0" collapsed="false">
      <c r="A54" s="754" t="s">
        <v>2202</v>
      </c>
    </row>
    <row r="55" customFormat="false" ht="16.5" hidden="false" customHeight="true" outlineLevel="0" collapsed="false">
      <c r="A55" s="754" t="s">
        <v>2235</v>
      </c>
    </row>
    <row r="57" customFormat="false" ht="13.5" hidden="false" customHeight="true" outlineLevel="0" collapsed="false">
      <c r="A57" s="756" t="s">
        <v>2236</v>
      </c>
    </row>
    <row r="58" customFormat="false" ht="13.5" hidden="false" customHeight="true" outlineLevel="0" collapsed="false">
      <c r="A58" s="754" t="s">
        <v>2202</v>
      </c>
    </row>
    <row r="59" customFormat="false" ht="16.5" hidden="false" customHeight="true" outlineLevel="0" collapsed="false">
      <c r="A59" s="754" t="s">
        <v>2237</v>
      </c>
    </row>
    <row r="61" customFormat="false" ht="16.5" hidden="false" customHeight="true" outlineLevel="0" collapsed="false">
      <c r="A61" s="756" t="s">
        <v>2238</v>
      </c>
    </row>
    <row r="62" customFormat="false" ht="13.5" hidden="false" customHeight="true" outlineLevel="0" collapsed="false">
      <c r="A62" s="754" t="s">
        <v>2202</v>
      </c>
    </row>
    <row r="63" customFormat="false" ht="16.5" hidden="false" customHeight="true" outlineLevel="0" collapsed="false">
      <c r="A63" s="754" t="s">
        <v>2239</v>
      </c>
    </row>
    <row r="64" customFormat="false" ht="16.5" hidden="false" customHeight="true" outlineLevel="0" collapsed="false">
      <c r="A64" s="756" t="s">
        <v>2240</v>
      </c>
    </row>
    <row r="65" customFormat="false" ht="16.5" hidden="false" customHeight="true" outlineLevel="0" collapsed="false">
      <c r="A65" s="756" t="s">
        <v>2241</v>
      </c>
    </row>
    <row r="66" customFormat="false" ht="16.5" hidden="false" customHeight="true" outlineLevel="0" collapsed="false">
      <c r="A66" s="760" t="s">
        <v>2242</v>
      </c>
      <c r="B66" s="760"/>
      <c r="C66" s="760"/>
      <c r="D66" s="760"/>
    </row>
    <row r="67" customFormat="false" ht="16.5" hidden="false" customHeight="true" outlineLevel="0" collapsed="false">
      <c r="A67" s="754" t="s">
        <v>2243</v>
      </c>
    </row>
    <row r="68" customFormat="false" ht="16.5" hidden="false" customHeight="true" outlineLevel="0" collapsed="false">
      <c r="A68" s="759" t="s">
        <v>2244</v>
      </c>
      <c r="B68" s="759"/>
      <c r="C68" s="759"/>
      <c r="D68" s="759"/>
      <c r="E68" s="761" t="s">
        <v>2245</v>
      </c>
      <c r="F68" s="761"/>
      <c r="G68" s="761"/>
      <c r="H68" s="761"/>
      <c r="I68" s="761"/>
    </row>
    <row r="69" customFormat="false" ht="16.5" hidden="false" customHeight="true" outlineLevel="0" collapsed="false">
      <c r="A69" s="754" t="s">
        <v>2246</v>
      </c>
    </row>
    <row r="70" customFormat="false" ht="16.5" hidden="false" customHeight="true" outlineLevel="0" collapsed="false">
      <c r="A70" s="756" t="s">
        <v>2247</v>
      </c>
    </row>
    <row r="71" customFormat="false" ht="16.5" hidden="false" customHeight="true" outlineLevel="0" collapsed="false">
      <c r="A71" s="754" t="s">
        <v>2248</v>
      </c>
    </row>
    <row r="72" customFormat="false" ht="13.5" hidden="false" customHeight="true" outlineLevel="0" collapsed="false">
      <c r="A72" s="759" t="s">
        <v>2249</v>
      </c>
    </row>
    <row r="73" customFormat="false" ht="16.5" hidden="false" customHeight="true" outlineLevel="0" collapsed="false">
      <c r="A73" s="756" t="s">
        <v>2250</v>
      </c>
    </row>
    <row r="74" customFormat="false" ht="13.5" hidden="false" customHeight="true" outlineLevel="0" collapsed="false">
      <c r="A74" s="756" t="s">
        <v>2251</v>
      </c>
    </row>
    <row r="75" customFormat="false" ht="16.5" hidden="false" customHeight="true" outlineLevel="0" collapsed="false">
      <c r="A75" s="756" t="s">
        <v>2252</v>
      </c>
    </row>
    <row r="76" customFormat="false" ht="16.5" hidden="false" customHeight="true" outlineLevel="0" collapsed="false">
      <c r="A76" s="754" t="s">
        <v>2253</v>
      </c>
    </row>
    <row r="77" customFormat="false" ht="16.5" hidden="false" customHeight="true" outlineLevel="0" collapsed="false">
      <c r="A77" s="754" t="s">
        <v>2254</v>
      </c>
    </row>
    <row r="78" customFormat="false" ht="16.5" hidden="false" customHeight="true" outlineLevel="0" collapsed="false">
      <c r="A78" s="754" t="s">
        <v>2255</v>
      </c>
    </row>
    <row r="79" customFormat="false" ht="16.5" hidden="false" customHeight="true" outlineLevel="0" collapsed="false">
      <c r="A79" s="754" t="s">
        <v>2256</v>
      </c>
    </row>
    <row r="80" customFormat="false" ht="16.5" hidden="false" customHeight="true" outlineLevel="0" collapsed="false">
      <c r="A80" s="756" t="s">
        <v>2257</v>
      </c>
    </row>
    <row r="81" customFormat="false" ht="16.5" hidden="false" customHeight="true" outlineLevel="0" collapsed="false">
      <c r="A81" s="754" t="s">
        <v>2258</v>
      </c>
    </row>
    <row r="82" customFormat="false" ht="16.5" hidden="false" customHeight="true" outlineLevel="0" collapsed="false">
      <c r="A82" s="754" t="s">
        <v>2259</v>
      </c>
    </row>
    <row r="83" customFormat="false" ht="13.5" hidden="false" customHeight="true" outlineLevel="0" collapsed="false">
      <c r="A83" s="756" t="s">
        <v>2260</v>
      </c>
    </row>
    <row r="84" customFormat="false" ht="16.5" hidden="false" customHeight="true" outlineLevel="0" collapsed="false">
      <c r="A84" s="756" t="s">
        <v>2261</v>
      </c>
    </row>
    <row r="85" customFormat="false" ht="16.5" hidden="false" customHeight="true" outlineLevel="0" collapsed="false">
      <c r="A85" s="756" t="s">
        <v>2262</v>
      </c>
    </row>
    <row r="86" customFormat="false" ht="16.5" hidden="false" customHeight="true" outlineLevel="0" collapsed="false">
      <c r="A86" s="756" t="s">
        <v>2263</v>
      </c>
    </row>
    <row r="87" customFormat="false" ht="16.5" hidden="false" customHeight="true" outlineLevel="0" collapsed="false">
      <c r="A87" s="756" t="s">
        <v>2264</v>
      </c>
    </row>
    <row r="88" customFormat="false" ht="16.5" hidden="false" customHeight="true" outlineLevel="0" collapsed="false">
      <c r="A88" s="756" t="s">
        <v>2265</v>
      </c>
    </row>
    <row r="89" customFormat="false" ht="16.5" hidden="false" customHeight="true" outlineLevel="0" collapsed="false">
      <c r="A89" s="756" t="s">
        <v>2266</v>
      </c>
    </row>
    <row r="90" customFormat="false" ht="13.5" hidden="false" customHeight="true" outlineLevel="0" collapsed="false">
      <c r="A90" s="754" t="s">
        <v>2202</v>
      </c>
    </row>
    <row r="91" customFormat="false" ht="13.5" hidden="false" customHeight="true" outlineLevel="0" collapsed="false">
      <c r="B91" s="762" t="s">
        <v>2267</v>
      </c>
    </row>
    <row r="92" customFormat="false" ht="16.5" hidden="false" customHeight="true" outlineLevel="0" collapsed="false">
      <c r="B92" s="756" t="s">
        <v>2268</v>
      </c>
    </row>
    <row r="93" customFormat="false" ht="16.5" hidden="false" customHeight="true" outlineLevel="0" collapsed="false">
      <c r="B93" s="754" t="s">
        <v>2269</v>
      </c>
    </row>
    <row r="95" customFormat="false" ht="16.5" hidden="false" customHeight="true" outlineLevel="0" collapsed="false">
      <c r="B95" s="756" t="s">
        <v>2270</v>
      </c>
    </row>
    <row r="96" customFormat="false" ht="16.5" hidden="false" customHeight="true" outlineLevel="0" collapsed="false">
      <c r="B96" s="756" t="s">
        <v>2271</v>
      </c>
    </row>
    <row r="97" customFormat="false" ht="16.5" hidden="false" customHeight="true" outlineLevel="0" collapsed="false">
      <c r="B97" s="754" t="s">
        <v>2272</v>
      </c>
    </row>
    <row r="98" customFormat="false" ht="16.5" hidden="false" customHeight="true" outlineLevel="0" collapsed="false">
      <c r="B98" s="754" t="s">
        <v>2273</v>
      </c>
    </row>
    <row r="99" customFormat="false" ht="16.5" hidden="false" customHeight="true" outlineLevel="0" collapsed="false">
      <c r="B99" s="756" t="s">
        <v>2274</v>
      </c>
    </row>
    <row r="100" customFormat="false" ht="16.5" hidden="false" customHeight="true" outlineLevel="0" collapsed="false">
      <c r="B100" s="754" t="s">
        <v>2275</v>
      </c>
    </row>
    <row r="101" customFormat="false" ht="16.5" hidden="false" customHeight="true" outlineLevel="0" collapsed="false">
      <c r="B101" s="754" t="s">
        <v>2276</v>
      </c>
    </row>
    <row r="102" customFormat="false" ht="16.5" hidden="false" customHeight="true" outlineLevel="0" collapsed="false">
      <c r="B102" s="756" t="s">
        <v>2277</v>
      </c>
    </row>
    <row r="103" customFormat="false" ht="16.5" hidden="false" customHeight="true" outlineLevel="0" collapsed="false">
      <c r="B103" s="754" t="s">
        <v>2278</v>
      </c>
    </row>
    <row r="104" customFormat="false" ht="16.5" hidden="false" customHeight="true" outlineLevel="0" collapsed="false">
      <c r="B104" s="754" t="s">
        <v>2279</v>
      </c>
    </row>
    <row r="105" customFormat="false" ht="16.5" hidden="false" customHeight="true" outlineLevel="0" collapsed="false">
      <c r="B105" s="759" t="s">
        <v>2280</v>
      </c>
      <c r="C105" s="759"/>
      <c r="D105" s="759"/>
      <c r="E105" s="759"/>
      <c r="F105" s="759"/>
      <c r="G105" s="759"/>
      <c r="H105" s="759"/>
      <c r="I105" s="759"/>
      <c r="J105" s="759"/>
      <c r="K105" s="759"/>
      <c r="L105" s="759"/>
      <c r="M105" s="759"/>
      <c r="N105" s="759"/>
      <c r="O105" s="759"/>
    </row>
    <row r="106" customFormat="false" ht="16.5" hidden="false" customHeight="true" outlineLevel="0" collapsed="false">
      <c r="B106" s="758" t="s">
        <v>2281</v>
      </c>
      <c r="C106" s="759"/>
      <c r="D106" s="759"/>
      <c r="E106" s="759"/>
      <c r="F106" s="759"/>
      <c r="G106" s="759"/>
      <c r="H106" s="759"/>
      <c r="I106" s="759"/>
      <c r="J106" s="759"/>
      <c r="K106" s="759"/>
      <c r="L106" s="759"/>
      <c r="M106" s="759"/>
      <c r="N106" s="759"/>
      <c r="O106" s="759"/>
    </row>
    <row r="107" customFormat="false" ht="16.5" hidden="false" customHeight="true" outlineLevel="0" collapsed="false">
      <c r="B107" s="754" t="s">
        <v>2282</v>
      </c>
    </row>
    <row r="108" customFormat="false" ht="16.5" hidden="false" customHeight="true" outlineLevel="0" collapsed="false">
      <c r="B108" s="756" t="s">
        <v>2283</v>
      </c>
    </row>
    <row r="109" customFormat="false" ht="16.5" hidden="false" customHeight="true" outlineLevel="0" collapsed="false">
      <c r="B109" s="756" t="s">
        <v>2284</v>
      </c>
    </row>
    <row r="111" customFormat="false" ht="16.5" hidden="false" customHeight="true" outlineLevel="0" collapsed="false">
      <c r="B111" s="756" t="s">
        <v>2285</v>
      </c>
    </row>
    <row r="112" customFormat="false" ht="16.5" hidden="false" customHeight="true" outlineLevel="0" collapsed="false">
      <c r="B112" s="754" t="s">
        <v>2286</v>
      </c>
    </row>
    <row r="113" customFormat="false" ht="16.5" hidden="false" customHeight="true" outlineLevel="0" collapsed="false">
      <c r="B113" s="756" t="s">
        <v>2287</v>
      </c>
    </row>
    <row r="122" customFormat="false" ht="16.5" hidden="false" customHeight="true" outlineLevel="0" collapsed="false">
      <c r="B122" s="754" t="s">
        <v>2288</v>
      </c>
    </row>
    <row r="123" customFormat="false" ht="16.5" hidden="false" customHeight="true" outlineLevel="0" collapsed="false">
      <c r="B123" s="759" t="s">
        <v>2289</v>
      </c>
      <c r="C123" s="759"/>
      <c r="D123" s="759"/>
      <c r="E123" s="759"/>
      <c r="F123" s="759"/>
      <c r="G123" s="759"/>
      <c r="H123" s="759"/>
      <c r="I123" s="759"/>
    </row>
    <row r="124" customFormat="false" ht="16.5" hidden="false" customHeight="true" outlineLevel="0" collapsed="false">
      <c r="B124" s="758" t="s">
        <v>2290</v>
      </c>
      <c r="C124" s="759"/>
      <c r="D124" s="759"/>
      <c r="E124" s="759"/>
      <c r="F124" s="759"/>
      <c r="G124" s="759"/>
      <c r="H124" s="759"/>
      <c r="I124" s="759"/>
    </row>
    <row r="125" customFormat="false" ht="16.5" hidden="false" customHeight="true" outlineLevel="0" collapsed="false">
      <c r="B125" s="758" t="s">
        <v>2291</v>
      </c>
      <c r="C125" s="759"/>
      <c r="D125" s="759"/>
      <c r="E125" s="759"/>
      <c r="F125" s="759"/>
      <c r="G125" s="759"/>
      <c r="H125" s="759"/>
      <c r="I125" s="759"/>
    </row>
    <row r="126" customFormat="false" ht="13.5" hidden="false" customHeight="true" outlineLevel="0" collapsed="false">
      <c r="B126" s="759"/>
      <c r="C126" s="759"/>
      <c r="D126" s="759"/>
      <c r="E126" s="759"/>
      <c r="F126" s="759"/>
      <c r="G126" s="759"/>
      <c r="H126" s="759"/>
      <c r="I126" s="759"/>
    </row>
    <row r="127" customFormat="false" ht="13.5" hidden="false" customHeight="true" outlineLevel="0" collapsed="false">
      <c r="B127" s="759" t="s">
        <v>2292</v>
      </c>
      <c r="C127" s="759"/>
      <c r="D127" s="759"/>
      <c r="E127" s="759"/>
      <c r="F127" s="759"/>
      <c r="G127" s="759"/>
      <c r="H127" s="759"/>
      <c r="I127" s="759"/>
      <c r="J127" s="759"/>
      <c r="K127" s="759"/>
      <c r="L127" s="759"/>
      <c r="M127" s="759"/>
      <c r="N127" s="759"/>
      <c r="O127" s="759"/>
    </row>
    <row r="128" customFormat="false" ht="16.5" hidden="false" customHeight="true" outlineLevel="0" collapsed="false">
      <c r="B128" s="759" t="s">
        <v>2293</v>
      </c>
      <c r="C128" s="759"/>
      <c r="D128" s="759"/>
      <c r="E128" s="759"/>
      <c r="F128" s="759"/>
      <c r="G128" s="759"/>
      <c r="H128" s="759"/>
      <c r="I128" s="759"/>
      <c r="J128" s="759"/>
      <c r="K128" s="759"/>
      <c r="L128" s="759"/>
      <c r="M128" s="759"/>
      <c r="N128" s="759"/>
      <c r="O128" s="759"/>
    </row>
    <row r="129" customFormat="false" ht="13.5" hidden="false" customHeight="true" outlineLevel="0" collapsed="false">
      <c r="B129" s="759"/>
      <c r="C129" s="759"/>
      <c r="D129" s="759"/>
      <c r="E129" s="759"/>
      <c r="F129" s="759"/>
      <c r="G129" s="759"/>
      <c r="H129" s="759"/>
      <c r="I129" s="759"/>
      <c r="J129" s="759"/>
      <c r="K129" s="759"/>
      <c r="L129" s="759"/>
      <c r="M129" s="759"/>
      <c r="N129" s="759"/>
      <c r="O129" s="759"/>
    </row>
    <row r="131" customFormat="false" ht="16.5" hidden="false" customHeight="true" outlineLevel="0" collapsed="false">
      <c r="A131" s="754" t="s">
        <v>2294</v>
      </c>
    </row>
    <row r="133" customFormat="false" ht="13.5" hidden="false" customHeight="true" outlineLevel="0" collapsed="false">
      <c r="A133" s="756" t="s">
        <v>2295</v>
      </c>
    </row>
    <row r="134" customFormat="false" ht="13.5" hidden="false" customHeight="true" outlineLevel="0" collapsed="false">
      <c r="A134" s="754" t="s">
        <v>2202</v>
      </c>
    </row>
    <row r="135" customFormat="false" ht="16.5" hidden="false" customHeight="true" outlineLevel="0" collapsed="false">
      <c r="A135" s="756" t="s">
        <v>2296</v>
      </c>
    </row>
    <row r="136" customFormat="false" ht="16.5" hidden="false" customHeight="true" outlineLevel="0" collapsed="false">
      <c r="A136" s="756" t="s">
        <v>2297</v>
      </c>
    </row>
    <row r="137" customFormat="false" ht="16.5" hidden="false" customHeight="true" outlineLevel="0" collapsed="false">
      <c r="A137" s="754" t="s">
        <v>2298</v>
      </c>
    </row>
    <row r="138" customFormat="false" ht="13.5" hidden="false" customHeight="true" outlineLevel="0" collapsed="false">
      <c r="A138" s="754" t="s">
        <v>2202</v>
      </c>
    </row>
    <row r="139" customFormat="false" ht="16.5" hidden="false" customHeight="true" outlineLevel="0" collapsed="false">
      <c r="A139" s="754" t="s">
        <v>2299</v>
      </c>
    </row>
    <row r="140" customFormat="false" ht="16.5" hidden="false" customHeight="true" outlineLevel="0" collapsed="false">
      <c r="A140" s="756" t="s">
        <v>2300</v>
      </c>
    </row>
    <row r="141" customFormat="false" ht="16.5" hidden="false" customHeight="true" outlineLevel="0" collapsed="false">
      <c r="A141" s="756" t="s">
        <v>2301</v>
      </c>
    </row>
    <row r="142" customFormat="false" ht="16.5" hidden="false" customHeight="true" outlineLevel="0" collapsed="false">
      <c r="A142" s="756" t="s">
        <v>2302</v>
      </c>
    </row>
    <row r="143" customFormat="false" ht="13.5" hidden="false" customHeight="true" outlineLevel="0" collapsed="false">
      <c r="A143" s="754" t="s">
        <v>2202</v>
      </c>
    </row>
    <row r="145" customFormat="false" ht="16.5" hidden="false" customHeight="true" outlineLevel="0" collapsed="false">
      <c r="A145" s="756" t="s">
        <v>2303</v>
      </c>
    </row>
    <row r="146" customFormat="false" ht="16.5" hidden="false" customHeight="true" outlineLevel="0" collapsed="false">
      <c r="A146" s="754" t="s">
        <v>2304</v>
      </c>
    </row>
    <row r="147" customFormat="false" ht="16.5" hidden="false" customHeight="true" outlineLevel="0" collapsed="false">
      <c r="A147" s="756" t="s">
        <v>2305</v>
      </c>
    </row>
    <row r="148" customFormat="false" ht="16.5" hidden="false" customHeight="true" outlineLevel="0" collapsed="false">
      <c r="A148" s="756" t="s">
        <v>2306</v>
      </c>
    </row>
    <row r="149" customFormat="false" ht="16.5" hidden="false" customHeight="true" outlineLevel="0" collapsed="false">
      <c r="A149" s="754" t="s">
        <v>2307</v>
      </c>
    </row>
    <row r="150" customFormat="false" ht="16.5" hidden="false" customHeight="true" outlineLevel="0" collapsed="false">
      <c r="A150" s="754" t="s">
        <v>2308</v>
      </c>
    </row>
    <row r="151" customFormat="false" ht="16.5" hidden="false" customHeight="true" outlineLevel="0" collapsed="false">
      <c r="A151" s="754" t="s">
        <v>2309</v>
      </c>
    </row>
    <row r="152" customFormat="false" ht="16.5" hidden="false" customHeight="true" outlineLevel="0" collapsed="false">
      <c r="A152" s="754" t="s">
        <v>2310</v>
      </c>
    </row>
    <row r="153" customFormat="false" ht="16.5" hidden="false" customHeight="true" outlineLevel="0" collapsed="false">
      <c r="A153" s="754" t="s">
        <v>2311</v>
      </c>
    </row>
    <row r="154" customFormat="false" ht="16.5" hidden="false" customHeight="true" outlineLevel="0" collapsed="false">
      <c r="A154" s="754" t="s">
        <v>2312</v>
      </c>
    </row>
    <row r="155" customFormat="false" ht="16.5" hidden="false" customHeight="true" outlineLevel="0" collapsed="false">
      <c r="A155" s="754" t="s">
        <v>2313</v>
      </c>
    </row>
    <row r="156" customFormat="false" ht="16.5" hidden="false" customHeight="true" outlineLevel="0" collapsed="false">
      <c r="A156" s="754" t="s">
        <v>2314</v>
      </c>
    </row>
    <row r="157" customFormat="false" ht="16.5" hidden="false" customHeight="true" outlineLevel="0" collapsed="false">
      <c r="A157" s="756" t="s">
        <v>2315</v>
      </c>
    </row>
    <row r="158" customFormat="false" ht="13.5" hidden="false" customHeight="true" outlineLevel="0" collapsed="false">
      <c r="A158" s="754" t="s">
        <v>2202</v>
      </c>
    </row>
    <row r="159" customFormat="false" ht="16.5" hidden="false" customHeight="true" outlineLevel="0" collapsed="false">
      <c r="A159" s="754" t="s">
        <v>2316</v>
      </c>
    </row>
    <row r="160" customFormat="false" ht="13.5" hidden="false" customHeight="true" outlineLevel="0" collapsed="false">
      <c r="A160" s="754" t="s">
        <v>2202</v>
      </c>
    </row>
    <row r="161" customFormat="false" ht="16.5" hidden="false" customHeight="true" outlineLevel="0" collapsed="false">
      <c r="A161" s="754" t="s">
        <v>2317</v>
      </c>
    </row>
    <row r="163" customFormat="false" ht="16.5" hidden="false" customHeight="true" outlineLevel="0" collapsed="false">
      <c r="A163" s="756" t="s">
        <v>2318</v>
      </c>
    </row>
    <row r="164" customFormat="false" ht="16.5" hidden="false" customHeight="true" outlineLevel="0" collapsed="false">
      <c r="A164" s="754" t="s">
        <v>2319</v>
      </c>
    </row>
    <row r="165" customFormat="false" ht="16.5" hidden="false" customHeight="true" outlineLevel="0" collapsed="false">
      <c r="A165" s="756" t="s">
        <v>2320</v>
      </c>
    </row>
    <row r="166" customFormat="false" ht="16.5" hidden="false" customHeight="true" outlineLevel="0" collapsed="false">
      <c r="A166" s="754" t="s">
        <v>2321</v>
      </c>
    </row>
    <row r="167" customFormat="false" ht="16.5" hidden="false" customHeight="true" outlineLevel="0" collapsed="false">
      <c r="A167" s="754" t="s">
        <v>2322</v>
      </c>
    </row>
    <row r="168" customFormat="false" ht="16.5" hidden="false" customHeight="true" outlineLevel="0" collapsed="false">
      <c r="A168" s="754" t="s">
        <v>2323</v>
      </c>
    </row>
    <row r="169" customFormat="false" ht="16.5" hidden="false" customHeight="true" outlineLevel="0" collapsed="false">
      <c r="A169" s="756" t="s">
        <v>2324</v>
      </c>
    </row>
    <row r="170" customFormat="false" ht="16.5" hidden="false" customHeight="true" outlineLevel="0" collapsed="false">
      <c r="A170" s="756" t="s">
        <v>2325</v>
      </c>
    </row>
    <row r="171" customFormat="false" ht="16.5" hidden="false" customHeight="true" outlineLevel="0" collapsed="false">
      <c r="A171" s="756" t="s">
        <v>2326</v>
      </c>
    </row>
    <row r="172" customFormat="false" ht="16.5" hidden="false" customHeight="true" outlineLevel="0" collapsed="false">
      <c r="A172" s="754" t="s">
        <v>2327</v>
      </c>
    </row>
    <row r="173" customFormat="false" ht="16.5" hidden="false" customHeight="true" outlineLevel="0" collapsed="false">
      <c r="A173" s="754" t="s">
        <v>2328</v>
      </c>
    </row>
    <row r="174" customFormat="false" ht="16.5" hidden="false" customHeight="true" outlineLevel="0" collapsed="false">
      <c r="A174" s="754" t="s">
        <v>2329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933C"/>
    <pageSetUpPr fitToPage="true"/>
  </sheetPr>
  <dimension ref="A4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" defaultRowHeight="19.5" zeroHeight="false" outlineLevelRow="0" outlineLevelCol="0"/>
  <cols>
    <col collapsed="false" customWidth="true" hidden="false" outlineLevel="0" max="1" min="1" style="581" width="8.75"/>
    <col collapsed="false" customWidth="true" hidden="false" outlineLevel="0" max="2" min="2" style="581" width="13"/>
    <col collapsed="false" customWidth="true" hidden="false" outlineLevel="0" max="3" min="3" style="582" width="20.5"/>
    <col collapsed="false" customWidth="true" hidden="false" outlineLevel="0" max="4" min="4" style="583" width="18.38"/>
    <col collapsed="false" customWidth="true" hidden="false" outlineLevel="0" max="5" min="5" style="583" width="49.88"/>
    <col collapsed="false" customWidth="true" hidden="false" outlineLevel="0" max="6" min="6" style="583" width="7.88"/>
    <col collapsed="false" customWidth="true" hidden="false" outlineLevel="0" max="7" min="7" style="584" width="16.88"/>
    <col collapsed="false" customWidth="true" hidden="false" outlineLevel="0" max="9" min="8" style="582" width="16.88"/>
    <col collapsed="false" customWidth="true" hidden="false" outlineLevel="0" max="10" min="10" style="398" width="13.25"/>
    <col collapsed="false" customWidth="true" hidden="false" outlineLevel="0" max="12" min="11" style="398" width="13.38"/>
    <col collapsed="false" customWidth="true" hidden="false" outlineLevel="0" max="13" min="13" style="398" width="13"/>
    <col collapsed="false" customWidth="false" hidden="false" outlineLevel="0" max="14" min="14" style="398" width="9"/>
    <col collapsed="false" customWidth="true" hidden="false" outlineLevel="0" max="15" min="15" style="398" width="11.5"/>
    <col collapsed="false" customWidth="false" hidden="false" outlineLevel="0" max="16384" min="16" style="398" width="9"/>
  </cols>
  <sheetData>
    <row r="4" s="398" customFormat="true" ht="31.5" hidden="false" customHeight="true" outlineLevel="0" collapsed="false">
      <c r="C4" s="585" t="s">
        <v>2330</v>
      </c>
      <c r="D4" s="585"/>
      <c r="E4" s="585"/>
      <c r="F4" s="585"/>
      <c r="G4" s="585"/>
      <c r="H4" s="585"/>
      <c r="I4" s="585"/>
      <c r="J4" s="585"/>
      <c r="K4" s="585"/>
    </row>
    <row r="5" s="398" customFormat="true" ht="33" hidden="false" customHeight="true" outlineLevel="0" collapsed="false">
      <c r="C5" s="587" t="n">
        <v>46182</v>
      </c>
      <c r="D5" s="587"/>
      <c r="E5" s="587"/>
      <c r="F5" s="587"/>
      <c r="G5" s="587"/>
      <c r="H5" s="587"/>
      <c r="I5" s="587"/>
      <c r="J5" s="587"/>
      <c r="K5" s="587"/>
    </row>
    <row r="6" s="398" customFormat="true" ht="33" hidden="false" customHeight="true" outlineLevel="0" collapsed="false">
      <c r="C6" s="588"/>
      <c r="D6" s="588"/>
      <c r="E6" s="588"/>
      <c r="F6" s="588"/>
      <c r="G6" s="588"/>
      <c r="H6" s="588"/>
      <c r="I6" s="588"/>
      <c r="J6" s="589"/>
      <c r="K6" s="749" t="s">
        <v>2125</v>
      </c>
      <c r="L6" s="749" t="s">
        <v>2126</v>
      </c>
    </row>
    <row r="7" s="398" customFormat="true" ht="51" hidden="false" customHeight="true" outlineLevel="0" collapsed="false">
      <c r="C7" s="588"/>
      <c r="D7" s="588"/>
      <c r="E7" s="588"/>
      <c r="F7" s="588"/>
      <c r="G7" s="588"/>
      <c r="H7" s="588"/>
      <c r="I7" s="588"/>
      <c r="J7" s="591"/>
      <c r="K7" s="746"/>
      <c r="L7" s="746"/>
    </row>
    <row r="8" customFormat="false" ht="54.75" hidden="false" customHeight="true" outlineLevel="0" collapsed="false">
      <c r="A8" s="730" t="s">
        <v>2127</v>
      </c>
      <c r="B8" s="730" t="s">
        <v>2331</v>
      </c>
      <c r="C8" s="731" t="s">
        <v>2129</v>
      </c>
      <c r="D8" s="732" t="s">
        <v>2130</v>
      </c>
      <c r="E8" s="732" t="s">
        <v>2131</v>
      </c>
      <c r="F8" s="732" t="s">
        <v>1355</v>
      </c>
      <c r="G8" s="733" t="s">
        <v>1363</v>
      </c>
      <c r="H8" s="734" t="s">
        <v>2332</v>
      </c>
      <c r="I8" s="734" t="s">
        <v>62</v>
      </c>
      <c r="J8" s="734" t="s">
        <v>2333</v>
      </c>
      <c r="K8" s="734" t="s">
        <v>1362</v>
      </c>
      <c r="L8" s="734" t="s">
        <v>2334</v>
      </c>
    </row>
    <row r="9" customFormat="false" ht="33.75" hidden="false" customHeight="true" outlineLevel="0" collapsed="false">
      <c r="A9" s="597" t="n">
        <v>1</v>
      </c>
      <c r="B9" s="598" t="s">
        <v>2335</v>
      </c>
      <c r="C9" s="763" t="s">
        <v>2336</v>
      </c>
      <c r="D9" s="601" t="str">
        <f aca="false">D16</f>
        <v>대신동지점</v>
      </c>
      <c r="E9" s="601" t="str">
        <f aca="false">F16</f>
        <v>김태수</v>
      </c>
      <c r="F9" s="600" t="str">
        <f aca="false">G16</f>
        <v>JPY</v>
      </c>
      <c r="G9" s="764" t="n">
        <f aca="false">H16</f>
        <v>31840000</v>
      </c>
      <c r="H9" s="603" t="n">
        <f aca="false">L16</f>
        <v>46189</v>
      </c>
      <c r="I9" s="604" t="n">
        <f aca="false">M16</f>
        <v>46554</v>
      </c>
      <c r="J9" s="765" t="str">
        <f aca="false">K16</f>
        <v>운전자금</v>
      </c>
      <c r="K9" s="608" t="n">
        <f aca="false">O16</f>
        <v>0.0301</v>
      </c>
      <c r="L9" s="765" t="str">
        <f aca="false">N16</f>
        <v>X</v>
      </c>
    </row>
    <row r="10" customFormat="false" ht="33.75" hidden="false" customHeight="true" outlineLevel="0" collapsed="false">
      <c r="A10" s="597"/>
      <c r="B10" s="597"/>
      <c r="C10" s="597"/>
      <c r="D10" s="597"/>
      <c r="E10" s="597"/>
      <c r="F10" s="597"/>
      <c r="G10" s="597"/>
      <c r="H10" s="597"/>
      <c r="I10" s="597"/>
      <c r="J10" s="597"/>
      <c r="K10" s="597"/>
      <c r="L10" s="597"/>
    </row>
    <row r="11" customFormat="false" ht="27.75" hidden="false" customHeight="true" outlineLevel="0" collapsed="false">
      <c r="A11" s="597" t="n">
        <v>2</v>
      </c>
      <c r="B11" s="598" t="s">
        <v>2335</v>
      </c>
      <c r="C11" s="763" t="s">
        <v>2337</v>
      </c>
      <c r="D11" s="601" t="str">
        <f aca="false">D17</f>
        <v>월배영업부</v>
      </c>
      <c r="E11" s="601" t="str">
        <f aca="false">F17</f>
        <v>김석범</v>
      </c>
      <c r="F11" s="600" t="str">
        <f aca="false">G17</f>
        <v>JPY</v>
      </c>
      <c r="G11" s="764" t="n">
        <f aca="false">H17</f>
        <v>49500000</v>
      </c>
      <c r="H11" s="603" t="n">
        <f aca="false">L17</f>
        <v>45147</v>
      </c>
      <c r="I11" s="604" t="n">
        <f aca="false">M17</f>
        <v>45513</v>
      </c>
      <c r="J11" s="765" t="str">
        <f aca="false">K17</f>
        <v>운전자금</v>
      </c>
      <c r="K11" s="608" t="n">
        <f aca="false">O17</f>
        <v>0.0195</v>
      </c>
      <c r="L11" s="766" t="str">
        <f aca="false">N17</f>
        <v>X</v>
      </c>
    </row>
    <row r="12" customFormat="false" ht="27.75" hidden="false" customHeight="true" outlineLevel="0" collapsed="false">
      <c r="A12" s="597"/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</row>
    <row r="13" customFormat="false" ht="27.75" hidden="false" customHeight="true" outlineLevel="0" collapsed="false">
      <c r="A13" s="767"/>
      <c r="B13" s="767"/>
      <c r="C13" s="768"/>
      <c r="D13" s="767"/>
      <c r="E13" s="767"/>
      <c r="F13" s="767"/>
      <c r="G13" s="769"/>
      <c r="H13" s="770"/>
      <c r="I13" s="768"/>
      <c r="J13" s="771"/>
      <c r="K13" s="772"/>
      <c r="L13" s="771"/>
    </row>
    <row r="14" customFormat="false" ht="27.75" hidden="false" customHeight="true" outlineLevel="0" collapsed="false">
      <c r="A14" s="767"/>
      <c r="B14" s="767"/>
      <c r="C14" s="768"/>
      <c r="D14" s="767"/>
      <c r="E14" s="767"/>
      <c r="F14" s="767"/>
      <c r="G14" s="769"/>
      <c r="H14" s="770"/>
      <c r="I14" s="768"/>
      <c r="J14" s="771"/>
      <c r="K14" s="772"/>
      <c r="L14" s="771"/>
    </row>
    <row r="15" customFormat="false" ht="19.5" hidden="false" customHeight="true" outlineLevel="0" collapsed="false">
      <c r="A15" s="581" t="s">
        <v>2137</v>
      </c>
      <c r="B15" s="609" t="s">
        <v>2138</v>
      </c>
    </row>
    <row r="16" s="781" customFormat="true" ht="16.5" hidden="false" customHeight="true" outlineLevel="0" collapsed="false">
      <c r="A16" s="773" t="s">
        <v>2335</v>
      </c>
      <c r="B16" s="774" t="n">
        <v>46182</v>
      </c>
      <c r="C16" s="775"/>
      <c r="D16" s="749" t="s">
        <v>2338</v>
      </c>
      <c r="E16" s="749" t="s">
        <v>2339</v>
      </c>
      <c r="F16" s="749" t="s">
        <v>2340</v>
      </c>
      <c r="G16" s="776" t="s">
        <v>1267</v>
      </c>
      <c r="H16" s="776" t="n">
        <v>31840000</v>
      </c>
      <c r="I16" s="777" t="n">
        <v>160.16</v>
      </c>
      <c r="J16" s="778" t="n">
        <v>198801.198801199</v>
      </c>
      <c r="K16" s="749" t="s">
        <v>2336</v>
      </c>
      <c r="L16" s="774" t="n">
        <v>46189</v>
      </c>
      <c r="M16" s="774" t="n">
        <v>46554</v>
      </c>
      <c r="N16" s="774" t="s">
        <v>2341</v>
      </c>
      <c r="O16" s="779" t="n">
        <v>0.0301</v>
      </c>
      <c r="P16" s="749" t="s">
        <v>2342</v>
      </c>
      <c r="Q16" s="749" t="s">
        <v>2343</v>
      </c>
      <c r="R16" s="780"/>
    </row>
    <row r="17" s="781" customFormat="true" ht="16.5" hidden="false" customHeight="true" outlineLevel="0" collapsed="false">
      <c r="A17" s="773" t="s">
        <v>2335</v>
      </c>
      <c r="B17" s="774" t="n">
        <v>45126</v>
      </c>
      <c r="C17" s="775"/>
      <c r="D17" s="749" t="s">
        <v>2344</v>
      </c>
      <c r="E17" s="749" t="s">
        <v>2345</v>
      </c>
      <c r="F17" s="749" t="s">
        <v>2346</v>
      </c>
      <c r="G17" s="776" t="s">
        <v>1267</v>
      </c>
      <c r="H17" s="776" t="n">
        <v>49500000</v>
      </c>
      <c r="I17" s="777" t="n">
        <v>139.2</v>
      </c>
      <c r="J17" s="778" t="n">
        <v>355603.448275862</v>
      </c>
      <c r="K17" s="749" t="s">
        <v>2336</v>
      </c>
      <c r="L17" s="774" t="n">
        <v>45147</v>
      </c>
      <c r="M17" s="774" t="n">
        <v>45513</v>
      </c>
      <c r="N17" s="774" t="s">
        <v>2341</v>
      </c>
      <c r="O17" s="779" t="n">
        <v>0.0195</v>
      </c>
      <c r="P17" s="749" t="s">
        <v>2347</v>
      </c>
      <c r="Q17" s="749" t="s">
        <v>2348</v>
      </c>
      <c r="R17" s="780"/>
    </row>
  </sheetData>
  <mergeCells count="26">
    <mergeCell ref="C4:K4"/>
    <mergeCell ref="C5:K5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</mergeCells>
  <conditionalFormatting sqref="A16:A17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9">
      <formula>"신규"</formula>
    </cfRule>
  </conditionalFormatting>
  <conditionalFormatting sqref="A9:B9 A11:B11">
    <cfRule type="cellIs" priority="4" operator="equal" aboveAverage="0" equalAverage="0" bottom="0" percent="0" rank="0" text="" dxfId="2">
      <formula>"상담"</formula>
    </cfRule>
    <cfRule type="cellIs" priority="5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Y5271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2" topLeftCell="A861" activePane="bottomLeft" state="frozen"/>
      <selection pane="topLeft" activeCell="B1" activeCellId="0" sqref="B1"/>
      <selection pane="bottomLeft" activeCell="B888" activeCellId="0" sqref="B888"/>
    </sheetView>
  </sheetViews>
  <sheetFormatPr defaultColWidth="9" defaultRowHeight="16.5" zeroHeight="false" outlineLevelRow="0" outlineLevelCol="0"/>
  <cols>
    <col collapsed="false" customWidth="true" hidden="false" outlineLevel="0" max="1" min="1" style="782" width="14.88"/>
    <col collapsed="false" customWidth="true" hidden="false" outlineLevel="0" max="2" min="2" style="749" width="12.88"/>
    <col collapsed="false" customWidth="true" hidden="false" outlineLevel="0" max="3" min="3" style="775" width="5.13"/>
    <col collapsed="false" customWidth="true" hidden="false" outlineLevel="0" max="4" min="4" style="749" width="21.63"/>
    <col collapsed="false" customWidth="true" hidden="false" outlineLevel="0" max="5" min="5" style="749" width="9.63"/>
    <col collapsed="false" customWidth="true" hidden="false" outlineLevel="0" max="6" min="6" style="749" width="44.13"/>
    <col collapsed="false" customWidth="true" hidden="false" outlineLevel="0" max="7" min="7" style="749" width="7.5"/>
    <col collapsed="false" customWidth="true" hidden="false" outlineLevel="0" max="8" min="8" style="776" width="17.38"/>
    <col collapsed="false" customWidth="true" hidden="false" outlineLevel="0" max="9" min="9" style="777" width="13.75"/>
    <col collapsed="false" customWidth="true" hidden="false" outlineLevel="0" max="10" min="10" style="778" width="15.63"/>
    <col collapsed="false" customWidth="true" hidden="false" outlineLevel="0" max="11" min="11" style="749" width="17.25"/>
    <col collapsed="false" customWidth="true" hidden="false" outlineLevel="0" max="12" min="12" style="774" width="12.88"/>
    <col collapsed="false" customWidth="true" hidden="false" outlineLevel="0" max="13" min="13" style="774" width="14"/>
    <col collapsed="false" customWidth="true" hidden="false" outlineLevel="0" max="14" min="14" style="774" width="14.13"/>
    <col collapsed="false" customWidth="true" hidden="false" outlineLevel="0" max="15" min="15" style="783" width="9.25"/>
    <col collapsed="false" customWidth="true" hidden="false" outlineLevel="0" max="16" min="16" style="749" width="11.13"/>
    <col collapsed="false" customWidth="true" hidden="false" outlineLevel="0" max="17" min="17" style="749" width="10"/>
    <col collapsed="false" customWidth="true" hidden="false" outlineLevel="0" max="18" min="18" style="780" width="34"/>
    <col collapsed="false" customWidth="true" hidden="false" outlineLevel="0" max="19" min="19" style="781" width="10.38"/>
    <col collapsed="false" customWidth="true" hidden="false" outlineLevel="0" max="23" min="20" style="781" width="10"/>
    <col collapsed="false" customWidth="false" hidden="false" outlineLevel="0" max="16384" min="24" style="781" width="9"/>
  </cols>
  <sheetData>
    <row r="1" s="785" customFormat="true" ht="16.5" hidden="false" customHeight="true" outlineLevel="0" collapsed="false">
      <c r="A1" s="784" t="s">
        <v>2349</v>
      </c>
      <c r="C1" s="786"/>
      <c r="G1" s="784" t="s">
        <v>2350</v>
      </c>
      <c r="H1" s="787"/>
      <c r="I1" s="787"/>
      <c r="J1" s="787"/>
      <c r="L1" s="788"/>
      <c r="M1" s="788"/>
      <c r="N1" s="788"/>
      <c r="O1" s="789"/>
      <c r="R1" s="790"/>
    </row>
    <row r="2" s="797" customFormat="true" ht="16.5" hidden="false" customHeight="true" outlineLevel="0" collapsed="false">
      <c r="A2" s="791" t="s">
        <v>2351</v>
      </c>
      <c r="B2" s="792" t="s">
        <v>2352</v>
      </c>
      <c r="C2" s="793"/>
      <c r="D2" s="792" t="s">
        <v>2353</v>
      </c>
      <c r="E2" s="792" t="s">
        <v>59</v>
      </c>
      <c r="F2" s="792" t="s">
        <v>1354</v>
      </c>
      <c r="G2" s="792" t="s">
        <v>1355</v>
      </c>
      <c r="H2" s="794" t="s">
        <v>1363</v>
      </c>
      <c r="I2" s="794" t="s">
        <v>2354</v>
      </c>
      <c r="J2" s="794" t="s">
        <v>2355</v>
      </c>
      <c r="K2" s="792" t="s">
        <v>2333</v>
      </c>
      <c r="L2" s="795" t="s">
        <v>1361</v>
      </c>
      <c r="M2" s="795" t="s">
        <v>1351</v>
      </c>
      <c r="N2" s="795" t="s">
        <v>2356</v>
      </c>
      <c r="O2" s="796" t="s">
        <v>1362</v>
      </c>
      <c r="P2" s="792" t="s">
        <v>2357</v>
      </c>
      <c r="Q2" s="792" t="s">
        <v>11</v>
      </c>
      <c r="R2" s="792" t="s">
        <v>1357</v>
      </c>
    </row>
    <row r="3" customFormat="false" ht="16.5" hidden="false" customHeight="true" outlineLevel="0" collapsed="false">
      <c r="A3" s="747" t="s">
        <v>2190</v>
      </c>
      <c r="B3" s="774" t="n">
        <v>40702</v>
      </c>
      <c r="D3" s="749" t="s">
        <v>2358</v>
      </c>
      <c r="E3" s="749" t="s">
        <v>2359</v>
      </c>
      <c r="F3" s="749" t="s">
        <v>2360</v>
      </c>
      <c r="G3" s="798" t="s">
        <v>1267</v>
      </c>
      <c r="H3" s="776" t="n">
        <v>46000000</v>
      </c>
      <c r="I3" s="777" t="n">
        <v>78.5</v>
      </c>
      <c r="J3" s="778" t="n">
        <f aca="false">H3/I3</f>
        <v>585987.261146497</v>
      </c>
      <c r="K3" s="749" t="s">
        <v>2361</v>
      </c>
      <c r="L3" s="774" t="n">
        <v>40704</v>
      </c>
      <c r="M3" s="774" t="n">
        <v>41070</v>
      </c>
      <c r="O3" s="799" t="n">
        <v>4</v>
      </c>
      <c r="P3" s="749" t="s">
        <v>2362</v>
      </c>
      <c r="Q3" s="749" t="s">
        <v>2363</v>
      </c>
    </row>
    <row r="4" customFormat="false" ht="16.5" hidden="false" customHeight="true" outlineLevel="0" collapsed="false">
      <c r="A4" s="747" t="s">
        <v>2335</v>
      </c>
      <c r="B4" s="774" t="n">
        <v>40701</v>
      </c>
      <c r="D4" s="749" t="s">
        <v>2364</v>
      </c>
      <c r="E4" s="749" t="s">
        <v>2365</v>
      </c>
      <c r="F4" s="749" t="s">
        <v>2366</v>
      </c>
      <c r="G4" s="798" t="s">
        <v>1267</v>
      </c>
      <c r="H4" s="776" t="n">
        <v>20400000</v>
      </c>
      <c r="I4" s="777" t="n">
        <v>78.5</v>
      </c>
      <c r="J4" s="778" t="n">
        <f aca="false">H4/I4</f>
        <v>259872.611464968</v>
      </c>
      <c r="K4" s="749" t="s">
        <v>2361</v>
      </c>
      <c r="L4" s="774" t="n">
        <v>40716</v>
      </c>
      <c r="M4" s="774" t="n">
        <v>40899</v>
      </c>
      <c r="O4" s="799" t="n">
        <v>5.16</v>
      </c>
      <c r="P4" s="749" t="s">
        <v>2362</v>
      </c>
      <c r="Q4" s="749" t="s">
        <v>2363</v>
      </c>
    </row>
    <row r="5" customFormat="false" ht="16.5" hidden="false" customHeight="true" outlineLevel="0" collapsed="false">
      <c r="A5" s="747" t="s">
        <v>2335</v>
      </c>
      <c r="B5" s="774" t="n">
        <v>40704</v>
      </c>
      <c r="D5" s="749" t="s">
        <v>2367</v>
      </c>
      <c r="E5" s="749" t="s">
        <v>2368</v>
      </c>
      <c r="F5" s="749" t="s">
        <v>2369</v>
      </c>
      <c r="G5" s="798" t="s">
        <v>1267</v>
      </c>
      <c r="H5" s="776" t="n">
        <v>67000000</v>
      </c>
      <c r="I5" s="777" t="n">
        <v>78.5</v>
      </c>
      <c r="J5" s="778" t="n">
        <f aca="false">IF(I5="","",H5/I5)</f>
        <v>853503.184713376</v>
      </c>
      <c r="K5" s="749" t="s">
        <v>2336</v>
      </c>
      <c r="L5" s="774" t="n">
        <v>40713</v>
      </c>
      <c r="M5" s="774" t="n">
        <v>41079</v>
      </c>
      <c r="O5" s="799" t="n">
        <v>5</v>
      </c>
      <c r="P5" s="749" t="s">
        <v>2362</v>
      </c>
      <c r="Q5" s="749" t="s">
        <v>2363</v>
      </c>
    </row>
    <row r="6" customFormat="false" ht="16.5" hidden="false" customHeight="true" outlineLevel="0" collapsed="false">
      <c r="A6" s="747" t="s">
        <v>2335</v>
      </c>
      <c r="B6" s="774" t="n">
        <v>40704</v>
      </c>
      <c r="D6" s="749" t="s">
        <v>1366</v>
      </c>
      <c r="E6" s="749" t="s">
        <v>2370</v>
      </c>
      <c r="F6" s="749" t="s">
        <v>2371</v>
      </c>
      <c r="G6" s="798" t="s">
        <v>1267</v>
      </c>
      <c r="H6" s="776" t="n">
        <v>100000000</v>
      </c>
      <c r="I6" s="777" t="n">
        <v>78.5</v>
      </c>
      <c r="J6" s="778" t="n">
        <f aca="false">IF(I6="","",H6/I6)</f>
        <v>1273885.35031847</v>
      </c>
      <c r="K6" s="749" t="s">
        <v>2336</v>
      </c>
      <c r="L6" s="774" t="n">
        <v>40704</v>
      </c>
      <c r="M6" s="774" t="n">
        <v>41070</v>
      </c>
      <c r="O6" s="799" t="n">
        <v>3.88</v>
      </c>
      <c r="P6" s="749" t="s">
        <v>2362</v>
      </c>
      <c r="Q6" s="749" t="s">
        <v>2363</v>
      </c>
    </row>
    <row r="7" customFormat="false" ht="16.5" hidden="false" customHeight="true" outlineLevel="0" collapsed="false">
      <c r="A7" s="747" t="s">
        <v>2190</v>
      </c>
      <c r="B7" s="774" t="n">
        <v>40707</v>
      </c>
      <c r="D7" s="749" t="s">
        <v>2372</v>
      </c>
      <c r="E7" s="749" t="s">
        <v>2373</v>
      </c>
      <c r="F7" s="749" t="s">
        <v>2374</v>
      </c>
      <c r="G7" s="798" t="s">
        <v>1267</v>
      </c>
      <c r="H7" s="776" t="n">
        <v>15700000</v>
      </c>
      <c r="I7" s="777" t="n">
        <v>78.5</v>
      </c>
      <c r="J7" s="778" t="n">
        <f aca="false">IF(I7="","",H7/I7)</f>
        <v>200000</v>
      </c>
      <c r="K7" s="749" t="s">
        <v>2361</v>
      </c>
      <c r="L7" s="774" t="n">
        <v>40708</v>
      </c>
      <c r="M7" s="774" t="n">
        <v>41074</v>
      </c>
      <c r="O7" s="799" t="n">
        <v>3</v>
      </c>
      <c r="P7" s="749" t="s">
        <v>2362</v>
      </c>
      <c r="Q7" s="749" t="s">
        <v>2363</v>
      </c>
    </row>
    <row r="8" customFormat="false" ht="16.5" hidden="false" customHeight="true" outlineLevel="0" collapsed="false">
      <c r="A8" s="747" t="s">
        <v>2335</v>
      </c>
      <c r="B8" s="774" t="n">
        <v>40707</v>
      </c>
      <c r="D8" s="749" t="s">
        <v>2364</v>
      </c>
      <c r="E8" s="749" t="s">
        <v>2365</v>
      </c>
      <c r="F8" s="749" t="s">
        <v>2366</v>
      </c>
      <c r="G8" s="798" t="s">
        <v>1267</v>
      </c>
      <c r="H8" s="776" t="n">
        <v>20400000</v>
      </c>
      <c r="I8" s="777" t="n">
        <v>78.5</v>
      </c>
      <c r="J8" s="778" t="n">
        <f aca="false">IF(I8="","",H8/I8)</f>
        <v>259872.611464968</v>
      </c>
      <c r="K8" s="749" t="s">
        <v>2361</v>
      </c>
      <c r="L8" s="774" t="n">
        <v>40716</v>
      </c>
      <c r="M8" s="774" t="n">
        <v>41082</v>
      </c>
      <c r="O8" s="799" t="n">
        <v>5.14</v>
      </c>
      <c r="P8" s="749" t="s">
        <v>2362</v>
      </c>
      <c r="Q8" s="749" t="s">
        <v>2363</v>
      </c>
    </row>
    <row r="9" customFormat="false" ht="16.5" hidden="false" customHeight="true" outlineLevel="0" collapsed="false">
      <c r="A9" s="747" t="s">
        <v>2335</v>
      </c>
      <c r="B9" s="774" t="n">
        <v>40707</v>
      </c>
      <c r="D9" s="749" t="s">
        <v>2375</v>
      </c>
      <c r="E9" s="749" t="s">
        <v>2376</v>
      </c>
      <c r="F9" s="749" t="s">
        <v>2377</v>
      </c>
      <c r="G9" s="798" t="s">
        <v>1267</v>
      </c>
      <c r="H9" s="776" t="n">
        <v>59600000</v>
      </c>
      <c r="I9" s="777" t="n">
        <v>78.5</v>
      </c>
      <c r="J9" s="778" t="n">
        <f aca="false">IF(I9="","",H9/I9)</f>
        <v>759235.668789809</v>
      </c>
      <c r="K9" s="749" t="s">
        <v>2336</v>
      </c>
      <c r="L9" s="774" t="n">
        <v>40717</v>
      </c>
      <c r="M9" s="774" t="n">
        <v>41083</v>
      </c>
      <c r="O9" s="799" t="n">
        <v>3.4</v>
      </c>
      <c r="P9" s="749" t="s">
        <v>2362</v>
      </c>
      <c r="Q9" s="749" t="s">
        <v>2363</v>
      </c>
    </row>
    <row r="10" customFormat="false" ht="16.5" hidden="false" customHeight="true" outlineLevel="0" collapsed="false">
      <c r="A10" s="747" t="s">
        <v>2190</v>
      </c>
      <c r="B10" s="774" t="n">
        <v>40708</v>
      </c>
      <c r="D10" s="749" t="s">
        <v>2378</v>
      </c>
      <c r="E10" s="749" t="s">
        <v>2379</v>
      </c>
      <c r="F10" s="749" t="s">
        <v>2380</v>
      </c>
      <c r="G10" s="798" t="s">
        <v>2136</v>
      </c>
      <c r="H10" s="776" t="n">
        <v>300000</v>
      </c>
      <c r="I10" s="777" t="n">
        <v>1</v>
      </c>
      <c r="J10" s="778" t="n">
        <f aca="false">IF(I10="","",H10/I10)</f>
        <v>300000</v>
      </c>
      <c r="K10" s="749" t="s">
        <v>2336</v>
      </c>
      <c r="L10" s="774" t="n">
        <v>40708</v>
      </c>
      <c r="M10" s="774" t="n">
        <v>40800</v>
      </c>
      <c r="O10" s="799" t="n">
        <v>3</v>
      </c>
      <c r="P10" s="749" t="s">
        <v>2362</v>
      </c>
      <c r="Q10" s="749" t="s">
        <v>2363</v>
      </c>
    </row>
    <row r="11" customFormat="false" ht="16.5" hidden="false" customHeight="true" outlineLevel="0" collapsed="false">
      <c r="A11" s="747" t="s">
        <v>2335</v>
      </c>
      <c r="B11" s="774" t="n">
        <v>40709</v>
      </c>
      <c r="D11" s="749" t="s">
        <v>124</v>
      </c>
      <c r="E11" s="749" t="s">
        <v>2381</v>
      </c>
      <c r="F11" s="749" t="s">
        <v>2382</v>
      </c>
      <c r="G11" s="798" t="s">
        <v>1267</v>
      </c>
      <c r="H11" s="776" t="n">
        <v>27370000</v>
      </c>
      <c r="I11" s="777" t="n">
        <v>78.5</v>
      </c>
      <c r="J11" s="778" t="n">
        <f aca="false">IF(I11="","",H11/I11)</f>
        <v>348662.420382166</v>
      </c>
      <c r="K11" s="749" t="s">
        <v>2361</v>
      </c>
      <c r="L11" s="774" t="n">
        <v>40710</v>
      </c>
      <c r="M11" s="774" t="n">
        <v>41441</v>
      </c>
      <c r="O11" s="799" t="n">
        <v>2.62</v>
      </c>
      <c r="P11" s="749" t="s">
        <v>2362</v>
      </c>
      <c r="Q11" s="749" t="s">
        <v>2363</v>
      </c>
    </row>
    <row r="12" customFormat="false" ht="16.5" hidden="false" customHeight="true" outlineLevel="0" collapsed="false">
      <c r="A12" s="747" t="s">
        <v>2335</v>
      </c>
      <c r="B12" s="774" t="n">
        <v>40709</v>
      </c>
      <c r="D12" s="749" t="s">
        <v>124</v>
      </c>
      <c r="E12" s="749" t="s">
        <v>2381</v>
      </c>
      <c r="F12" s="749" t="s">
        <v>2383</v>
      </c>
      <c r="G12" s="798" t="s">
        <v>1267</v>
      </c>
      <c r="H12" s="776" t="n">
        <v>23700000</v>
      </c>
      <c r="I12" s="777" t="n">
        <v>78.5</v>
      </c>
      <c r="J12" s="778" t="n">
        <f aca="false">IF(I12="","",H12/I12)</f>
        <v>301910.828025478</v>
      </c>
      <c r="K12" s="749" t="s">
        <v>2336</v>
      </c>
      <c r="L12" s="774" t="n">
        <v>40714</v>
      </c>
      <c r="M12" s="774" t="n">
        <v>41080</v>
      </c>
      <c r="O12" s="799" t="n">
        <v>4.26</v>
      </c>
      <c r="P12" s="749" t="s">
        <v>2362</v>
      </c>
      <c r="Q12" s="749" t="s">
        <v>2363</v>
      </c>
    </row>
    <row r="13" customFormat="false" ht="16.5" hidden="false" customHeight="true" outlineLevel="0" collapsed="false">
      <c r="A13" s="747" t="s">
        <v>2335</v>
      </c>
      <c r="B13" s="774" t="n">
        <v>40709</v>
      </c>
      <c r="D13" s="749" t="s">
        <v>2384</v>
      </c>
      <c r="E13" s="749" t="s">
        <v>2385</v>
      </c>
      <c r="F13" s="749" t="s">
        <v>2386</v>
      </c>
      <c r="G13" s="798" t="s">
        <v>2136</v>
      </c>
      <c r="H13" s="776" t="n">
        <v>2740000</v>
      </c>
      <c r="I13" s="777" t="n">
        <v>1</v>
      </c>
      <c r="J13" s="778" t="n">
        <f aca="false">IF(I13="","",H13/I13)</f>
        <v>2740000</v>
      </c>
      <c r="K13" s="749" t="s">
        <v>2361</v>
      </c>
      <c r="L13" s="774" t="n">
        <v>40714</v>
      </c>
      <c r="M13" s="774" t="n">
        <v>41080</v>
      </c>
      <c r="O13" s="799" t="n">
        <v>4.01</v>
      </c>
      <c r="P13" s="749" t="s">
        <v>2362</v>
      </c>
      <c r="Q13" s="749" t="s">
        <v>2363</v>
      </c>
    </row>
    <row r="14" customFormat="false" ht="16.5" hidden="false" customHeight="true" outlineLevel="0" collapsed="false">
      <c r="A14" s="747" t="s">
        <v>2190</v>
      </c>
      <c r="B14" s="774" t="n">
        <v>40710</v>
      </c>
      <c r="D14" s="749" t="s">
        <v>2358</v>
      </c>
      <c r="E14" s="749" t="s">
        <v>2359</v>
      </c>
      <c r="F14" s="749" t="s">
        <v>2387</v>
      </c>
      <c r="G14" s="798" t="s">
        <v>1267</v>
      </c>
      <c r="H14" s="776" t="n">
        <v>37500000</v>
      </c>
      <c r="I14" s="777" t="n">
        <v>78.5</v>
      </c>
      <c r="J14" s="778" t="n">
        <f aca="false">IF(I14="","",H14/I14)</f>
        <v>477707.006369427</v>
      </c>
      <c r="K14" s="749" t="s">
        <v>2361</v>
      </c>
      <c r="L14" s="774" t="n">
        <v>40711</v>
      </c>
      <c r="M14" s="774" t="n">
        <v>41077</v>
      </c>
      <c r="O14" s="799" t="n">
        <v>4</v>
      </c>
      <c r="P14" s="749" t="s">
        <v>2362</v>
      </c>
      <c r="Q14" s="749" t="s">
        <v>2363</v>
      </c>
    </row>
    <row r="15" customFormat="false" ht="16.5" hidden="false" customHeight="true" outlineLevel="0" collapsed="false">
      <c r="A15" s="747" t="s">
        <v>2335</v>
      </c>
      <c r="B15" s="774" t="n">
        <v>40710</v>
      </c>
      <c r="D15" s="749" t="s">
        <v>201</v>
      </c>
      <c r="E15" s="749" t="s">
        <v>2388</v>
      </c>
      <c r="F15" s="749" t="s">
        <v>2389</v>
      </c>
      <c r="G15" s="798" t="s">
        <v>1267</v>
      </c>
      <c r="H15" s="776" t="n">
        <v>200000000</v>
      </c>
      <c r="I15" s="777" t="n">
        <v>78.5</v>
      </c>
      <c r="J15" s="778" t="n">
        <f aca="false">IF(I15="","",H15/I15)</f>
        <v>2547770.70063694</v>
      </c>
      <c r="K15" s="749" t="s">
        <v>2361</v>
      </c>
      <c r="L15" s="774" t="n">
        <v>40714</v>
      </c>
      <c r="M15" s="774" t="n">
        <v>41079</v>
      </c>
      <c r="O15" s="799" t="n">
        <v>4.66</v>
      </c>
      <c r="P15" s="749" t="s">
        <v>2362</v>
      </c>
      <c r="Q15" s="749" t="s">
        <v>2363</v>
      </c>
    </row>
    <row r="16" customFormat="false" ht="16.5" hidden="false" customHeight="true" outlineLevel="0" collapsed="false">
      <c r="A16" s="747" t="s">
        <v>2335</v>
      </c>
      <c r="B16" s="774" t="n">
        <v>40710</v>
      </c>
      <c r="D16" s="749" t="s">
        <v>96</v>
      </c>
      <c r="E16" s="749" t="s">
        <v>2390</v>
      </c>
      <c r="F16" s="749" t="s">
        <v>2391</v>
      </c>
      <c r="G16" s="798" t="s">
        <v>1267</v>
      </c>
      <c r="H16" s="776" t="n">
        <v>29500000</v>
      </c>
      <c r="I16" s="777" t="n">
        <v>78.5</v>
      </c>
      <c r="J16" s="778" t="n">
        <f aca="false">IF(I16="","",H16/I16)</f>
        <v>375796.178343949</v>
      </c>
      <c r="K16" s="749" t="s">
        <v>2336</v>
      </c>
      <c r="L16" s="774" t="n">
        <v>40716</v>
      </c>
      <c r="M16" s="774" t="n">
        <v>41082</v>
      </c>
      <c r="O16" s="799" t="n">
        <v>5.46</v>
      </c>
      <c r="P16" s="749" t="s">
        <v>2362</v>
      </c>
      <c r="Q16" s="749" t="s">
        <v>2363</v>
      </c>
    </row>
    <row r="17" customFormat="false" ht="16.5" hidden="false" customHeight="true" outlineLevel="0" collapsed="false">
      <c r="A17" s="747" t="s">
        <v>2335</v>
      </c>
      <c r="B17" s="774" t="n">
        <v>40710</v>
      </c>
      <c r="D17" s="749" t="s">
        <v>96</v>
      </c>
      <c r="E17" s="749" t="s">
        <v>2390</v>
      </c>
      <c r="F17" s="749" t="s">
        <v>2392</v>
      </c>
      <c r="G17" s="798" t="s">
        <v>1267</v>
      </c>
      <c r="H17" s="776" t="n">
        <v>59100000</v>
      </c>
      <c r="I17" s="777" t="n">
        <v>78.5</v>
      </c>
      <c r="J17" s="778" t="n">
        <f aca="false">IF(I17="","",H17/I17)</f>
        <v>752866.242038217</v>
      </c>
      <c r="K17" s="749" t="s">
        <v>2336</v>
      </c>
      <c r="L17" s="774" t="n">
        <v>40715</v>
      </c>
      <c r="M17" s="774" t="n">
        <v>41081</v>
      </c>
      <c r="O17" s="799" t="n">
        <v>5.18</v>
      </c>
      <c r="P17" s="749" t="s">
        <v>2362</v>
      </c>
      <c r="Q17" s="749" t="s">
        <v>2363</v>
      </c>
    </row>
    <row r="18" customFormat="false" ht="16.5" hidden="false" customHeight="true" outlineLevel="0" collapsed="false">
      <c r="A18" s="747" t="s">
        <v>2335</v>
      </c>
      <c r="B18" s="774" t="n">
        <v>40711</v>
      </c>
      <c r="D18" s="749" t="s">
        <v>103</v>
      </c>
      <c r="E18" s="749" t="s">
        <v>2393</v>
      </c>
      <c r="F18" s="749" t="s">
        <v>2394</v>
      </c>
      <c r="G18" s="798" t="s">
        <v>1267</v>
      </c>
      <c r="H18" s="776" t="n">
        <v>28000000</v>
      </c>
      <c r="I18" s="777" t="n">
        <v>78.5</v>
      </c>
      <c r="J18" s="778" t="n">
        <f aca="false">IF(I18="","",H18/I18)</f>
        <v>356687.898089172</v>
      </c>
      <c r="K18" s="749" t="s">
        <v>2361</v>
      </c>
      <c r="L18" s="774" t="n">
        <v>40702</v>
      </c>
      <c r="M18" s="774" t="n">
        <v>41080</v>
      </c>
      <c r="O18" s="799" t="n">
        <v>4.13</v>
      </c>
      <c r="P18" s="749" t="s">
        <v>2362</v>
      </c>
      <c r="Q18" s="749" t="s">
        <v>2363</v>
      </c>
    </row>
    <row r="19" customFormat="false" ht="16.5" hidden="false" customHeight="true" outlineLevel="0" collapsed="false">
      <c r="A19" s="747" t="s">
        <v>2335</v>
      </c>
      <c r="B19" s="774" t="n">
        <v>40711</v>
      </c>
      <c r="D19" s="749" t="s">
        <v>2395</v>
      </c>
      <c r="E19" s="749" t="s">
        <v>2396</v>
      </c>
      <c r="F19" s="749" t="s">
        <v>2397</v>
      </c>
      <c r="G19" s="798" t="s">
        <v>1267</v>
      </c>
      <c r="H19" s="776" t="n">
        <v>50000000</v>
      </c>
      <c r="I19" s="777" t="n">
        <v>78.5</v>
      </c>
      <c r="J19" s="778" t="n">
        <f aca="false">IF(I19="","",H19/I19)</f>
        <v>636942.675159236</v>
      </c>
      <c r="K19" s="749" t="s">
        <v>2336</v>
      </c>
      <c r="L19" s="774" t="n">
        <v>40715</v>
      </c>
      <c r="M19" s="774" t="n">
        <v>41081</v>
      </c>
      <c r="O19" s="799" t="n">
        <v>5.5</v>
      </c>
      <c r="P19" s="749" t="s">
        <v>2362</v>
      </c>
      <c r="Q19" s="749" t="s">
        <v>2363</v>
      </c>
    </row>
    <row r="20" customFormat="false" ht="16.5" hidden="false" customHeight="true" outlineLevel="0" collapsed="false">
      <c r="A20" s="747" t="s">
        <v>2335</v>
      </c>
      <c r="B20" s="774" t="n">
        <v>40714</v>
      </c>
      <c r="D20" s="749" t="s">
        <v>2398</v>
      </c>
      <c r="E20" s="749" t="s">
        <v>2399</v>
      </c>
      <c r="F20" s="749" t="s">
        <v>2400</v>
      </c>
      <c r="G20" s="798" t="s">
        <v>2136</v>
      </c>
      <c r="H20" s="776" t="n">
        <v>200000</v>
      </c>
      <c r="I20" s="777" t="n">
        <v>1</v>
      </c>
      <c r="J20" s="778" t="n">
        <f aca="false">IF(I20="","",H20/I20)</f>
        <v>200000</v>
      </c>
      <c r="K20" s="749" t="s">
        <v>2336</v>
      </c>
      <c r="L20" s="774" t="n">
        <v>40714</v>
      </c>
      <c r="M20" s="774" t="n">
        <v>40744</v>
      </c>
      <c r="O20" s="799" t="n">
        <v>2.65</v>
      </c>
      <c r="P20" s="749" t="s">
        <v>2362</v>
      </c>
      <c r="Q20" s="749" t="s">
        <v>2363</v>
      </c>
    </row>
    <row r="21" customFormat="false" ht="16.5" hidden="false" customHeight="true" outlineLevel="0" collapsed="false">
      <c r="A21" s="747" t="s">
        <v>2335</v>
      </c>
      <c r="B21" s="774" t="n">
        <v>40716</v>
      </c>
      <c r="D21" s="749" t="s">
        <v>2344</v>
      </c>
      <c r="E21" s="749" t="s">
        <v>2401</v>
      </c>
      <c r="F21" s="749" t="s">
        <v>2402</v>
      </c>
      <c r="G21" s="798" t="s">
        <v>1267</v>
      </c>
      <c r="H21" s="776" t="n">
        <v>136500000</v>
      </c>
      <c r="I21" s="777" t="n">
        <v>78.5</v>
      </c>
      <c r="J21" s="778" t="n">
        <f aca="false">IF(I21="","",H21/I21)</f>
        <v>1738853.50318471</v>
      </c>
      <c r="K21" s="749" t="s">
        <v>2361</v>
      </c>
      <c r="L21" s="774" t="n">
        <v>40719</v>
      </c>
      <c r="M21" s="774" t="n">
        <v>42454</v>
      </c>
      <c r="O21" s="799" t="n">
        <v>3.49</v>
      </c>
      <c r="P21" s="749" t="s">
        <v>2362</v>
      </c>
      <c r="Q21" s="749" t="s">
        <v>2363</v>
      </c>
    </row>
    <row r="22" customFormat="false" ht="16.5" hidden="false" customHeight="true" outlineLevel="0" collapsed="false">
      <c r="A22" s="747" t="s">
        <v>2335</v>
      </c>
      <c r="B22" s="774" t="n">
        <v>40717</v>
      </c>
      <c r="D22" s="798" t="s">
        <v>2403</v>
      </c>
      <c r="E22" s="749" t="s">
        <v>2404</v>
      </c>
      <c r="F22" s="749" t="s">
        <v>2405</v>
      </c>
      <c r="G22" s="798" t="s">
        <v>1267</v>
      </c>
      <c r="H22" s="776" t="n">
        <v>35100000</v>
      </c>
      <c r="I22" s="777" t="n">
        <v>78.5</v>
      </c>
      <c r="J22" s="778" t="n">
        <f aca="false">IF(I22="","",H22/I22)</f>
        <v>447133.757961783</v>
      </c>
      <c r="K22" s="749" t="s">
        <v>2336</v>
      </c>
      <c r="L22" s="774" t="n">
        <v>40723</v>
      </c>
      <c r="M22" s="774" t="n">
        <v>41089</v>
      </c>
      <c r="O22" s="799" t="n">
        <v>3.5</v>
      </c>
      <c r="P22" s="749" t="s">
        <v>2362</v>
      </c>
      <c r="Q22" s="749" t="s">
        <v>2363</v>
      </c>
    </row>
    <row r="23" customFormat="false" ht="16.5" hidden="false" customHeight="true" outlineLevel="0" collapsed="false">
      <c r="A23" s="747" t="s">
        <v>2335</v>
      </c>
      <c r="B23" s="774" t="n">
        <v>40717</v>
      </c>
      <c r="D23" s="798" t="s">
        <v>2403</v>
      </c>
      <c r="E23" s="749" t="s">
        <v>2404</v>
      </c>
      <c r="F23" s="749" t="s">
        <v>2405</v>
      </c>
      <c r="G23" s="798" t="s">
        <v>1267</v>
      </c>
      <c r="H23" s="776" t="n">
        <v>23000000</v>
      </c>
      <c r="I23" s="777" t="n">
        <v>78.5</v>
      </c>
      <c r="J23" s="778" t="n">
        <f aca="false">IF(I23="","",H23/I23)</f>
        <v>292993.630573248</v>
      </c>
      <c r="K23" s="749" t="s">
        <v>2361</v>
      </c>
      <c r="L23" s="774" t="n">
        <v>40723</v>
      </c>
      <c r="M23" s="774" t="n">
        <v>41089</v>
      </c>
      <c r="O23" s="799" t="n">
        <v>3.5</v>
      </c>
      <c r="P23" s="749" t="s">
        <v>2362</v>
      </c>
      <c r="Q23" s="749" t="s">
        <v>2363</v>
      </c>
    </row>
    <row r="24" customFormat="false" ht="16.5" hidden="false" customHeight="true" outlineLevel="0" collapsed="false">
      <c r="A24" s="747" t="s">
        <v>2335</v>
      </c>
      <c r="B24" s="774" t="n">
        <v>40717</v>
      </c>
      <c r="D24" s="749" t="s">
        <v>2367</v>
      </c>
      <c r="E24" s="749" t="s">
        <v>2368</v>
      </c>
      <c r="F24" s="749" t="s">
        <v>2406</v>
      </c>
      <c r="G24" s="798" t="s">
        <v>1267</v>
      </c>
      <c r="H24" s="776" t="n">
        <v>123000000</v>
      </c>
      <c r="I24" s="777" t="n">
        <v>78.5</v>
      </c>
      <c r="J24" s="778" t="n">
        <f aca="false">IF(I24="","",H24/I24)</f>
        <v>1566878.98089172</v>
      </c>
      <c r="K24" s="749" t="s">
        <v>2336</v>
      </c>
      <c r="L24" s="774" t="n">
        <v>40723</v>
      </c>
      <c r="M24" s="774" t="n">
        <v>41089</v>
      </c>
      <c r="O24" s="799" t="n">
        <v>3.6</v>
      </c>
      <c r="P24" s="749" t="s">
        <v>2362</v>
      </c>
      <c r="Q24" s="749" t="s">
        <v>2363</v>
      </c>
    </row>
    <row r="25" customFormat="false" ht="16.5" hidden="false" customHeight="true" outlineLevel="0" collapsed="false">
      <c r="A25" s="747" t="s">
        <v>2335</v>
      </c>
      <c r="B25" s="774" t="n">
        <v>40718</v>
      </c>
      <c r="D25" s="749" t="s">
        <v>2344</v>
      </c>
      <c r="E25" s="749" t="s">
        <v>2407</v>
      </c>
      <c r="F25" s="749" t="s">
        <v>2408</v>
      </c>
      <c r="G25" s="798" t="s">
        <v>1267</v>
      </c>
      <c r="H25" s="776" t="n">
        <v>60000000</v>
      </c>
      <c r="I25" s="777" t="n">
        <v>78.5</v>
      </c>
      <c r="J25" s="778" t="n">
        <f aca="false">IF(I25="","",H25/I25)</f>
        <v>764331.210191083</v>
      </c>
      <c r="K25" s="749" t="s">
        <v>2336</v>
      </c>
      <c r="L25" s="774" t="n">
        <v>40723</v>
      </c>
      <c r="M25" s="774" t="n">
        <v>41089</v>
      </c>
      <c r="O25" s="799" t="n">
        <v>3.82</v>
      </c>
      <c r="P25" s="749" t="s">
        <v>2362</v>
      </c>
      <c r="Q25" s="749" t="s">
        <v>2363</v>
      </c>
    </row>
    <row r="26" customFormat="false" ht="16.5" hidden="false" customHeight="true" outlineLevel="0" collapsed="false">
      <c r="A26" s="747" t="s">
        <v>2335</v>
      </c>
      <c r="B26" s="774" t="n">
        <v>40723</v>
      </c>
      <c r="D26" s="798" t="s">
        <v>2403</v>
      </c>
      <c r="E26" s="749" t="s">
        <v>2409</v>
      </c>
      <c r="F26" s="749" t="s">
        <v>2410</v>
      </c>
      <c r="G26" s="798" t="s">
        <v>1267</v>
      </c>
      <c r="H26" s="776" t="n">
        <v>54000000</v>
      </c>
      <c r="I26" s="777" t="n">
        <v>78.5</v>
      </c>
      <c r="J26" s="778" t="n">
        <f aca="false">IF(I26="","",H26/I26)</f>
        <v>687898.089171975</v>
      </c>
      <c r="K26" s="749" t="s">
        <v>2361</v>
      </c>
      <c r="L26" s="774" t="n">
        <v>40723</v>
      </c>
      <c r="M26" s="774" t="n">
        <v>41096</v>
      </c>
      <c r="O26" s="799" t="n">
        <v>3.55</v>
      </c>
      <c r="P26" s="749" t="s">
        <v>2362</v>
      </c>
      <c r="Q26" s="749" t="s">
        <v>2363</v>
      </c>
    </row>
    <row r="27" customFormat="false" ht="16.5" hidden="false" customHeight="true" outlineLevel="0" collapsed="false">
      <c r="A27" s="747" t="s">
        <v>2335</v>
      </c>
      <c r="B27" s="774" t="n">
        <v>40723</v>
      </c>
      <c r="D27" s="749" t="s">
        <v>201</v>
      </c>
      <c r="E27" s="749" t="s">
        <v>2411</v>
      </c>
      <c r="F27" s="749" t="s">
        <v>2412</v>
      </c>
      <c r="G27" s="798" t="s">
        <v>2136</v>
      </c>
      <c r="H27" s="776" t="n">
        <v>480000</v>
      </c>
      <c r="I27" s="777" t="n">
        <v>1</v>
      </c>
      <c r="J27" s="778" t="n">
        <f aca="false">IF(I27="","",H27/I27)</f>
        <v>480000</v>
      </c>
      <c r="K27" s="749" t="s">
        <v>2361</v>
      </c>
      <c r="L27" s="774" t="n">
        <v>40726</v>
      </c>
      <c r="M27" s="774" t="n">
        <v>41092</v>
      </c>
      <c r="O27" s="799" t="n">
        <v>4.3</v>
      </c>
      <c r="P27" s="749" t="s">
        <v>2362</v>
      </c>
      <c r="Q27" s="749" t="s">
        <v>2363</v>
      </c>
    </row>
    <row r="28" customFormat="false" ht="16.5" hidden="false" customHeight="true" outlineLevel="0" collapsed="false">
      <c r="A28" s="747" t="s">
        <v>2335</v>
      </c>
      <c r="B28" s="774" t="n">
        <v>40724</v>
      </c>
      <c r="D28" s="749" t="s">
        <v>1366</v>
      </c>
      <c r="E28" s="749" t="s">
        <v>2413</v>
      </c>
      <c r="F28" s="749" t="s">
        <v>2414</v>
      </c>
      <c r="G28" s="798" t="s">
        <v>1267</v>
      </c>
      <c r="H28" s="776" t="n">
        <v>46600000</v>
      </c>
      <c r="I28" s="777" t="n">
        <v>78.5</v>
      </c>
      <c r="J28" s="778" t="n">
        <f aca="false">IF(I28="","",H28/I28)</f>
        <v>593630.573248408</v>
      </c>
      <c r="K28" s="749" t="s">
        <v>2361</v>
      </c>
      <c r="L28" s="774" t="n">
        <v>40735</v>
      </c>
      <c r="M28" s="774" t="n">
        <v>41101</v>
      </c>
      <c r="O28" s="799" t="n">
        <v>5.48</v>
      </c>
      <c r="P28" s="749" t="s">
        <v>2362</v>
      </c>
      <c r="Q28" s="749" t="s">
        <v>2363</v>
      </c>
    </row>
    <row r="29" customFormat="false" ht="16.5" hidden="false" customHeight="true" outlineLevel="0" collapsed="false">
      <c r="A29" s="747" t="s">
        <v>2335</v>
      </c>
      <c r="B29" s="774" t="n">
        <v>40725</v>
      </c>
      <c r="D29" s="749" t="s">
        <v>1366</v>
      </c>
      <c r="E29" s="749" t="s">
        <v>2415</v>
      </c>
      <c r="F29" s="749" t="s">
        <v>2416</v>
      </c>
      <c r="G29" s="798" t="s">
        <v>1267</v>
      </c>
      <c r="H29" s="776" t="n">
        <v>60200000</v>
      </c>
      <c r="I29" s="777" t="n">
        <v>78.5</v>
      </c>
      <c r="J29" s="778" t="n">
        <f aca="false">IF(I29="","",H29/I29)</f>
        <v>766878.98089172</v>
      </c>
      <c r="K29" s="749" t="s">
        <v>2361</v>
      </c>
      <c r="L29" s="774" t="n">
        <v>40727</v>
      </c>
      <c r="M29" s="774" t="n">
        <v>41093</v>
      </c>
      <c r="O29" s="799" t="n">
        <v>5.5</v>
      </c>
      <c r="P29" s="749" t="s">
        <v>2362</v>
      </c>
      <c r="Q29" s="749" t="s">
        <v>2363</v>
      </c>
    </row>
    <row r="30" customFormat="false" ht="16.5" hidden="false" customHeight="true" outlineLevel="0" collapsed="false">
      <c r="A30" s="747" t="s">
        <v>2335</v>
      </c>
      <c r="B30" s="774" t="n">
        <v>40729</v>
      </c>
      <c r="D30" s="749" t="s">
        <v>2417</v>
      </c>
      <c r="E30" s="749" t="s">
        <v>2418</v>
      </c>
      <c r="F30" s="749" t="s">
        <v>2419</v>
      </c>
      <c r="G30" s="798" t="s">
        <v>1267</v>
      </c>
      <c r="H30" s="776" t="n">
        <v>10000000</v>
      </c>
      <c r="I30" s="777" t="n">
        <v>78.5</v>
      </c>
      <c r="J30" s="778" t="n">
        <f aca="false">IF(I30="","",H30/I30)</f>
        <v>127388.535031847</v>
      </c>
      <c r="K30" s="749" t="s">
        <v>2336</v>
      </c>
      <c r="L30" s="774" t="n">
        <v>40753</v>
      </c>
      <c r="M30" s="774" t="n">
        <v>41119</v>
      </c>
      <c r="O30" s="799" t="n">
        <v>6.5</v>
      </c>
      <c r="P30" s="749" t="s">
        <v>2362</v>
      </c>
      <c r="Q30" s="749" t="s">
        <v>2363</v>
      </c>
    </row>
    <row r="31" customFormat="false" ht="16.5" hidden="false" customHeight="true" outlineLevel="0" collapsed="false">
      <c r="A31" s="747" t="s">
        <v>2335</v>
      </c>
      <c r="B31" s="774" t="n">
        <v>40729</v>
      </c>
      <c r="D31" s="749" t="s">
        <v>96</v>
      </c>
      <c r="E31" s="749" t="s">
        <v>2390</v>
      </c>
      <c r="F31" s="749" t="s">
        <v>2420</v>
      </c>
      <c r="G31" s="798" t="s">
        <v>1267</v>
      </c>
      <c r="H31" s="776" t="n">
        <v>29500000</v>
      </c>
      <c r="I31" s="777" t="n">
        <v>78.5</v>
      </c>
      <c r="J31" s="778" t="n">
        <f aca="false">IF(I31="","",H31/I31)</f>
        <v>375796.178343949</v>
      </c>
      <c r="K31" s="749" t="s">
        <v>2336</v>
      </c>
      <c r="L31" s="774" t="n">
        <v>40743</v>
      </c>
      <c r="M31" s="774" t="n">
        <v>41109</v>
      </c>
      <c r="O31" s="799" t="n">
        <v>4.2</v>
      </c>
      <c r="P31" s="749" t="s">
        <v>2362</v>
      </c>
      <c r="Q31" s="749" t="s">
        <v>2363</v>
      </c>
    </row>
    <row r="32" customFormat="false" ht="16.5" hidden="false" customHeight="true" outlineLevel="0" collapsed="false">
      <c r="A32" s="747" t="s">
        <v>2335</v>
      </c>
      <c r="B32" s="774" t="n">
        <v>40730</v>
      </c>
      <c r="D32" s="749" t="s">
        <v>770</v>
      </c>
      <c r="E32" s="749" t="s">
        <v>2421</v>
      </c>
      <c r="F32" s="749" t="s">
        <v>2422</v>
      </c>
      <c r="G32" s="798" t="s">
        <v>1267</v>
      </c>
      <c r="H32" s="776" t="n">
        <v>30000000</v>
      </c>
      <c r="I32" s="777" t="n">
        <v>78.5</v>
      </c>
      <c r="J32" s="778" t="n">
        <f aca="false">IF(I32="","",H32/I32)</f>
        <v>382165.605095541</v>
      </c>
      <c r="K32" s="749" t="s">
        <v>2336</v>
      </c>
      <c r="L32" s="774" t="n">
        <v>40733</v>
      </c>
      <c r="M32" s="774" t="n">
        <v>41100</v>
      </c>
      <c r="O32" s="799" t="n">
        <v>4.2</v>
      </c>
      <c r="P32" s="749" t="s">
        <v>2362</v>
      </c>
      <c r="Q32" s="749" t="s">
        <v>2363</v>
      </c>
    </row>
    <row r="33" customFormat="false" ht="16.5" hidden="false" customHeight="true" outlineLevel="0" collapsed="false">
      <c r="A33" s="747" t="s">
        <v>2335</v>
      </c>
      <c r="B33" s="774" t="n">
        <v>40730</v>
      </c>
      <c r="D33" s="749" t="s">
        <v>2423</v>
      </c>
      <c r="E33" s="749" t="s">
        <v>2424</v>
      </c>
      <c r="F33" s="749" t="s">
        <v>2425</v>
      </c>
      <c r="G33" s="798" t="s">
        <v>1267</v>
      </c>
      <c r="H33" s="776" t="n">
        <v>30000000</v>
      </c>
      <c r="I33" s="777" t="n">
        <v>78.5</v>
      </c>
      <c r="J33" s="778" t="n">
        <f aca="false">IF(I33="","",H33/I33)</f>
        <v>382165.605095541</v>
      </c>
      <c r="K33" s="749" t="s">
        <v>2336</v>
      </c>
      <c r="L33" s="774" t="n">
        <v>40738</v>
      </c>
      <c r="M33" s="774" t="n">
        <v>41104</v>
      </c>
      <c r="O33" s="799" t="n">
        <v>4.5</v>
      </c>
      <c r="P33" s="749" t="s">
        <v>2362</v>
      </c>
      <c r="Q33" s="749" t="s">
        <v>2363</v>
      </c>
    </row>
    <row r="34" s="800" customFormat="true" ht="16.5" hidden="false" customHeight="true" outlineLevel="0" collapsed="false">
      <c r="A34" s="747" t="s">
        <v>2190</v>
      </c>
      <c r="B34" s="774" t="n">
        <v>40731</v>
      </c>
      <c r="C34" s="775"/>
      <c r="D34" s="749" t="s">
        <v>2384</v>
      </c>
      <c r="E34" s="749" t="s">
        <v>2385</v>
      </c>
      <c r="F34" s="749" t="s">
        <v>2426</v>
      </c>
      <c r="G34" s="798" t="s">
        <v>1267</v>
      </c>
      <c r="H34" s="776" t="n">
        <v>30000000</v>
      </c>
      <c r="I34" s="777" t="n">
        <v>78.5</v>
      </c>
      <c r="J34" s="778" t="n">
        <f aca="false">IF(I34="","",H34/I34)</f>
        <v>382165.605095541</v>
      </c>
      <c r="K34" s="749" t="s">
        <v>2361</v>
      </c>
      <c r="L34" s="774" t="n">
        <v>40736</v>
      </c>
      <c r="M34" s="774" t="n">
        <v>41832</v>
      </c>
      <c r="N34" s="774"/>
      <c r="O34" s="799" t="n">
        <v>3.9</v>
      </c>
      <c r="P34" s="749" t="s">
        <v>2362</v>
      </c>
      <c r="Q34" s="749" t="s">
        <v>2363</v>
      </c>
      <c r="R34" s="780"/>
    </row>
    <row r="35" customFormat="false" ht="16.5" hidden="false" customHeight="true" outlineLevel="0" collapsed="false">
      <c r="A35" s="747" t="s">
        <v>2335</v>
      </c>
      <c r="B35" s="774" t="n">
        <v>40731</v>
      </c>
      <c r="D35" s="749" t="s">
        <v>1366</v>
      </c>
      <c r="E35" s="749" t="s">
        <v>2413</v>
      </c>
      <c r="F35" s="749" t="s">
        <v>2427</v>
      </c>
      <c r="G35" s="798" t="s">
        <v>1267</v>
      </c>
      <c r="H35" s="776" t="n">
        <v>45800000</v>
      </c>
      <c r="I35" s="777" t="n">
        <v>78.5</v>
      </c>
      <c r="J35" s="778" t="n">
        <f aca="false">IF(I35="","",H35/I35)</f>
        <v>583439.49044586</v>
      </c>
      <c r="K35" s="749" t="s">
        <v>2361</v>
      </c>
      <c r="L35" s="774" t="n">
        <v>40734</v>
      </c>
      <c r="M35" s="774" t="n">
        <v>41100</v>
      </c>
      <c r="O35" s="799" t="n">
        <v>5.58</v>
      </c>
      <c r="P35" s="749" t="s">
        <v>2362</v>
      </c>
      <c r="Q35" s="749" t="s">
        <v>2363</v>
      </c>
    </row>
    <row r="36" customFormat="false" ht="16.5" hidden="false" customHeight="true" outlineLevel="0" collapsed="false">
      <c r="A36" s="747" t="s">
        <v>2335</v>
      </c>
      <c r="B36" s="774" t="n">
        <v>40731</v>
      </c>
      <c r="D36" s="749" t="s">
        <v>1366</v>
      </c>
      <c r="E36" s="749" t="s">
        <v>2413</v>
      </c>
      <c r="F36" s="749" t="s">
        <v>2428</v>
      </c>
      <c r="G36" s="798" t="s">
        <v>1267</v>
      </c>
      <c r="H36" s="776" t="n">
        <v>46600000</v>
      </c>
      <c r="I36" s="777" t="n">
        <v>78.5</v>
      </c>
      <c r="J36" s="778" t="n">
        <f aca="false">IF(I36="","",H36/I36)</f>
        <v>593630.573248408</v>
      </c>
      <c r="K36" s="749" t="s">
        <v>2361</v>
      </c>
      <c r="L36" s="774" t="n">
        <v>40738</v>
      </c>
      <c r="M36" s="774" t="n">
        <v>41104</v>
      </c>
      <c r="O36" s="799" t="n">
        <v>5.58</v>
      </c>
      <c r="P36" s="749" t="s">
        <v>2362</v>
      </c>
      <c r="Q36" s="749" t="s">
        <v>2363</v>
      </c>
    </row>
    <row r="37" customFormat="false" ht="16.5" hidden="false" customHeight="true" outlineLevel="0" collapsed="false">
      <c r="A37" s="747" t="s">
        <v>2335</v>
      </c>
      <c r="B37" s="774" t="n">
        <v>40731</v>
      </c>
      <c r="D37" s="749" t="s">
        <v>1366</v>
      </c>
      <c r="E37" s="749" t="s">
        <v>2413</v>
      </c>
      <c r="F37" s="749" t="s">
        <v>2429</v>
      </c>
      <c r="G37" s="798" t="s">
        <v>1267</v>
      </c>
      <c r="H37" s="776" t="n">
        <v>80500000</v>
      </c>
      <c r="I37" s="777" t="n">
        <v>78.5</v>
      </c>
      <c r="J37" s="778" t="n">
        <f aca="false">IF(I37="","",H37/I37)</f>
        <v>1025477.70700637</v>
      </c>
      <c r="K37" s="749" t="s">
        <v>2361</v>
      </c>
      <c r="L37" s="774" t="n">
        <v>40739</v>
      </c>
      <c r="M37" s="774" t="n">
        <v>41105</v>
      </c>
      <c r="O37" s="799" t="n">
        <v>5.5</v>
      </c>
      <c r="P37" s="749" t="s">
        <v>2362</v>
      </c>
      <c r="Q37" s="749" t="s">
        <v>2363</v>
      </c>
    </row>
    <row r="38" customFormat="false" ht="16.5" hidden="false" customHeight="true" outlineLevel="0" collapsed="false">
      <c r="A38" s="747" t="s">
        <v>2190</v>
      </c>
      <c r="B38" s="774" t="n">
        <v>40732</v>
      </c>
      <c r="D38" s="749" t="s">
        <v>2430</v>
      </c>
      <c r="E38" s="749" t="s">
        <v>2431</v>
      </c>
      <c r="F38" s="749" t="s">
        <v>2432</v>
      </c>
      <c r="G38" s="798" t="s">
        <v>2136</v>
      </c>
      <c r="H38" s="776" t="n">
        <v>20000</v>
      </c>
      <c r="I38" s="777" t="n">
        <v>1</v>
      </c>
      <c r="J38" s="778" t="n">
        <f aca="false">IF(I38="","",H38/I38)</f>
        <v>20000</v>
      </c>
      <c r="K38" s="749" t="s">
        <v>2361</v>
      </c>
      <c r="L38" s="774" t="n">
        <v>40732</v>
      </c>
      <c r="M38" s="774" t="n">
        <v>40916</v>
      </c>
      <c r="O38" s="799" t="n">
        <v>2.66</v>
      </c>
      <c r="P38" s="749" t="s">
        <v>2362</v>
      </c>
      <c r="Q38" s="749" t="s">
        <v>2363</v>
      </c>
    </row>
    <row r="39" customFormat="false" ht="16.5" hidden="false" customHeight="true" outlineLevel="0" collapsed="false">
      <c r="A39" s="747" t="s">
        <v>2190</v>
      </c>
      <c r="B39" s="774" t="n">
        <v>40735</v>
      </c>
      <c r="D39" s="749" t="s">
        <v>2367</v>
      </c>
      <c r="E39" s="749" t="s">
        <v>2433</v>
      </c>
      <c r="F39" s="749" t="s">
        <v>2434</v>
      </c>
      <c r="G39" s="798" t="s">
        <v>1267</v>
      </c>
      <c r="H39" s="776" t="n">
        <v>40000000</v>
      </c>
      <c r="I39" s="777" t="n">
        <v>78.5</v>
      </c>
      <c r="J39" s="778" t="n">
        <f aca="false">IF(I39="","",H39/I39)</f>
        <v>509554.140127389</v>
      </c>
      <c r="K39" s="749" t="s">
        <v>2361</v>
      </c>
      <c r="L39" s="774" t="n">
        <v>40736</v>
      </c>
      <c r="M39" s="774" t="n">
        <v>41102</v>
      </c>
      <c r="O39" s="799" t="n">
        <v>3.9</v>
      </c>
      <c r="P39" s="749" t="s">
        <v>2362</v>
      </c>
      <c r="Q39" s="749" t="s">
        <v>2363</v>
      </c>
    </row>
    <row r="40" customFormat="false" ht="16.5" hidden="false" customHeight="true" outlineLevel="0" collapsed="false">
      <c r="A40" s="747" t="s">
        <v>2335</v>
      </c>
      <c r="B40" s="774" t="n">
        <v>40737</v>
      </c>
      <c r="D40" s="749" t="s">
        <v>1366</v>
      </c>
      <c r="E40" s="749" t="s">
        <v>2413</v>
      </c>
      <c r="F40" s="749" t="s">
        <v>2435</v>
      </c>
      <c r="G40" s="798" t="s">
        <v>1267</v>
      </c>
      <c r="H40" s="776" t="n">
        <v>46400000</v>
      </c>
      <c r="I40" s="777" t="n">
        <v>78.5</v>
      </c>
      <c r="J40" s="778" t="n">
        <f aca="false">IF(I40="","",H40/I40)</f>
        <v>591082.802547771</v>
      </c>
      <c r="K40" s="749" t="s">
        <v>2361</v>
      </c>
      <c r="L40" s="774" t="n">
        <v>40742</v>
      </c>
      <c r="M40" s="774" t="n">
        <v>41108</v>
      </c>
      <c r="O40" s="799" t="n">
        <v>5.78</v>
      </c>
      <c r="P40" s="749" t="s">
        <v>2362</v>
      </c>
      <c r="Q40" s="749" t="s">
        <v>2363</v>
      </c>
    </row>
    <row r="41" customFormat="false" ht="16.5" hidden="false" customHeight="true" outlineLevel="0" collapsed="false">
      <c r="A41" s="747" t="s">
        <v>2335</v>
      </c>
      <c r="B41" s="774" t="n">
        <v>40739</v>
      </c>
      <c r="D41" s="749" t="s">
        <v>162</v>
      </c>
      <c r="E41" s="749" t="s">
        <v>2436</v>
      </c>
      <c r="F41" s="749" t="s">
        <v>2437</v>
      </c>
      <c r="G41" s="798" t="s">
        <v>1267</v>
      </c>
      <c r="H41" s="776" t="n">
        <v>70000000</v>
      </c>
      <c r="I41" s="777" t="n">
        <v>78.5</v>
      </c>
      <c r="J41" s="778" t="n">
        <f aca="false">IF(I41="","",H41/I41)</f>
        <v>891719.74522293</v>
      </c>
      <c r="K41" s="749" t="s">
        <v>2361</v>
      </c>
      <c r="L41" s="774" t="n">
        <v>40742</v>
      </c>
      <c r="M41" s="774" t="n">
        <v>41108</v>
      </c>
      <c r="O41" s="799" t="n">
        <v>4.3</v>
      </c>
      <c r="P41" s="749" t="s">
        <v>2362</v>
      </c>
      <c r="Q41" s="749" t="s">
        <v>2363</v>
      </c>
    </row>
    <row r="42" customFormat="false" ht="16.5" hidden="false" customHeight="true" outlineLevel="0" collapsed="false">
      <c r="A42" s="747" t="s">
        <v>2335</v>
      </c>
      <c r="B42" s="774" t="n">
        <v>40739</v>
      </c>
      <c r="D42" s="749" t="s">
        <v>2438</v>
      </c>
      <c r="E42" s="749" t="s">
        <v>2439</v>
      </c>
      <c r="F42" s="749" t="s">
        <v>2440</v>
      </c>
      <c r="G42" s="798" t="s">
        <v>1267</v>
      </c>
      <c r="H42" s="776" t="n">
        <v>11000000</v>
      </c>
      <c r="I42" s="777" t="n">
        <v>78.5</v>
      </c>
      <c r="J42" s="778" t="n">
        <f aca="false">IF(I42="","",H42/I42)</f>
        <v>140127.388535032</v>
      </c>
      <c r="K42" s="749" t="s">
        <v>2336</v>
      </c>
      <c r="L42" s="774" t="n">
        <v>40739</v>
      </c>
      <c r="M42" s="774" t="n">
        <v>41105</v>
      </c>
      <c r="O42" s="799" t="n">
        <v>3.58</v>
      </c>
      <c r="P42" s="749" t="s">
        <v>2362</v>
      </c>
      <c r="Q42" s="749" t="s">
        <v>2363</v>
      </c>
    </row>
    <row r="43" customFormat="false" ht="16.5" hidden="false" customHeight="true" outlineLevel="0" collapsed="false">
      <c r="A43" s="747" t="s">
        <v>2335</v>
      </c>
      <c r="B43" s="774" t="n">
        <v>40744</v>
      </c>
      <c r="D43" s="749" t="s">
        <v>2372</v>
      </c>
      <c r="E43" s="749" t="s">
        <v>2441</v>
      </c>
      <c r="F43" s="749" t="s">
        <v>2442</v>
      </c>
      <c r="G43" s="798" t="s">
        <v>1267</v>
      </c>
      <c r="H43" s="776" t="n">
        <v>104000000</v>
      </c>
      <c r="I43" s="777" t="n">
        <v>78.5</v>
      </c>
      <c r="J43" s="778" t="n">
        <f aca="false">IF(I43="","",H43/I43)</f>
        <v>1324840.76433121</v>
      </c>
      <c r="K43" s="749" t="s">
        <v>2336</v>
      </c>
      <c r="L43" s="774" t="n">
        <v>40746</v>
      </c>
      <c r="M43" s="774" t="n">
        <v>41115</v>
      </c>
      <c r="O43" s="799" t="n">
        <v>4.9</v>
      </c>
      <c r="P43" s="749" t="s">
        <v>2362</v>
      </c>
      <c r="Q43" s="749" t="s">
        <v>2363</v>
      </c>
    </row>
    <row r="44" customFormat="false" ht="16.5" hidden="false" customHeight="true" outlineLevel="0" collapsed="false">
      <c r="A44" s="747" t="s">
        <v>2335</v>
      </c>
      <c r="B44" s="774" t="n">
        <v>40744</v>
      </c>
      <c r="D44" s="749" t="s">
        <v>96</v>
      </c>
      <c r="E44" s="749" t="s">
        <v>2443</v>
      </c>
      <c r="F44" s="749" t="s">
        <v>2444</v>
      </c>
      <c r="G44" s="798" t="s">
        <v>2136</v>
      </c>
      <c r="H44" s="776" t="n">
        <v>1500000</v>
      </c>
      <c r="I44" s="777" t="n">
        <v>1</v>
      </c>
      <c r="J44" s="778" t="n">
        <f aca="false">IF(I44="","",H44/I44)</f>
        <v>1500000</v>
      </c>
      <c r="K44" s="749" t="s">
        <v>2336</v>
      </c>
      <c r="L44" s="774" t="n">
        <v>40756</v>
      </c>
      <c r="M44" s="774" t="n">
        <v>41120</v>
      </c>
      <c r="O44" s="799" t="n">
        <v>4.99</v>
      </c>
      <c r="P44" s="749" t="s">
        <v>2362</v>
      </c>
      <c r="Q44" s="749" t="s">
        <v>2363</v>
      </c>
    </row>
    <row r="45" customFormat="false" ht="16.5" hidden="false" customHeight="true" outlineLevel="0" collapsed="false">
      <c r="A45" s="747" t="s">
        <v>2335</v>
      </c>
      <c r="B45" s="774" t="n">
        <v>40757</v>
      </c>
      <c r="D45" s="749" t="s">
        <v>1366</v>
      </c>
      <c r="E45" s="749" t="s">
        <v>2445</v>
      </c>
      <c r="F45" s="749" t="s">
        <v>2446</v>
      </c>
      <c r="G45" s="798" t="s">
        <v>1267</v>
      </c>
      <c r="H45" s="776" t="n">
        <v>22500000</v>
      </c>
      <c r="I45" s="777" t="n">
        <v>78.5</v>
      </c>
      <c r="J45" s="778" t="n">
        <f aca="false">IF(I45="","",H45/I45)</f>
        <v>286624.203821656</v>
      </c>
      <c r="K45" s="749" t="s">
        <v>2361</v>
      </c>
      <c r="L45" s="774" t="n">
        <v>40761</v>
      </c>
      <c r="M45" s="774" t="n">
        <v>41127</v>
      </c>
      <c r="O45" s="799" t="n">
        <v>3.9</v>
      </c>
      <c r="P45" s="749" t="s">
        <v>2362</v>
      </c>
      <c r="Q45" s="749" t="s">
        <v>2363</v>
      </c>
    </row>
    <row r="46" customFormat="false" ht="16.5" hidden="false" customHeight="true" outlineLevel="0" collapsed="false">
      <c r="A46" s="747" t="s">
        <v>2335</v>
      </c>
      <c r="B46" s="774" t="n">
        <v>40757</v>
      </c>
      <c r="D46" s="749" t="s">
        <v>1366</v>
      </c>
      <c r="E46" s="749" t="s">
        <v>2445</v>
      </c>
      <c r="F46" s="749" t="s">
        <v>2446</v>
      </c>
      <c r="G46" s="798" t="s">
        <v>1267</v>
      </c>
      <c r="H46" s="776" t="n">
        <v>53000000</v>
      </c>
      <c r="I46" s="777" t="n">
        <v>78.5</v>
      </c>
      <c r="J46" s="778" t="n">
        <f aca="false">IF(I46="","",H46/I46)</f>
        <v>675159.23566879</v>
      </c>
      <c r="K46" s="749" t="s">
        <v>2361</v>
      </c>
      <c r="L46" s="774" t="n">
        <v>40799</v>
      </c>
      <c r="M46" s="774" t="n">
        <v>41165</v>
      </c>
      <c r="O46" s="799" t="n">
        <v>3.9</v>
      </c>
      <c r="P46" s="749" t="s">
        <v>2362</v>
      </c>
      <c r="Q46" s="749" t="s">
        <v>2363</v>
      </c>
    </row>
    <row r="47" customFormat="false" ht="16.5" hidden="false" customHeight="true" outlineLevel="0" collapsed="false">
      <c r="A47" s="747" t="s">
        <v>2190</v>
      </c>
      <c r="B47" s="774" t="n">
        <v>40758</v>
      </c>
      <c r="D47" s="749" t="s">
        <v>2430</v>
      </c>
      <c r="E47" s="749" t="s">
        <v>2431</v>
      </c>
      <c r="F47" s="749" t="s">
        <v>2432</v>
      </c>
      <c r="G47" s="798" t="s">
        <v>2136</v>
      </c>
      <c r="H47" s="776" t="n">
        <v>70320</v>
      </c>
      <c r="I47" s="777" t="n">
        <v>1</v>
      </c>
      <c r="J47" s="778" t="n">
        <f aca="false">IF(I47="","",H47/I47)</f>
        <v>70320</v>
      </c>
      <c r="K47" s="749" t="s">
        <v>2336</v>
      </c>
      <c r="L47" s="774" t="n">
        <v>40765</v>
      </c>
      <c r="M47" s="774" t="n">
        <v>40949</v>
      </c>
      <c r="O47" s="799" t="n">
        <v>2.66</v>
      </c>
      <c r="P47" s="749" t="s">
        <v>2362</v>
      </c>
      <c r="Q47" s="749" t="s">
        <v>2363</v>
      </c>
    </row>
    <row r="48" customFormat="false" ht="16.5" hidden="false" customHeight="true" outlineLevel="0" collapsed="false">
      <c r="A48" s="747" t="s">
        <v>2335</v>
      </c>
      <c r="B48" s="774" t="n">
        <v>40758</v>
      </c>
      <c r="D48" s="749" t="s">
        <v>2344</v>
      </c>
      <c r="E48" s="749" t="s">
        <v>2401</v>
      </c>
      <c r="F48" s="749" t="s">
        <v>2346</v>
      </c>
      <c r="G48" s="798" t="s">
        <v>1267</v>
      </c>
      <c r="H48" s="776" t="n">
        <v>49500000</v>
      </c>
      <c r="I48" s="777" t="n">
        <v>78.5</v>
      </c>
      <c r="J48" s="778" t="n">
        <f aca="false">IF(I48="","",H48/I48)</f>
        <v>630573.248407643</v>
      </c>
      <c r="K48" s="749" t="s">
        <v>2336</v>
      </c>
      <c r="L48" s="774" t="n">
        <v>40760</v>
      </c>
      <c r="M48" s="774" t="n">
        <v>41126</v>
      </c>
      <c r="O48" s="799" t="n">
        <v>4.3</v>
      </c>
      <c r="P48" s="749" t="s">
        <v>2362</v>
      </c>
      <c r="Q48" s="749" t="s">
        <v>2363</v>
      </c>
    </row>
    <row r="49" customFormat="false" ht="16.5" hidden="false" customHeight="true" outlineLevel="0" collapsed="false">
      <c r="A49" s="747" t="s">
        <v>2190</v>
      </c>
      <c r="B49" s="774" t="n">
        <v>40760</v>
      </c>
      <c r="D49" s="749" t="s">
        <v>2398</v>
      </c>
      <c r="E49" s="749" t="s">
        <v>2447</v>
      </c>
      <c r="F49" s="749" t="s">
        <v>2448</v>
      </c>
      <c r="G49" s="798" t="s">
        <v>2136</v>
      </c>
      <c r="H49" s="776" t="n">
        <v>100000</v>
      </c>
      <c r="I49" s="777" t="n">
        <v>1</v>
      </c>
      <c r="J49" s="778" t="n">
        <f aca="false">IF(I49="","",H49/I49)</f>
        <v>100000</v>
      </c>
      <c r="K49" s="749" t="s">
        <v>2336</v>
      </c>
      <c r="L49" s="774" t="n">
        <v>40760</v>
      </c>
      <c r="M49" s="774" t="n">
        <v>40791</v>
      </c>
      <c r="O49" s="799" t="n">
        <v>2.9</v>
      </c>
      <c r="P49" s="749" t="s">
        <v>2362</v>
      </c>
      <c r="Q49" s="749" t="s">
        <v>2363</v>
      </c>
    </row>
    <row r="50" customFormat="false" ht="16.5" hidden="false" customHeight="true" outlineLevel="0" collapsed="false">
      <c r="A50" s="747" t="s">
        <v>2190</v>
      </c>
      <c r="B50" s="774" t="n">
        <v>40760</v>
      </c>
      <c r="D50" s="749" t="s">
        <v>2398</v>
      </c>
      <c r="E50" s="749" t="s">
        <v>2447</v>
      </c>
      <c r="F50" s="749" t="s">
        <v>2449</v>
      </c>
      <c r="G50" s="798" t="s">
        <v>2136</v>
      </c>
      <c r="H50" s="776" t="n">
        <v>150000</v>
      </c>
      <c r="I50" s="777" t="n">
        <v>1</v>
      </c>
      <c r="J50" s="778" t="n">
        <f aca="false">IF(I50="","",H50/I50)</f>
        <v>150000</v>
      </c>
      <c r="K50" s="749" t="s">
        <v>2336</v>
      </c>
      <c r="L50" s="774" t="n">
        <v>40760</v>
      </c>
      <c r="M50" s="774" t="n">
        <v>41157</v>
      </c>
      <c r="O50" s="799" t="n">
        <v>2.9</v>
      </c>
      <c r="P50" s="749" t="s">
        <v>2362</v>
      </c>
      <c r="Q50" s="749" t="s">
        <v>2363</v>
      </c>
    </row>
    <row r="51" customFormat="false" ht="16.5" hidden="false" customHeight="true" outlineLevel="0" collapsed="false">
      <c r="A51" s="747" t="s">
        <v>2335</v>
      </c>
      <c r="B51" s="774" t="n">
        <v>40760</v>
      </c>
      <c r="D51" s="749" t="s">
        <v>209</v>
      </c>
      <c r="E51" s="749" t="s">
        <v>2450</v>
      </c>
      <c r="F51" s="749" t="s">
        <v>2451</v>
      </c>
      <c r="G51" s="798" t="s">
        <v>1267</v>
      </c>
      <c r="H51" s="776" t="n">
        <v>91000000</v>
      </c>
      <c r="I51" s="777" t="n">
        <v>78.5</v>
      </c>
      <c r="J51" s="778" t="n">
        <f aca="false">IF(I51="","",H51/I51)</f>
        <v>1159235.66878981</v>
      </c>
      <c r="K51" s="749" t="s">
        <v>2361</v>
      </c>
      <c r="L51" s="774" t="n">
        <v>40783</v>
      </c>
      <c r="M51" s="774" t="n">
        <v>41149</v>
      </c>
      <c r="O51" s="799" t="n">
        <v>2.9</v>
      </c>
      <c r="P51" s="749" t="s">
        <v>2362</v>
      </c>
      <c r="Q51" s="749" t="s">
        <v>2363</v>
      </c>
    </row>
    <row r="52" customFormat="false" ht="16.5" hidden="false" customHeight="true" outlineLevel="0" collapsed="false">
      <c r="A52" s="747" t="s">
        <v>2335</v>
      </c>
      <c r="B52" s="774" t="n">
        <v>40763</v>
      </c>
      <c r="D52" s="749" t="s">
        <v>2372</v>
      </c>
      <c r="E52" s="749" t="s">
        <v>2373</v>
      </c>
      <c r="F52" s="749" t="s">
        <v>2452</v>
      </c>
      <c r="G52" s="798" t="s">
        <v>1267</v>
      </c>
      <c r="H52" s="776" t="n">
        <v>118000000</v>
      </c>
      <c r="I52" s="777" t="n">
        <v>78.5</v>
      </c>
      <c r="J52" s="778" t="n">
        <f aca="false">IF(I52="","",H52/I52)</f>
        <v>1503184.7133758</v>
      </c>
      <c r="K52" s="749" t="s">
        <v>2361</v>
      </c>
      <c r="L52" s="774" t="n">
        <v>40771</v>
      </c>
      <c r="M52" s="774" t="n">
        <v>41135</v>
      </c>
      <c r="O52" s="799" t="n">
        <v>4.13</v>
      </c>
      <c r="P52" s="749" t="s">
        <v>2362</v>
      </c>
      <c r="Q52" s="749" t="s">
        <v>2363</v>
      </c>
    </row>
    <row r="53" customFormat="false" ht="16.5" hidden="false" customHeight="true" outlineLevel="0" collapsed="false">
      <c r="A53" s="747" t="s">
        <v>2335</v>
      </c>
      <c r="B53" s="774" t="n">
        <v>40763</v>
      </c>
      <c r="D53" s="749" t="s">
        <v>2372</v>
      </c>
      <c r="E53" s="749" t="s">
        <v>2373</v>
      </c>
      <c r="F53" s="749" t="s">
        <v>2453</v>
      </c>
      <c r="G53" s="798" t="s">
        <v>1267</v>
      </c>
      <c r="H53" s="776" t="n">
        <v>63700000</v>
      </c>
      <c r="I53" s="777" t="n">
        <v>78.5</v>
      </c>
      <c r="J53" s="778" t="n">
        <f aca="false">IF(I53="","",H53/I53)</f>
        <v>811464.968152866</v>
      </c>
      <c r="K53" s="749" t="s">
        <v>2361</v>
      </c>
      <c r="L53" s="774" t="n">
        <v>40775</v>
      </c>
      <c r="M53" s="774" t="n">
        <v>41141</v>
      </c>
      <c r="O53" s="799" t="n">
        <v>4.4</v>
      </c>
      <c r="P53" s="749" t="s">
        <v>2362</v>
      </c>
      <c r="Q53" s="749" t="s">
        <v>2363</v>
      </c>
    </row>
    <row r="54" customFormat="false" ht="16.5" hidden="false" customHeight="true" outlineLevel="0" collapsed="false">
      <c r="A54" s="747" t="s">
        <v>2190</v>
      </c>
      <c r="B54" s="774" t="n">
        <v>40764</v>
      </c>
      <c r="D54" s="749" t="s">
        <v>2378</v>
      </c>
      <c r="E54" s="749" t="s">
        <v>2379</v>
      </c>
      <c r="F54" s="749" t="s">
        <v>2380</v>
      </c>
      <c r="G54" s="798" t="s">
        <v>2136</v>
      </c>
      <c r="H54" s="776" t="n">
        <v>300000</v>
      </c>
      <c r="I54" s="777" t="n">
        <v>1</v>
      </c>
      <c r="J54" s="778" t="n">
        <f aca="false">IF(I54="","",H54/I54)</f>
        <v>300000</v>
      </c>
      <c r="K54" s="749" t="s">
        <v>2336</v>
      </c>
      <c r="L54" s="774" t="n">
        <v>40764</v>
      </c>
      <c r="M54" s="774" t="n">
        <v>40856</v>
      </c>
      <c r="O54" s="799" t="n">
        <v>3.3</v>
      </c>
      <c r="P54" s="749" t="s">
        <v>2362</v>
      </c>
      <c r="Q54" s="749" t="s">
        <v>2363</v>
      </c>
    </row>
    <row r="55" customFormat="false" ht="16.5" hidden="false" customHeight="true" outlineLevel="0" collapsed="false">
      <c r="A55" s="747" t="s">
        <v>2190</v>
      </c>
      <c r="B55" s="774" t="n">
        <v>40771</v>
      </c>
      <c r="D55" s="749" t="s">
        <v>2430</v>
      </c>
      <c r="E55" s="749" t="s">
        <v>2431</v>
      </c>
      <c r="F55" s="749" t="s">
        <v>2432</v>
      </c>
      <c r="G55" s="798" t="s">
        <v>2136</v>
      </c>
      <c r="H55" s="776" t="n">
        <v>16000</v>
      </c>
      <c r="I55" s="777" t="n">
        <v>1</v>
      </c>
      <c r="J55" s="778" t="n">
        <f aca="false">IF(I55="","",H55/I55)</f>
        <v>16000</v>
      </c>
      <c r="K55" s="749" t="s">
        <v>2336</v>
      </c>
      <c r="L55" s="774" t="n">
        <v>40771</v>
      </c>
      <c r="M55" s="774" t="n">
        <v>40863</v>
      </c>
      <c r="O55" s="799" t="n">
        <v>2.66</v>
      </c>
      <c r="P55" s="749" t="s">
        <v>2362</v>
      </c>
      <c r="Q55" s="749" t="s">
        <v>2363</v>
      </c>
    </row>
    <row r="56" customFormat="false" ht="16.5" hidden="false" customHeight="true" outlineLevel="0" collapsed="false">
      <c r="A56" s="747" t="s">
        <v>2335</v>
      </c>
      <c r="B56" s="774" t="n">
        <v>40773</v>
      </c>
      <c r="D56" s="749" t="s">
        <v>1366</v>
      </c>
      <c r="E56" s="749" t="s">
        <v>2413</v>
      </c>
      <c r="F56" s="749" t="s">
        <v>2454</v>
      </c>
      <c r="G56" s="798" t="s">
        <v>1267</v>
      </c>
      <c r="H56" s="776" t="n">
        <v>99080000</v>
      </c>
      <c r="I56" s="777" t="n">
        <v>78.5</v>
      </c>
      <c r="J56" s="778" t="n">
        <f aca="false">IF(I56="","",H56/I56)</f>
        <v>1262165.60509554</v>
      </c>
      <c r="K56" s="749" t="s">
        <v>2361</v>
      </c>
      <c r="L56" s="774" t="n">
        <v>40781</v>
      </c>
      <c r="M56" s="774" t="n">
        <v>41147</v>
      </c>
      <c r="O56" s="799" t="n">
        <v>4.69</v>
      </c>
      <c r="P56" s="749" t="s">
        <v>2362</v>
      </c>
      <c r="Q56" s="749" t="s">
        <v>2363</v>
      </c>
    </row>
    <row r="57" customFormat="false" ht="16.5" hidden="false" customHeight="true" outlineLevel="0" collapsed="false">
      <c r="A57" s="747" t="s">
        <v>2335</v>
      </c>
      <c r="B57" s="774" t="n">
        <v>40777</v>
      </c>
      <c r="D57" s="749" t="s">
        <v>2375</v>
      </c>
      <c r="E57" s="749" t="s">
        <v>2455</v>
      </c>
      <c r="F57" s="749" t="s">
        <v>2456</v>
      </c>
      <c r="G57" s="798" t="s">
        <v>1267</v>
      </c>
      <c r="H57" s="776" t="n">
        <v>150000000</v>
      </c>
      <c r="I57" s="777" t="n">
        <v>78.5</v>
      </c>
      <c r="J57" s="778" t="n">
        <f aca="false">IF(I57="","",H57/I57)</f>
        <v>1910828.02547771</v>
      </c>
      <c r="K57" s="749" t="s">
        <v>2336</v>
      </c>
      <c r="L57" s="774" t="n">
        <v>40781</v>
      </c>
      <c r="M57" s="774" t="n">
        <v>41057</v>
      </c>
      <c r="O57" s="799" t="n">
        <v>3.2</v>
      </c>
      <c r="P57" s="749" t="s">
        <v>2362</v>
      </c>
      <c r="Q57" s="749" t="s">
        <v>2363</v>
      </c>
    </row>
    <row r="58" customFormat="false" ht="16.5" hidden="false" customHeight="true" outlineLevel="0" collapsed="false">
      <c r="A58" s="747" t="s">
        <v>2190</v>
      </c>
      <c r="B58" s="774" t="n">
        <v>40778</v>
      </c>
      <c r="D58" s="749" t="s">
        <v>1366</v>
      </c>
      <c r="E58" s="749" t="s">
        <v>2413</v>
      </c>
      <c r="F58" s="749" t="s">
        <v>2457</v>
      </c>
      <c r="G58" s="798" t="s">
        <v>1267</v>
      </c>
      <c r="H58" s="776" t="n">
        <v>39600000</v>
      </c>
      <c r="I58" s="777" t="n">
        <v>78.5</v>
      </c>
      <c r="J58" s="778" t="n">
        <f aca="false">IF(I58="","",H58/I58)</f>
        <v>504458.598726115</v>
      </c>
      <c r="K58" s="749" t="s">
        <v>2336</v>
      </c>
      <c r="L58" s="774" t="n">
        <v>40784</v>
      </c>
      <c r="M58" s="774" t="n">
        <v>41880</v>
      </c>
      <c r="O58" s="799" t="n">
        <v>4</v>
      </c>
      <c r="P58" s="749" t="s">
        <v>2362</v>
      </c>
      <c r="Q58" s="749" t="s">
        <v>2363</v>
      </c>
    </row>
    <row r="59" customFormat="false" ht="16.5" hidden="false" customHeight="true" outlineLevel="0" collapsed="false">
      <c r="A59" s="747" t="s">
        <v>2190</v>
      </c>
      <c r="B59" s="774" t="n">
        <v>40781</v>
      </c>
      <c r="D59" s="749" t="s">
        <v>169</v>
      </c>
      <c r="E59" s="749" t="s">
        <v>2458</v>
      </c>
      <c r="F59" s="749" t="s">
        <v>2459</v>
      </c>
      <c r="G59" s="798" t="s">
        <v>1267</v>
      </c>
      <c r="H59" s="776" t="n">
        <v>120000000</v>
      </c>
      <c r="I59" s="777" t="n">
        <v>78.5</v>
      </c>
      <c r="J59" s="778" t="n">
        <f aca="false">IF(I59="","",H59/I59)</f>
        <v>1528662.42038217</v>
      </c>
      <c r="K59" s="749" t="s">
        <v>2460</v>
      </c>
      <c r="L59" s="774" t="n">
        <v>40785</v>
      </c>
      <c r="M59" s="774" t="n">
        <v>41151</v>
      </c>
      <c r="O59" s="799" t="n">
        <v>2.8</v>
      </c>
      <c r="P59" s="749" t="s">
        <v>2362</v>
      </c>
      <c r="Q59" s="749" t="s">
        <v>2363</v>
      </c>
    </row>
    <row r="60" customFormat="false" ht="16.5" hidden="false" customHeight="true" outlineLevel="0" collapsed="false">
      <c r="A60" s="747" t="s">
        <v>2335</v>
      </c>
      <c r="B60" s="774" t="n">
        <v>40781</v>
      </c>
      <c r="D60" s="749" t="s">
        <v>1366</v>
      </c>
      <c r="E60" s="749" t="s">
        <v>2415</v>
      </c>
      <c r="F60" s="749" t="s">
        <v>2461</v>
      </c>
      <c r="G60" s="798" t="s">
        <v>1267</v>
      </c>
      <c r="H60" s="776" t="n">
        <v>60000000</v>
      </c>
      <c r="I60" s="777" t="n">
        <v>78.5</v>
      </c>
      <c r="J60" s="778" t="n">
        <f aca="false">IF(I60="","",H60/I60)</f>
        <v>764331.210191083</v>
      </c>
      <c r="K60" s="749" t="s">
        <v>2361</v>
      </c>
      <c r="L60" s="774" t="n">
        <v>40784</v>
      </c>
      <c r="M60" s="774" t="n">
        <v>41149</v>
      </c>
      <c r="O60" s="799" t="n">
        <v>4.53</v>
      </c>
      <c r="P60" s="749" t="s">
        <v>2362</v>
      </c>
      <c r="Q60" s="749" t="s">
        <v>2363</v>
      </c>
    </row>
    <row r="61" customFormat="false" ht="16.5" hidden="false" customHeight="true" outlineLevel="0" collapsed="false">
      <c r="A61" s="747" t="s">
        <v>2190</v>
      </c>
      <c r="B61" s="774" t="n">
        <v>40785</v>
      </c>
      <c r="D61" s="749" t="s">
        <v>124</v>
      </c>
      <c r="E61" s="749" t="s">
        <v>2462</v>
      </c>
      <c r="F61" s="749" t="s">
        <v>2463</v>
      </c>
      <c r="G61" s="798" t="s">
        <v>1267</v>
      </c>
      <c r="H61" s="776" t="n">
        <v>16900000</v>
      </c>
      <c r="I61" s="777" t="n">
        <v>78.5</v>
      </c>
      <c r="J61" s="778" t="n">
        <f aca="false">IF(I61="","",H61/I61)</f>
        <v>215286.624203822</v>
      </c>
      <c r="K61" s="749" t="s">
        <v>2460</v>
      </c>
      <c r="L61" s="774" t="n">
        <v>40788</v>
      </c>
      <c r="M61" s="774" t="n">
        <v>41154</v>
      </c>
      <c r="O61" s="799" t="n">
        <v>3.5</v>
      </c>
      <c r="P61" s="749" t="s">
        <v>2362</v>
      </c>
      <c r="Q61" s="749" t="s">
        <v>2363</v>
      </c>
    </row>
    <row r="62" customFormat="false" ht="16.5" hidden="false" customHeight="true" outlineLevel="0" collapsed="false">
      <c r="A62" s="747" t="s">
        <v>2190</v>
      </c>
      <c r="B62" s="774" t="n">
        <v>40785</v>
      </c>
      <c r="D62" s="749" t="s">
        <v>1366</v>
      </c>
      <c r="E62" s="749" t="s">
        <v>2415</v>
      </c>
      <c r="F62" s="749" t="s">
        <v>2464</v>
      </c>
      <c r="G62" s="798" t="s">
        <v>1267</v>
      </c>
      <c r="H62" s="776" t="n">
        <v>153000000</v>
      </c>
      <c r="I62" s="777" t="n">
        <v>78.5</v>
      </c>
      <c r="J62" s="778" t="n">
        <f aca="false">IF(I62="","",H62/I62)</f>
        <v>1949044.58598726</v>
      </c>
      <c r="K62" s="749" t="s">
        <v>2460</v>
      </c>
      <c r="L62" s="774" t="s">
        <v>2465</v>
      </c>
      <c r="M62" s="774" t="n">
        <v>41882</v>
      </c>
      <c r="O62" s="799" t="n">
        <v>4</v>
      </c>
      <c r="P62" s="749" t="s">
        <v>2362</v>
      </c>
      <c r="Q62" s="749" t="s">
        <v>2363</v>
      </c>
    </row>
    <row r="63" customFormat="false" ht="16.5" hidden="false" customHeight="true" outlineLevel="0" collapsed="false">
      <c r="A63" s="747" t="s">
        <v>2335</v>
      </c>
      <c r="B63" s="774" t="n">
        <v>40786</v>
      </c>
      <c r="D63" s="749" t="s">
        <v>2372</v>
      </c>
      <c r="E63" s="749" t="s">
        <v>2441</v>
      </c>
      <c r="F63" s="749" t="s">
        <v>2466</v>
      </c>
      <c r="G63" s="798" t="s">
        <v>1267</v>
      </c>
      <c r="H63" s="776" t="n">
        <v>31000000</v>
      </c>
      <c r="I63" s="777" t="n">
        <v>78.5</v>
      </c>
      <c r="J63" s="778" t="n">
        <f aca="false">IF(I63="","",H63/I63)</f>
        <v>394904.458598726</v>
      </c>
      <c r="K63" s="749" t="s">
        <v>2361</v>
      </c>
      <c r="L63" s="774" t="n">
        <v>40787</v>
      </c>
      <c r="M63" s="774" t="n">
        <v>41153</v>
      </c>
      <c r="O63" s="799" t="n">
        <v>2.8</v>
      </c>
      <c r="P63" s="749" t="s">
        <v>2362</v>
      </c>
      <c r="Q63" s="749" t="s">
        <v>2363</v>
      </c>
    </row>
    <row r="64" customFormat="false" ht="16.5" hidden="false" customHeight="true" outlineLevel="0" collapsed="false">
      <c r="A64" s="747" t="s">
        <v>2190</v>
      </c>
      <c r="B64" s="774" t="n">
        <v>40788</v>
      </c>
      <c r="D64" s="749" t="s">
        <v>2467</v>
      </c>
      <c r="E64" s="798" t="s">
        <v>2468</v>
      </c>
      <c r="F64" s="749" t="s">
        <v>2469</v>
      </c>
      <c r="G64" s="798" t="s">
        <v>2156</v>
      </c>
      <c r="H64" s="776" t="n">
        <v>595200</v>
      </c>
      <c r="I64" s="777" t="n">
        <v>1.2</v>
      </c>
      <c r="J64" s="778" t="n">
        <f aca="false">IF(I64="","",H64/I64)</f>
        <v>496000</v>
      </c>
      <c r="K64" s="749" t="s">
        <v>2361</v>
      </c>
      <c r="L64" s="774" t="n">
        <v>40806</v>
      </c>
      <c r="M64" s="774" t="n">
        <v>40970</v>
      </c>
      <c r="O64" s="801" t="n">
        <v>5</v>
      </c>
      <c r="P64" s="749" t="s">
        <v>2362</v>
      </c>
      <c r="Q64" s="749" t="s">
        <v>2363</v>
      </c>
    </row>
    <row r="65" customFormat="false" ht="16.5" hidden="false" customHeight="true" outlineLevel="0" collapsed="false">
      <c r="A65" s="747" t="s">
        <v>2335</v>
      </c>
      <c r="B65" s="774" t="n">
        <v>40788</v>
      </c>
      <c r="D65" s="749" t="s">
        <v>1366</v>
      </c>
      <c r="E65" s="798" t="s">
        <v>2470</v>
      </c>
      <c r="F65" s="749" t="s">
        <v>2471</v>
      </c>
      <c r="G65" s="798" t="s">
        <v>1267</v>
      </c>
      <c r="H65" s="776" t="n">
        <v>61100000</v>
      </c>
      <c r="I65" s="777" t="n">
        <v>78.5</v>
      </c>
      <c r="J65" s="778" t="n">
        <f aca="false">IF(I65="","",H65/I65)</f>
        <v>778343.949044586</v>
      </c>
      <c r="K65" s="749" t="s">
        <v>2361</v>
      </c>
      <c r="L65" s="774" t="n">
        <v>40796</v>
      </c>
      <c r="M65" s="774" t="n">
        <v>41162</v>
      </c>
      <c r="O65" s="801" t="n">
        <v>4</v>
      </c>
      <c r="P65" s="749" t="s">
        <v>2362</v>
      </c>
      <c r="Q65" s="749" t="s">
        <v>2363</v>
      </c>
    </row>
    <row r="66" customFormat="false" ht="16.5" hidden="false" customHeight="true" outlineLevel="0" collapsed="false">
      <c r="A66" s="747" t="s">
        <v>2335</v>
      </c>
      <c r="B66" s="774" t="n">
        <v>40788</v>
      </c>
      <c r="D66" s="749" t="s">
        <v>1366</v>
      </c>
      <c r="E66" s="798" t="s">
        <v>2472</v>
      </c>
      <c r="F66" s="749" t="s">
        <v>2473</v>
      </c>
      <c r="G66" s="798" t="s">
        <v>1267</v>
      </c>
      <c r="H66" s="776" t="n">
        <v>90000000</v>
      </c>
      <c r="I66" s="777" t="n">
        <v>78.5</v>
      </c>
      <c r="J66" s="778" t="n">
        <f aca="false">IF(I66="","",H66/I66)</f>
        <v>1146496.81528662</v>
      </c>
      <c r="K66" s="749" t="s">
        <v>2361</v>
      </c>
      <c r="L66" s="774" t="n">
        <v>40791</v>
      </c>
      <c r="M66" s="774" t="n">
        <v>41157</v>
      </c>
      <c r="O66" s="801" t="n">
        <v>3.7</v>
      </c>
      <c r="P66" s="749" t="s">
        <v>2362</v>
      </c>
      <c r="Q66" s="749" t="s">
        <v>2363</v>
      </c>
    </row>
    <row r="67" customFormat="false" ht="16.5" hidden="false" customHeight="true" outlineLevel="0" collapsed="false">
      <c r="A67" s="747" t="s">
        <v>2335</v>
      </c>
      <c r="B67" s="774" t="n">
        <v>40788</v>
      </c>
      <c r="D67" s="749" t="s">
        <v>1366</v>
      </c>
      <c r="E67" s="798" t="s">
        <v>2472</v>
      </c>
      <c r="F67" s="749" t="s">
        <v>2473</v>
      </c>
      <c r="G67" s="798" t="s">
        <v>1267</v>
      </c>
      <c r="H67" s="776" t="n">
        <v>52000000</v>
      </c>
      <c r="I67" s="777" t="n">
        <v>78.5</v>
      </c>
      <c r="J67" s="778" t="n">
        <f aca="false">IF(I67="","",H67/I67)</f>
        <v>662420.382165605</v>
      </c>
      <c r="K67" s="749" t="s">
        <v>2361</v>
      </c>
      <c r="L67" s="774" t="n">
        <v>40822</v>
      </c>
      <c r="M67" s="774" t="n">
        <v>41188</v>
      </c>
      <c r="O67" s="801" t="n">
        <v>3.7</v>
      </c>
      <c r="P67" s="749" t="s">
        <v>2362</v>
      </c>
      <c r="Q67" s="749" t="s">
        <v>2363</v>
      </c>
    </row>
    <row r="68" customFormat="false" ht="16.5" hidden="false" customHeight="true" outlineLevel="0" collapsed="false">
      <c r="A68" s="747" t="s">
        <v>2474</v>
      </c>
      <c r="B68" s="774" t="n">
        <v>40788</v>
      </c>
      <c r="D68" s="749" t="s">
        <v>2475</v>
      </c>
      <c r="E68" s="798" t="s">
        <v>493</v>
      </c>
      <c r="F68" s="749" t="s">
        <v>2476</v>
      </c>
      <c r="G68" s="798" t="s">
        <v>2136</v>
      </c>
      <c r="H68" s="776" t="n">
        <v>1000000</v>
      </c>
      <c r="I68" s="777" t="n">
        <v>1</v>
      </c>
      <c r="J68" s="778" t="n">
        <f aca="false">IF(I68="","",H68/I68)</f>
        <v>1000000</v>
      </c>
      <c r="K68" s="798" t="s">
        <v>493</v>
      </c>
      <c r="L68" s="774" t="s">
        <v>493</v>
      </c>
      <c r="M68" s="774" t="s">
        <v>493</v>
      </c>
      <c r="O68" s="783" t="s">
        <v>493</v>
      </c>
      <c r="P68" s="749" t="s">
        <v>2362</v>
      </c>
      <c r="Q68" s="749" t="s">
        <v>2363</v>
      </c>
    </row>
    <row r="69" customFormat="false" ht="16.5" hidden="false" customHeight="true" outlineLevel="0" collapsed="false">
      <c r="A69" s="747" t="s">
        <v>2335</v>
      </c>
      <c r="B69" s="774" t="n">
        <v>40791</v>
      </c>
      <c r="D69" s="749" t="s">
        <v>597</v>
      </c>
      <c r="E69" s="798" t="s">
        <v>2477</v>
      </c>
      <c r="F69" s="798" t="s">
        <v>2478</v>
      </c>
      <c r="G69" s="798" t="s">
        <v>1267</v>
      </c>
      <c r="H69" s="776" t="n">
        <v>30000000</v>
      </c>
      <c r="I69" s="777" t="n">
        <v>78.5</v>
      </c>
      <c r="J69" s="778" t="n">
        <f aca="false">IF(I69="","",H69/I69)</f>
        <v>382165.605095541</v>
      </c>
      <c r="K69" s="749" t="s">
        <v>2361</v>
      </c>
      <c r="L69" s="774" t="n">
        <v>40792</v>
      </c>
      <c r="M69" s="774" t="n">
        <v>41159</v>
      </c>
      <c r="O69" s="801" t="n">
        <v>3.39</v>
      </c>
      <c r="P69" s="749" t="s">
        <v>2362</v>
      </c>
      <c r="Q69" s="749" t="s">
        <v>2363</v>
      </c>
    </row>
    <row r="70" customFormat="false" ht="16.5" hidden="false" customHeight="true" outlineLevel="0" collapsed="false">
      <c r="A70" s="747" t="s">
        <v>2335</v>
      </c>
      <c r="B70" s="774" t="n">
        <v>40791</v>
      </c>
      <c r="D70" s="749" t="s">
        <v>1366</v>
      </c>
      <c r="E70" s="798" t="s">
        <v>2470</v>
      </c>
      <c r="F70" s="749" t="s">
        <v>2479</v>
      </c>
      <c r="G70" s="798" t="s">
        <v>1267</v>
      </c>
      <c r="H70" s="776" t="n">
        <v>2500000</v>
      </c>
      <c r="I70" s="777" t="n">
        <v>78.5</v>
      </c>
      <c r="J70" s="778" t="n">
        <f aca="false">IF(I70="","",H70/I70)</f>
        <v>31847.1337579618</v>
      </c>
      <c r="K70" s="749" t="s">
        <v>2361</v>
      </c>
      <c r="L70" s="774" t="n">
        <v>40799</v>
      </c>
      <c r="M70" s="774" t="n">
        <v>41165</v>
      </c>
      <c r="O70" s="801" t="n">
        <v>3.72</v>
      </c>
      <c r="P70" s="749" t="s">
        <v>2362</v>
      </c>
      <c r="Q70" s="749" t="s">
        <v>2363</v>
      </c>
    </row>
    <row r="71" customFormat="false" ht="16.5" hidden="false" customHeight="true" outlineLevel="0" collapsed="false">
      <c r="A71" s="747" t="s">
        <v>2335</v>
      </c>
      <c r="B71" s="774" t="n">
        <v>40791</v>
      </c>
      <c r="D71" s="749" t="s">
        <v>691</v>
      </c>
      <c r="E71" s="798" t="s">
        <v>2480</v>
      </c>
      <c r="F71" s="798" t="s">
        <v>2481</v>
      </c>
      <c r="G71" s="798" t="s">
        <v>1267</v>
      </c>
      <c r="H71" s="776" t="n">
        <v>19200000</v>
      </c>
      <c r="I71" s="777" t="n">
        <v>78.5</v>
      </c>
      <c r="J71" s="778" t="n">
        <f aca="false">IF(I71="","",H71/I71)</f>
        <v>244585.987261147</v>
      </c>
      <c r="K71" s="749" t="s">
        <v>2361</v>
      </c>
      <c r="L71" s="774" t="n">
        <v>40794</v>
      </c>
      <c r="M71" s="774" t="n">
        <v>41161</v>
      </c>
      <c r="O71" s="801" t="n">
        <v>3.7</v>
      </c>
      <c r="P71" s="749" t="s">
        <v>2362</v>
      </c>
      <c r="Q71" s="749" t="s">
        <v>2363</v>
      </c>
    </row>
    <row r="72" customFormat="false" ht="16.5" hidden="false" customHeight="true" outlineLevel="0" collapsed="false">
      <c r="A72" s="747" t="s">
        <v>2335</v>
      </c>
      <c r="B72" s="774" t="n">
        <v>40792</v>
      </c>
      <c r="D72" s="749" t="s">
        <v>2482</v>
      </c>
      <c r="E72" s="798" t="s">
        <v>2483</v>
      </c>
      <c r="F72" s="749" t="s">
        <v>2484</v>
      </c>
      <c r="G72" s="798" t="s">
        <v>1267</v>
      </c>
      <c r="H72" s="776" t="n">
        <v>8400000</v>
      </c>
      <c r="I72" s="777" t="n">
        <v>78.5</v>
      </c>
      <c r="J72" s="778" t="n">
        <f aca="false">IF(I72="","",H72/I72)</f>
        <v>107006.369426752</v>
      </c>
      <c r="K72" s="749" t="s">
        <v>2361</v>
      </c>
      <c r="L72" s="774" t="n">
        <v>40798</v>
      </c>
      <c r="M72" s="774" t="n">
        <v>41164</v>
      </c>
      <c r="O72" s="801" t="n">
        <v>5.2</v>
      </c>
      <c r="P72" s="749" t="s">
        <v>2362</v>
      </c>
      <c r="Q72" s="749" t="s">
        <v>2363</v>
      </c>
    </row>
    <row r="73" customFormat="false" ht="16.5" hidden="false" customHeight="true" outlineLevel="0" collapsed="false">
      <c r="A73" s="747" t="s">
        <v>2335</v>
      </c>
      <c r="B73" s="774" t="n">
        <v>40793</v>
      </c>
      <c r="D73" s="749" t="s">
        <v>96</v>
      </c>
      <c r="E73" s="798" t="s">
        <v>2485</v>
      </c>
      <c r="F73" s="749" t="s">
        <v>2486</v>
      </c>
      <c r="G73" s="798" t="s">
        <v>1267</v>
      </c>
      <c r="H73" s="776" t="n">
        <v>21000000</v>
      </c>
      <c r="I73" s="777" t="n">
        <v>78.5</v>
      </c>
      <c r="J73" s="778" t="n">
        <f aca="false">IF(I73="","",H73/I73)</f>
        <v>267515.923566879</v>
      </c>
      <c r="K73" s="749" t="s">
        <v>2361</v>
      </c>
      <c r="L73" s="774" t="n">
        <v>40814</v>
      </c>
      <c r="M73" s="774" t="n">
        <v>41180</v>
      </c>
      <c r="O73" s="801" t="n">
        <v>4.3</v>
      </c>
      <c r="P73" s="749" t="s">
        <v>2362</v>
      </c>
      <c r="Q73" s="749" t="s">
        <v>2363</v>
      </c>
    </row>
    <row r="74" customFormat="false" ht="16.5" hidden="false" customHeight="true" outlineLevel="0" collapsed="false">
      <c r="A74" s="747" t="s">
        <v>2335</v>
      </c>
      <c r="B74" s="774" t="n">
        <v>40794</v>
      </c>
      <c r="D74" s="749" t="s">
        <v>1366</v>
      </c>
      <c r="E74" s="798" t="s">
        <v>2470</v>
      </c>
      <c r="F74" s="749" t="s">
        <v>2479</v>
      </c>
      <c r="G74" s="798" t="s">
        <v>1267</v>
      </c>
      <c r="H74" s="776" t="n">
        <v>25000000</v>
      </c>
      <c r="I74" s="777" t="n">
        <v>78.5</v>
      </c>
      <c r="J74" s="778" t="n">
        <f aca="false">IF(I74="","",H74/I74)</f>
        <v>318471.337579618</v>
      </c>
      <c r="K74" s="749" t="s">
        <v>2361</v>
      </c>
      <c r="L74" s="774" t="n">
        <v>40800</v>
      </c>
      <c r="M74" s="774" t="n">
        <v>41165</v>
      </c>
      <c r="O74" s="801" t="n">
        <v>3.72</v>
      </c>
      <c r="P74" s="749" t="s">
        <v>2362</v>
      </c>
      <c r="Q74" s="749" t="s">
        <v>2363</v>
      </c>
    </row>
    <row r="75" customFormat="false" ht="16.5" hidden="false" customHeight="true" outlineLevel="0" collapsed="false">
      <c r="A75" s="747" t="s">
        <v>2335</v>
      </c>
      <c r="B75" s="774" t="n">
        <v>40795</v>
      </c>
      <c r="D75" s="749" t="s">
        <v>2372</v>
      </c>
      <c r="E75" s="749" t="s">
        <v>2441</v>
      </c>
      <c r="F75" s="749" t="s">
        <v>2487</v>
      </c>
      <c r="G75" s="798" t="s">
        <v>1267</v>
      </c>
      <c r="H75" s="776" t="n">
        <v>20000000</v>
      </c>
      <c r="I75" s="777" t="n">
        <v>78.5</v>
      </c>
      <c r="J75" s="778" t="n">
        <f aca="false">IF(I75="","",H75/I75)</f>
        <v>254777.070063694</v>
      </c>
      <c r="K75" s="749" t="s">
        <v>2336</v>
      </c>
      <c r="L75" s="774" t="n">
        <v>40707</v>
      </c>
      <c r="M75" s="774" t="n">
        <v>41071</v>
      </c>
      <c r="O75" s="799" t="n">
        <v>4</v>
      </c>
      <c r="P75" s="749" t="s">
        <v>2362</v>
      </c>
      <c r="Q75" s="749" t="s">
        <v>2363</v>
      </c>
    </row>
    <row r="76" customFormat="false" ht="16.5" hidden="false" customHeight="true" outlineLevel="0" collapsed="false">
      <c r="A76" s="747" t="s">
        <v>2190</v>
      </c>
      <c r="B76" s="774" t="n">
        <v>40800</v>
      </c>
      <c r="D76" s="749" t="s">
        <v>2378</v>
      </c>
      <c r="E76" s="798" t="s">
        <v>2488</v>
      </c>
      <c r="F76" s="749" t="s">
        <v>2380</v>
      </c>
      <c r="G76" s="798" t="s">
        <v>2136</v>
      </c>
      <c r="H76" s="776" t="n">
        <v>200000</v>
      </c>
      <c r="I76" s="777" t="n">
        <v>1</v>
      </c>
      <c r="J76" s="778" t="n">
        <f aca="false">IF(I76="","",H76/I76)</f>
        <v>200000</v>
      </c>
      <c r="K76" s="749" t="s">
        <v>2489</v>
      </c>
      <c r="L76" s="774" t="n">
        <v>40801</v>
      </c>
      <c r="M76" s="774" t="n">
        <v>40892</v>
      </c>
      <c r="O76" s="801" t="n">
        <v>3.3</v>
      </c>
      <c r="P76" s="749" t="s">
        <v>2362</v>
      </c>
      <c r="Q76" s="749" t="s">
        <v>2363</v>
      </c>
    </row>
    <row r="77" customFormat="false" ht="16.5" hidden="false" customHeight="true" outlineLevel="0" collapsed="false">
      <c r="A77" s="747" t="s">
        <v>2335</v>
      </c>
      <c r="B77" s="774" t="n">
        <v>40800</v>
      </c>
      <c r="D77" s="749" t="s">
        <v>1366</v>
      </c>
      <c r="E77" s="798" t="s">
        <v>2470</v>
      </c>
      <c r="F77" s="798" t="s">
        <v>2490</v>
      </c>
      <c r="G77" s="798" t="s">
        <v>1267</v>
      </c>
      <c r="H77" s="776" t="n">
        <v>85000000</v>
      </c>
      <c r="I77" s="777" t="n">
        <v>78.5</v>
      </c>
      <c r="J77" s="778" t="n">
        <f aca="false">IF(I77="","",H77/I77)</f>
        <v>1082802.5477707</v>
      </c>
      <c r="K77" s="749" t="s">
        <v>2361</v>
      </c>
      <c r="L77" s="774" t="n">
        <v>40809</v>
      </c>
      <c r="M77" s="774" t="n">
        <v>41175</v>
      </c>
      <c r="O77" s="801" t="n">
        <v>4.31</v>
      </c>
      <c r="P77" s="749" t="s">
        <v>2362</v>
      </c>
      <c r="Q77" s="749" t="s">
        <v>2363</v>
      </c>
    </row>
    <row r="78" customFormat="false" ht="16.5" hidden="false" customHeight="true" outlineLevel="0" collapsed="false">
      <c r="A78" s="747" t="s">
        <v>2190</v>
      </c>
      <c r="B78" s="774" t="n">
        <v>40801</v>
      </c>
      <c r="D78" s="749" t="s">
        <v>2398</v>
      </c>
      <c r="E78" s="798" t="s">
        <v>2491</v>
      </c>
      <c r="F78" s="749" t="s">
        <v>2449</v>
      </c>
      <c r="G78" s="798" t="s">
        <v>2136</v>
      </c>
      <c r="H78" s="776" t="n">
        <v>200000</v>
      </c>
      <c r="I78" s="777" t="n">
        <v>1</v>
      </c>
      <c r="J78" s="778" t="n">
        <f aca="false">IF(I78="","",H78/I78)</f>
        <v>200000</v>
      </c>
      <c r="K78" s="749" t="s">
        <v>2336</v>
      </c>
      <c r="L78" s="774" t="n">
        <v>40802</v>
      </c>
      <c r="M78" s="774" t="n">
        <v>40832</v>
      </c>
      <c r="O78" s="801" t="n">
        <v>3.8</v>
      </c>
      <c r="P78" s="749" t="s">
        <v>2362</v>
      </c>
      <c r="Q78" s="749" t="s">
        <v>2363</v>
      </c>
    </row>
    <row r="79" customFormat="false" ht="16.5" hidden="false" customHeight="true" outlineLevel="0" collapsed="false">
      <c r="A79" s="747" t="s">
        <v>2190</v>
      </c>
      <c r="B79" s="774" t="n">
        <v>40801</v>
      </c>
      <c r="D79" s="749" t="s">
        <v>2398</v>
      </c>
      <c r="E79" s="798" t="s">
        <v>2491</v>
      </c>
      <c r="F79" s="798" t="s">
        <v>2492</v>
      </c>
      <c r="G79" s="798" t="s">
        <v>2136</v>
      </c>
      <c r="H79" s="776" t="n">
        <v>150000</v>
      </c>
      <c r="I79" s="777" t="n">
        <v>1</v>
      </c>
      <c r="J79" s="778" t="n">
        <f aca="false">IF(I79="","",H79/I79)</f>
        <v>150000</v>
      </c>
      <c r="K79" s="749" t="s">
        <v>2336</v>
      </c>
      <c r="L79" s="774" t="n">
        <v>40802</v>
      </c>
      <c r="M79" s="774" t="n">
        <v>40832</v>
      </c>
      <c r="O79" s="801" t="n">
        <v>3.8</v>
      </c>
      <c r="P79" s="749" t="s">
        <v>2362</v>
      </c>
      <c r="Q79" s="749" t="s">
        <v>2363</v>
      </c>
    </row>
    <row r="80" customFormat="false" ht="16.5" hidden="false" customHeight="true" outlineLevel="0" collapsed="false">
      <c r="A80" s="747" t="s">
        <v>2335</v>
      </c>
      <c r="B80" s="774" t="n">
        <v>40801</v>
      </c>
      <c r="D80" s="749" t="s">
        <v>1366</v>
      </c>
      <c r="E80" s="798" t="s">
        <v>2470</v>
      </c>
      <c r="F80" s="749" t="s">
        <v>2493</v>
      </c>
      <c r="G80" s="798" t="s">
        <v>1267</v>
      </c>
      <c r="H80" s="776" t="n">
        <v>80300000</v>
      </c>
      <c r="I80" s="777" t="n">
        <v>78.5</v>
      </c>
      <c r="J80" s="778" t="n">
        <f aca="false">IF(I80="","",H80/I80)</f>
        <v>1022929.93630573</v>
      </c>
      <c r="K80" s="749" t="s">
        <v>2361</v>
      </c>
      <c r="L80" s="774" t="n">
        <v>40814</v>
      </c>
      <c r="M80" s="774" t="n">
        <v>41180</v>
      </c>
      <c r="O80" s="801" t="n">
        <v>4.85</v>
      </c>
      <c r="P80" s="749" t="s">
        <v>2362</v>
      </c>
      <c r="Q80" s="749" t="s">
        <v>2363</v>
      </c>
    </row>
    <row r="81" customFormat="false" ht="16.5" hidden="false" customHeight="true" outlineLevel="0" collapsed="false">
      <c r="A81" s="747" t="s">
        <v>2190</v>
      </c>
      <c r="B81" s="774" t="n">
        <v>40802</v>
      </c>
      <c r="D81" s="749" t="s">
        <v>597</v>
      </c>
      <c r="E81" s="798" t="s">
        <v>2477</v>
      </c>
      <c r="F81" s="749" t="s">
        <v>2494</v>
      </c>
      <c r="G81" s="798" t="s">
        <v>1267</v>
      </c>
      <c r="H81" s="776" t="n">
        <v>12600000</v>
      </c>
      <c r="I81" s="777" t="n">
        <v>78.5</v>
      </c>
      <c r="J81" s="778" t="n">
        <f aca="false">IF(I81="","",H81/I81)</f>
        <v>160509.554140127</v>
      </c>
      <c r="K81" s="749" t="s">
        <v>2489</v>
      </c>
      <c r="L81" s="774" t="n">
        <v>40807</v>
      </c>
      <c r="M81" s="774" t="n">
        <v>41173</v>
      </c>
      <c r="O81" s="801" t="n">
        <v>3</v>
      </c>
      <c r="P81" s="749" t="s">
        <v>2362</v>
      </c>
      <c r="Q81" s="749" t="s">
        <v>2363</v>
      </c>
    </row>
    <row r="82" customFormat="false" ht="16.5" hidden="false" customHeight="true" outlineLevel="0" collapsed="false">
      <c r="A82" s="747" t="s">
        <v>2190</v>
      </c>
      <c r="B82" s="774" t="n">
        <v>40802</v>
      </c>
      <c r="D82" s="749" t="s">
        <v>133</v>
      </c>
      <c r="E82" s="798" t="s">
        <v>2495</v>
      </c>
      <c r="F82" s="802" t="s">
        <v>2496</v>
      </c>
      <c r="G82" s="798" t="s">
        <v>2136</v>
      </c>
      <c r="H82" s="776" t="n">
        <v>1250000</v>
      </c>
      <c r="I82" s="777" t="n">
        <v>1</v>
      </c>
      <c r="J82" s="778" t="n">
        <f aca="false">IF(I82="","",H82/I82)</f>
        <v>1250000</v>
      </c>
      <c r="K82" s="749" t="s">
        <v>2497</v>
      </c>
      <c r="L82" s="774" t="n">
        <v>40805</v>
      </c>
      <c r="M82" s="774" t="n">
        <v>40897</v>
      </c>
      <c r="O82" s="801" t="n">
        <v>2.75</v>
      </c>
      <c r="P82" s="749" t="s">
        <v>2362</v>
      </c>
      <c r="Q82" s="749" t="s">
        <v>2363</v>
      </c>
    </row>
    <row r="83" customFormat="false" ht="16.5" hidden="false" customHeight="true" outlineLevel="0" collapsed="false">
      <c r="A83" s="747" t="s">
        <v>2190</v>
      </c>
      <c r="B83" s="774" t="n">
        <v>40805</v>
      </c>
      <c r="D83" s="749" t="s">
        <v>2378</v>
      </c>
      <c r="E83" s="798" t="s">
        <v>2488</v>
      </c>
      <c r="F83" s="749" t="s">
        <v>2380</v>
      </c>
      <c r="G83" s="798" t="s">
        <v>2136</v>
      </c>
      <c r="H83" s="776" t="n">
        <v>200000</v>
      </c>
      <c r="I83" s="777" t="n">
        <v>1</v>
      </c>
      <c r="J83" s="778" t="n">
        <f aca="false">IF(I83="","",H83/I83)</f>
        <v>200000</v>
      </c>
      <c r="K83" s="749" t="s">
        <v>2489</v>
      </c>
      <c r="L83" s="774" t="n">
        <v>40805</v>
      </c>
      <c r="M83" s="774" t="n">
        <v>40896</v>
      </c>
      <c r="O83" s="801" t="n">
        <v>3.3</v>
      </c>
      <c r="P83" s="749" t="s">
        <v>2362</v>
      </c>
      <c r="Q83" s="749" t="s">
        <v>2363</v>
      </c>
    </row>
    <row r="84" customFormat="false" ht="16.5" hidden="false" customHeight="true" outlineLevel="0" collapsed="false">
      <c r="A84" s="747" t="s">
        <v>2335</v>
      </c>
      <c r="B84" s="774" t="n">
        <v>40805</v>
      </c>
      <c r="D84" s="749" t="s">
        <v>2375</v>
      </c>
      <c r="E84" s="798" t="s">
        <v>2498</v>
      </c>
      <c r="F84" s="749" t="s">
        <v>2499</v>
      </c>
      <c r="G84" s="798" t="s">
        <v>1267</v>
      </c>
      <c r="H84" s="776" t="n">
        <v>80000000</v>
      </c>
      <c r="I84" s="777" t="n">
        <v>78.5</v>
      </c>
      <c r="J84" s="778" t="n">
        <f aca="false">IF(I84="","",H84/I84)</f>
        <v>1019108.28025478</v>
      </c>
      <c r="K84" s="749" t="s">
        <v>2500</v>
      </c>
      <c r="L84" s="774" t="n">
        <v>40811</v>
      </c>
      <c r="M84" s="774" t="n">
        <v>41177</v>
      </c>
      <c r="O84" s="801" t="n">
        <v>3.5</v>
      </c>
      <c r="P84" s="749" t="s">
        <v>2362</v>
      </c>
      <c r="Q84" s="749" t="s">
        <v>2363</v>
      </c>
    </row>
    <row r="85" customFormat="false" ht="16.5" hidden="false" customHeight="true" outlineLevel="0" collapsed="false">
      <c r="A85" s="747" t="s">
        <v>2335</v>
      </c>
      <c r="B85" s="774" t="n">
        <v>40807</v>
      </c>
      <c r="D85" s="749" t="s">
        <v>2501</v>
      </c>
      <c r="E85" s="798" t="s">
        <v>2502</v>
      </c>
      <c r="F85" s="749" t="s">
        <v>2503</v>
      </c>
      <c r="G85" s="798" t="s">
        <v>1267</v>
      </c>
      <c r="H85" s="776" t="n">
        <v>17000000</v>
      </c>
      <c r="I85" s="777" t="n">
        <v>78.5</v>
      </c>
      <c r="J85" s="778" t="n">
        <f aca="false">IF(I85="","",H85/I85)</f>
        <v>216560.50955414</v>
      </c>
      <c r="K85" s="749" t="s">
        <v>2489</v>
      </c>
      <c r="L85" s="774" t="n">
        <v>40813</v>
      </c>
      <c r="M85" s="774" t="n">
        <v>41179</v>
      </c>
      <c r="O85" s="801" t="n">
        <v>4.4</v>
      </c>
      <c r="P85" s="749" t="s">
        <v>2362</v>
      </c>
      <c r="Q85" s="749" t="s">
        <v>2363</v>
      </c>
    </row>
    <row r="86" customFormat="false" ht="16.5" hidden="false" customHeight="true" outlineLevel="0" collapsed="false">
      <c r="A86" s="747" t="s">
        <v>2335</v>
      </c>
      <c r="B86" s="774" t="n">
        <v>40807</v>
      </c>
      <c r="D86" s="749" t="s">
        <v>2503</v>
      </c>
      <c r="E86" s="798" t="s">
        <v>2502</v>
      </c>
      <c r="F86" s="749" t="s">
        <v>2503</v>
      </c>
      <c r="G86" s="798" t="s">
        <v>1267</v>
      </c>
      <c r="H86" s="776" t="n">
        <v>26000000</v>
      </c>
      <c r="I86" s="777" t="n">
        <v>78.5</v>
      </c>
      <c r="J86" s="778" t="n">
        <f aca="false">IF(I86="","",H86/I86)</f>
        <v>331210.191082803</v>
      </c>
      <c r="K86" s="749" t="s">
        <v>2489</v>
      </c>
      <c r="L86" s="774" t="n">
        <v>40818</v>
      </c>
      <c r="M86" s="774" t="n">
        <v>41184</v>
      </c>
      <c r="O86" s="801" t="n">
        <v>4.4</v>
      </c>
      <c r="P86" s="749" t="s">
        <v>2362</v>
      </c>
      <c r="Q86" s="749" t="s">
        <v>2363</v>
      </c>
    </row>
    <row r="87" customFormat="false" ht="16.5" hidden="false" customHeight="true" outlineLevel="0" collapsed="false">
      <c r="A87" s="747" t="s">
        <v>2335</v>
      </c>
      <c r="B87" s="774" t="n">
        <v>40808</v>
      </c>
      <c r="D87" s="749" t="s">
        <v>2344</v>
      </c>
      <c r="E87" s="798" t="s">
        <v>2504</v>
      </c>
      <c r="F87" s="798" t="s">
        <v>2505</v>
      </c>
      <c r="G87" s="798" t="s">
        <v>1267</v>
      </c>
      <c r="H87" s="776" t="n">
        <v>45000000</v>
      </c>
      <c r="I87" s="777" t="n">
        <v>78.5</v>
      </c>
      <c r="J87" s="778" t="n">
        <f aca="false">IF(I87="","",H87/I87)</f>
        <v>573248.407643312</v>
      </c>
      <c r="K87" s="749" t="s">
        <v>2500</v>
      </c>
      <c r="L87" s="774" t="n">
        <v>40819</v>
      </c>
      <c r="M87" s="774" t="n">
        <v>41185</v>
      </c>
      <c r="O87" s="801" t="n">
        <v>4</v>
      </c>
      <c r="P87" s="749" t="s">
        <v>2362</v>
      </c>
      <c r="Q87" s="749" t="s">
        <v>2363</v>
      </c>
    </row>
    <row r="88" customFormat="false" ht="16.5" hidden="false" customHeight="true" outlineLevel="0" collapsed="false">
      <c r="A88" s="747" t="s">
        <v>2335</v>
      </c>
      <c r="B88" s="774" t="n">
        <v>40808</v>
      </c>
      <c r="D88" s="749" t="s">
        <v>2344</v>
      </c>
      <c r="E88" s="798" t="s">
        <v>2504</v>
      </c>
      <c r="F88" s="798" t="s">
        <v>2506</v>
      </c>
      <c r="G88" s="798" t="s">
        <v>1267</v>
      </c>
      <c r="H88" s="776" t="n">
        <v>19000000</v>
      </c>
      <c r="I88" s="777" t="n">
        <v>78.5</v>
      </c>
      <c r="J88" s="778" t="n">
        <f aca="false">IF(I88="","",H88/I88)</f>
        <v>242038.21656051</v>
      </c>
      <c r="K88" s="749" t="s">
        <v>2500</v>
      </c>
      <c r="L88" s="774" t="n">
        <v>40815</v>
      </c>
      <c r="M88" s="774" t="n">
        <v>41181</v>
      </c>
      <c r="O88" s="801" t="n">
        <v>3.59</v>
      </c>
      <c r="P88" s="749" t="s">
        <v>2362</v>
      </c>
      <c r="Q88" s="749" t="s">
        <v>2363</v>
      </c>
    </row>
    <row r="89" customFormat="false" ht="16.5" hidden="false" customHeight="true" outlineLevel="0" collapsed="false">
      <c r="A89" s="747" t="s">
        <v>2190</v>
      </c>
      <c r="B89" s="774" t="n">
        <v>40812</v>
      </c>
      <c r="D89" s="749" t="s">
        <v>1184</v>
      </c>
      <c r="E89" s="798" t="s">
        <v>2507</v>
      </c>
      <c r="F89" s="798" t="s">
        <v>2508</v>
      </c>
      <c r="G89" s="798" t="s">
        <v>2136</v>
      </c>
      <c r="H89" s="776" t="n">
        <v>1000000</v>
      </c>
      <c r="I89" s="777" t="n">
        <v>1</v>
      </c>
      <c r="J89" s="778" t="n">
        <f aca="false">IF(I89="","",H89/I89)</f>
        <v>1000000</v>
      </c>
      <c r="K89" s="749" t="s">
        <v>2509</v>
      </c>
      <c r="L89" s="774" t="n">
        <v>40813</v>
      </c>
      <c r="M89" s="774" t="n">
        <v>42640</v>
      </c>
      <c r="O89" s="801" t="n">
        <v>2.91</v>
      </c>
      <c r="P89" s="749" t="s">
        <v>2362</v>
      </c>
      <c r="Q89" s="749" t="s">
        <v>2363</v>
      </c>
    </row>
    <row r="90" customFormat="false" ht="16.5" hidden="false" customHeight="true" outlineLevel="0" collapsed="false">
      <c r="A90" s="747" t="s">
        <v>2335</v>
      </c>
      <c r="B90" s="774" t="n">
        <v>40812</v>
      </c>
      <c r="D90" s="749" t="s">
        <v>2510</v>
      </c>
      <c r="E90" s="798" t="s">
        <v>2511</v>
      </c>
      <c r="F90" s="803" t="s">
        <v>2512</v>
      </c>
      <c r="G90" s="798" t="s">
        <v>1267</v>
      </c>
      <c r="H90" s="776" t="n">
        <v>91000000</v>
      </c>
      <c r="I90" s="777" t="n">
        <v>78.5</v>
      </c>
      <c r="J90" s="778" t="n">
        <f aca="false">IF(I90="","",H90/I90)</f>
        <v>1159235.66878981</v>
      </c>
      <c r="K90" s="749" t="s">
        <v>2489</v>
      </c>
      <c r="L90" s="774" t="n">
        <v>40815</v>
      </c>
      <c r="M90" s="774" t="n">
        <v>41182</v>
      </c>
      <c r="O90" s="801" t="n">
        <v>2.7</v>
      </c>
      <c r="P90" s="749" t="s">
        <v>2362</v>
      </c>
      <c r="Q90" s="749" t="s">
        <v>2363</v>
      </c>
    </row>
    <row r="91" customFormat="false" ht="16.5" hidden="false" customHeight="true" outlineLevel="0" collapsed="false">
      <c r="A91" s="747" t="s">
        <v>2190</v>
      </c>
      <c r="B91" s="774" t="n">
        <v>40813</v>
      </c>
      <c r="D91" s="749" t="s">
        <v>2378</v>
      </c>
      <c r="E91" s="798" t="s">
        <v>2488</v>
      </c>
      <c r="F91" s="749" t="s">
        <v>2380</v>
      </c>
      <c r="G91" s="798" t="s">
        <v>2136</v>
      </c>
      <c r="H91" s="776" t="n">
        <v>600000</v>
      </c>
      <c r="I91" s="777" t="n">
        <v>1</v>
      </c>
      <c r="J91" s="778" t="n">
        <f aca="false">IF(I91="","",H91/I91)</f>
        <v>600000</v>
      </c>
      <c r="K91" s="749" t="s">
        <v>2489</v>
      </c>
      <c r="L91" s="774" t="n">
        <v>40814</v>
      </c>
      <c r="M91" s="774" t="n">
        <v>40905</v>
      </c>
      <c r="O91" s="801" t="n">
        <v>3</v>
      </c>
      <c r="P91" s="749" t="s">
        <v>2362</v>
      </c>
      <c r="Q91" s="749" t="s">
        <v>2363</v>
      </c>
    </row>
    <row r="92" customFormat="false" ht="16.5" hidden="false" customHeight="true" outlineLevel="0" collapsed="false">
      <c r="A92" s="747" t="s">
        <v>2335</v>
      </c>
      <c r="B92" s="774" t="n">
        <v>40813</v>
      </c>
      <c r="D92" s="749" t="s">
        <v>2375</v>
      </c>
      <c r="E92" s="798" t="s">
        <v>2513</v>
      </c>
      <c r="F92" s="749" t="s">
        <v>2514</v>
      </c>
      <c r="G92" s="798" t="s">
        <v>1267</v>
      </c>
      <c r="H92" s="804" t="n">
        <v>66000000</v>
      </c>
      <c r="I92" s="777" t="n">
        <v>78.5</v>
      </c>
      <c r="J92" s="778" t="n">
        <f aca="false">IF(I92="","",H92/I92)</f>
        <v>840764.331210191</v>
      </c>
      <c r="K92" s="749" t="s">
        <v>2515</v>
      </c>
      <c r="L92" s="774" t="n">
        <v>40816</v>
      </c>
      <c r="M92" s="774" t="n">
        <v>40818</v>
      </c>
      <c r="O92" s="801" t="n">
        <v>3</v>
      </c>
      <c r="P92" s="749" t="s">
        <v>2362</v>
      </c>
      <c r="Q92" s="749" t="s">
        <v>2363</v>
      </c>
    </row>
    <row r="93" customFormat="false" ht="16.5" hidden="false" customHeight="true" outlineLevel="0" collapsed="false">
      <c r="A93" s="747" t="s">
        <v>2190</v>
      </c>
      <c r="B93" s="774" t="n">
        <v>40814</v>
      </c>
      <c r="D93" s="749" t="s">
        <v>103</v>
      </c>
      <c r="E93" s="798" t="n">
        <v>1951325</v>
      </c>
      <c r="F93" s="749" t="s">
        <v>2516</v>
      </c>
      <c r="G93" s="798" t="s">
        <v>2136</v>
      </c>
      <c r="H93" s="776" t="n">
        <v>3000000</v>
      </c>
      <c r="I93" s="777" t="n">
        <v>1</v>
      </c>
      <c r="J93" s="778" t="n">
        <f aca="false">IF(I93="","",H93/I93)</f>
        <v>3000000</v>
      </c>
      <c r="K93" s="749" t="s">
        <v>2489</v>
      </c>
      <c r="L93" s="774" t="n">
        <v>40837</v>
      </c>
      <c r="M93" s="774" t="n">
        <v>40898</v>
      </c>
      <c r="O93" s="801" t="n">
        <v>2.5</v>
      </c>
      <c r="P93" s="749" t="s">
        <v>2362</v>
      </c>
      <c r="Q93" s="749" t="s">
        <v>2363</v>
      </c>
    </row>
    <row r="94" customFormat="false" ht="16.5" hidden="false" customHeight="true" outlineLevel="0" collapsed="false">
      <c r="A94" s="747" t="s">
        <v>2335</v>
      </c>
      <c r="B94" s="774" t="n">
        <v>40816</v>
      </c>
      <c r="D94" s="749" t="s">
        <v>124</v>
      </c>
      <c r="E94" s="798" t="n">
        <v>1970247</v>
      </c>
      <c r="F94" s="749" t="s">
        <v>2517</v>
      </c>
      <c r="G94" s="798" t="s">
        <v>1267</v>
      </c>
      <c r="H94" s="776" t="n">
        <v>46000000</v>
      </c>
      <c r="I94" s="777" t="n">
        <v>78.5</v>
      </c>
      <c r="J94" s="778" t="n">
        <f aca="false">IF(I94="","",H94/I94)</f>
        <v>585987.261146497</v>
      </c>
      <c r="K94" s="749" t="s">
        <v>2361</v>
      </c>
      <c r="L94" s="774" t="n">
        <v>40820</v>
      </c>
      <c r="M94" s="774" t="n">
        <v>41186</v>
      </c>
      <c r="O94" s="801" t="n">
        <v>5</v>
      </c>
      <c r="P94" s="749" t="s">
        <v>2362</v>
      </c>
      <c r="Q94" s="749" t="s">
        <v>2363</v>
      </c>
    </row>
    <row r="95" customFormat="false" ht="16.5" hidden="false" customHeight="true" outlineLevel="0" collapsed="false">
      <c r="A95" s="747" t="s">
        <v>2190</v>
      </c>
      <c r="B95" s="774" t="n">
        <v>40821</v>
      </c>
      <c r="D95" s="749" t="s">
        <v>103</v>
      </c>
      <c r="E95" s="798" t="n">
        <v>1890114</v>
      </c>
      <c r="F95" s="749" t="s">
        <v>2518</v>
      </c>
      <c r="G95" s="798" t="s">
        <v>2136</v>
      </c>
      <c r="H95" s="776" t="n">
        <v>5000000</v>
      </c>
      <c r="I95" s="777" t="n">
        <v>1</v>
      </c>
      <c r="J95" s="778" t="n">
        <f aca="false">IF(I95="","",H95/I95)</f>
        <v>5000000</v>
      </c>
      <c r="K95" s="749" t="s">
        <v>2336</v>
      </c>
      <c r="L95" s="774" t="n">
        <v>40823</v>
      </c>
      <c r="M95" s="774" t="n">
        <v>41189</v>
      </c>
      <c r="O95" s="801" t="n">
        <v>3.74</v>
      </c>
      <c r="P95" s="749" t="s">
        <v>2362</v>
      </c>
      <c r="Q95" s="749" t="s">
        <v>2363</v>
      </c>
    </row>
    <row r="96" customFormat="false" ht="16.5" hidden="false" customHeight="true" outlineLevel="0" collapsed="false">
      <c r="A96" s="747" t="s">
        <v>2190</v>
      </c>
      <c r="B96" s="774" t="n">
        <v>40821</v>
      </c>
      <c r="D96" s="749" t="s">
        <v>1366</v>
      </c>
      <c r="E96" s="798" t="n">
        <v>1870340</v>
      </c>
      <c r="F96" s="749" t="s">
        <v>2519</v>
      </c>
      <c r="G96" s="798" t="s">
        <v>2136</v>
      </c>
      <c r="H96" s="776" t="n">
        <v>2070000</v>
      </c>
      <c r="I96" s="777" t="n">
        <v>1</v>
      </c>
      <c r="J96" s="778" t="n">
        <f aca="false">IF(I96="","",H96/I96)</f>
        <v>2070000</v>
      </c>
      <c r="K96" s="749" t="s">
        <v>2336</v>
      </c>
      <c r="L96" s="774" t="n">
        <v>40823</v>
      </c>
      <c r="M96" s="774" t="n">
        <v>41189</v>
      </c>
      <c r="O96" s="801" t="n">
        <v>3.8</v>
      </c>
      <c r="P96" s="749" t="s">
        <v>2362</v>
      </c>
      <c r="Q96" s="749" t="s">
        <v>2363</v>
      </c>
    </row>
    <row r="97" customFormat="false" ht="16.5" hidden="false" customHeight="true" outlineLevel="0" collapsed="false">
      <c r="A97" s="747" t="s">
        <v>2335</v>
      </c>
      <c r="B97" s="774" t="n">
        <v>40821</v>
      </c>
      <c r="D97" s="749" t="s">
        <v>2520</v>
      </c>
      <c r="E97" s="798" t="n">
        <v>1900875</v>
      </c>
      <c r="F97" s="749" t="s">
        <v>2521</v>
      </c>
      <c r="G97" s="798" t="s">
        <v>1267</v>
      </c>
      <c r="H97" s="776" t="n">
        <v>65000000</v>
      </c>
      <c r="I97" s="777" t="n">
        <v>78.5</v>
      </c>
      <c r="J97" s="778" t="n">
        <f aca="false">IF(I97="","",H97/I97)</f>
        <v>828025.477707006</v>
      </c>
      <c r="K97" s="749" t="s">
        <v>2361</v>
      </c>
      <c r="L97" s="774" t="n">
        <v>40830</v>
      </c>
      <c r="M97" s="774" t="n">
        <v>41197</v>
      </c>
      <c r="O97" s="801" t="n">
        <v>5</v>
      </c>
      <c r="P97" s="749" t="s">
        <v>2362</v>
      </c>
      <c r="Q97" s="749" t="s">
        <v>2363</v>
      </c>
    </row>
    <row r="98" customFormat="false" ht="16.5" hidden="false" customHeight="true" outlineLevel="0" collapsed="false">
      <c r="A98" s="747" t="s">
        <v>2190</v>
      </c>
      <c r="B98" s="774" t="n">
        <v>40822</v>
      </c>
      <c r="D98" s="749" t="s">
        <v>2430</v>
      </c>
      <c r="E98" s="798" t="n">
        <v>1960121</v>
      </c>
      <c r="F98" s="749" t="s">
        <v>2432</v>
      </c>
      <c r="G98" s="798" t="s">
        <v>2136</v>
      </c>
      <c r="H98" s="776" t="n">
        <v>16000</v>
      </c>
      <c r="I98" s="777" t="n">
        <v>1</v>
      </c>
      <c r="J98" s="778" t="n">
        <f aca="false">IF(I98="","",H98/I98)</f>
        <v>16000</v>
      </c>
      <c r="K98" s="749" t="s">
        <v>2336</v>
      </c>
      <c r="L98" s="774" t="n">
        <v>40826</v>
      </c>
      <c r="M98" s="774" t="n">
        <v>40918</v>
      </c>
      <c r="O98" s="801" t="n">
        <v>2.6</v>
      </c>
      <c r="P98" s="749" t="s">
        <v>2362</v>
      </c>
      <c r="Q98" s="749" t="s">
        <v>2363</v>
      </c>
    </row>
    <row r="99" customFormat="false" ht="16.5" hidden="false" customHeight="true" outlineLevel="0" collapsed="false">
      <c r="A99" s="747" t="s">
        <v>2335</v>
      </c>
      <c r="B99" s="774" t="n">
        <v>40823</v>
      </c>
      <c r="D99" s="749" t="s">
        <v>597</v>
      </c>
      <c r="E99" s="749" t="s">
        <v>2522</v>
      </c>
      <c r="F99" s="749" t="s">
        <v>2523</v>
      </c>
      <c r="G99" s="798" t="s">
        <v>2136</v>
      </c>
      <c r="H99" s="776" t="n">
        <v>3000000</v>
      </c>
      <c r="I99" s="777" t="n">
        <v>1</v>
      </c>
      <c r="J99" s="778" t="n">
        <f aca="false">IF(I99="","",H99/I99)</f>
        <v>3000000</v>
      </c>
      <c r="K99" s="749" t="s">
        <v>2361</v>
      </c>
      <c r="L99" s="774" t="n">
        <v>40828</v>
      </c>
      <c r="M99" s="774" t="n">
        <v>41011</v>
      </c>
      <c r="O99" s="801" t="n">
        <v>2.65</v>
      </c>
      <c r="P99" s="749" t="s">
        <v>2362</v>
      </c>
      <c r="Q99" s="749" t="s">
        <v>2363</v>
      </c>
    </row>
    <row r="100" customFormat="false" ht="16.5" hidden="false" customHeight="true" outlineLevel="0" collapsed="false">
      <c r="A100" s="747" t="s">
        <v>2335</v>
      </c>
      <c r="B100" s="774" t="n">
        <v>40826</v>
      </c>
      <c r="D100" s="749" t="s">
        <v>2344</v>
      </c>
      <c r="E100" s="749" t="s">
        <v>2524</v>
      </c>
      <c r="F100" s="749" t="s">
        <v>2525</v>
      </c>
      <c r="G100" s="798" t="s">
        <v>1267</v>
      </c>
      <c r="H100" s="776" t="n">
        <v>13000000</v>
      </c>
      <c r="I100" s="777" t="n">
        <v>78.5</v>
      </c>
      <c r="J100" s="778" t="n">
        <f aca="false">IF(I100="","",H100/I100)</f>
        <v>165605.095541401</v>
      </c>
      <c r="K100" s="749" t="s">
        <v>2361</v>
      </c>
      <c r="L100" s="774" t="n">
        <v>40826</v>
      </c>
      <c r="M100" s="774" t="n">
        <v>41192</v>
      </c>
      <c r="O100" s="801" t="n">
        <v>4</v>
      </c>
      <c r="P100" s="749" t="s">
        <v>2362</v>
      </c>
      <c r="Q100" s="749" t="s">
        <v>2363</v>
      </c>
    </row>
    <row r="101" customFormat="false" ht="16.5" hidden="false" customHeight="true" outlineLevel="0" collapsed="false">
      <c r="A101" s="773" t="s">
        <v>2335</v>
      </c>
      <c r="B101" s="805" t="n">
        <v>40830</v>
      </c>
      <c r="C101" s="806"/>
      <c r="D101" s="807" t="s">
        <v>2372</v>
      </c>
      <c r="E101" s="807" t="s">
        <v>2373</v>
      </c>
      <c r="F101" s="807" t="s">
        <v>2526</v>
      </c>
      <c r="G101" s="808" t="s">
        <v>1267</v>
      </c>
      <c r="H101" s="809" t="n">
        <v>12900000</v>
      </c>
      <c r="I101" s="777" t="n">
        <v>78.5</v>
      </c>
      <c r="J101" s="778" t="n">
        <f aca="false">IF(I101="","",H101/I101)</f>
        <v>164331.210191083</v>
      </c>
      <c r="K101" s="749" t="s">
        <v>2361</v>
      </c>
      <c r="L101" s="805" t="n">
        <v>40830</v>
      </c>
      <c r="M101" s="805" t="n">
        <v>41196</v>
      </c>
      <c r="N101" s="805"/>
      <c r="O101" s="810" t="n">
        <v>3</v>
      </c>
      <c r="P101" s="749" t="s">
        <v>2362</v>
      </c>
      <c r="Q101" s="749" t="s">
        <v>2363</v>
      </c>
    </row>
    <row r="102" customFormat="false" ht="16.5" hidden="false" customHeight="true" outlineLevel="0" collapsed="false">
      <c r="A102" s="773" t="s">
        <v>2190</v>
      </c>
      <c r="B102" s="805" t="n">
        <v>40834</v>
      </c>
      <c r="C102" s="806"/>
      <c r="D102" s="807" t="s">
        <v>124</v>
      </c>
      <c r="E102" s="807" t="n">
        <v>1970247</v>
      </c>
      <c r="F102" s="807" t="s">
        <v>2527</v>
      </c>
      <c r="G102" s="808" t="s">
        <v>1267</v>
      </c>
      <c r="H102" s="809" t="n">
        <v>67000000</v>
      </c>
      <c r="I102" s="777" t="n">
        <v>78.5</v>
      </c>
      <c r="J102" s="778" t="n">
        <f aca="false">IF(I102="","",H102/I102)</f>
        <v>853503.184713376</v>
      </c>
      <c r="K102" s="807" t="s">
        <v>2361</v>
      </c>
      <c r="L102" s="805" t="n">
        <v>40834</v>
      </c>
      <c r="M102" s="805" t="n">
        <v>41200</v>
      </c>
      <c r="N102" s="805"/>
      <c r="O102" s="810" t="n">
        <v>3</v>
      </c>
      <c r="P102" s="749" t="s">
        <v>2362</v>
      </c>
      <c r="Q102" s="749" t="s">
        <v>2363</v>
      </c>
    </row>
    <row r="103" customFormat="false" ht="16.5" hidden="false" customHeight="true" outlineLevel="0" collapsed="false">
      <c r="A103" s="773" t="s">
        <v>2190</v>
      </c>
      <c r="B103" s="774" t="n">
        <v>40834</v>
      </c>
      <c r="D103" s="749" t="s">
        <v>96</v>
      </c>
      <c r="E103" s="798" t="n">
        <v>1960460</v>
      </c>
      <c r="F103" s="749" t="s">
        <v>2528</v>
      </c>
      <c r="G103" s="798" t="s">
        <v>2136</v>
      </c>
      <c r="H103" s="776" t="n">
        <v>5000000</v>
      </c>
      <c r="I103" s="777" t="n">
        <v>1</v>
      </c>
      <c r="J103" s="778" t="n">
        <f aca="false">IF(I103="","",H103/I103)</f>
        <v>5000000</v>
      </c>
      <c r="K103" s="749" t="s">
        <v>2336</v>
      </c>
      <c r="L103" s="774" t="n">
        <v>40841</v>
      </c>
      <c r="M103" s="774" t="n">
        <v>41207</v>
      </c>
      <c r="O103" s="801" t="n">
        <v>2.94</v>
      </c>
      <c r="P103" s="749" t="s">
        <v>2362</v>
      </c>
      <c r="Q103" s="749" t="s">
        <v>2363</v>
      </c>
    </row>
    <row r="104" customFormat="false" ht="16.5" hidden="false" customHeight="true" outlineLevel="0" collapsed="false">
      <c r="A104" s="773" t="s">
        <v>2190</v>
      </c>
      <c r="B104" s="774" t="n">
        <v>40835</v>
      </c>
      <c r="D104" s="749" t="s">
        <v>2372</v>
      </c>
      <c r="E104" s="749" t="s">
        <v>2373</v>
      </c>
      <c r="F104" s="749" t="s">
        <v>2374</v>
      </c>
      <c r="G104" s="798" t="s">
        <v>1267</v>
      </c>
      <c r="H104" s="776" t="n">
        <v>75000000</v>
      </c>
      <c r="I104" s="777" t="n">
        <v>78.5</v>
      </c>
      <c r="J104" s="778" t="n">
        <f aca="false">IF(I104="","",H104/I104)</f>
        <v>955414.012738854</v>
      </c>
      <c r="K104" s="749" t="s">
        <v>2361</v>
      </c>
      <c r="L104" s="774" t="n">
        <v>40841</v>
      </c>
      <c r="M104" s="774" t="n">
        <v>41207</v>
      </c>
      <c r="O104" s="801" t="n">
        <v>3</v>
      </c>
      <c r="P104" s="749" t="s">
        <v>2362</v>
      </c>
      <c r="Q104" s="749" t="s">
        <v>2363</v>
      </c>
    </row>
    <row r="105" customFormat="false" ht="16.5" hidden="false" customHeight="true" outlineLevel="0" collapsed="false">
      <c r="A105" s="773" t="s">
        <v>2190</v>
      </c>
      <c r="B105" s="774" t="n">
        <v>40835</v>
      </c>
      <c r="D105" s="749" t="s">
        <v>133</v>
      </c>
      <c r="E105" s="749" t="s">
        <v>2529</v>
      </c>
      <c r="F105" s="802" t="s">
        <v>2496</v>
      </c>
      <c r="G105" s="798" t="s">
        <v>2136</v>
      </c>
      <c r="H105" s="776" t="n">
        <v>125000</v>
      </c>
      <c r="I105" s="777" t="n">
        <v>1</v>
      </c>
      <c r="J105" s="778" t="n">
        <f aca="false">IF(I105="","",H105/I105)</f>
        <v>125000</v>
      </c>
      <c r="K105" s="749" t="s">
        <v>2336</v>
      </c>
      <c r="L105" s="774" t="n">
        <v>40840</v>
      </c>
      <c r="M105" s="774" t="n">
        <v>40897</v>
      </c>
      <c r="O105" s="801" t="n">
        <v>2.75</v>
      </c>
      <c r="P105" s="749" t="s">
        <v>2362</v>
      </c>
      <c r="Q105" s="749" t="s">
        <v>2363</v>
      </c>
    </row>
    <row r="106" customFormat="false" ht="16.5" hidden="false" customHeight="true" outlineLevel="0" collapsed="false">
      <c r="A106" s="773" t="s">
        <v>2335</v>
      </c>
      <c r="B106" s="805" t="n">
        <v>40835</v>
      </c>
      <c r="C106" s="806"/>
      <c r="D106" s="807" t="s">
        <v>2530</v>
      </c>
      <c r="E106" s="807" t="s">
        <v>2531</v>
      </c>
      <c r="F106" s="807" t="s">
        <v>2532</v>
      </c>
      <c r="G106" s="808" t="s">
        <v>1267</v>
      </c>
      <c r="H106" s="809" t="n">
        <v>210000000</v>
      </c>
      <c r="I106" s="777" t="n">
        <v>78.5</v>
      </c>
      <c r="J106" s="778" t="n">
        <f aca="false">IF(I106="","",H106/I106)</f>
        <v>2675159.23566879</v>
      </c>
      <c r="K106" s="807" t="s">
        <v>2460</v>
      </c>
      <c r="L106" s="805" t="n">
        <v>40840</v>
      </c>
      <c r="M106" s="805" t="n">
        <v>40841</v>
      </c>
      <c r="N106" s="805"/>
      <c r="O106" s="810" t="n">
        <v>3.85</v>
      </c>
      <c r="P106" s="749" t="s">
        <v>2362</v>
      </c>
      <c r="Q106" s="749" t="s">
        <v>2363</v>
      </c>
    </row>
    <row r="107" customFormat="false" ht="16.5" hidden="false" customHeight="true" outlineLevel="0" collapsed="false">
      <c r="A107" s="773" t="s">
        <v>2335</v>
      </c>
      <c r="B107" s="805" t="n">
        <v>40835</v>
      </c>
      <c r="C107" s="806"/>
      <c r="D107" s="807" t="s">
        <v>2372</v>
      </c>
      <c r="E107" s="807" t="s">
        <v>2373</v>
      </c>
      <c r="F107" s="807" t="s">
        <v>2533</v>
      </c>
      <c r="G107" s="808" t="s">
        <v>1267</v>
      </c>
      <c r="H107" s="809" t="n">
        <v>56000000</v>
      </c>
      <c r="I107" s="777" t="n">
        <v>78.5</v>
      </c>
      <c r="J107" s="778" t="n">
        <f aca="false">IF(I107="","",H107/I107)</f>
        <v>713375.796178344</v>
      </c>
      <c r="K107" s="807" t="s">
        <v>2460</v>
      </c>
      <c r="L107" s="805" t="n">
        <v>40837</v>
      </c>
      <c r="M107" s="805" t="n">
        <v>41203</v>
      </c>
      <c r="N107" s="805"/>
      <c r="O107" s="810" t="n">
        <v>3</v>
      </c>
      <c r="P107" s="749" t="s">
        <v>2362</v>
      </c>
      <c r="Q107" s="749" t="s">
        <v>2363</v>
      </c>
    </row>
    <row r="108" customFormat="false" ht="16.5" hidden="false" customHeight="true" outlineLevel="0" collapsed="false">
      <c r="A108" s="773" t="s">
        <v>2335</v>
      </c>
      <c r="B108" s="805" t="n">
        <v>40835</v>
      </c>
      <c r="C108" s="806"/>
      <c r="D108" s="807" t="s">
        <v>2375</v>
      </c>
      <c r="E108" s="807" t="s">
        <v>2455</v>
      </c>
      <c r="F108" s="807" t="s">
        <v>2456</v>
      </c>
      <c r="G108" s="808" t="s">
        <v>1267</v>
      </c>
      <c r="H108" s="809" t="n">
        <v>150000000</v>
      </c>
      <c r="I108" s="777" t="n">
        <v>78.5</v>
      </c>
      <c r="J108" s="778" t="n">
        <f aca="false">IF(I108="","",H108/I108)</f>
        <v>1910828.02547771</v>
      </c>
      <c r="K108" s="807" t="s">
        <v>2336</v>
      </c>
      <c r="L108" s="805" t="n">
        <v>40842</v>
      </c>
      <c r="M108" s="805" t="n">
        <v>41057</v>
      </c>
      <c r="N108" s="805"/>
      <c r="O108" s="810" t="n">
        <v>3.1</v>
      </c>
      <c r="P108" s="749" t="s">
        <v>2362</v>
      </c>
      <c r="Q108" s="749" t="s">
        <v>2363</v>
      </c>
    </row>
    <row r="109" customFormat="false" ht="16.5" hidden="false" customHeight="true" outlineLevel="0" collapsed="false">
      <c r="A109" s="773" t="s">
        <v>2335</v>
      </c>
      <c r="B109" s="805" t="n">
        <v>40835</v>
      </c>
      <c r="C109" s="806"/>
      <c r="D109" s="807" t="s">
        <v>2375</v>
      </c>
      <c r="E109" s="807" t="s">
        <v>2534</v>
      </c>
      <c r="F109" s="807" t="s">
        <v>2535</v>
      </c>
      <c r="G109" s="808" t="s">
        <v>1267</v>
      </c>
      <c r="H109" s="809" t="n">
        <v>8000000</v>
      </c>
      <c r="I109" s="777" t="n">
        <v>78.5</v>
      </c>
      <c r="J109" s="778" t="n">
        <f aca="false">IF(I109="","",H109/I109)</f>
        <v>101910.828025478</v>
      </c>
      <c r="K109" s="807" t="s">
        <v>2336</v>
      </c>
      <c r="L109" s="805" t="n">
        <v>40841</v>
      </c>
      <c r="M109" s="805" t="n">
        <v>41207</v>
      </c>
      <c r="N109" s="805"/>
      <c r="O109" s="810" t="n">
        <v>4</v>
      </c>
      <c r="P109" s="749" t="s">
        <v>2362</v>
      </c>
      <c r="Q109" s="749" t="s">
        <v>2363</v>
      </c>
    </row>
    <row r="110" customFormat="false" ht="16.5" hidden="false" customHeight="true" outlineLevel="0" collapsed="false">
      <c r="A110" s="773" t="s">
        <v>2335</v>
      </c>
      <c r="B110" s="805" t="n">
        <v>40836</v>
      </c>
      <c r="C110" s="806"/>
      <c r="D110" s="807" t="s">
        <v>2384</v>
      </c>
      <c r="E110" s="807" t="s">
        <v>2385</v>
      </c>
      <c r="F110" s="807" t="s">
        <v>2426</v>
      </c>
      <c r="G110" s="808" t="s">
        <v>1267</v>
      </c>
      <c r="H110" s="809" t="n">
        <v>41000000</v>
      </c>
      <c r="I110" s="777" t="n">
        <v>78.5</v>
      </c>
      <c r="J110" s="778" t="n">
        <f aca="false">IF(I110="","",H110/I110)</f>
        <v>522292.993630573</v>
      </c>
      <c r="K110" s="807" t="s">
        <v>2460</v>
      </c>
      <c r="L110" s="805" t="n">
        <v>40842</v>
      </c>
      <c r="M110" s="805" t="n">
        <v>41208</v>
      </c>
      <c r="N110" s="805"/>
      <c r="O110" s="810" t="n">
        <v>3.8</v>
      </c>
      <c r="P110" s="749" t="s">
        <v>2362</v>
      </c>
      <c r="Q110" s="749" t="s">
        <v>2363</v>
      </c>
    </row>
    <row r="111" customFormat="false" ht="16.5" hidden="false" customHeight="true" outlineLevel="0" collapsed="false">
      <c r="A111" s="773" t="s">
        <v>2335</v>
      </c>
      <c r="B111" s="805" t="n">
        <v>40837</v>
      </c>
      <c r="C111" s="806"/>
      <c r="D111" s="808" t="s">
        <v>2536</v>
      </c>
      <c r="E111" s="807" t="s">
        <v>2537</v>
      </c>
      <c r="F111" s="807" t="s">
        <v>2538</v>
      </c>
      <c r="G111" s="808" t="s">
        <v>1267</v>
      </c>
      <c r="H111" s="809" t="n">
        <v>22800000</v>
      </c>
      <c r="I111" s="777" t="n">
        <v>78.5</v>
      </c>
      <c r="J111" s="778" t="n">
        <f aca="false">IF(I111="","",H111/I111)</f>
        <v>290445.859872612</v>
      </c>
      <c r="K111" s="807" t="s">
        <v>2460</v>
      </c>
      <c r="L111" s="805" t="n">
        <v>40844</v>
      </c>
      <c r="M111" s="805" t="n">
        <v>41210</v>
      </c>
      <c r="N111" s="805"/>
      <c r="O111" s="810" t="n">
        <v>4</v>
      </c>
      <c r="P111" s="749" t="s">
        <v>2362</v>
      </c>
      <c r="Q111" s="749" t="s">
        <v>2363</v>
      </c>
    </row>
    <row r="112" customFormat="false" ht="16.5" hidden="false" customHeight="true" outlineLevel="0" collapsed="false">
      <c r="A112" s="773" t="s">
        <v>2335</v>
      </c>
      <c r="B112" s="805" t="n">
        <v>40837</v>
      </c>
      <c r="C112" s="806"/>
      <c r="D112" s="808" t="s">
        <v>2536</v>
      </c>
      <c r="E112" s="807" t="s">
        <v>2537</v>
      </c>
      <c r="F112" s="807" t="s">
        <v>2539</v>
      </c>
      <c r="G112" s="808" t="s">
        <v>1267</v>
      </c>
      <c r="H112" s="809" t="n">
        <v>27000000</v>
      </c>
      <c r="I112" s="777" t="n">
        <v>78.5</v>
      </c>
      <c r="J112" s="778" t="n">
        <f aca="false">IF(I112="","",H112/I112)</f>
        <v>343949.044585987</v>
      </c>
      <c r="K112" s="807" t="s">
        <v>2460</v>
      </c>
      <c r="L112" s="805" t="n">
        <v>40844</v>
      </c>
      <c r="M112" s="805" t="n">
        <v>41210</v>
      </c>
      <c r="N112" s="805"/>
      <c r="O112" s="810" t="n">
        <v>4</v>
      </c>
      <c r="P112" s="749" t="s">
        <v>2362</v>
      </c>
      <c r="Q112" s="749" t="s">
        <v>2363</v>
      </c>
    </row>
    <row r="113" customFormat="false" ht="16.5" hidden="false" customHeight="true" outlineLevel="0" collapsed="false">
      <c r="A113" s="773" t="s">
        <v>2335</v>
      </c>
      <c r="B113" s="805" t="n">
        <v>40837</v>
      </c>
      <c r="C113" s="806"/>
      <c r="D113" s="808" t="s">
        <v>2536</v>
      </c>
      <c r="E113" s="807" t="s">
        <v>2537</v>
      </c>
      <c r="F113" s="807" t="s">
        <v>2540</v>
      </c>
      <c r="G113" s="808" t="s">
        <v>1267</v>
      </c>
      <c r="H113" s="809" t="n">
        <v>17600000</v>
      </c>
      <c r="I113" s="777" t="n">
        <v>78.5</v>
      </c>
      <c r="J113" s="778" t="n">
        <f aca="false">IF(I113="","",H113/I113)</f>
        <v>224203.821656051</v>
      </c>
      <c r="K113" s="807" t="s">
        <v>2460</v>
      </c>
      <c r="L113" s="805" t="n">
        <v>40844</v>
      </c>
      <c r="M113" s="805" t="n">
        <v>41210</v>
      </c>
      <c r="N113" s="805"/>
      <c r="O113" s="810" t="n">
        <v>4</v>
      </c>
      <c r="P113" s="749" t="s">
        <v>2362</v>
      </c>
      <c r="Q113" s="749" t="s">
        <v>2363</v>
      </c>
    </row>
    <row r="114" customFormat="false" ht="16.5" hidden="false" customHeight="true" outlineLevel="0" collapsed="false">
      <c r="A114" s="773" t="s">
        <v>2190</v>
      </c>
      <c r="B114" s="774" t="n">
        <v>40840</v>
      </c>
      <c r="D114" s="749" t="s">
        <v>2430</v>
      </c>
      <c r="E114" s="749" t="s">
        <v>2431</v>
      </c>
      <c r="F114" s="749" t="s">
        <v>2432</v>
      </c>
      <c r="G114" s="798" t="s">
        <v>2136</v>
      </c>
      <c r="H114" s="776" t="n">
        <v>38880</v>
      </c>
      <c r="I114" s="777" t="n">
        <v>1</v>
      </c>
      <c r="J114" s="778" t="n">
        <f aca="false">IF(I114="","",H114/I114)</f>
        <v>38880</v>
      </c>
      <c r="K114" s="749" t="s">
        <v>2336</v>
      </c>
      <c r="L114" s="774" t="n">
        <v>40841</v>
      </c>
      <c r="M114" s="774" t="n">
        <v>41024</v>
      </c>
      <c r="O114" s="801" t="n">
        <v>2.69</v>
      </c>
      <c r="P114" s="749" t="s">
        <v>2362</v>
      </c>
      <c r="Q114" s="749" t="s">
        <v>2363</v>
      </c>
    </row>
    <row r="115" customFormat="false" ht="16.5" hidden="false" customHeight="true" outlineLevel="0" collapsed="false">
      <c r="A115" s="773" t="s">
        <v>2190</v>
      </c>
      <c r="B115" s="774" t="n">
        <v>40841</v>
      </c>
      <c r="D115" s="798" t="s">
        <v>2403</v>
      </c>
      <c r="E115" s="749" t="s">
        <v>2537</v>
      </c>
      <c r="F115" s="749" t="s">
        <v>2541</v>
      </c>
      <c r="G115" s="798" t="s">
        <v>2136</v>
      </c>
      <c r="H115" s="776" t="n">
        <v>464000</v>
      </c>
      <c r="I115" s="777" t="n">
        <v>1</v>
      </c>
      <c r="J115" s="778" t="n">
        <f aca="false">IF(I115="","",H115/I115)</f>
        <v>464000</v>
      </c>
      <c r="K115" s="749" t="s">
        <v>2336</v>
      </c>
      <c r="L115" s="774" t="n">
        <v>40844</v>
      </c>
      <c r="M115" s="774" t="n">
        <v>41027</v>
      </c>
      <c r="O115" s="801" t="n">
        <v>3.5</v>
      </c>
      <c r="P115" s="749" t="s">
        <v>2362</v>
      </c>
      <c r="Q115" s="749" t="s">
        <v>2363</v>
      </c>
    </row>
    <row r="116" customFormat="false" ht="16.5" hidden="false" customHeight="true" outlineLevel="0" collapsed="false">
      <c r="A116" s="773" t="s">
        <v>2335</v>
      </c>
      <c r="B116" s="805" t="n">
        <v>40841</v>
      </c>
      <c r="C116" s="806"/>
      <c r="D116" s="807" t="s">
        <v>1366</v>
      </c>
      <c r="E116" s="807" t="s">
        <v>2542</v>
      </c>
      <c r="F116" s="807" t="s">
        <v>2543</v>
      </c>
      <c r="G116" s="808" t="s">
        <v>1267</v>
      </c>
      <c r="H116" s="809" t="n">
        <v>19400000</v>
      </c>
      <c r="I116" s="777" t="n">
        <v>78.5</v>
      </c>
      <c r="J116" s="778" t="n">
        <f aca="false">IF(I116="","",H116/I116)</f>
        <v>247133.757961783</v>
      </c>
      <c r="K116" s="807" t="s">
        <v>2460</v>
      </c>
      <c r="L116" s="805" t="n">
        <v>40847</v>
      </c>
      <c r="M116" s="805" t="n">
        <v>41213</v>
      </c>
      <c r="N116" s="805"/>
      <c r="O116" s="810" t="n">
        <v>4.47</v>
      </c>
      <c r="P116" s="749" t="s">
        <v>2362</v>
      </c>
      <c r="Q116" s="749" t="s">
        <v>2363</v>
      </c>
    </row>
    <row r="117" customFormat="false" ht="16.5" hidden="false" customHeight="true" outlineLevel="0" collapsed="false">
      <c r="A117" s="773" t="s">
        <v>2190</v>
      </c>
      <c r="B117" s="774" t="n">
        <v>40842</v>
      </c>
      <c r="D117" s="749" t="s">
        <v>1366</v>
      </c>
      <c r="E117" s="749" t="s">
        <v>2413</v>
      </c>
      <c r="F117" s="749" t="s">
        <v>2544</v>
      </c>
      <c r="G117" s="798" t="s">
        <v>1267</v>
      </c>
      <c r="H117" s="776" t="n">
        <v>66000000</v>
      </c>
      <c r="I117" s="777" t="n">
        <v>78.5</v>
      </c>
      <c r="J117" s="778" t="n">
        <f aca="false">IF(I117="","",H117/I117)</f>
        <v>840764.331210191</v>
      </c>
      <c r="K117" s="749" t="s">
        <v>2361</v>
      </c>
      <c r="L117" s="774" t="n">
        <v>40847</v>
      </c>
      <c r="M117" s="774" t="n">
        <v>41213</v>
      </c>
      <c r="O117" s="801" t="n">
        <v>4</v>
      </c>
      <c r="P117" s="749" t="s">
        <v>2362</v>
      </c>
      <c r="Q117" s="749" t="s">
        <v>2363</v>
      </c>
    </row>
    <row r="118" customFormat="false" ht="16.5" hidden="false" customHeight="true" outlineLevel="0" collapsed="false">
      <c r="A118" s="773" t="s">
        <v>2335</v>
      </c>
      <c r="B118" s="805" t="n">
        <v>40842</v>
      </c>
      <c r="C118" s="806"/>
      <c r="D118" s="807" t="s">
        <v>2372</v>
      </c>
      <c r="E118" s="807" t="s">
        <v>2441</v>
      </c>
      <c r="F118" s="807" t="s">
        <v>2545</v>
      </c>
      <c r="G118" s="808" t="s">
        <v>1267</v>
      </c>
      <c r="H118" s="809" t="n">
        <v>39870000</v>
      </c>
      <c r="I118" s="777" t="n">
        <v>78.5</v>
      </c>
      <c r="J118" s="778" t="n">
        <f aca="false">IF(I118="","",H118/I118)</f>
        <v>507898.089171975</v>
      </c>
      <c r="K118" s="807" t="s">
        <v>2460</v>
      </c>
      <c r="L118" s="805" t="n">
        <v>40847</v>
      </c>
      <c r="M118" s="805" t="n">
        <v>41212</v>
      </c>
      <c r="N118" s="805"/>
      <c r="O118" s="810" t="n">
        <v>4.21</v>
      </c>
      <c r="P118" s="749" t="s">
        <v>2362</v>
      </c>
      <c r="Q118" s="749" t="s">
        <v>2363</v>
      </c>
    </row>
    <row r="119" customFormat="false" ht="16.5" hidden="false" customHeight="true" outlineLevel="0" collapsed="false">
      <c r="A119" s="773" t="s">
        <v>2190</v>
      </c>
      <c r="B119" s="774" t="n">
        <v>40843</v>
      </c>
      <c r="D119" s="749" t="s">
        <v>2398</v>
      </c>
      <c r="E119" s="749" t="s">
        <v>2546</v>
      </c>
      <c r="F119" s="749" t="s">
        <v>2547</v>
      </c>
      <c r="G119" s="798" t="s">
        <v>2136</v>
      </c>
      <c r="H119" s="776" t="n">
        <v>1750000</v>
      </c>
      <c r="I119" s="777" t="n">
        <v>1</v>
      </c>
      <c r="J119" s="778" t="n">
        <f aca="false">IF(I119="","",H119/I119)</f>
        <v>1750000</v>
      </c>
      <c r="K119" s="749" t="s">
        <v>2361</v>
      </c>
      <c r="L119" s="774" t="n">
        <v>40847</v>
      </c>
      <c r="M119" s="774" t="n">
        <v>41213</v>
      </c>
      <c r="O119" s="801" t="n">
        <v>3.8</v>
      </c>
      <c r="P119" s="749" t="s">
        <v>2362</v>
      </c>
      <c r="Q119" s="749" t="s">
        <v>2363</v>
      </c>
    </row>
    <row r="120" customFormat="false" ht="16.5" hidden="false" customHeight="true" outlineLevel="0" collapsed="false">
      <c r="A120" s="773" t="s">
        <v>2335</v>
      </c>
      <c r="B120" s="805" t="n">
        <v>40843</v>
      </c>
      <c r="C120" s="806"/>
      <c r="D120" s="807" t="s">
        <v>2358</v>
      </c>
      <c r="E120" s="807" t="s">
        <v>2548</v>
      </c>
      <c r="F120" s="807" t="s">
        <v>2549</v>
      </c>
      <c r="G120" s="808" t="s">
        <v>1267</v>
      </c>
      <c r="H120" s="809" t="n">
        <v>630000000</v>
      </c>
      <c r="I120" s="777" t="n">
        <v>78.5</v>
      </c>
      <c r="J120" s="778" t="n">
        <f aca="false">IF(I120="","",H120/I120)</f>
        <v>8025477.70700637</v>
      </c>
      <c r="K120" s="807" t="s">
        <v>2460</v>
      </c>
      <c r="L120" s="805" t="n">
        <v>40847</v>
      </c>
      <c r="M120" s="805" t="n">
        <v>40847</v>
      </c>
      <c r="N120" s="805"/>
      <c r="O120" s="810" t="n">
        <v>3.94</v>
      </c>
      <c r="P120" s="749" t="s">
        <v>2362</v>
      </c>
      <c r="Q120" s="749" t="s">
        <v>2363</v>
      </c>
    </row>
    <row r="121" customFormat="false" ht="16.5" hidden="false" customHeight="true" outlineLevel="0" collapsed="false">
      <c r="A121" s="773" t="s">
        <v>2190</v>
      </c>
      <c r="B121" s="774" t="n">
        <v>40844</v>
      </c>
      <c r="D121" s="749" t="s">
        <v>2398</v>
      </c>
      <c r="E121" s="749" t="s">
        <v>2546</v>
      </c>
      <c r="F121" s="749" t="s">
        <v>2547</v>
      </c>
      <c r="G121" s="798" t="s">
        <v>2136</v>
      </c>
      <c r="H121" s="776" t="n">
        <v>50000</v>
      </c>
      <c r="I121" s="777" t="n">
        <v>1</v>
      </c>
      <c r="J121" s="778" t="n">
        <f aca="false">IF(I121="","",H121/I121)</f>
        <v>50000</v>
      </c>
      <c r="K121" s="749" t="s">
        <v>2361</v>
      </c>
      <c r="L121" s="774" t="n">
        <v>40847</v>
      </c>
      <c r="M121" s="774" t="n">
        <v>41213</v>
      </c>
      <c r="O121" s="801" t="n">
        <v>3.8</v>
      </c>
      <c r="P121" s="749" t="s">
        <v>2362</v>
      </c>
      <c r="Q121" s="749" t="s">
        <v>2363</v>
      </c>
    </row>
    <row r="122" customFormat="false" ht="16.5" hidden="false" customHeight="true" outlineLevel="0" collapsed="false">
      <c r="A122" s="773" t="s">
        <v>2335</v>
      </c>
      <c r="B122" s="805" t="n">
        <v>40844</v>
      </c>
      <c r="C122" s="806"/>
      <c r="D122" s="807" t="s">
        <v>2344</v>
      </c>
      <c r="E122" s="807" t="s">
        <v>2550</v>
      </c>
      <c r="F122" s="807" t="s">
        <v>2551</v>
      </c>
      <c r="G122" s="808" t="s">
        <v>1267</v>
      </c>
      <c r="H122" s="809" t="n">
        <v>158300000</v>
      </c>
      <c r="I122" s="777" t="n">
        <v>78.5</v>
      </c>
      <c r="J122" s="778" t="n">
        <f aca="false">IF(I122="","",H122/I122)</f>
        <v>2016560.50955414</v>
      </c>
      <c r="K122" s="807" t="s">
        <v>2460</v>
      </c>
      <c r="L122" s="805" t="n">
        <v>40861</v>
      </c>
      <c r="M122" s="805" t="n">
        <v>41227</v>
      </c>
      <c r="N122" s="805"/>
      <c r="O122" s="810" t="n">
        <v>3</v>
      </c>
      <c r="P122" s="749" t="s">
        <v>2362</v>
      </c>
      <c r="Q122" s="749" t="s">
        <v>2363</v>
      </c>
    </row>
    <row r="123" customFormat="false" ht="16.5" hidden="false" customHeight="true" outlineLevel="0" collapsed="false">
      <c r="A123" s="773" t="s">
        <v>2335</v>
      </c>
      <c r="B123" s="805" t="n">
        <v>40844</v>
      </c>
      <c r="C123" s="806"/>
      <c r="D123" s="807" t="s">
        <v>2344</v>
      </c>
      <c r="E123" s="807" t="s">
        <v>2550</v>
      </c>
      <c r="F123" s="807" t="s">
        <v>2552</v>
      </c>
      <c r="G123" s="808" t="s">
        <v>1267</v>
      </c>
      <c r="H123" s="809" t="n">
        <v>92000000</v>
      </c>
      <c r="I123" s="777" t="n">
        <v>78.5</v>
      </c>
      <c r="J123" s="778" t="n">
        <f aca="false">IF(I123="","",H123/I123)</f>
        <v>1171974.52229299</v>
      </c>
      <c r="K123" s="807" t="s">
        <v>2460</v>
      </c>
      <c r="L123" s="805" t="n">
        <v>40870</v>
      </c>
      <c r="M123" s="805" t="n">
        <v>41225</v>
      </c>
      <c r="N123" s="805"/>
      <c r="O123" s="810" t="n">
        <v>4</v>
      </c>
      <c r="P123" s="749" t="s">
        <v>2362</v>
      </c>
      <c r="Q123" s="749" t="s">
        <v>2363</v>
      </c>
    </row>
    <row r="124" customFormat="false" ht="16.5" hidden="false" customHeight="true" outlineLevel="0" collapsed="false">
      <c r="A124" s="773" t="s">
        <v>2335</v>
      </c>
      <c r="B124" s="805" t="n">
        <v>40848</v>
      </c>
      <c r="C124" s="806"/>
      <c r="D124" s="807" t="s">
        <v>124</v>
      </c>
      <c r="E124" s="807" t="s">
        <v>2381</v>
      </c>
      <c r="F124" s="807" t="s">
        <v>2553</v>
      </c>
      <c r="G124" s="808" t="s">
        <v>1267</v>
      </c>
      <c r="H124" s="809" t="n">
        <v>95000000</v>
      </c>
      <c r="I124" s="777" t="n">
        <v>78.5</v>
      </c>
      <c r="J124" s="778" t="n">
        <f aca="false">IF(I124="","",H124/I124)</f>
        <v>1210191.08280255</v>
      </c>
      <c r="K124" s="807" t="s">
        <v>2361</v>
      </c>
      <c r="L124" s="805" t="n">
        <v>40856</v>
      </c>
      <c r="M124" s="805" t="n">
        <v>41222</v>
      </c>
      <c r="N124" s="805"/>
      <c r="O124" s="810" t="n">
        <v>4</v>
      </c>
      <c r="P124" s="749" t="s">
        <v>2362</v>
      </c>
      <c r="Q124" s="749" t="s">
        <v>2363</v>
      </c>
    </row>
    <row r="125" customFormat="false" ht="16.5" hidden="false" customHeight="true" outlineLevel="0" collapsed="false">
      <c r="A125" s="773" t="s">
        <v>2335</v>
      </c>
      <c r="B125" s="805" t="n">
        <v>40848</v>
      </c>
      <c r="C125" s="806"/>
      <c r="D125" s="807" t="s">
        <v>2430</v>
      </c>
      <c r="E125" s="807" t="s">
        <v>2431</v>
      </c>
      <c r="F125" s="807" t="s">
        <v>2432</v>
      </c>
      <c r="G125" s="808" t="s">
        <v>2136</v>
      </c>
      <c r="H125" s="809" t="n">
        <v>243125</v>
      </c>
      <c r="I125" s="777" t="n">
        <v>1</v>
      </c>
      <c r="J125" s="778" t="n">
        <f aca="false">IF(I125="","",H125/I125)</f>
        <v>243125</v>
      </c>
      <c r="K125" s="807" t="s">
        <v>2336</v>
      </c>
      <c r="L125" s="805" t="n">
        <v>40850</v>
      </c>
      <c r="M125" s="805" t="n">
        <v>41216</v>
      </c>
      <c r="N125" s="805"/>
      <c r="O125" s="810" t="n">
        <v>2.71</v>
      </c>
      <c r="P125" s="749" t="s">
        <v>2362</v>
      </c>
      <c r="Q125" s="749" t="s">
        <v>2363</v>
      </c>
    </row>
    <row r="126" customFormat="false" ht="16.5" hidden="false" customHeight="true" outlineLevel="0" collapsed="false">
      <c r="A126" s="773" t="s">
        <v>2335</v>
      </c>
      <c r="B126" s="805" t="n">
        <v>40849</v>
      </c>
      <c r="C126" s="806"/>
      <c r="D126" s="807" t="s">
        <v>2554</v>
      </c>
      <c r="E126" s="807" t="s">
        <v>2555</v>
      </c>
      <c r="F126" s="807" t="s">
        <v>2556</v>
      </c>
      <c r="G126" s="808" t="s">
        <v>1267</v>
      </c>
      <c r="H126" s="809" t="n">
        <v>36000000</v>
      </c>
      <c r="I126" s="777" t="n">
        <v>78.5</v>
      </c>
      <c r="J126" s="778" t="n">
        <f aca="false">IF(I126="","",H126/I126)</f>
        <v>458598.72611465</v>
      </c>
      <c r="K126" s="807" t="s">
        <v>2361</v>
      </c>
      <c r="L126" s="805" t="n">
        <v>40876</v>
      </c>
      <c r="M126" s="805" t="n">
        <v>41058</v>
      </c>
      <c r="N126" s="805"/>
      <c r="O126" s="810" t="n">
        <v>5.17</v>
      </c>
      <c r="P126" s="749" t="s">
        <v>2362</v>
      </c>
      <c r="Q126" s="749" t="s">
        <v>2363</v>
      </c>
    </row>
    <row r="127" customFormat="false" ht="16.5" hidden="false" customHeight="true" outlineLevel="0" collapsed="false">
      <c r="A127" s="773" t="s">
        <v>2335</v>
      </c>
      <c r="B127" s="805" t="n">
        <v>40849</v>
      </c>
      <c r="C127" s="806"/>
      <c r="D127" s="807" t="s">
        <v>2358</v>
      </c>
      <c r="E127" s="807" t="s">
        <v>2359</v>
      </c>
      <c r="F127" s="807" t="s">
        <v>2557</v>
      </c>
      <c r="G127" s="808" t="s">
        <v>1267</v>
      </c>
      <c r="H127" s="809" t="n">
        <v>300000000</v>
      </c>
      <c r="I127" s="777" t="n">
        <v>78.5</v>
      </c>
      <c r="J127" s="778" t="n">
        <f aca="false">IF(I127="","",H127/I127)</f>
        <v>3821656.05095541</v>
      </c>
      <c r="K127" s="807" t="s">
        <v>2361</v>
      </c>
      <c r="L127" s="805" t="n">
        <v>40854</v>
      </c>
      <c r="M127" s="805" t="n">
        <v>41219</v>
      </c>
      <c r="N127" s="805"/>
      <c r="O127" s="810" t="n">
        <v>4.05</v>
      </c>
      <c r="P127" s="749" t="s">
        <v>2362</v>
      </c>
      <c r="Q127" s="749" t="s">
        <v>2363</v>
      </c>
    </row>
    <row r="128" customFormat="false" ht="16.5" hidden="false" customHeight="true" outlineLevel="0" collapsed="false">
      <c r="A128" s="773" t="s">
        <v>2335</v>
      </c>
      <c r="B128" s="805" t="n">
        <v>40849</v>
      </c>
      <c r="C128" s="806"/>
      <c r="D128" s="807" t="s">
        <v>2358</v>
      </c>
      <c r="E128" s="807" t="s">
        <v>2359</v>
      </c>
      <c r="F128" s="807" t="s">
        <v>2558</v>
      </c>
      <c r="G128" s="808" t="s">
        <v>1267</v>
      </c>
      <c r="H128" s="809" t="n">
        <v>541000000</v>
      </c>
      <c r="I128" s="777" t="n">
        <v>78.5</v>
      </c>
      <c r="J128" s="778" t="n">
        <f aca="false">IF(I128="","",H128/I128)</f>
        <v>6891719.74522293</v>
      </c>
      <c r="K128" s="807" t="s">
        <v>2361</v>
      </c>
      <c r="L128" s="805" t="n">
        <v>40854</v>
      </c>
      <c r="M128" s="805" t="n">
        <v>41219</v>
      </c>
      <c r="N128" s="805"/>
      <c r="O128" s="810" t="n">
        <v>3.95</v>
      </c>
      <c r="P128" s="749" t="s">
        <v>2362</v>
      </c>
      <c r="Q128" s="749" t="s">
        <v>2363</v>
      </c>
    </row>
    <row r="129" customFormat="false" ht="16.5" hidden="false" customHeight="true" outlineLevel="0" collapsed="false">
      <c r="A129" s="773" t="s">
        <v>2190</v>
      </c>
      <c r="B129" s="774" t="n">
        <v>40854</v>
      </c>
      <c r="D129" s="749" t="s">
        <v>2559</v>
      </c>
      <c r="E129" s="749" t="s">
        <v>2560</v>
      </c>
      <c r="F129" s="749" t="s">
        <v>2561</v>
      </c>
      <c r="G129" s="798" t="s">
        <v>2136</v>
      </c>
      <c r="H129" s="776" t="n">
        <v>57000</v>
      </c>
      <c r="I129" s="777" t="n">
        <v>1</v>
      </c>
      <c r="J129" s="778" t="n">
        <f aca="false">IF(I129="","",H129/I129)</f>
        <v>57000</v>
      </c>
      <c r="K129" s="749" t="s">
        <v>2336</v>
      </c>
      <c r="L129" s="774" t="n">
        <v>40855</v>
      </c>
      <c r="M129" s="774" t="n">
        <v>41221</v>
      </c>
      <c r="O129" s="801" t="n">
        <v>4.4</v>
      </c>
      <c r="P129" s="749" t="s">
        <v>2362</v>
      </c>
      <c r="Q129" s="749" t="s">
        <v>2363</v>
      </c>
    </row>
    <row r="130" customFormat="false" ht="16.5" hidden="false" customHeight="true" outlineLevel="0" collapsed="false">
      <c r="A130" s="773" t="s">
        <v>2335</v>
      </c>
      <c r="B130" s="805" t="n">
        <v>40854</v>
      </c>
      <c r="C130" s="806"/>
      <c r="D130" s="807" t="s">
        <v>2358</v>
      </c>
      <c r="E130" s="807" t="s">
        <v>2359</v>
      </c>
      <c r="F130" s="807" t="s">
        <v>2562</v>
      </c>
      <c r="G130" s="808" t="s">
        <v>1267</v>
      </c>
      <c r="H130" s="809" t="n">
        <v>100000</v>
      </c>
      <c r="I130" s="777" t="n">
        <v>78.5</v>
      </c>
      <c r="J130" s="778" t="n">
        <f aca="false">IF(I130="","",H130/I130)</f>
        <v>1273.88535031847</v>
      </c>
      <c r="K130" s="807" t="s">
        <v>2361</v>
      </c>
      <c r="L130" s="805" t="n">
        <v>40856</v>
      </c>
      <c r="M130" s="805" t="n">
        <v>41222</v>
      </c>
      <c r="N130" s="805"/>
      <c r="O130" s="810" t="n">
        <v>4.2</v>
      </c>
      <c r="P130" s="749" t="s">
        <v>2362</v>
      </c>
      <c r="Q130" s="749" t="s">
        <v>2363</v>
      </c>
    </row>
    <row r="131" customFormat="false" ht="16.5" hidden="false" customHeight="true" outlineLevel="0" collapsed="false">
      <c r="A131" s="773" t="s">
        <v>2335</v>
      </c>
      <c r="B131" s="805" t="n">
        <v>40855</v>
      </c>
      <c r="C131" s="806"/>
      <c r="D131" s="807" t="s">
        <v>1366</v>
      </c>
      <c r="E131" s="807" t="s">
        <v>2413</v>
      </c>
      <c r="F131" s="807" t="s">
        <v>2563</v>
      </c>
      <c r="G131" s="808" t="s">
        <v>1267</v>
      </c>
      <c r="H131" s="809" t="n">
        <v>53700000</v>
      </c>
      <c r="I131" s="777" t="n">
        <v>78.5</v>
      </c>
      <c r="J131" s="778" t="n">
        <f aca="false">IF(I131="","",H131/I131)</f>
        <v>684076.433121019</v>
      </c>
      <c r="K131" s="807" t="s">
        <v>2361</v>
      </c>
      <c r="L131" s="805" t="n">
        <v>40862</v>
      </c>
      <c r="M131" s="805" t="n">
        <v>41228</v>
      </c>
      <c r="N131" s="805"/>
      <c r="O131" s="810" t="n">
        <v>4</v>
      </c>
      <c r="P131" s="749" t="s">
        <v>2362</v>
      </c>
      <c r="Q131" s="749" t="s">
        <v>2363</v>
      </c>
    </row>
    <row r="132" customFormat="false" ht="16.5" hidden="false" customHeight="true" outlineLevel="0" collapsed="false">
      <c r="A132" s="773" t="s">
        <v>2335</v>
      </c>
      <c r="B132" s="805" t="n">
        <v>40855</v>
      </c>
      <c r="C132" s="806"/>
      <c r="D132" s="807" t="s">
        <v>2378</v>
      </c>
      <c r="E132" s="807" t="s">
        <v>2379</v>
      </c>
      <c r="F132" s="807" t="s">
        <v>2380</v>
      </c>
      <c r="G132" s="808" t="s">
        <v>2136</v>
      </c>
      <c r="H132" s="809" t="n">
        <v>300000</v>
      </c>
      <c r="I132" s="777" t="n">
        <v>1</v>
      </c>
      <c r="J132" s="778" t="n">
        <f aca="false">IF(I132="","",H132/I132)</f>
        <v>300000</v>
      </c>
      <c r="K132" s="807" t="s">
        <v>2336</v>
      </c>
      <c r="L132" s="805" t="n">
        <v>40856</v>
      </c>
      <c r="M132" s="805" t="n">
        <v>40948</v>
      </c>
      <c r="N132" s="805"/>
      <c r="O132" s="810" t="n">
        <v>3.3</v>
      </c>
      <c r="P132" s="749" t="s">
        <v>2362</v>
      </c>
      <c r="Q132" s="749" t="s">
        <v>2363</v>
      </c>
    </row>
    <row r="133" customFormat="false" ht="16.5" hidden="false" customHeight="true" outlineLevel="0" collapsed="false">
      <c r="A133" s="773" t="s">
        <v>2190</v>
      </c>
      <c r="B133" s="774" t="n">
        <v>40856</v>
      </c>
      <c r="D133" s="749" t="s">
        <v>103</v>
      </c>
      <c r="E133" s="749" t="s">
        <v>2564</v>
      </c>
      <c r="F133" s="749" t="s">
        <v>2516</v>
      </c>
      <c r="G133" s="798" t="s">
        <v>2136</v>
      </c>
      <c r="H133" s="776" t="n">
        <v>3000000</v>
      </c>
      <c r="I133" s="777" t="n">
        <v>1</v>
      </c>
      <c r="J133" s="778" t="n">
        <f aca="false">IF(I133="","",H133/I133)</f>
        <v>3000000</v>
      </c>
      <c r="K133" s="749" t="s">
        <v>2336</v>
      </c>
      <c r="L133" s="774" t="n">
        <v>40861</v>
      </c>
      <c r="M133" s="774" t="n">
        <v>40903</v>
      </c>
      <c r="O133" s="801" t="n">
        <v>3.22</v>
      </c>
      <c r="P133" s="749" t="s">
        <v>2362</v>
      </c>
      <c r="Q133" s="749" t="s">
        <v>2363</v>
      </c>
    </row>
    <row r="134" customFormat="false" ht="16.5" hidden="false" customHeight="true" outlineLevel="0" collapsed="false">
      <c r="A134" s="773" t="s">
        <v>2335</v>
      </c>
      <c r="B134" s="805" t="n">
        <v>40857</v>
      </c>
      <c r="C134" s="806"/>
      <c r="D134" s="808" t="s">
        <v>2536</v>
      </c>
      <c r="E134" s="807" t="s">
        <v>2537</v>
      </c>
      <c r="F134" s="807" t="s">
        <v>2565</v>
      </c>
      <c r="G134" s="808" t="s">
        <v>1267</v>
      </c>
      <c r="H134" s="809" t="n">
        <v>5450000</v>
      </c>
      <c r="I134" s="777" t="n">
        <v>78.5</v>
      </c>
      <c r="J134" s="778" t="n">
        <f aca="false">IF(I134="","",H134/I134)</f>
        <v>69426.7515923567</v>
      </c>
      <c r="K134" s="807" t="s">
        <v>2361</v>
      </c>
      <c r="L134" s="805" t="n">
        <v>40861</v>
      </c>
      <c r="M134" s="805" t="n">
        <v>41228</v>
      </c>
      <c r="N134" s="805"/>
      <c r="O134" s="810" t="n">
        <v>4</v>
      </c>
      <c r="P134" s="749" t="s">
        <v>2362</v>
      </c>
      <c r="Q134" s="749" t="s">
        <v>2363</v>
      </c>
    </row>
    <row r="135" customFormat="false" ht="16.5" hidden="false" customHeight="true" outlineLevel="0" collapsed="false">
      <c r="A135" s="773" t="s">
        <v>2335</v>
      </c>
      <c r="B135" s="805" t="n">
        <v>40857</v>
      </c>
      <c r="C135" s="806"/>
      <c r="D135" s="808" t="s">
        <v>2536</v>
      </c>
      <c r="E135" s="807" t="s">
        <v>2537</v>
      </c>
      <c r="F135" s="807" t="s">
        <v>2566</v>
      </c>
      <c r="G135" s="808" t="s">
        <v>1267</v>
      </c>
      <c r="H135" s="809" t="n">
        <v>51000000</v>
      </c>
      <c r="I135" s="777" t="n">
        <v>78.5</v>
      </c>
      <c r="J135" s="778" t="n">
        <f aca="false">IF(I135="","",H135/I135)</f>
        <v>649681.52866242</v>
      </c>
      <c r="K135" s="807" t="s">
        <v>2361</v>
      </c>
      <c r="L135" s="805" t="n">
        <v>40861</v>
      </c>
      <c r="M135" s="805" t="n">
        <v>41228</v>
      </c>
      <c r="N135" s="805"/>
      <c r="O135" s="810" t="n">
        <v>4</v>
      </c>
      <c r="P135" s="749" t="s">
        <v>2362</v>
      </c>
      <c r="Q135" s="749" t="s">
        <v>2363</v>
      </c>
    </row>
    <row r="136" customFormat="false" ht="16.5" hidden="false" customHeight="true" outlineLevel="0" collapsed="false">
      <c r="A136" s="773" t="s">
        <v>2335</v>
      </c>
      <c r="B136" s="805" t="n">
        <v>40858</v>
      </c>
      <c r="C136" s="806"/>
      <c r="D136" s="807" t="s">
        <v>2358</v>
      </c>
      <c r="E136" s="807" t="s">
        <v>2359</v>
      </c>
      <c r="F136" s="807" t="s">
        <v>2567</v>
      </c>
      <c r="G136" s="808" t="s">
        <v>1267</v>
      </c>
      <c r="H136" s="809" t="n">
        <v>75000000</v>
      </c>
      <c r="I136" s="777" t="n">
        <v>78.5</v>
      </c>
      <c r="J136" s="778" t="n">
        <f aca="false">IF(I136="","",H136/I136)</f>
        <v>955414.012738854</v>
      </c>
      <c r="K136" s="807" t="s">
        <v>2361</v>
      </c>
      <c r="L136" s="805" t="n">
        <v>40860</v>
      </c>
      <c r="M136" s="805" t="n">
        <v>41226</v>
      </c>
      <c r="N136" s="805"/>
      <c r="O136" s="810" t="n">
        <v>3.9</v>
      </c>
      <c r="P136" s="749" t="s">
        <v>2362</v>
      </c>
      <c r="Q136" s="749" t="s">
        <v>2363</v>
      </c>
    </row>
    <row r="137" customFormat="false" ht="16.5" hidden="false" customHeight="true" outlineLevel="0" collapsed="false">
      <c r="A137" s="773" t="s">
        <v>2335</v>
      </c>
      <c r="B137" s="805" t="n">
        <v>40858</v>
      </c>
      <c r="C137" s="806"/>
      <c r="D137" s="807" t="s">
        <v>2358</v>
      </c>
      <c r="E137" s="807" t="s">
        <v>2359</v>
      </c>
      <c r="F137" s="807" t="s">
        <v>2568</v>
      </c>
      <c r="G137" s="808" t="s">
        <v>1267</v>
      </c>
      <c r="H137" s="809" t="n">
        <v>250000000</v>
      </c>
      <c r="I137" s="777" t="n">
        <v>78.5</v>
      </c>
      <c r="J137" s="778" t="n">
        <f aca="false">IF(I137="","",H137/I137)</f>
        <v>3184713.37579618</v>
      </c>
      <c r="K137" s="807" t="s">
        <v>2361</v>
      </c>
      <c r="L137" s="805" t="n">
        <v>40862</v>
      </c>
      <c r="M137" s="805" t="n">
        <v>41228</v>
      </c>
      <c r="N137" s="805"/>
      <c r="O137" s="810" t="n">
        <v>4.3</v>
      </c>
      <c r="P137" s="749" t="s">
        <v>2362</v>
      </c>
      <c r="Q137" s="749" t="s">
        <v>2363</v>
      </c>
    </row>
    <row r="138" customFormat="false" ht="16.5" hidden="false" customHeight="true" outlineLevel="0" collapsed="false">
      <c r="A138" s="773" t="s">
        <v>2335</v>
      </c>
      <c r="B138" s="805" t="n">
        <v>40858</v>
      </c>
      <c r="C138" s="806"/>
      <c r="D138" s="807" t="s">
        <v>2358</v>
      </c>
      <c r="E138" s="807" t="s">
        <v>2359</v>
      </c>
      <c r="F138" s="807" t="s">
        <v>2569</v>
      </c>
      <c r="G138" s="808" t="s">
        <v>1267</v>
      </c>
      <c r="H138" s="809" t="n">
        <v>77000000</v>
      </c>
      <c r="I138" s="777" t="n">
        <v>78.5</v>
      </c>
      <c r="J138" s="778" t="n">
        <f aca="false">IF(I138="","",H138/I138)</f>
        <v>980891.719745223</v>
      </c>
      <c r="K138" s="807" t="s">
        <v>2361</v>
      </c>
      <c r="L138" s="805" t="n">
        <v>40863</v>
      </c>
      <c r="M138" s="805" t="n">
        <v>41229</v>
      </c>
      <c r="N138" s="805"/>
      <c r="O138" s="810" t="n">
        <v>4.3</v>
      </c>
      <c r="P138" s="749" t="s">
        <v>2362</v>
      </c>
      <c r="Q138" s="749" t="s">
        <v>2363</v>
      </c>
    </row>
    <row r="139" customFormat="false" ht="16.5" hidden="false" customHeight="true" outlineLevel="0" collapsed="false">
      <c r="A139" s="773" t="s">
        <v>2335</v>
      </c>
      <c r="B139" s="805" t="n">
        <v>40862</v>
      </c>
      <c r="C139" s="806"/>
      <c r="D139" s="807" t="s">
        <v>2367</v>
      </c>
      <c r="E139" s="807" t="s">
        <v>2570</v>
      </c>
      <c r="F139" s="807" t="s">
        <v>2571</v>
      </c>
      <c r="G139" s="808" t="s">
        <v>1267</v>
      </c>
      <c r="H139" s="809" t="n">
        <v>127700000</v>
      </c>
      <c r="I139" s="777" t="n">
        <v>78.5</v>
      </c>
      <c r="J139" s="778" t="n">
        <f aca="false">IF(I139="","",H139/I139)</f>
        <v>1626751.59235669</v>
      </c>
      <c r="K139" s="807" t="s">
        <v>2361</v>
      </c>
      <c r="L139" s="805" t="n">
        <v>40865</v>
      </c>
      <c r="M139" s="805" t="n">
        <v>40874</v>
      </c>
      <c r="N139" s="805"/>
      <c r="O139" s="810" t="n">
        <v>3.8</v>
      </c>
      <c r="P139" s="749" t="s">
        <v>2362</v>
      </c>
      <c r="Q139" s="749" t="s">
        <v>2363</v>
      </c>
    </row>
    <row r="140" customFormat="false" ht="16.5" hidden="false" customHeight="true" outlineLevel="0" collapsed="false">
      <c r="A140" s="773" t="s">
        <v>2335</v>
      </c>
      <c r="B140" s="805" t="n">
        <v>40862</v>
      </c>
      <c r="C140" s="806"/>
      <c r="D140" s="807" t="s">
        <v>2344</v>
      </c>
      <c r="E140" s="807" t="s">
        <v>2572</v>
      </c>
      <c r="F140" s="807" t="s">
        <v>2573</v>
      </c>
      <c r="G140" s="808" t="s">
        <v>1267</v>
      </c>
      <c r="H140" s="809" t="n">
        <v>79500000</v>
      </c>
      <c r="I140" s="777" t="n">
        <v>78.5</v>
      </c>
      <c r="J140" s="778" t="n">
        <f aca="false">IF(I140="","",H140/I140)</f>
        <v>1012738.85350318</v>
      </c>
      <c r="K140" s="807" t="s">
        <v>2361</v>
      </c>
      <c r="L140" s="805" t="n">
        <v>40862</v>
      </c>
      <c r="M140" s="805" t="n">
        <v>40870</v>
      </c>
      <c r="N140" s="805"/>
      <c r="O140" s="810" t="n">
        <v>3.64</v>
      </c>
      <c r="P140" s="749" t="s">
        <v>2362</v>
      </c>
      <c r="Q140" s="749" t="s">
        <v>2363</v>
      </c>
    </row>
    <row r="141" customFormat="false" ht="16.5" hidden="false" customHeight="true" outlineLevel="0" collapsed="false">
      <c r="A141" s="773" t="s">
        <v>2335</v>
      </c>
      <c r="B141" s="805" t="n">
        <v>40863</v>
      </c>
      <c r="C141" s="806"/>
      <c r="D141" s="807" t="s">
        <v>1366</v>
      </c>
      <c r="E141" s="807" t="s">
        <v>2445</v>
      </c>
      <c r="F141" s="807" t="s">
        <v>2473</v>
      </c>
      <c r="G141" s="808" t="s">
        <v>1267</v>
      </c>
      <c r="H141" s="809" t="n">
        <v>91680000</v>
      </c>
      <c r="I141" s="777" t="n">
        <v>78.5</v>
      </c>
      <c r="J141" s="778" t="n">
        <f aca="false">IF(I141="","",H141/I141)</f>
        <v>1167898.08917197</v>
      </c>
      <c r="K141" s="807" t="s">
        <v>2361</v>
      </c>
      <c r="L141" s="805" t="n">
        <v>40869</v>
      </c>
      <c r="M141" s="805" t="n">
        <v>41235</v>
      </c>
      <c r="N141" s="805"/>
      <c r="O141" s="810" t="n">
        <v>3.8</v>
      </c>
      <c r="P141" s="749" t="s">
        <v>2362</v>
      </c>
      <c r="Q141" s="749" t="s">
        <v>2363</v>
      </c>
    </row>
    <row r="142" customFormat="false" ht="16.5" hidden="false" customHeight="true" outlineLevel="0" collapsed="false">
      <c r="A142" s="773" t="s">
        <v>2335</v>
      </c>
      <c r="B142" s="805" t="n">
        <v>40868</v>
      </c>
      <c r="C142" s="806"/>
      <c r="D142" s="807" t="s">
        <v>2358</v>
      </c>
      <c r="E142" s="807" t="s">
        <v>2359</v>
      </c>
      <c r="F142" s="807" t="s">
        <v>2574</v>
      </c>
      <c r="G142" s="808" t="s">
        <v>1267</v>
      </c>
      <c r="H142" s="809" t="n">
        <v>84400000</v>
      </c>
      <c r="I142" s="777" t="n">
        <v>78.5</v>
      </c>
      <c r="J142" s="778" t="n">
        <f aca="false">IF(I142="","",H142/I142)</f>
        <v>1075159.23566879</v>
      </c>
      <c r="K142" s="807" t="s">
        <v>2361</v>
      </c>
      <c r="L142" s="805" t="n">
        <v>40869</v>
      </c>
      <c r="M142" s="805" t="n">
        <v>41235</v>
      </c>
      <c r="N142" s="805"/>
      <c r="O142" s="810" t="n">
        <v>4.25</v>
      </c>
      <c r="P142" s="749" t="s">
        <v>2362</v>
      </c>
      <c r="Q142" s="749" t="s">
        <v>2363</v>
      </c>
    </row>
    <row r="143" customFormat="false" ht="16.5" hidden="false" customHeight="true" outlineLevel="0" collapsed="false">
      <c r="A143" s="773" t="s">
        <v>2335</v>
      </c>
      <c r="B143" s="805" t="n">
        <v>40868</v>
      </c>
      <c r="C143" s="806"/>
      <c r="D143" s="807" t="s">
        <v>96</v>
      </c>
      <c r="E143" s="807" t="s">
        <v>2575</v>
      </c>
      <c r="F143" s="807" t="s">
        <v>2576</v>
      </c>
      <c r="G143" s="808" t="s">
        <v>2136</v>
      </c>
      <c r="H143" s="809" t="n">
        <v>200000</v>
      </c>
      <c r="I143" s="777" t="n">
        <v>1</v>
      </c>
      <c r="J143" s="778" t="n">
        <f aca="false">IF(I143="","",H143/I143)</f>
        <v>200000</v>
      </c>
      <c r="K143" s="807" t="s">
        <v>2336</v>
      </c>
      <c r="L143" s="805" t="n">
        <v>40868</v>
      </c>
      <c r="M143" s="805" t="n">
        <v>40958</v>
      </c>
      <c r="N143" s="805"/>
      <c r="O143" s="810" t="n">
        <v>2.95</v>
      </c>
      <c r="P143" s="749" t="s">
        <v>2362</v>
      </c>
      <c r="Q143" s="749" t="s">
        <v>2363</v>
      </c>
    </row>
    <row r="144" customFormat="false" ht="16.5" hidden="false" customHeight="true" outlineLevel="0" collapsed="false">
      <c r="A144" s="773" t="s">
        <v>2335</v>
      </c>
      <c r="B144" s="805" t="n">
        <v>40870</v>
      </c>
      <c r="C144" s="806"/>
      <c r="D144" s="808" t="s">
        <v>2536</v>
      </c>
      <c r="E144" s="807" t="s">
        <v>2537</v>
      </c>
      <c r="F144" s="807" t="s">
        <v>2577</v>
      </c>
      <c r="G144" s="808" t="s">
        <v>1267</v>
      </c>
      <c r="H144" s="809" t="n">
        <v>22000000</v>
      </c>
      <c r="I144" s="777" t="n">
        <v>78.5</v>
      </c>
      <c r="J144" s="778" t="n">
        <f aca="false">IF(I144="","",H144/I144)</f>
        <v>280254.777070064</v>
      </c>
      <c r="K144" s="807" t="s">
        <v>2361</v>
      </c>
      <c r="L144" s="805" t="n">
        <v>40876</v>
      </c>
      <c r="M144" s="805" t="n">
        <v>41242</v>
      </c>
      <c r="N144" s="805"/>
      <c r="O144" s="810" t="n">
        <v>4</v>
      </c>
      <c r="P144" s="749" t="s">
        <v>2362</v>
      </c>
      <c r="Q144" s="749" t="s">
        <v>2363</v>
      </c>
    </row>
    <row r="145" customFormat="false" ht="16.5" hidden="false" customHeight="true" outlineLevel="0" collapsed="false">
      <c r="A145" s="773" t="s">
        <v>2335</v>
      </c>
      <c r="B145" s="805" t="n">
        <v>40870</v>
      </c>
      <c r="C145" s="806"/>
      <c r="D145" s="807" t="s">
        <v>1366</v>
      </c>
      <c r="E145" s="807" t="s">
        <v>2542</v>
      </c>
      <c r="F145" s="807" t="s">
        <v>2578</v>
      </c>
      <c r="G145" s="808" t="s">
        <v>1267</v>
      </c>
      <c r="H145" s="809" t="n">
        <v>54700000</v>
      </c>
      <c r="I145" s="777" t="n">
        <v>78.5</v>
      </c>
      <c r="J145" s="778" t="n">
        <f aca="false">IF(I145="","",H145/I145)</f>
        <v>696815.286624204</v>
      </c>
      <c r="K145" s="807" t="s">
        <v>2361</v>
      </c>
      <c r="L145" s="805" t="n">
        <v>40877</v>
      </c>
      <c r="M145" s="805" t="n">
        <v>41243</v>
      </c>
      <c r="N145" s="805"/>
      <c r="O145" s="810" t="n">
        <v>3.3</v>
      </c>
      <c r="P145" s="749" t="s">
        <v>2362</v>
      </c>
      <c r="Q145" s="749" t="s">
        <v>2363</v>
      </c>
    </row>
    <row r="146" customFormat="false" ht="16.5" hidden="false" customHeight="true" outlineLevel="0" collapsed="false">
      <c r="A146" s="773" t="s">
        <v>2335</v>
      </c>
      <c r="B146" s="805" t="n">
        <v>40870</v>
      </c>
      <c r="C146" s="806"/>
      <c r="D146" s="807" t="s">
        <v>2358</v>
      </c>
      <c r="E146" s="807" t="s">
        <v>2359</v>
      </c>
      <c r="F146" s="807" t="s">
        <v>2579</v>
      </c>
      <c r="G146" s="808" t="s">
        <v>1267</v>
      </c>
      <c r="H146" s="809" t="n">
        <v>208000000</v>
      </c>
      <c r="I146" s="777" t="n">
        <v>78.5</v>
      </c>
      <c r="J146" s="778" t="n">
        <f aca="false">IF(I146="","",H146/I146)</f>
        <v>2649681.52866242</v>
      </c>
      <c r="K146" s="807" t="s">
        <v>2361</v>
      </c>
      <c r="L146" s="805" t="n">
        <v>40875</v>
      </c>
      <c r="M146" s="805" t="n">
        <v>41241</v>
      </c>
      <c r="N146" s="805"/>
      <c r="O146" s="810" t="n">
        <v>4.2</v>
      </c>
      <c r="P146" s="749" t="s">
        <v>2362</v>
      </c>
      <c r="Q146" s="749" t="s">
        <v>2363</v>
      </c>
    </row>
    <row r="147" customFormat="false" ht="16.5" hidden="false" customHeight="true" outlineLevel="0" collapsed="false">
      <c r="A147" s="773" t="s">
        <v>2335</v>
      </c>
      <c r="B147" s="805" t="n">
        <v>40870</v>
      </c>
      <c r="C147" s="806"/>
      <c r="D147" s="807" t="s">
        <v>2358</v>
      </c>
      <c r="E147" s="807" t="s">
        <v>2359</v>
      </c>
      <c r="F147" s="807" t="s">
        <v>2580</v>
      </c>
      <c r="G147" s="808" t="s">
        <v>1267</v>
      </c>
      <c r="H147" s="809" t="n">
        <v>383000000</v>
      </c>
      <c r="I147" s="777" t="n">
        <v>78.5</v>
      </c>
      <c r="J147" s="778" t="n">
        <f aca="false">IF(I147="","",H147/I147)</f>
        <v>4878980.89171975</v>
      </c>
      <c r="K147" s="807" t="s">
        <v>2361</v>
      </c>
      <c r="L147" s="805" t="n">
        <v>40876</v>
      </c>
      <c r="M147" s="805" t="n">
        <v>41242</v>
      </c>
      <c r="N147" s="805"/>
      <c r="O147" s="810" t="n">
        <v>4.36</v>
      </c>
      <c r="P147" s="749" t="s">
        <v>2362</v>
      </c>
      <c r="Q147" s="749" t="s">
        <v>2363</v>
      </c>
    </row>
    <row r="148" customFormat="false" ht="16.5" hidden="false" customHeight="true" outlineLevel="0" collapsed="false">
      <c r="A148" s="773" t="s">
        <v>2335</v>
      </c>
      <c r="B148" s="805" t="n">
        <v>40872</v>
      </c>
      <c r="C148" s="806"/>
      <c r="D148" s="807" t="s">
        <v>1366</v>
      </c>
      <c r="E148" s="807" t="s">
        <v>2542</v>
      </c>
      <c r="F148" s="807" t="s">
        <v>2581</v>
      </c>
      <c r="G148" s="808" t="s">
        <v>1267</v>
      </c>
      <c r="H148" s="809" t="n">
        <v>31500000</v>
      </c>
      <c r="I148" s="777" t="n">
        <v>78.5</v>
      </c>
      <c r="J148" s="778" t="n">
        <f aca="false">IF(I148="","",H148/I148)</f>
        <v>401273.885350318</v>
      </c>
      <c r="K148" s="807" t="s">
        <v>2361</v>
      </c>
      <c r="L148" s="805" t="n">
        <v>40882</v>
      </c>
      <c r="M148" s="805" t="n">
        <v>41248</v>
      </c>
      <c r="N148" s="805"/>
      <c r="O148" s="810" t="n">
        <v>4.22</v>
      </c>
      <c r="P148" s="749" t="s">
        <v>2362</v>
      </c>
      <c r="Q148" s="749" t="s">
        <v>2363</v>
      </c>
    </row>
    <row r="149" customFormat="false" ht="16.5" hidden="false" customHeight="true" outlineLevel="0" collapsed="false">
      <c r="A149" s="773" t="s">
        <v>2335</v>
      </c>
      <c r="B149" s="805" t="n">
        <v>40872</v>
      </c>
      <c r="C149" s="806"/>
      <c r="D149" s="807" t="s">
        <v>201</v>
      </c>
      <c r="E149" s="807" t="s">
        <v>2388</v>
      </c>
      <c r="F149" s="807" t="s">
        <v>2582</v>
      </c>
      <c r="G149" s="808" t="s">
        <v>1267</v>
      </c>
      <c r="H149" s="809" t="n">
        <v>13300000</v>
      </c>
      <c r="I149" s="777" t="n">
        <v>78.5</v>
      </c>
      <c r="J149" s="778" t="n">
        <f aca="false">IF(I149="","",H149/I149)</f>
        <v>169426.751592357</v>
      </c>
      <c r="K149" s="807" t="s">
        <v>2361</v>
      </c>
      <c r="L149" s="805" t="n">
        <v>40877</v>
      </c>
      <c r="M149" s="805" t="n">
        <v>41243</v>
      </c>
      <c r="N149" s="805"/>
      <c r="O149" s="810" t="n">
        <v>4.52</v>
      </c>
      <c r="P149" s="749" t="s">
        <v>2362</v>
      </c>
      <c r="Q149" s="749" t="s">
        <v>2363</v>
      </c>
    </row>
    <row r="150" customFormat="false" ht="16.5" hidden="false" customHeight="true" outlineLevel="0" collapsed="false">
      <c r="A150" s="773" t="s">
        <v>2335</v>
      </c>
      <c r="B150" s="805" t="n">
        <v>40872</v>
      </c>
      <c r="C150" s="806"/>
      <c r="D150" s="807" t="s">
        <v>201</v>
      </c>
      <c r="E150" s="807" t="s">
        <v>2388</v>
      </c>
      <c r="F150" s="807" t="s">
        <v>2583</v>
      </c>
      <c r="G150" s="808" t="s">
        <v>1267</v>
      </c>
      <c r="H150" s="809" t="n">
        <v>34000000</v>
      </c>
      <c r="I150" s="777" t="n">
        <v>78.5</v>
      </c>
      <c r="J150" s="778" t="n">
        <f aca="false">IF(I150="","",H150/I150)</f>
        <v>433121.01910828</v>
      </c>
      <c r="K150" s="807" t="s">
        <v>2361</v>
      </c>
      <c r="L150" s="805" t="n">
        <v>40877</v>
      </c>
      <c r="M150" s="805" t="n">
        <v>41243</v>
      </c>
      <c r="N150" s="805"/>
      <c r="O150" s="810" t="n">
        <v>4.46</v>
      </c>
      <c r="P150" s="749" t="s">
        <v>2362</v>
      </c>
      <c r="Q150" s="749" t="s">
        <v>2363</v>
      </c>
    </row>
    <row r="151" customFormat="false" ht="16.5" hidden="false" customHeight="true" outlineLevel="0" collapsed="false">
      <c r="A151" s="773" t="s">
        <v>2190</v>
      </c>
      <c r="B151" s="805" t="n">
        <v>40875</v>
      </c>
      <c r="C151" s="806"/>
      <c r="D151" s="807" t="s">
        <v>133</v>
      </c>
      <c r="E151" s="807" t="s">
        <v>2584</v>
      </c>
      <c r="F151" s="807" t="s">
        <v>2585</v>
      </c>
      <c r="G151" s="808" t="s">
        <v>1267</v>
      </c>
      <c r="H151" s="809" t="n">
        <v>11700000</v>
      </c>
      <c r="I151" s="777" t="n">
        <v>78.5</v>
      </c>
      <c r="J151" s="778" t="n">
        <f aca="false">IF(I151="","",H151/I151)</f>
        <v>149044.585987261</v>
      </c>
      <c r="K151" s="807" t="s">
        <v>2361</v>
      </c>
      <c r="L151" s="805" t="n">
        <v>40876</v>
      </c>
      <c r="M151" s="805" t="n">
        <v>41242</v>
      </c>
      <c r="N151" s="805"/>
      <c r="O151" s="810" t="n">
        <v>3.5</v>
      </c>
      <c r="P151" s="749" t="s">
        <v>2362</v>
      </c>
      <c r="Q151" s="749" t="s">
        <v>2363</v>
      </c>
    </row>
    <row r="152" customFormat="false" ht="16.5" hidden="false" customHeight="true" outlineLevel="0" collapsed="false">
      <c r="A152" s="773" t="s">
        <v>2190</v>
      </c>
      <c r="B152" s="805" t="n">
        <v>40875</v>
      </c>
      <c r="C152" s="806"/>
      <c r="D152" s="749" t="s">
        <v>2398</v>
      </c>
      <c r="E152" s="749" t="s">
        <v>2447</v>
      </c>
      <c r="F152" s="749" t="s">
        <v>2448</v>
      </c>
      <c r="G152" s="798" t="s">
        <v>2136</v>
      </c>
      <c r="H152" s="776" t="n">
        <v>200000</v>
      </c>
      <c r="I152" s="777" t="n">
        <v>1</v>
      </c>
      <c r="J152" s="778" t="n">
        <f aca="false">IF(I152="","",H152/I152)</f>
        <v>200000</v>
      </c>
      <c r="K152" s="749" t="s">
        <v>2336</v>
      </c>
      <c r="L152" s="774" t="n">
        <v>40875</v>
      </c>
      <c r="M152" s="774" t="n">
        <v>40905</v>
      </c>
      <c r="O152" s="801" t="n">
        <v>3.04</v>
      </c>
      <c r="P152" s="749" t="s">
        <v>2362</v>
      </c>
      <c r="Q152" s="749" t="s">
        <v>2363</v>
      </c>
    </row>
    <row r="153" customFormat="false" ht="16.5" hidden="false" customHeight="true" outlineLevel="0" collapsed="false">
      <c r="A153" s="773" t="s">
        <v>2335</v>
      </c>
      <c r="B153" s="805" t="n">
        <v>40876</v>
      </c>
      <c r="C153" s="806"/>
      <c r="D153" s="807" t="s">
        <v>354</v>
      </c>
      <c r="E153" s="807" t="s">
        <v>2586</v>
      </c>
      <c r="F153" s="807" t="s">
        <v>2587</v>
      </c>
      <c r="G153" s="808" t="s">
        <v>1267</v>
      </c>
      <c r="H153" s="809" t="n">
        <v>26500000</v>
      </c>
      <c r="I153" s="777" t="n">
        <v>78.5</v>
      </c>
      <c r="J153" s="778" t="n">
        <f aca="false">IF(I153="","",H153/I153)</f>
        <v>337579.617834395</v>
      </c>
      <c r="K153" s="807" t="s">
        <v>2361</v>
      </c>
      <c r="L153" s="805" t="n">
        <v>40879</v>
      </c>
      <c r="M153" s="805" t="n">
        <v>41245</v>
      </c>
      <c r="N153" s="805"/>
      <c r="O153" s="810" t="n">
        <v>3.65</v>
      </c>
      <c r="P153" s="749" t="s">
        <v>2362</v>
      </c>
      <c r="Q153" s="749" t="s">
        <v>2363</v>
      </c>
    </row>
    <row r="154" customFormat="false" ht="16.5" hidden="false" customHeight="true" outlineLevel="0" collapsed="false">
      <c r="A154" s="773" t="s">
        <v>2335</v>
      </c>
      <c r="B154" s="805" t="n">
        <v>40878</v>
      </c>
      <c r="C154" s="806"/>
      <c r="D154" s="807" t="s">
        <v>1366</v>
      </c>
      <c r="E154" s="807" t="s">
        <v>2413</v>
      </c>
      <c r="F154" s="807" t="s">
        <v>2588</v>
      </c>
      <c r="G154" s="808" t="s">
        <v>1267</v>
      </c>
      <c r="H154" s="809" t="n">
        <v>100000000</v>
      </c>
      <c r="I154" s="777" t="n">
        <v>78.5</v>
      </c>
      <c r="J154" s="778" t="n">
        <f aca="false">IF(I154="","",H154/I154)</f>
        <v>1273885.35031847</v>
      </c>
      <c r="K154" s="807" t="s">
        <v>2361</v>
      </c>
      <c r="L154" s="805" t="n">
        <v>40882</v>
      </c>
      <c r="M154" s="805" t="n">
        <v>41248</v>
      </c>
      <c r="N154" s="805"/>
      <c r="O154" s="810" t="n">
        <v>4</v>
      </c>
      <c r="P154" s="749" t="s">
        <v>2362</v>
      </c>
      <c r="Q154" s="749" t="s">
        <v>2363</v>
      </c>
    </row>
    <row r="155" customFormat="false" ht="16.5" hidden="false" customHeight="true" outlineLevel="0" collapsed="false">
      <c r="A155" s="773" t="s">
        <v>2335</v>
      </c>
      <c r="B155" s="805" t="n">
        <v>40878</v>
      </c>
      <c r="C155" s="806"/>
      <c r="D155" s="807" t="s">
        <v>597</v>
      </c>
      <c r="E155" s="807" t="s">
        <v>2589</v>
      </c>
      <c r="F155" s="807" t="s">
        <v>2590</v>
      </c>
      <c r="G155" s="808" t="s">
        <v>1267</v>
      </c>
      <c r="H155" s="809" t="n">
        <v>15000000</v>
      </c>
      <c r="I155" s="777" t="n">
        <v>78.5</v>
      </c>
      <c r="J155" s="778" t="n">
        <f aca="false">IF(I155="","",H155/I155)</f>
        <v>191082.802547771</v>
      </c>
      <c r="K155" s="807" t="s">
        <v>2361</v>
      </c>
      <c r="L155" s="805" t="n">
        <v>40884</v>
      </c>
      <c r="M155" s="805" t="n">
        <v>41250</v>
      </c>
      <c r="N155" s="805"/>
      <c r="O155" s="810" t="n">
        <v>3.8</v>
      </c>
      <c r="P155" s="749" t="s">
        <v>2362</v>
      </c>
      <c r="Q155" s="749" t="s">
        <v>2363</v>
      </c>
    </row>
    <row r="156" customFormat="false" ht="16.5" hidden="false" customHeight="true" outlineLevel="0" collapsed="false">
      <c r="A156" s="773" t="s">
        <v>2335</v>
      </c>
      <c r="B156" s="805" t="n">
        <v>40878</v>
      </c>
      <c r="C156" s="806"/>
      <c r="D156" s="807" t="s">
        <v>2358</v>
      </c>
      <c r="E156" s="807" t="s">
        <v>2359</v>
      </c>
      <c r="F156" s="807" t="s">
        <v>2591</v>
      </c>
      <c r="G156" s="808" t="s">
        <v>1267</v>
      </c>
      <c r="H156" s="809" t="n">
        <v>19000000</v>
      </c>
      <c r="I156" s="777" t="n">
        <v>78.5</v>
      </c>
      <c r="J156" s="778" t="n">
        <f aca="false">IF(I156="","",H156/I156)</f>
        <v>242038.21656051</v>
      </c>
      <c r="K156" s="807" t="s">
        <v>2361</v>
      </c>
      <c r="L156" s="805" t="n">
        <v>40879</v>
      </c>
      <c r="M156" s="805" t="n">
        <v>41246</v>
      </c>
      <c r="N156" s="805"/>
      <c r="O156" s="810" t="n">
        <v>4</v>
      </c>
      <c r="P156" s="749" t="s">
        <v>2362</v>
      </c>
      <c r="Q156" s="749" t="s">
        <v>2363</v>
      </c>
    </row>
    <row r="157" customFormat="false" ht="16.5" hidden="false" customHeight="true" outlineLevel="0" collapsed="false">
      <c r="A157" s="773" t="s">
        <v>2335</v>
      </c>
      <c r="B157" s="805" t="n">
        <v>40878</v>
      </c>
      <c r="C157" s="806"/>
      <c r="D157" s="807" t="s">
        <v>2358</v>
      </c>
      <c r="E157" s="807" t="s">
        <v>2359</v>
      </c>
      <c r="F157" s="807" t="s">
        <v>2592</v>
      </c>
      <c r="G157" s="808" t="s">
        <v>1267</v>
      </c>
      <c r="H157" s="809" t="n">
        <v>116000000</v>
      </c>
      <c r="I157" s="777" t="n">
        <v>78.5</v>
      </c>
      <c r="J157" s="778" t="n">
        <f aca="false">IF(I157="","",H157/I157)</f>
        <v>1477707.00636943</v>
      </c>
      <c r="K157" s="807" t="s">
        <v>2361</v>
      </c>
      <c r="L157" s="805" t="n">
        <v>40882</v>
      </c>
      <c r="M157" s="805" t="n">
        <v>41248</v>
      </c>
      <c r="N157" s="805"/>
      <c r="O157" s="810" t="n">
        <v>4.2</v>
      </c>
      <c r="P157" s="749" t="s">
        <v>2362</v>
      </c>
      <c r="Q157" s="749" t="s">
        <v>2363</v>
      </c>
    </row>
    <row r="158" customFormat="false" ht="16.5" hidden="false" customHeight="true" outlineLevel="0" collapsed="false">
      <c r="A158" s="773" t="s">
        <v>2335</v>
      </c>
      <c r="B158" s="805" t="n">
        <v>40878</v>
      </c>
      <c r="C158" s="806"/>
      <c r="D158" s="807" t="s">
        <v>2358</v>
      </c>
      <c r="E158" s="807" t="s">
        <v>2359</v>
      </c>
      <c r="F158" s="807" t="s">
        <v>2593</v>
      </c>
      <c r="G158" s="808" t="s">
        <v>1267</v>
      </c>
      <c r="H158" s="809" t="n">
        <v>77500000</v>
      </c>
      <c r="I158" s="777" t="n">
        <v>78.5</v>
      </c>
      <c r="J158" s="778" t="n">
        <f aca="false">IF(I158="","",H158/I158)</f>
        <v>987261.146496815</v>
      </c>
      <c r="K158" s="807" t="s">
        <v>2361</v>
      </c>
      <c r="L158" s="805" t="n">
        <v>40882</v>
      </c>
      <c r="M158" s="805" t="n">
        <v>41248</v>
      </c>
      <c r="N158" s="805"/>
      <c r="O158" s="810" t="n">
        <v>4.2</v>
      </c>
      <c r="P158" s="749" t="s">
        <v>2362</v>
      </c>
      <c r="Q158" s="749" t="s">
        <v>2363</v>
      </c>
    </row>
    <row r="159" customFormat="false" ht="16.5" hidden="false" customHeight="true" outlineLevel="0" collapsed="false">
      <c r="A159" s="773" t="s">
        <v>2335</v>
      </c>
      <c r="B159" s="805" t="n">
        <v>40882</v>
      </c>
      <c r="C159" s="806"/>
      <c r="D159" s="807" t="s">
        <v>2364</v>
      </c>
      <c r="E159" s="807" t="s">
        <v>2365</v>
      </c>
      <c r="F159" s="807" t="s">
        <v>2366</v>
      </c>
      <c r="G159" s="808" t="s">
        <v>1267</v>
      </c>
      <c r="H159" s="809" t="n">
        <v>20400000</v>
      </c>
      <c r="I159" s="777" t="n">
        <v>78.5</v>
      </c>
      <c r="J159" s="778" t="n">
        <f aca="false">IF(I159="","",H159/I159)</f>
        <v>259872.611464968</v>
      </c>
      <c r="K159" s="807" t="s">
        <v>2336</v>
      </c>
      <c r="L159" s="805" t="n">
        <v>40899</v>
      </c>
      <c r="M159" s="805" t="n">
        <v>41082</v>
      </c>
      <c r="N159" s="805"/>
      <c r="O159" s="810" t="n">
        <v>5.1</v>
      </c>
      <c r="P159" s="749" t="s">
        <v>2362</v>
      </c>
      <c r="Q159" s="749" t="s">
        <v>2363</v>
      </c>
    </row>
    <row r="160" customFormat="false" ht="16.5" hidden="false" customHeight="true" outlineLevel="0" collapsed="false">
      <c r="A160" s="773" t="s">
        <v>2190</v>
      </c>
      <c r="B160" s="774" t="n">
        <v>40884</v>
      </c>
      <c r="D160" s="749" t="s">
        <v>2430</v>
      </c>
      <c r="E160" s="749" t="s">
        <v>2431</v>
      </c>
      <c r="F160" s="749" t="s">
        <v>2432</v>
      </c>
      <c r="G160" s="798" t="s">
        <v>2136</v>
      </c>
      <c r="H160" s="776" t="n">
        <v>54880</v>
      </c>
      <c r="I160" s="777" t="n">
        <v>1</v>
      </c>
      <c r="J160" s="778" t="n">
        <f aca="false">IF(I160="","",H160/I160)</f>
        <v>54880</v>
      </c>
      <c r="K160" s="749" t="s">
        <v>2336</v>
      </c>
      <c r="L160" s="774" t="n">
        <v>40890</v>
      </c>
      <c r="M160" s="774" t="n">
        <v>41073</v>
      </c>
      <c r="O160" s="801" t="n">
        <v>3</v>
      </c>
      <c r="P160" s="749" t="s">
        <v>2362</v>
      </c>
      <c r="Q160" s="749" t="s">
        <v>2363</v>
      </c>
    </row>
    <row r="161" customFormat="false" ht="16.5" hidden="false" customHeight="true" outlineLevel="0" collapsed="false">
      <c r="A161" s="773" t="s">
        <v>2335</v>
      </c>
      <c r="B161" s="805" t="n">
        <v>40885</v>
      </c>
      <c r="C161" s="806"/>
      <c r="D161" s="807" t="s">
        <v>2358</v>
      </c>
      <c r="E161" s="807" t="s">
        <v>2359</v>
      </c>
      <c r="F161" s="807" t="s">
        <v>2594</v>
      </c>
      <c r="G161" s="808" t="s">
        <v>1267</v>
      </c>
      <c r="H161" s="809" t="n">
        <v>890000000</v>
      </c>
      <c r="I161" s="777" t="n">
        <v>78.5</v>
      </c>
      <c r="J161" s="778" t="n">
        <f aca="false">IF(I161="","",H161/I161)</f>
        <v>11337579.6178344</v>
      </c>
      <c r="K161" s="807" t="s">
        <v>2361</v>
      </c>
      <c r="L161" s="805" t="n">
        <v>40889</v>
      </c>
      <c r="M161" s="805" t="n">
        <v>41255</v>
      </c>
      <c r="N161" s="805"/>
      <c r="O161" s="810" t="n">
        <v>4.1</v>
      </c>
      <c r="P161" s="749" t="s">
        <v>2362</v>
      </c>
      <c r="Q161" s="749" t="s">
        <v>2363</v>
      </c>
    </row>
    <row r="162" customFormat="false" ht="16.5" hidden="false" customHeight="true" outlineLevel="0" collapsed="false">
      <c r="A162" s="773" t="s">
        <v>2335</v>
      </c>
      <c r="B162" s="805" t="n">
        <v>40885</v>
      </c>
      <c r="C162" s="806"/>
      <c r="D162" s="807" t="s">
        <v>2358</v>
      </c>
      <c r="E162" s="807" t="s">
        <v>2359</v>
      </c>
      <c r="F162" s="807" t="s">
        <v>2595</v>
      </c>
      <c r="G162" s="808" t="s">
        <v>1267</v>
      </c>
      <c r="H162" s="809" t="n">
        <v>87900000</v>
      </c>
      <c r="I162" s="777" t="n">
        <v>78.5</v>
      </c>
      <c r="J162" s="778" t="n">
        <f aca="false">IF(I162="","",H162/I162)</f>
        <v>1119745.22292994</v>
      </c>
      <c r="K162" s="807" t="s">
        <v>2361</v>
      </c>
      <c r="L162" s="805" t="n">
        <v>40893</v>
      </c>
      <c r="M162" s="805" t="n">
        <v>41259</v>
      </c>
      <c r="N162" s="805"/>
      <c r="O162" s="810" t="n">
        <v>4.2</v>
      </c>
      <c r="P162" s="749" t="s">
        <v>2362</v>
      </c>
      <c r="Q162" s="749" t="s">
        <v>2363</v>
      </c>
    </row>
    <row r="163" customFormat="false" ht="16.5" hidden="false" customHeight="true" outlineLevel="0" collapsed="false">
      <c r="A163" s="773" t="s">
        <v>2335</v>
      </c>
      <c r="B163" s="805" t="n">
        <v>40885</v>
      </c>
      <c r="C163" s="806"/>
      <c r="D163" s="807" t="s">
        <v>2358</v>
      </c>
      <c r="E163" s="807" t="s">
        <v>2359</v>
      </c>
      <c r="F163" s="807" t="s">
        <v>2596</v>
      </c>
      <c r="G163" s="808" t="s">
        <v>1267</v>
      </c>
      <c r="H163" s="809" t="n">
        <v>86700000</v>
      </c>
      <c r="I163" s="777" t="n">
        <v>78.5</v>
      </c>
      <c r="J163" s="778" t="n">
        <f aca="false">IF(I163="","",H163/I163)</f>
        <v>1104458.59872611</v>
      </c>
      <c r="K163" s="807" t="s">
        <v>2361</v>
      </c>
      <c r="L163" s="805" t="n">
        <v>40893</v>
      </c>
      <c r="M163" s="805" t="n">
        <v>41259</v>
      </c>
      <c r="N163" s="805"/>
      <c r="O163" s="810" t="n">
        <v>4.2</v>
      </c>
      <c r="P163" s="749" t="s">
        <v>2362</v>
      </c>
      <c r="Q163" s="749" t="s">
        <v>2363</v>
      </c>
    </row>
    <row r="164" customFormat="false" ht="16.5" hidden="false" customHeight="true" outlineLevel="0" collapsed="false">
      <c r="A164" s="773" t="s">
        <v>2335</v>
      </c>
      <c r="B164" s="805" t="n">
        <v>40886</v>
      </c>
      <c r="C164" s="806"/>
      <c r="D164" s="807" t="s">
        <v>2344</v>
      </c>
      <c r="E164" s="807" t="s">
        <v>2550</v>
      </c>
      <c r="F164" s="807" t="s">
        <v>2597</v>
      </c>
      <c r="G164" s="808" t="s">
        <v>1267</v>
      </c>
      <c r="H164" s="809" t="n">
        <v>17000000</v>
      </c>
      <c r="I164" s="777" t="n">
        <v>78.5</v>
      </c>
      <c r="J164" s="778" t="n">
        <f aca="false">IF(I164="","",H164/I164)</f>
        <v>216560.50955414</v>
      </c>
      <c r="K164" s="807" t="s">
        <v>2361</v>
      </c>
      <c r="L164" s="805" t="n">
        <v>40912</v>
      </c>
      <c r="M164" s="805" t="n">
        <v>41278</v>
      </c>
      <c r="N164" s="805"/>
      <c r="O164" s="810" t="n">
        <v>3.9</v>
      </c>
      <c r="P164" s="749" t="s">
        <v>2362</v>
      </c>
      <c r="Q164" s="749" t="s">
        <v>2363</v>
      </c>
    </row>
    <row r="165" customFormat="false" ht="16.5" hidden="false" customHeight="true" outlineLevel="0" collapsed="false">
      <c r="A165" s="773" t="s">
        <v>2335</v>
      </c>
      <c r="B165" s="805" t="n">
        <v>40890</v>
      </c>
      <c r="C165" s="806"/>
      <c r="D165" s="807" t="s">
        <v>1366</v>
      </c>
      <c r="E165" s="807" t="s">
        <v>2445</v>
      </c>
      <c r="F165" s="807" t="s">
        <v>2598</v>
      </c>
      <c r="G165" s="808" t="s">
        <v>1267</v>
      </c>
      <c r="H165" s="809" t="n">
        <v>53700000</v>
      </c>
      <c r="I165" s="777" t="n">
        <v>78.5</v>
      </c>
      <c r="J165" s="778" t="n">
        <f aca="false">IF(I165="","",H165/I165)</f>
        <v>684076.433121019</v>
      </c>
      <c r="K165" s="807" t="s">
        <v>2361</v>
      </c>
      <c r="L165" s="805" t="n">
        <v>40905</v>
      </c>
      <c r="M165" s="805" t="n">
        <v>41271</v>
      </c>
      <c r="N165" s="805"/>
      <c r="O165" s="810" t="n">
        <v>4.5</v>
      </c>
      <c r="P165" s="749" t="s">
        <v>2362</v>
      </c>
      <c r="Q165" s="749" t="s">
        <v>2363</v>
      </c>
    </row>
    <row r="166" customFormat="false" ht="16.5" hidden="false" customHeight="true" outlineLevel="0" collapsed="false">
      <c r="A166" s="773" t="s">
        <v>2335</v>
      </c>
      <c r="B166" s="805" t="n">
        <v>40891</v>
      </c>
      <c r="C166" s="806"/>
      <c r="D166" s="807" t="s">
        <v>2520</v>
      </c>
      <c r="E166" s="807" t="s">
        <v>2599</v>
      </c>
      <c r="F166" s="807" t="s">
        <v>2600</v>
      </c>
      <c r="G166" s="808" t="s">
        <v>1267</v>
      </c>
      <c r="H166" s="809" t="n">
        <v>30900000</v>
      </c>
      <c r="I166" s="777" t="n">
        <v>78.5</v>
      </c>
      <c r="J166" s="778" t="n">
        <f aca="false">IF(I166="","",H166/I166)</f>
        <v>393630.573248408</v>
      </c>
      <c r="K166" s="807" t="s">
        <v>2361</v>
      </c>
      <c r="L166" s="805" t="n">
        <v>40907</v>
      </c>
      <c r="M166" s="805" t="n">
        <v>41273</v>
      </c>
      <c r="N166" s="805"/>
      <c r="O166" s="810" t="n">
        <v>5</v>
      </c>
      <c r="P166" s="749" t="s">
        <v>2362</v>
      </c>
      <c r="Q166" s="749" t="s">
        <v>2363</v>
      </c>
    </row>
    <row r="167" customFormat="false" ht="16.5" hidden="false" customHeight="true" outlineLevel="0" collapsed="false">
      <c r="A167" s="773" t="s">
        <v>2335</v>
      </c>
      <c r="B167" s="805" t="n">
        <v>40892</v>
      </c>
      <c r="C167" s="806"/>
      <c r="D167" s="807" t="s">
        <v>2378</v>
      </c>
      <c r="E167" s="807" t="s">
        <v>2379</v>
      </c>
      <c r="F167" s="807" t="s">
        <v>2380</v>
      </c>
      <c r="G167" s="808" t="s">
        <v>2136</v>
      </c>
      <c r="H167" s="809" t="n">
        <v>1000000</v>
      </c>
      <c r="I167" s="777" t="n">
        <v>1</v>
      </c>
      <c r="J167" s="778" t="n">
        <f aca="false">IF(I167="","",H167/I167)</f>
        <v>1000000</v>
      </c>
      <c r="K167" s="807" t="s">
        <v>2336</v>
      </c>
      <c r="L167" s="805" t="n">
        <v>40892</v>
      </c>
      <c r="M167" s="805" t="n">
        <v>40983</v>
      </c>
      <c r="N167" s="805"/>
      <c r="O167" s="810" t="n">
        <v>3.3</v>
      </c>
      <c r="P167" s="749" t="s">
        <v>2362</v>
      </c>
      <c r="Q167" s="749" t="s">
        <v>2363</v>
      </c>
    </row>
    <row r="168" customFormat="false" ht="16.5" hidden="false" customHeight="true" outlineLevel="0" collapsed="false">
      <c r="A168" s="773" t="s">
        <v>2190</v>
      </c>
      <c r="B168" s="774" t="n">
        <v>40893</v>
      </c>
      <c r="D168" s="798" t="s">
        <v>2403</v>
      </c>
      <c r="E168" s="749" t="s">
        <v>2537</v>
      </c>
      <c r="F168" s="749" t="s">
        <v>2541</v>
      </c>
      <c r="G168" s="776" t="s">
        <v>2136</v>
      </c>
      <c r="H168" s="776" t="n">
        <v>427420</v>
      </c>
      <c r="I168" s="777" t="n">
        <v>1</v>
      </c>
      <c r="J168" s="778" t="n">
        <f aca="false">IF(I168="","",H168/I168)</f>
        <v>427420</v>
      </c>
      <c r="K168" s="749" t="s">
        <v>2336</v>
      </c>
      <c r="L168" s="774" t="n">
        <v>40893</v>
      </c>
      <c r="M168" s="774" t="n">
        <v>41076</v>
      </c>
      <c r="O168" s="801" t="n">
        <v>3.5</v>
      </c>
      <c r="P168" s="749" t="s">
        <v>2362</v>
      </c>
      <c r="Q168" s="749" t="s">
        <v>2363</v>
      </c>
    </row>
    <row r="169" customFormat="false" ht="16.5" hidden="false" customHeight="true" outlineLevel="0" collapsed="false">
      <c r="A169" s="773" t="s">
        <v>2335</v>
      </c>
      <c r="B169" s="805" t="n">
        <v>40893</v>
      </c>
      <c r="C169" s="806"/>
      <c r="D169" s="807" t="s">
        <v>124</v>
      </c>
      <c r="E169" s="807" t="s">
        <v>2381</v>
      </c>
      <c r="F169" s="807" t="s">
        <v>2382</v>
      </c>
      <c r="G169" s="808" t="s">
        <v>1267</v>
      </c>
      <c r="H169" s="809" t="n">
        <v>27370000</v>
      </c>
      <c r="I169" s="777" t="n">
        <v>78.5</v>
      </c>
      <c r="J169" s="778" t="n">
        <f aca="false">IF(I169="","",H169/I169)</f>
        <v>348662.420382166</v>
      </c>
      <c r="K169" s="807" t="s">
        <v>2361</v>
      </c>
      <c r="L169" s="805" t="n">
        <v>40893</v>
      </c>
      <c r="M169" s="805" t="n">
        <v>41624</v>
      </c>
      <c r="N169" s="805"/>
      <c r="O169" s="810" t="n">
        <v>2</v>
      </c>
      <c r="P169" s="749" t="s">
        <v>2362</v>
      </c>
      <c r="Q169" s="749" t="s">
        <v>2363</v>
      </c>
    </row>
    <row r="170" customFormat="false" ht="16.5" hidden="false" customHeight="true" outlineLevel="0" collapsed="false">
      <c r="A170" s="773" t="s">
        <v>2335</v>
      </c>
      <c r="B170" s="805" t="n">
        <v>40893</v>
      </c>
      <c r="C170" s="806"/>
      <c r="D170" s="807" t="s">
        <v>2375</v>
      </c>
      <c r="E170" s="807" t="s">
        <v>2601</v>
      </c>
      <c r="F170" s="807" t="s">
        <v>2602</v>
      </c>
      <c r="G170" s="808" t="s">
        <v>1267</v>
      </c>
      <c r="H170" s="809" t="n">
        <v>160000000</v>
      </c>
      <c r="I170" s="777" t="n">
        <v>78.5</v>
      </c>
      <c r="J170" s="778" t="n">
        <f aca="false">IF(I170="","",H170/I170)</f>
        <v>2038216.56050955</v>
      </c>
      <c r="K170" s="807" t="s">
        <v>2361</v>
      </c>
      <c r="L170" s="805" t="n">
        <v>40893</v>
      </c>
      <c r="M170" s="805" t="n">
        <v>41259</v>
      </c>
      <c r="N170" s="805"/>
      <c r="O170" s="810" t="n">
        <v>3.15</v>
      </c>
      <c r="P170" s="749" t="s">
        <v>2362</v>
      </c>
      <c r="Q170" s="749" t="s">
        <v>2363</v>
      </c>
    </row>
    <row r="171" customFormat="false" ht="16.5" hidden="false" customHeight="true" outlineLevel="0" collapsed="false">
      <c r="A171" s="773" t="s">
        <v>2335</v>
      </c>
      <c r="B171" s="805" t="n">
        <v>40893</v>
      </c>
      <c r="C171" s="806"/>
      <c r="D171" s="807" t="s">
        <v>1366</v>
      </c>
      <c r="E171" s="807" t="s">
        <v>2413</v>
      </c>
      <c r="F171" s="807" t="s">
        <v>2371</v>
      </c>
      <c r="G171" s="808" t="s">
        <v>1267</v>
      </c>
      <c r="H171" s="809" t="n">
        <v>264060000</v>
      </c>
      <c r="I171" s="777" t="n">
        <v>78.5</v>
      </c>
      <c r="J171" s="778" t="n">
        <f aca="false">IF(I171="","",H171/I171)</f>
        <v>3363821.65605096</v>
      </c>
      <c r="K171" s="807" t="s">
        <v>2361</v>
      </c>
      <c r="L171" s="805" t="n">
        <v>40900</v>
      </c>
      <c r="M171" s="805" t="n">
        <v>41266</v>
      </c>
      <c r="N171" s="805"/>
      <c r="O171" s="810" t="n">
        <v>4.18</v>
      </c>
      <c r="P171" s="749" t="s">
        <v>2362</v>
      </c>
      <c r="Q171" s="749" t="s">
        <v>2363</v>
      </c>
    </row>
    <row r="172" customFormat="false" ht="16.5" hidden="false" customHeight="true" outlineLevel="0" collapsed="false">
      <c r="A172" s="773" t="s">
        <v>2335</v>
      </c>
      <c r="B172" s="805" t="n">
        <v>40898</v>
      </c>
      <c r="C172" s="806"/>
      <c r="D172" s="807" t="s">
        <v>2344</v>
      </c>
      <c r="E172" s="807" t="s">
        <v>2572</v>
      </c>
      <c r="F172" s="807" t="s">
        <v>2603</v>
      </c>
      <c r="G172" s="808" t="s">
        <v>1267</v>
      </c>
      <c r="H172" s="809" t="n">
        <v>63000000</v>
      </c>
      <c r="I172" s="777" t="n">
        <v>78.5</v>
      </c>
      <c r="J172" s="778" t="n">
        <f aca="false">IF(I172="","",H172/I172)</f>
        <v>802547.770700637</v>
      </c>
      <c r="K172" s="807" t="s">
        <v>2361</v>
      </c>
      <c r="L172" s="805" t="n">
        <v>40903</v>
      </c>
      <c r="M172" s="805" t="n">
        <v>41269</v>
      </c>
      <c r="N172" s="805"/>
      <c r="O172" s="810" t="n">
        <v>3.3</v>
      </c>
      <c r="P172" s="749" t="s">
        <v>2362</v>
      </c>
      <c r="Q172" s="749" t="s">
        <v>2363</v>
      </c>
    </row>
    <row r="173" customFormat="false" ht="16.5" hidden="false" customHeight="true" outlineLevel="0" collapsed="false">
      <c r="A173" s="773" t="s">
        <v>2335</v>
      </c>
      <c r="B173" s="805" t="n">
        <v>40900</v>
      </c>
      <c r="C173" s="806"/>
      <c r="D173" s="807" t="s">
        <v>1366</v>
      </c>
      <c r="E173" s="807" t="s">
        <v>2445</v>
      </c>
      <c r="F173" s="807" t="s">
        <v>2604</v>
      </c>
      <c r="G173" s="808" t="s">
        <v>1267</v>
      </c>
      <c r="H173" s="809" t="n">
        <v>1663900000</v>
      </c>
      <c r="I173" s="777" t="n">
        <v>78.5</v>
      </c>
      <c r="J173" s="778" t="n">
        <f aca="false">IF(I173="","",H173/I173)</f>
        <v>21196178.343949</v>
      </c>
      <c r="K173" s="807" t="s">
        <v>2361</v>
      </c>
      <c r="L173" s="805" t="n">
        <v>40904</v>
      </c>
      <c r="M173" s="805" t="n">
        <v>41270</v>
      </c>
      <c r="N173" s="805"/>
      <c r="O173" s="810" t="n">
        <v>4.8</v>
      </c>
      <c r="P173" s="749" t="s">
        <v>2362</v>
      </c>
      <c r="Q173" s="749" t="s">
        <v>2363</v>
      </c>
    </row>
    <row r="174" customFormat="false" ht="16.5" hidden="false" customHeight="true" outlineLevel="0" collapsed="false">
      <c r="A174" s="773" t="s">
        <v>2335</v>
      </c>
      <c r="B174" s="805" t="n">
        <v>40900</v>
      </c>
      <c r="C174" s="806"/>
      <c r="D174" s="807" t="s">
        <v>1366</v>
      </c>
      <c r="E174" s="807" t="s">
        <v>2445</v>
      </c>
      <c r="F174" s="807" t="s">
        <v>2604</v>
      </c>
      <c r="G174" s="808" t="s">
        <v>1267</v>
      </c>
      <c r="H174" s="809" t="n">
        <v>328600000</v>
      </c>
      <c r="I174" s="777" t="n">
        <v>78.5</v>
      </c>
      <c r="J174" s="778" t="n">
        <f aca="false">IF(I174="","",H174/I174)</f>
        <v>4185987.2611465</v>
      </c>
      <c r="K174" s="807" t="s">
        <v>2361</v>
      </c>
      <c r="L174" s="805" t="n">
        <v>40904</v>
      </c>
      <c r="M174" s="805" t="n">
        <v>41270</v>
      </c>
      <c r="N174" s="805"/>
      <c r="O174" s="810" t="n">
        <v>4.8</v>
      </c>
      <c r="P174" s="749" t="s">
        <v>2362</v>
      </c>
      <c r="Q174" s="749" t="s">
        <v>2363</v>
      </c>
    </row>
    <row r="175" customFormat="false" ht="16.5" hidden="false" customHeight="true" outlineLevel="0" collapsed="false">
      <c r="A175" s="773" t="s">
        <v>2335</v>
      </c>
      <c r="B175" s="805" t="n">
        <v>40900</v>
      </c>
      <c r="C175" s="806"/>
      <c r="D175" s="807" t="s">
        <v>1366</v>
      </c>
      <c r="E175" s="807" t="s">
        <v>2445</v>
      </c>
      <c r="F175" s="807" t="s">
        <v>2604</v>
      </c>
      <c r="G175" s="808" t="s">
        <v>1267</v>
      </c>
      <c r="H175" s="809" t="n">
        <v>61600000</v>
      </c>
      <c r="I175" s="777" t="n">
        <v>78.5</v>
      </c>
      <c r="J175" s="778" t="n">
        <f aca="false">IF(I175="","",H175/I175)</f>
        <v>784713.375796178</v>
      </c>
      <c r="K175" s="807" t="s">
        <v>2361</v>
      </c>
      <c r="L175" s="805" t="n">
        <v>40904</v>
      </c>
      <c r="M175" s="805" t="n">
        <v>41270</v>
      </c>
      <c r="N175" s="805"/>
      <c r="O175" s="810" t="n">
        <v>4.8</v>
      </c>
      <c r="P175" s="749" t="s">
        <v>2362</v>
      </c>
      <c r="Q175" s="749" t="s">
        <v>2363</v>
      </c>
    </row>
    <row r="176" customFormat="false" ht="16.5" hidden="false" customHeight="true" outlineLevel="0" collapsed="false">
      <c r="A176" s="773" t="s">
        <v>2190</v>
      </c>
      <c r="B176" s="774" t="n">
        <v>40906</v>
      </c>
      <c r="D176" s="749" t="s">
        <v>2559</v>
      </c>
      <c r="E176" s="749" t="s">
        <v>2605</v>
      </c>
      <c r="F176" s="749" t="s">
        <v>2561</v>
      </c>
      <c r="G176" s="776" t="s">
        <v>2136</v>
      </c>
      <c r="H176" s="776" t="n">
        <v>25600</v>
      </c>
      <c r="I176" s="777" t="n">
        <v>1</v>
      </c>
      <c r="J176" s="778" t="n">
        <f aca="false">IF(I176="","",H176/I176)</f>
        <v>25600</v>
      </c>
      <c r="K176" s="749" t="s">
        <v>2336</v>
      </c>
      <c r="L176" s="774" t="n">
        <v>40907</v>
      </c>
      <c r="M176" s="774" t="n">
        <v>41273</v>
      </c>
      <c r="O176" s="801" t="n">
        <v>4.7</v>
      </c>
      <c r="P176" s="749" t="s">
        <v>2362</v>
      </c>
      <c r="Q176" s="749" t="s">
        <v>2363</v>
      </c>
    </row>
    <row r="177" customFormat="false" ht="16.5" hidden="false" customHeight="true" outlineLevel="0" collapsed="false">
      <c r="A177" s="747" t="s">
        <v>2190</v>
      </c>
      <c r="B177" s="774" t="n">
        <v>40911</v>
      </c>
      <c r="D177" s="749" t="s">
        <v>124</v>
      </c>
      <c r="E177" s="749" t="s">
        <v>2462</v>
      </c>
      <c r="F177" s="749" t="s">
        <v>2527</v>
      </c>
      <c r="G177" s="776" t="s">
        <v>1267</v>
      </c>
      <c r="H177" s="776" t="n">
        <v>15000000</v>
      </c>
      <c r="I177" s="777" t="n">
        <v>82</v>
      </c>
      <c r="J177" s="778" t="n">
        <f aca="false">IF(I177="","",H177/I177)</f>
        <v>182926.829268293</v>
      </c>
      <c r="K177" s="749" t="s">
        <v>2336</v>
      </c>
      <c r="L177" s="774" t="n">
        <v>40912</v>
      </c>
      <c r="M177" s="774" t="n">
        <v>41278</v>
      </c>
      <c r="O177" s="801" t="n">
        <v>3</v>
      </c>
      <c r="P177" s="749" t="s">
        <v>2606</v>
      </c>
      <c r="Q177" s="749" t="s">
        <v>2607</v>
      </c>
    </row>
    <row r="178" customFormat="false" ht="16.5" hidden="false" customHeight="true" outlineLevel="0" collapsed="false">
      <c r="A178" s="747" t="s">
        <v>2190</v>
      </c>
      <c r="B178" s="774" t="n">
        <v>40912</v>
      </c>
      <c r="D178" s="749" t="s">
        <v>1366</v>
      </c>
      <c r="E178" s="749" t="s">
        <v>2413</v>
      </c>
      <c r="F178" s="749" t="s">
        <v>2608</v>
      </c>
      <c r="G178" s="776" t="s">
        <v>1267</v>
      </c>
      <c r="H178" s="776" t="n">
        <v>63000000</v>
      </c>
      <c r="I178" s="777" t="n">
        <v>82</v>
      </c>
      <c r="J178" s="778" t="n">
        <f aca="false">IF(I178="","",H178/I178)</f>
        <v>768292.682926829</v>
      </c>
      <c r="K178" s="749" t="s">
        <v>2500</v>
      </c>
      <c r="L178" s="774" t="n">
        <v>40914</v>
      </c>
      <c r="M178" s="774" t="n">
        <v>41280</v>
      </c>
      <c r="O178" s="801" t="n">
        <v>3.8</v>
      </c>
      <c r="P178" s="749" t="s">
        <v>2606</v>
      </c>
      <c r="Q178" s="749" t="s">
        <v>2607</v>
      </c>
    </row>
    <row r="179" customFormat="false" ht="16.5" hidden="false" customHeight="true" outlineLevel="0" collapsed="false">
      <c r="A179" s="747" t="s">
        <v>2335</v>
      </c>
      <c r="B179" s="774" t="n">
        <v>40914</v>
      </c>
      <c r="D179" s="749" t="s">
        <v>2358</v>
      </c>
      <c r="E179" s="749" t="s">
        <v>2359</v>
      </c>
      <c r="F179" s="749" t="s">
        <v>2609</v>
      </c>
      <c r="G179" s="798" t="s">
        <v>1267</v>
      </c>
      <c r="H179" s="776" t="n">
        <v>87900000</v>
      </c>
      <c r="I179" s="777" t="n">
        <v>82</v>
      </c>
      <c r="J179" s="778" t="n">
        <f aca="false">IF(I179="","",H179/I179)</f>
        <v>1071951.2195122</v>
      </c>
      <c r="K179" s="749" t="s">
        <v>2361</v>
      </c>
      <c r="L179" s="774" t="n">
        <v>40915</v>
      </c>
      <c r="M179" s="774" t="n">
        <v>41281</v>
      </c>
      <c r="O179" s="799" t="n">
        <v>4.4</v>
      </c>
      <c r="P179" s="749" t="s">
        <v>2362</v>
      </c>
      <c r="Q179" s="749" t="s">
        <v>2363</v>
      </c>
    </row>
    <row r="180" customFormat="false" ht="16.5" hidden="false" customHeight="true" outlineLevel="0" collapsed="false">
      <c r="A180" s="747" t="s">
        <v>2335</v>
      </c>
      <c r="B180" s="774" t="n">
        <v>40914</v>
      </c>
      <c r="D180" s="798" t="s">
        <v>2403</v>
      </c>
      <c r="E180" s="749" t="s">
        <v>2404</v>
      </c>
      <c r="F180" s="749" t="s">
        <v>2610</v>
      </c>
      <c r="G180" s="798" t="s">
        <v>1267</v>
      </c>
      <c r="H180" s="776" t="n">
        <v>24500000</v>
      </c>
      <c r="I180" s="777" t="n">
        <v>82</v>
      </c>
      <c r="J180" s="778" t="n">
        <f aca="false">IF(I180="","",H180/I180)</f>
        <v>298780.487804878</v>
      </c>
      <c r="K180" s="749" t="s">
        <v>2361</v>
      </c>
      <c r="L180" s="774" t="n">
        <v>40927</v>
      </c>
      <c r="M180" s="774" t="n">
        <v>41293</v>
      </c>
      <c r="O180" s="799" t="n">
        <v>4.6</v>
      </c>
      <c r="P180" s="749" t="s">
        <v>2362</v>
      </c>
      <c r="Q180" s="749" t="s">
        <v>2363</v>
      </c>
    </row>
    <row r="181" customFormat="false" ht="16.5" hidden="false" customHeight="true" outlineLevel="0" collapsed="false">
      <c r="A181" s="747" t="s">
        <v>2335</v>
      </c>
      <c r="B181" s="774" t="n">
        <v>40914</v>
      </c>
      <c r="D181" s="798" t="s">
        <v>2403</v>
      </c>
      <c r="E181" s="749" t="s">
        <v>2404</v>
      </c>
      <c r="F181" s="749" t="s">
        <v>2611</v>
      </c>
      <c r="G181" s="798" t="s">
        <v>1267</v>
      </c>
      <c r="H181" s="776" t="n">
        <v>56600000</v>
      </c>
      <c r="I181" s="777" t="n">
        <v>82</v>
      </c>
      <c r="J181" s="778" t="n">
        <f aca="false">IF(I181="","",H181/I181)</f>
        <v>690243.902439024</v>
      </c>
      <c r="K181" s="749" t="s">
        <v>2361</v>
      </c>
      <c r="L181" s="774" t="n">
        <v>40937</v>
      </c>
      <c r="M181" s="774" t="n">
        <v>41303</v>
      </c>
      <c r="O181" s="799" t="n">
        <v>4.6</v>
      </c>
      <c r="P181" s="749" t="s">
        <v>2362</v>
      </c>
      <c r="Q181" s="749" t="s">
        <v>2363</v>
      </c>
    </row>
    <row r="182" customFormat="false" ht="16.5" hidden="false" customHeight="true" outlineLevel="0" collapsed="false">
      <c r="A182" s="747" t="s">
        <v>2335</v>
      </c>
      <c r="B182" s="774" t="n">
        <v>40917</v>
      </c>
      <c r="D182" s="749" t="s">
        <v>124</v>
      </c>
      <c r="E182" s="749" t="s">
        <v>2462</v>
      </c>
      <c r="F182" s="749" t="s">
        <v>2612</v>
      </c>
      <c r="G182" s="798" t="s">
        <v>1267</v>
      </c>
      <c r="H182" s="776" t="n">
        <v>72500000</v>
      </c>
      <c r="I182" s="777" t="n">
        <v>82</v>
      </c>
      <c r="J182" s="778" t="n">
        <f aca="false">IF(I182="","",H182/I182)</f>
        <v>884146.341463415</v>
      </c>
      <c r="K182" s="749" t="s">
        <v>2361</v>
      </c>
      <c r="L182" s="774" t="n">
        <v>40920</v>
      </c>
      <c r="M182" s="774" t="n">
        <v>41286</v>
      </c>
      <c r="O182" s="799" t="n">
        <v>3.5</v>
      </c>
      <c r="P182" s="749" t="s">
        <v>2613</v>
      </c>
      <c r="Q182" s="749" t="s">
        <v>2363</v>
      </c>
    </row>
    <row r="183" customFormat="false" ht="16.5" hidden="false" customHeight="true" outlineLevel="0" collapsed="false">
      <c r="A183" s="747" t="s">
        <v>2335</v>
      </c>
      <c r="B183" s="774" t="n">
        <v>40920</v>
      </c>
      <c r="D183" s="749" t="s">
        <v>1366</v>
      </c>
      <c r="E183" s="749" t="s">
        <v>2413</v>
      </c>
      <c r="F183" s="749" t="s">
        <v>2614</v>
      </c>
      <c r="G183" s="798" t="s">
        <v>1267</v>
      </c>
      <c r="H183" s="776" t="n">
        <v>40500000</v>
      </c>
      <c r="I183" s="777" t="n">
        <v>82</v>
      </c>
      <c r="J183" s="778" t="n">
        <f aca="false">IF(I183="","",H183/I183)</f>
        <v>493902.43902439</v>
      </c>
      <c r="K183" s="749" t="s">
        <v>2361</v>
      </c>
      <c r="L183" s="774" t="n">
        <v>40922</v>
      </c>
      <c r="M183" s="774" t="n">
        <v>41288</v>
      </c>
      <c r="O183" s="799" t="n">
        <v>4</v>
      </c>
      <c r="P183" s="749" t="s">
        <v>2613</v>
      </c>
      <c r="Q183" s="749" t="s">
        <v>2363</v>
      </c>
    </row>
    <row r="184" customFormat="false" ht="16.5" hidden="false" customHeight="true" outlineLevel="0" collapsed="false">
      <c r="A184" s="747" t="s">
        <v>2335</v>
      </c>
      <c r="B184" s="774" t="n">
        <v>40920</v>
      </c>
      <c r="D184" s="749" t="s">
        <v>2358</v>
      </c>
      <c r="E184" s="749" t="s">
        <v>2359</v>
      </c>
      <c r="F184" s="749" t="s">
        <v>2615</v>
      </c>
      <c r="G184" s="798" t="s">
        <v>1267</v>
      </c>
      <c r="H184" s="776" t="n">
        <v>124800000</v>
      </c>
      <c r="I184" s="777" t="n">
        <v>82</v>
      </c>
      <c r="J184" s="778" t="n">
        <f aca="false">IF(I184="","",H184/I184)</f>
        <v>1521951.2195122</v>
      </c>
      <c r="K184" s="749" t="s">
        <v>2361</v>
      </c>
      <c r="L184" s="774" t="n">
        <v>40924</v>
      </c>
      <c r="M184" s="774" t="n">
        <v>41290</v>
      </c>
      <c r="O184" s="799" t="n">
        <v>4.11</v>
      </c>
      <c r="P184" s="749" t="s">
        <v>2613</v>
      </c>
      <c r="Q184" s="749" t="s">
        <v>2363</v>
      </c>
    </row>
    <row r="185" customFormat="false" ht="16.5" hidden="false" customHeight="true" outlineLevel="0" collapsed="false">
      <c r="A185" s="747" t="s">
        <v>2335</v>
      </c>
      <c r="B185" s="774" t="n">
        <v>40920</v>
      </c>
      <c r="D185" s="749" t="s">
        <v>2358</v>
      </c>
      <c r="E185" s="749" t="s">
        <v>2359</v>
      </c>
      <c r="F185" s="749" t="s">
        <v>2616</v>
      </c>
      <c r="G185" s="798" t="s">
        <v>1267</v>
      </c>
      <c r="H185" s="776" t="n">
        <v>87900000</v>
      </c>
      <c r="I185" s="777" t="n">
        <v>82</v>
      </c>
      <c r="J185" s="778" t="n">
        <f aca="false">IF(I185="","",H185/I185)</f>
        <v>1071951.2195122</v>
      </c>
      <c r="K185" s="749" t="s">
        <v>2361</v>
      </c>
      <c r="L185" s="774" t="n">
        <v>40925</v>
      </c>
      <c r="M185" s="774" t="n">
        <v>41291</v>
      </c>
      <c r="O185" s="799" t="n">
        <v>4.1</v>
      </c>
      <c r="P185" s="749" t="s">
        <v>2613</v>
      </c>
      <c r="Q185" s="749" t="s">
        <v>2363</v>
      </c>
    </row>
    <row r="186" customFormat="false" ht="16.5" hidden="false" customHeight="true" outlineLevel="0" collapsed="false">
      <c r="A186" s="747" t="s">
        <v>2335</v>
      </c>
      <c r="B186" s="774" t="n">
        <v>40920</v>
      </c>
      <c r="D186" s="749" t="s">
        <v>2358</v>
      </c>
      <c r="E186" s="749" t="s">
        <v>2359</v>
      </c>
      <c r="F186" s="749" t="s">
        <v>2617</v>
      </c>
      <c r="G186" s="798" t="s">
        <v>1267</v>
      </c>
      <c r="H186" s="776" t="n">
        <v>87900000</v>
      </c>
      <c r="I186" s="777" t="n">
        <v>82</v>
      </c>
      <c r="J186" s="778" t="n">
        <f aca="false">IF(I186="","",H186/I186)</f>
        <v>1071951.2195122</v>
      </c>
      <c r="K186" s="749" t="s">
        <v>2361</v>
      </c>
      <c r="L186" s="774" t="n">
        <v>40925</v>
      </c>
      <c r="M186" s="774" t="n">
        <v>41291</v>
      </c>
      <c r="O186" s="799" t="n">
        <v>4.3</v>
      </c>
      <c r="P186" s="749" t="s">
        <v>2613</v>
      </c>
      <c r="Q186" s="749" t="s">
        <v>2363</v>
      </c>
    </row>
    <row r="187" customFormat="false" ht="16.5" hidden="false" customHeight="true" outlineLevel="0" collapsed="false">
      <c r="A187" s="747" t="s">
        <v>2190</v>
      </c>
      <c r="B187" s="774" t="n">
        <v>40920</v>
      </c>
      <c r="D187" s="749" t="s">
        <v>103</v>
      </c>
      <c r="E187" s="749" t="s">
        <v>2564</v>
      </c>
      <c r="F187" s="749" t="s">
        <v>2618</v>
      </c>
      <c r="G187" s="776" t="s">
        <v>2136</v>
      </c>
      <c r="H187" s="776" t="n">
        <v>5000000</v>
      </c>
      <c r="I187" s="777" t="n">
        <v>1</v>
      </c>
      <c r="J187" s="778" t="n">
        <f aca="false">IF(I187="","",H187/I187)</f>
        <v>5000000</v>
      </c>
      <c r="K187" s="749" t="s">
        <v>2336</v>
      </c>
      <c r="L187" s="774" t="n">
        <v>40925</v>
      </c>
      <c r="M187" s="774" t="n">
        <v>42021</v>
      </c>
      <c r="O187" s="801" t="n">
        <v>4.5</v>
      </c>
      <c r="P187" s="749" t="s">
        <v>2606</v>
      </c>
      <c r="Q187" s="749" t="s">
        <v>2607</v>
      </c>
    </row>
    <row r="188" customFormat="false" ht="16.5" hidden="false" customHeight="true" outlineLevel="0" collapsed="false">
      <c r="A188" s="747" t="s">
        <v>2190</v>
      </c>
      <c r="B188" s="774" t="n">
        <v>40920</v>
      </c>
      <c r="D188" s="749" t="s">
        <v>1184</v>
      </c>
      <c r="E188" s="749" t="s">
        <v>2619</v>
      </c>
      <c r="F188" s="749" t="s">
        <v>2620</v>
      </c>
      <c r="G188" s="798" t="s">
        <v>2136</v>
      </c>
      <c r="H188" s="776" t="n">
        <v>1700000</v>
      </c>
      <c r="I188" s="777" t="n">
        <v>1</v>
      </c>
      <c r="J188" s="778" t="n">
        <f aca="false">IF(I188="","",H188/I188)</f>
        <v>1700000</v>
      </c>
      <c r="K188" s="749" t="s">
        <v>2336</v>
      </c>
      <c r="L188" s="774" t="n">
        <v>40926</v>
      </c>
      <c r="M188" s="774" t="n">
        <v>41292</v>
      </c>
      <c r="O188" s="801" t="n">
        <v>3.9</v>
      </c>
      <c r="P188" s="749" t="s">
        <v>2606</v>
      </c>
      <c r="Q188" s="749" t="s">
        <v>2607</v>
      </c>
    </row>
    <row r="189" customFormat="false" ht="16.5" hidden="false" customHeight="true" outlineLevel="0" collapsed="false">
      <c r="A189" s="747" t="s">
        <v>2190</v>
      </c>
      <c r="B189" s="774" t="n">
        <v>40921</v>
      </c>
      <c r="D189" s="749" t="s">
        <v>2423</v>
      </c>
      <c r="E189" s="749" t="s">
        <v>2621</v>
      </c>
      <c r="F189" s="749" t="s">
        <v>2622</v>
      </c>
      <c r="G189" s="798" t="s">
        <v>1267</v>
      </c>
      <c r="H189" s="776" t="n">
        <v>77394174</v>
      </c>
      <c r="I189" s="777" t="n">
        <v>82</v>
      </c>
      <c r="J189" s="778" t="n">
        <f aca="false">IF(I189="","",H189/I189)</f>
        <v>943831.390243903</v>
      </c>
      <c r="K189" s="749" t="s">
        <v>2336</v>
      </c>
      <c r="L189" s="774" t="n">
        <v>40933</v>
      </c>
      <c r="M189" s="774" t="n">
        <v>41299</v>
      </c>
      <c r="O189" s="801" t="n">
        <v>3.65</v>
      </c>
      <c r="P189" s="749" t="s">
        <v>2606</v>
      </c>
      <c r="Q189" s="749" t="s">
        <v>2607</v>
      </c>
    </row>
    <row r="190" customFormat="false" ht="16.5" hidden="false" customHeight="true" outlineLevel="0" collapsed="false">
      <c r="A190" s="747" t="s">
        <v>2190</v>
      </c>
      <c r="B190" s="774" t="n">
        <v>40921</v>
      </c>
      <c r="D190" s="749" t="s">
        <v>2559</v>
      </c>
      <c r="E190" s="749" t="s">
        <v>2560</v>
      </c>
      <c r="F190" s="749" t="s">
        <v>2561</v>
      </c>
      <c r="G190" s="776" t="s">
        <v>2136</v>
      </c>
      <c r="H190" s="776" t="n">
        <v>100000</v>
      </c>
      <c r="I190" s="777" t="n">
        <v>1</v>
      </c>
      <c r="J190" s="778" t="n">
        <f aca="false">IF(I190="","",H190/I190)</f>
        <v>100000</v>
      </c>
      <c r="K190" s="749" t="s">
        <v>2336</v>
      </c>
      <c r="L190" s="774" t="n">
        <v>40924</v>
      </c>
      <c r="M190" s="774" t="n">
        <v>40924</v>
      </c>
      <c r="O190" s="801" t="n">
        <v>4.5</v>
      </c>
      <c r="P190" s="749" t="s">
        <v>2606</v>
      </c>
      <c r="Q190" s="749" t="s">
        <v>2607</v>
      </c>
    </row>
    <row r="191" customFormat="false" ht="16.5" hidden="false" customHeight="true" outlineLevel="0" collapsed="false">
      <c r="A191" s="747" t="s">
        <v>2190</v>
      </c>
      <c r="B191" s="774" t="n">
        <v>40924</v>
      </c>
      <c r="D191" s="798" t="s">
        <v>2403</v>
      </c>
      <c r="E191" s="749" t="s">
        <v>2537</v>
      </c>
      <c r="F191" s="749" t="s">
        <v>2541</v>
      </c>
      <c r="G191" s="798" t="s">
        <v>2136</v>
      </c>
      <c r="H191" s="776" t="n">
        <v>264397</v>
      </c>
      <c r="I191" s="777" t="n">
        <v>1</v>
      </c>
      <c r="J191" s="778" t="n">
        <f aca="false">IF(I191="","",H191/I191)</f>
        <v>264397</v>
      </c>
      <c r="K191" s="749" t="s">
        <v>2336</v>
      </c>
      <c r="L191" s="774" t="n">
        <v>40926</v>
      </c>
      <c r="M191" s="774" t="n">
        <v>41108</v>
      </c>
      <c r="O191" s="799" t="n">
        <v>3.5</v>
      </c>
      <c r="P191" s="749" t="s">
        <v>2606</v>
      </c>
      <c r="Q191" s="749" t="s">
        <v>2607</v>
      </c>
    </row>
    <row r="192" customFormat="false" ht="16.5" hidden="false" customHeight="true" outlineLevel="0" collapsed="false">
      <c r="A192" s="747" t="s">
        <v>2335</v>
      </c>
      <c r="B192" s="774" t="n">
        <v>40925</v>
      </c>
      <c r="D192" s="749" t="s">
        <v>2375</v>
      </c>
      <c r="E192" s="749" t="s">
        <v>2601</v>
      </c>
      <c r="F192" s="749" t="s">
        <v>2623</v>
      </c>
      <c r="G192" s="798" t="s">
        <v>1267</v>
      </c>
      <c r="H192" s="776" t="n">
        <v>41000000</v>
      </c>
      <c r="I192" s="777" t="n">
        <v>82</v>
      </c>
      <c r="J192" s="778" t="n">
        <f aca="false">IF(I192="","",H192/I192)</f>
        <v>500000</v>
      </c>
      <c r="K192" s="749" t="s">
        <v>2361</v>
      </c>
      <c r="L192" s="774" t="n">
        <v>40934</v>
      </c>
      <c r="M192" s="774" t="n">
        <v>41300</v>
      </c>
      <c r="O192" s="799" t="n">
        <v>4</v>
      </c>
      <c r="P192" s="749" t="s">
        <v>2613</v>
      </c>
      <c r="Q192" s="749" t="s">
        <v>2363</v>
      </c>
    </row>
    <row r="193" customFormat="false" ht="16.5" hidden="false" customHeight="true" outlineLevel="0" collapsed="false">
      <c r="A193" s="747" t="s">
        <v>2335</v>
      </c>
      <c r="B193" s="774" t="n">
        <v>40925</v>
      </c>
      <c r="D193" s="749" t="s">
        <v>2375</v>
      </c>
      <c r="E193" s="749" t="s">
        <v>2455</v>
      </c>
      <c r="F193" s="749" t="s">
        <v>2456</v>
      </c>
      <c r="G193" s="798" t="s">
        <v>1267</v>
      </c>
      <c r="H193" s="776" t="n">
        <v>150000000</v>
      </c>
      <c r="I193" s="777" t="n">
        <v>82</v>
      </c>
      <c r="J193" s="778" t="n">
        <f aca="false">IF(I193="","",H193/I193)</f>
        <v>1829268.29268293</v>
      </c>
      <c r="K193" s="749" t="s">
        <v>2336</v>
      </c>
      <c r="L193" s="774" t="n">
        <v>40935</v>
      </c>
      <c r="M193" s="774" t="n">
        <v>41302</v>
      </c>
      <c r="O193" s="799" t="n">
        <v>3.1</v>
      </c>
      <c r="P193" s="749" t="s">
        <v>2613</v>
      </c>
      <c r="Q193" s="749" t="s">
        <v>2363</v>
      </c>
    </row>
    <row r="194" customFormat="false" ht="16.5" hidden="false" customHeight="true" outlineLevel="0" collapsed="false">
      <c r="A194" s="747" t="s">
        <v>2335</v>
      </c>
      <c r="B194" s="774" t="n">
        <v>40925</v>
      </c>
      <c r="D194" s="749" t="s">
        <v>2559</v>
      </c>
      <c r="E194" s="749" t="s">
        <v>2560</v>
      </c>
      <c r="F194" s="749" t="s">
        <v>2561</v>
      </c>
      <c r="G194" s="798" t="s">
        <v>2136</v>
      </c>
      <c r="H194" s="776" t="n">
        <v>60000</v>
      </c>
      <c r="I194" s="777" t="n">
        <v>1</v>
      </c>
      <c r="J194" s="778" t="n">
        <f aca="false">IF(I194="","",H194/I194)</f>
        <v>60000</v>
      </c>
      <c r="K194" s="749" t="s">
        <v>2336</v>
      </c>
      <c r="L194" s="774" t="n">
        <v>40926</v>
      </c>
      <c r="M194" s="774" t="n">
        <v>41292</v>
      </c>
      <c r="O194" s="799" t="n">
        <v>4.5</v>
      </c>
      <c r="P194" s="749" t="s">
        <v>2613</v>
      </c>
      <c r="Q194" s="749" t="s">
        <v>2363</v>
      </c>
    </row>
    <row r="195" customFormat="false" ht="16.5" hidden="false" customHeight="true" outlineLevel="0" collapsed="false">
      <c r="A195" s="747" t="s">
        <v>2335</v>
      </c>
      <c r="B195" s="774" t="n">
        <v>40925</v>
      </c>
      <c r="D195" s="749" t="s">
        <v>2559</v>
      </c>
      <c r="E195" s="749" t="s">
        <v>2560</v>
      </c>
      <c r="F195" s="749" t="s">
        <v>2561</v>
      </c>
      <c r="G195" s="798" t="s">
        <v>2136</v>
      </c>
      <c r="H195" s="776" t="n">
        <v>16000</v>
      </c>
      <c r="I195" s="777" t="n">
        <v>1</v>
      </c>
      <c r="J195" s="778" t="n">
        <f aca="false">IF(I195="","",H195/I195)</f>
        <v>16000</v>
      </c>
      <c r="K195" s="749" t="s">
        <v>2336</v>
      </c>
      <c r="L195" s="774" t="n">
        <v>40926</v>
      </c>
      <c r="M195" s="774" t="n">
        <v>41292</v>
      </c>
      <c r="O195" s="799" t="n">
        <v>4.5</v>
      </c>
      <c r="P195" s="749" t="s">
        <v>2613</v>
      </c>
      <c r="Q195" s="749" t="s">
        <v>2363</v>
      </c>
    </row>
    <row r="196" customFormat="false" ht="16.5" hidden="false" customHeight="true" outlineLevel="0" collapsed="false">
      <c r="A196" s="747" t="s">
        <v>2335</v>
      </c>
      <c r="B196" s="774" t="n">
        <v>40925</v>
      </c>
      <c r="D196" s="749" t="s">
        <v>124</v>
      </c>
      <c r="E196" s="749" t="s">
        <v>2624</v>
      </c>
      <c r="F196" s="749" t="s">
        <v>2625</v>
      </c>
      <c r="G196" s="798" t="s">
        <v>2136</v>
      </c>
      <c r="H196" s="776" t="n">
        <v>735000</v>
      </c>
      <c r="I196" s="777" t="n">
        <v>1</v>
      </c>
      <c r="J196" s="778" t="n">
        <f aca="false">IF(I196="","",H196/I196)</f>
        <v>735000</v>
      </c>
      <c r="K196" s="749" t="s">
        <v>2361</v>
      </c>
      <c r="L196" s="774" t="n">
        <v>40933</v>
      </c>
      <c r="M196" s="774" t="n">
        <v>41299</v>
      </c>
      <c r="O196" s="799" t="n">
        <v>4.59</v>
      </c>
      <c r="P196" s="749" t="s">
        <v>2613</v>
      </c>
      <c r="Q196" s="749" t="s">
        <v>2363</v>
      </c>
    </row>
    <row r="197" customFormat="false" ht="16.5" hidden="false" customHeight="true" outlineLevel="0" collapsed="false">
      <c r="A197" s="747" t="s">
        <v>2335</v>
      </c>
      <c r="B197" s="774" t="n">
        <v>40925</v>
      </c>
      <c r="D197" s="749" t="s">
        <v>124</v>
      </c>
      <c r="E197" s="749" t="s">
        <v>2624</v>
      </c>
      <c r="F197" s="749" t="s">
        <v>2625</v>
      </c>
      <c r="G197" s="798" t="s">
        <v>2136</v>
      </c>
      <c r="H197" s="776" t="n">
        <v>160000</v>
      </c>
      <c r="I197" s="777" t="n">
        <v>1</v>
      </c>
      <c r="J197" s="778" t="n">
        <f aca="false">IF(I197="","",H197/I197)</f>
        <v>160000</v>
      </c>
      <c r="K197" s="749" t="s">
        <v>2361</v>
      </c>
      <c r="L197" s="774" t="n">
        <v>40933</v>
      </c>
      <c r="M197" s="774" t="n">
        <v>41299</v>
      </c>
      <c r="O197" s="799" t="n">
        <v>4.59</v>
      </c>
      <c r="P197" s="749" t="s">
        <v>2613</v>
      </c>
      <c r="Q197" s="749" t="s">
        <v>2363</v>
      </c>
    </row>
    <row r="198" customFormat="false" ht="16.5" hidden="false" customHeight="true" outlineLevel="0" collapsed="false">
      <c r="A198" s="747" t="s">
        <v>2335</v>
      </c>
      <c r="B198" s="774" t="n">
        <v>40928</v>
      </c>
      <c r="D198" s="749" t="s">
        <v>2358</v>
      </c>
      <c r="E198" s="749" t="s">
        <v>2359</v>
      </c>
      <c r="F198" s="749" t="s">
        <v>2626</v>
      </c>
      <c r="G198" s="798" t="s">
        <v>1267</v>
      </c>
      <c r="H198" s="776" t="n">
        <v>89800000</v>
      </c>
      <c r="I198" s="777" t="n">
        <v>82</v>
      </c>
      <c r="J198" s="778" t="n">
        <f aca="false">IF(I198="","",H198/I198)</f>
        <v>1095121.95121951</v>
      </c>
      <c r="K198" s="749" t="s">
        <v>2361</v>
      </c>
      <c r="L198" s="774" t="n">
        <v>40929</v>
      </c>
      <c r="M198" s="774" t="n">
        <v>41295</v>
      </c>
      <c r="O198" s="799" t="n">
        <v>4.2</v>
      </c>
      <c r="P198" s="749" t="s">
        <v>2613</v>
      </c>
      <c r="Q198" s="749" t="s">
        <v>2363</v>
      </c>
    </row>
    <row r="199" customFormat="false" ht="16.5" hidden="false" customHeight="true" outlineLevel="0" collapsed="false">
      <c r="A199" s="747" t="s">
        <v>2335</v>
      </c>
      <c r="B199" s="774" t="n">
        <v>40928</v>
      </c>
      <c r="D199" s="749" t="s">
        <v>2358</v>
      </c>
      <c r="E199" s="749" t="s">
        <v>2359</v>
      </c>
      <c r="F199" s="749" t="s">
        <v>2627</v>
      </c>
      <c r="G199" s="798" t="s">
        <v>1267</v>
      </c>
      <c r="H199" s="776" t="n">
        <v>88300000</v>
      </c>
      <c r="I199" s="777" t="n">
        <v>82</v>
      </c>
      <c r="J199" s="778" t="n">
        <f aca="false">IF(I199="","",H199/I199)</f>
        <v>1076829.26829268</v>
      </c>
      <c r="K199" s="749" t="s">
        <v>2361</v>
      </c>
      <c r="L199" s="774" t="n">
        <v>40931</v>
      </c>
      <c r="M199" s="774" t="n">
        <v>41297</v>
      </c>
      <c r="O199" s="799" t="n">
        <v>4.2</v>
      </c>
      <c r="P199" s="749" t="s">
        <v>2613</v>
      </c>
      <c r="Q199" s="749" t="s">
        <v>2363</v>
      </c>
    </row>
    <row r="200" customFormat="false" ht="16.5" hidden="false" customHeight="true" outlineLevel="0" collapsed="false">
      <c r="A200" s="747" t="s">
        <v>2335</v>
      </c>
      <c r="B200" s="774" t="n">
        <v>40933</v>
      </c>
      <c r="D200" s="749" t="s">
        <v>124</v>
      </c>
      <c r="E200" s="749" t="s">
        <v>2462</v>
      </c>
      <c r="F200" s="749" t="s">
        <v>2628</v>
      </c>
      <c r="G200" s="798" t="s">
        <v>1267</v>
      </c>
      <c r="H200" s="776" t="n">
        <v>13000000</v>
      </c>
      <c r="I200" s="777" t="n">
        <v>82</v>
      </c>
      <c r="J200" s="778" t="n">
        <f aca="false">IF(I200="","",H200/I200)</f>
        <v>158536.585365854</v>
      </c>
      <c r="K200" s="749" t="s">
        <v>2361</v>
      </c>
      <c r="L200" s="774" t="n">
        <v>40934</v>
      </c>
      <c r="M200" s="774" t="n">
        <v>41300</v>
      </c>
      <c r="O200" s="799" t="n">
        <v>4.3</v>
      </c>
      <c r="P200" s="749" t="s">
        <v>2613</v>
      </c>
      <c r="Q200" s="749" t="s">
        <v>2363</v>
      </c>
    </row>
    <row r="201" customFormat="false" ht="16.5" hidden="false" customHeight="true" outlineLevel="0" collapsed="false">
      <c r="A201" s="747" t="s">
        <v>2335</v>
      </c>
      <c r="B201" s="774" t="n">
        <v>40933</v>
      </c>
      <c r="D201" s="749" t="s">
        <v>2423</v>
      </c>
      <c r="E201" s="749" t="s">
        <v>2629</v>
      </c>
      <c r="F201" s="749" t="s">
        <v>2630</v>
      </c>
      <c r="G201" s="798" t="s">
        <v>1267</v>
      </c>
      <c r="H201" s="776" t="n">
        <v>120000000</v>
      </c>
      <c r="I201" s="777" t="n">
        <v>82</v>
      </c>
      <c r="J201" s="778" t="n">
        <f aca="false">IF(I201="","",H201/I201)</f>
        <v>1463414.63414634</v>
      </c>
      <c r="K201" s="749" t="s">
        <v>2631</v>
      </c>
      <c r="L201" s="774" t="n">
        <v>40940</v>
      </c>
      <c r="M201" s="774" t="n">
        <v>41306</v>
      </c>
      <c r="O201" s="799" t="n">
        <v>3.97</v>
      </c>
      <c r="P201" s="749" t="s">
        <v>2613</v>
      </c>
      <c r="Q201" s="749" t="s">
        <v>2363</v>
      </c>
    </row>
    <row r="202" customFormat="false" ht="16.5" hidden="false" customHeight="true" outlineLevel="0" collapsed="false">
      <c r="A202" s="747" t="s">
        <v>2335</v>
      </c>
      <c r="B202" s="774" t="n">
        <v>40934</v>
      </c>
      <c r="D202" s="749" t="s">
        <v>162</v>
      </c>
      <c r="E202" s="749" t="s">
        <v>2436</v>
      </c>
      <c r="F202" s="749" t="s">
        <v>2632</v>
      </c>
      <c r="G202" s="798" t="s">
        <v>1267</v>
      </c>
      <c r="H202" s="776" t="n">
        <v>28000000</v>
      </c>
      <c r="I202" s="777" t="n">
        <v>82</v>
      </c>
      <c r="J202" s="778" t="n">
        <f aca="false">IF(I202="","",H202/I202)</f>
        <v>341463.414634146</v>
      </c>
      <c r="K202" s="749" t="s">
        <v>2633</v>
      </c>
      <c r="L202" s="774" t="n">
        <v>40938</v>
      </c>
      <c r="M202" s="774" t="n">
        <v>41302</v>
      </c>
      <c r="O202" s="799" t="n">
        <v>3.88</v>
      </c>
      <c r="P202" s="749" t="s">
        <v>2613</v>
      </c>
      <c r="Q202" s="749" t="s">
        <v>2363</v>
      </c>
    </row>
    <row r="203" customFormat="false" ht="16.5" hidden="false" customHeight="true" outlineLevel="0" collapsed="false">
      <c r="A203" s="747" t="s">
        <v>2190</v>
      </c>
      <c r="B203" s="774" t="n">
        <v>40935</v>
      </c>
      <c r="D203" s="749" t="s">
        <v>96</v>
      </c>
      <c r="E203" s="749" t="s">
        <v>2575</v>
      </c>
      <c r="F203" s="749" t="s">
        <v>2634</v>
      </c>
      <c r="G203" s="798" t="s">
        <v>2136</v>
      </c>
      <c r="H203" s="776" t="n">
        <v>702000</v>
      </c>
      <c r="I203" s="777" t="n">
        <v>1</v>
      </c>
      <c r="J203" s="778" t="n">
        <f aca="false">IF(I203="","",H203/I203)</f>
        <v>702000</v>
      </c>
      <c r="K203" s="749" t="s">
        <v>2336</v>
      </c>
      <c r="L203" s="774" t="n">
        <v>40939</v>
      </c>
      <c r="M203" s="774" t="n">
        <v>41121</v>
      </c>
      <c r="O203" s="799" t="n">
        <v>3.9</v>
      </c>
      <c r="P203" s="749" t="s">
        <v>2606</v>
      </c>
      <c r="Q203" s="749" t="s">
        <v>2607</v>
      </c>
    </row>
    <row r="204" customFormat="false" ht="16.5" hidden="false" customHeight="true" outlineLevel="0" collapsed="false">
      <c r="A204" s="747" t="s">
        <v>2335</v>
      </c>
      <c r="B204" s="774" t="n">
        <v>40940</v>
      </c>
      <c r="D204" s="749" t="s">
        <v>644</v>
      </c>
      <c r="E204" s="749" t="s">
        <v>2379</v>
      </c>
      <c r="F204" s="749" t="s">
        <v>2380</v>
      </c>
      <c r="G204" s="798" t="s">
        <v>2136</v>
      </c>
      <c r="H204" s="776" t="n">
        <v>300000</v>
      </c>
      <c r="I204" s="777" t="n">
        <v>1</v>
      </c>
      <c r="J204" s="778" t="n">
        <f aca="false">IF(I204="","",H204/I204)</f>
        <v>300000</v>
      </c>
      <c r="K204" s="749" t="s">
        <v>2336</v>
      </c>
      <c r="L204" s="774" t="n">
        <v>40948</v>
      </c>
      <c r="M204" s="774" t="n">
        <v>41038</v>
      </c>
      <c r="O204" s="799" t="n">
        <v>3.6</v>
      </c>
      <c r="P204" s="749" t="s">
        <v>2613</v>
      </c>
      <c r="Q204" s="749" t="s">
        <v>2363</v>
      </c>
    </row>
    <row r="205" customFormat="false" ht="16.5" hidden="false" customHeight="true" outlineLevel="0" collapsed="false">
      <c r="A205" s="747" t="s">
        <v>2335</v>
      </c>
      <c r="B205" s="774" t="n">
        <v>40941</v>
      </c>
      <c r="D205" s="798" t="s">
        <v>2403</v>
      </c>
      <c r="E205" s="749" t="s">
        <v>2537</v>
      </c>
      <c r="F205" s="749" t="s">
        <v>2635</v>
      </c>
      <c r="G205" s="798" t="s">
        <v>1267</v>
      </c>
      <c r="H205" s="776" t="n">
        <v>4300000</v>
      </c>
      <c r="I205" s="777" t="n">
        <v>82</v>
      </c>
      <c r="J205" s="778" t="n">
        <f aca="false">IF(I205="","",H205/I205)</f>
        <v>52439.0243902439</v>
      </c>
      <c r="K205" s="749" t="s">
        <v>2361</v>
      </c>
      <c r="L205" s="774" t="n">
        <v>40914</v>
      </c>
      <c r="M205" s="774" t="n">
        <v>41287</v>
      </c>
      <c r="O205" s="799" t="n">
        <v>4</v>
      </c>
      <c r="P205" s="749" t="s">
        <v>2613</v>
      </c>
      <c r="Q205" s="749" t="s">
        <v>2363</v>
      </c>
    </row>
    <row r="206" customFormat="false" ht="16.5" hidden="false" customHeight="true" outlineLevel="0" collapsed="false">
      <c r="A206" s="747" t="s">
        <v>2335</v>
      </c>
      <c r="B206" s="774" t="n">
        <v>40942</v>
      </c>
      <c r="D206" s="749" t="s">
        <v>2358</v>
      </c>
      <c r="E206" s="749" t="s">
        <v>2636</v>
      </c>
      <c r="F206" s="749" t="s">
        <v>2637</v>
      </c>
      <c r="G206" s="798" t="s">
        <v>1267</v>
      </c>
      <c r="H206" s="776" t="n">
        <v>90000000</v>
      </c>
      <c r="I206" s="777" t="n">
        <v>82</v>
      </c>
      <c r="J206" s="778" t="n">
        <f aca="false">IF(I206="","",H206/I206)</f>
        <v>1097560.97560976</v>
      </c>
      <c r="K206" s="749" t="s">
        <v>2633</v>
      </c>
      <c r="L206" s="774" t="n">
        <v>40946</v>
      </c>
      <c r="M206" s="774" t="n">
        <v>41312</v>
      </c>
      <c r="O206" s="799" t="n">
        <v>4.3</v>
      </c>
      <c r="P206" s="749" t="s">
        <v>2613</v>
      </c>
      <c r="Q206" s="749" t="s">
        <v>2363</v>
      </c>
    </row>
    <row r="207" customFormat="false" ht="16.5" hidden="false" customHeight="true" outlineLevel="0" collapsed="false">
      <c r="A207" s="747" t="s">
        <v>2190</v>
      </c>
      <c r="B207" s="774" t="n">
        <v>40946</v>
      </c>
      <c r="D207" s="749" t="s">
        <v>2430</v>
      </c>
      <c r="E207" s="749" t="s">
        <v>2431</v>
      </c>
      <c r="F207" s="749" t="s">
        <v>2432</v>
      </c>
      <c r="G207" s="798" t="s">
        <v>2136</v>
      </c>
      <c r="H207" s="776" t="n">
        <v>22000</v>
      </c>
      <c r="I207" s="777" t="n">
        <v>1</v>
      </c>
      <c r="J207" s="778" t="n">
        <f aca="false">IF(I207="","",H207/I207)</f>
        <v>22000</v>
      </c>
      <c r="K207" s="749" t="s">
        <v>2336</v>
      </c>
      <c r="L207" s="774" t="n">
        <v>40948</v>
      </c>
      <c r="M207" s="774" t="n">
        <v>41130</v>
      </c>
      <c r="O207" s="801" t="n">
        <v>3.22</v>
      </c>
      <c r="P207" s="749" t="s">
        <v>2606</v>
      </c>
      <c r="Q207" s="749" t="s">
        <v>2607</v>
      </c>
    </row>
    <row r="208" customFormat="false" ht="16.5" hidden="false" customHeight="true" outlineLevel="0" collapsed="false">
      <c r="A208" s="747" t="s">
        <v>2190</v>
      </c>
      <c r="B208" s="774" t="n">
        <v>40946</v>
      </c>
      <c r="D208" s="749" t="s">
        <v>2430</v>
      </c>
      <c r="E208" s="749" t="s">
        <v>2431</v>
      </c>
      <c r="F208" s="749" t="s">
        <v>2638</v>
      </c>
      <c r="G208" s="798" t="s">
        <v>2136</v>
      </c>
      <c r="H208" s="776" t="n">
        <v>18000</v>
      </c>
      <c r="I208" s="777" t="n">
        <v>1</v>
      </c>
      <c r="J208" s="778" t="n">
        <f aca="false">IF(I208="","",H208/I208)</f>
        <v>18000</v>
      </c>
      <c r="K208" s="749" t="s">
        <v>2336</v>
      </c>
      <c r="L208" s="774" t="n">
        <v>40948</v>
      </c>
      <c r="M208" s="774" t="n">
        <v>41130</v>
      </c>
      <c r="O208" s="801" t="n">
        <v>3.22</v>
      </c>
      <c r="P208" s="749" t="s">
        <v>2606</v>
      </c>
      <c r="Q208" s="749" t="s">
        <v>2607</v>
      </c>
    </row>
    <row r="209" customFormat="false" ht="16.5" hidden="false" customHeight="true" outlineLevel="0" collapsed="false">
      <c r="A209" s="747" t="s">
        <v>2335</v>
      </c>
      <c r="B209" s="774" t="n">
        <v>40948</v>
      </c>
      <c r="D209" s="749" t="s">
        <v>2344</v>
      </c>
      <c r="E209" s="749" t="s">
        <v>2401</v>
      </c>
      <c r="F209" s="749" t="s">
        <v>2639</v>
      </c>
      <c r="G209" s="798" t="s">
        <v>1267</v>
      </c>
      <c r="H209" s="776" t="n">
        <v>111900</v>
      </c>
      <c r="I209" s="777" t="n">
        <v>82</v>
      </c>
      <c r="J209" s="778" t="n">
        <f aca="false">IF(I209="","",H209/I209)</f>
        <v>1364.63414634146</v>
      </c>
      <c r="K209" s="749" t="s">
        <v>2361</v>
      </c>
      <c r="L209" s="774" t="n">
        <v>40952</v>
      </c>
      <c r="M209" s="774" t="n">
        <v>41317</v>
      </c>
      <c r="O209" s="799" t="n">
        <v>3.46</v>
      </c>
      <c r="P209" s="749" t="s">
        <v>2613</v>
      </c>
      <c r="Q209" s="749" t="s">
        <v>2363</v>
      </c>
    </row>
    <row r="210" customFormat="false" ht="16.5" hidden="false" customHeight="true" outlineLevel="0" collapsed="false">
      <c r="A210" s="747" t="s">
        <v>2335</v>
      </c>
      <c r="B210" s="774" t="n">
        <v>40952</v>
      </c>
      <c r="D210" s="798" t="s">
        <v>2403</v>
      </c>
      <c r="E210" s="749" t="s">
        <v>2640</v>
      </c>
      <c r="F210" s="749" t="s">
        <v>2641</v>
      </c>
      <c r="G210" s="798" t="s">
        <v>1267</v>
      </c>
      <c r="H210" s="776" t="n">
        <v>28500000</v>
      </c>
      <c r="I210" s="777" t="n">
        <v>82</v>
      </c>
      <c r="J210" s="778" t="n">
        <f aca="false">IF(I210="","",H210/I210)</f>
        <v>347560.975609756</v>
      </c>
      <c r="K210" s="749" t="s">
        <v>2361</v>
      </c>
      <c r="L210" s="774" t="n">
        <v>40955</v>
      </c>
      <c r="M210" s="774" t="n">
        <v>41321</v>
      </c>
      <c r="O210" s="799" t="n">
        <v>3.5</v>
      </c>
      <c r="P210" s="749" t="s">
        <v>2613</v>
      </c>
      <c r="Q210" s="749" t="s">
        <v>2363</v>
      </c>
    </row>
    <row r="211" customFormat="false" ht="16.5" hidden="false" customHeight="true" outlineLevel="0" collapsed="false">
      <c r="A211" s="747" t="s">
        <v>2335</v>
      </c>
      <c r="B211" s="774" t="n">
        <v>40952</v>
      </c>
      <c r="D211" s="749" t="s">
        <v>124</v>
      </c>
      <c r="E211" s="749" t="s">
        <v>2642</v>
      </c>
      <c r="F211" s="749" t="s">
        <v>2643</v>
      </c>
      <c r="G211" s="798" t="s">
        <v>1267</v>
      </c>
      <c r="H211" s="776" t="n">
        <v>66000000</v>
      </c>
      <c r="I211" s="777" t="n">
        <v>82</v>
      </c>
      <c r="J211" s="778" t="n">
        <f aca="false">IF(I211="","",H211/I211)</f>
        <v>804878.048780488</v>
      </c>
      <c r="K211" s="749" t="s">
        <v>2361</v>
      </c>
      <c r="L211" s="774" t="n">
        <v>40960</v>
      </c>
      <c r="M211" s="774" t="n">
        <v>41326</v>
      </c>
      <c r="O211" s="799" t="n">
        <v>4.2</v>
      </c>
      <c r="P211" s="749" t="s">
        <v>2613</v>
      </c>
      <c r="Q211" s="749" t="s">
        <v>2363</v>
      </c>
    </row>
    <row r="212" customFormat="false" ht="16.5" hidden="false" customHeight="true" outlineLevel="0" collapsed="false">
      <c r="A212" s="747" t="s">
        <v>2335</v>
      </c>
      <c r="B212" s="774" t="n">
        <v>40954</v>
      </c>
      <c r="D212" s="749" t="s">
        <v>201</v>
      </c>
      <c r="E212" s="749" t="s">
        <v>2411</v>
      </c>
      <c r="F212" s="749" t="s">
        <v>2644</v>
      </c>
      <c r="G212" s="798" t="s">
        <v>1267</v>
      </c>
      <c r="H212" s="776" t="n">
        <v>110000000</v>
      </c>
      <c r="I212" s="777" t="n">
        <v>82</v>
      </c>
      <c r="J212" s="778" t="n">
        <f aca="false">IF(I212="","",H212/I212)</f>
        <v>1341463.41463415</v>
      </c>
      <c r="K212" s="749" t="s">
        <v>2361</v>
      </c>
      <c r="L212" s="774" t="n">
        <v>40963</v>
      </c>
      <c r="M212" s="774" t="n">
        <v>41329</v>
      </c>
      <c r="O212" s="799" t="n">
        <v>3.96</v>
      </c>
      <c r="P212" s="749" t="s">
        <v>2613</v>
      </c>
      <c r="Q212" s="749" t="s">
        <v>2363</v>
      </c>
    </row>
    <row r="213" customFormat="false" ht="16.5" hidden="false" customHeight="true" outlineLevel="0" collapsed="false">
      <c r="A213" s="747" t="s">
        <v>2190</v>
      </c>
      <c r="B213" s="774" t="n">
        <v>40954</v>
      </c>
      <c r="D213" s="749" t="s">
        <v>124</v>
      </c>
      <c r="E213" s="749" t="s">
        <v>2462</v>
      </c>
      <c r="F213" s="749" t="s">
        <v>2527</v>
      </c>
      <c r="G213" s="798" t="s">
        <v>1267</v>
      </c>
      <c r="H213" s="776" t="n">
        <v>11000000</v>
      </c>
      <c r="I213" s="777" t="n">
        <v>82</v>
      </c>
      <c r="J213" s="778" t="n">
        <f aca="false">IF(I213="","",H213/I213)</f>
        <v>134146.341463415</v>
      </c>
      <c r="K213" s="749" t="s">
        <v>2361</v>
      </c>
      <c r="L213" s="774" t="n">
        <v>40954</v>
      </c>
      <c r="M213" s="774" t="n">
        <v>41278</v>
      </c>
      <c r="O213" s="799" t="n">
        <v>2.85</v>
      </c>
      <c r="P213" s="749" t="s">
        <v>2606</v>
      </c>
      <c r="Q213" s="749" t="s">
        <v>2607</v>
      </c>
    </row>
    <row r="214" customFormat="false" ht="16.5" hidden="false" customHeight="true" outlineLevel="0" collapsed="false">
      <c r="A214" s="747" t="s">
        <v>2335</v>
      </c>
      <c r="B214" s="774" t="n">
        <v>40955</v>
      </c>
      <c r="D214" s="749" t="s">
        <v>2358</v>
      </c>
      <c r="E214" s="749" t="s">
        <v>2636</v>
      </c>
      <c r="F214" s="749" t="s">
        <v>2645</v>
      </c>
      <c r="G214" s="798" t="s">
        <v>1267</v>
      </c>
      <c r="H214" s="776" t="n">
        <v>93100000</v>
      </c>
      <c r="I214" s="777" t="n">
        <v>82</v>
      </c>
      <c r="J214" s="778" t="n">
        <f aca="false">IF(I214="","",H214/I214)</f>
        <v>1135365.85365854</v>
      </c>
      <c r="K214" s="749" t="s">
        <v>2361</v>
      </c>
      <c r="L214" s="774" t="n">
        <v>40959</v>
      </c>
      <c r="M214" s="774" t="n">
        <v>41324</v>
      </c>
      <c r="O214" s="799" t="n">
        <v>4.2</v>
      </c>
      <c r="P214" s="749" t="s">
        <v>2613</v>
      </c>
      <c r="Q214" s="749" t="s">
        <v>2363</v>
      </c>
    </row>
    <row r="215" customFormat="false" ht="16.5" hidden="false" customHeight="true" outlineLevel="0" collapsed="false">
      <c r="A215" s="747" t="s">
        <v>2335</v>
      </c>
      <c r="B215" s="774" t="n">
        <v>40956</v>
      </c>
      <c r="D215" s="749" t="s">
        <v>2344</v>
      </c>
      <c r="E215" s="749" t="s">
        <v>2550</v>
      </c>
      <c r="F215" s="749" t="s">
        <v>2646</v>
      </c>
      <c r="G215" s="798" t="s">
        <v>1267</v>
      </c>
      <c r="H215" s="776" t="n">
        <v>54000000</v>
      </c>
      <c r="I215" s="777" t="n">
        <v>82</v>
      </c>
      <c r="J215" s="778" t="n">
        <f aca="false">IF(I215="","",H215/I215)</f>
        <v>658536.585365854</v>
      </c>
      <c r="K215" s="749" t="s">
        <v>2361</v>
      </c>
      <c r="L215" s="774" t="n">
        <v>40966</v>
      </c>
      <c r="M215" s="774" t="n">
        <v>41332</v>
      </c>
      <c r="O215" s="799" t="n">
        <v>4</v>
      </c>
      <c r="P215" s="749" t="s">
        <v>2613</v>
      </c>
      <c r="Q215" s="749" t="s">
        <v>2363</v>
      </c>
    </row>
    <row r="216" customFormat="false" ht="16.5" hidden="false" customHeight="true" outlineLevel="0" collapsed="false">
      <c r="A216" s="747" t="s">
        <v>2335</v>
      </c>
      <c r="B216" s="774" t="n">
        <v>40960</v>
      </c>
      <c r="D216" s="749" t="s">
        <v>2358</v>
      </c>
      <c r="E216" s="749" t="s">
        <v>2636</v>
      </c>
      <c r="F216" s="749" t="s">
        <v>2647</v>
      </c>
      <c r="G216" s="798" t="s">
        <v>1267</v>
      </c>
      <c r="H216" s="776" t="n">
        <v>120770000</v>
      </c>
      <c r="I216" s="777" t="n">
        <v>82</v>
      </c>
      <c r="J216" s="778" t="n">
        <f aca="false">IF(I216="","",H216/I216)</f>
        <v>1472804.87804878</v>
      </c>
      <c r="K216" s="749" t="s">
        <v>2361</v>
      </c>
      <c r="L216" s="774" t="n">
        <v>40962</v>
      </c>
      <c r="M216" s="774" t="n">
        <v>41328</v>
      </c>
      <c r="O216" s="799" t="n">
        <v>4.3</v>
      </c>
      <c r="P216" s="749" t="s">
        <v>2613</v>
      </c>
      <c r="Q216" s="749" t="s">
        <v>2363</v>
      </c>
    </row>
    <row r="217" customFormat="false" ht="16.5" hidden="false" customHeight="true" outlineLevel="0" collapsed="false">
      <c r="A217" s="747" t="s">
        <v>2335</v>
      </c>
      <c r="B217" s="774" t="n">
        <v>40960</v>
      </c>
      <c r="D217" s="749" t="s">
        <v>2372</v>
      </c>
      <c r="E217" s="749" t="s">
        <v>2373</v>
      </c>
      <c r="F217" s="749" t="s">
        <v>2648</v>
      </c>
      <c r="G217" s="798" t="s">
        <v>1267</v>
      </c>
      <c r="H217" s="776" t="n">
        <v>70000000</v>
      </c>
      <c r="I217" s="777" t="n">
        <v>82</v>
      </c>
      <c r="J217" s="778" t="n">
        <f aca="false">IF(I217="","",H217/I217)</f>
        <v>853658.536585366</v>
      </c>
      <c r="K217" s="749" t="s">
        <v>2361</v>
      </c>
      <c r="L217" s="774" t="n">
        <v>40966</v>
      </c>
      <c r="M217" s="774" t="n">
        <v>41332</v>
      </c>
      <c r="O217" s="799" t="n">
        <v>4</v>
      </c>
      <c r="P217" s="749" t="s">
        <v>2613</v>
      </c>
      <c r="Q217" s="749" t="s">
        <v>2363</v>
      </c>
    </row>
    <row r="218" customFormat="false" ht="16.5" hidden="false" customHeight="true" outlineLevel="0" collapsed="false">
      <c r="A218" s="747" t="s">
        <v>2335</v>
      </c>
      <c r="B218" s="774" t="n">
        <v>40961</v>
      </c>
      <c r="D218" s="749" t="s">
        <v>2423</v>
      </c>
      <c r="E218" s="749" t="s">
        <v>2629</v>
      </c>
      <c r="F218" s="749" t="s">
        <v>2630</v>
      </c>
      <c r="G218" s="798" t="s">
        <v>1267</v>
      </c>
      <c r="H218" s="776" t="n">
        <v>700000000</v>
      </c>
      <c r="I218" s="777" t="n">
        <v>82</v>
      </c>
      <c r="J218" s="778" t="n">
        <f aca="false">IF(I218="","",H218/I218)</f>
        <v>8536585.36585366</v>
      </c>
      <c r="K218" s="749" t="s">
        <v>2649</v>
      </c>
      <c r="L218" s="774" t="n">
        <v>40983</v>
      </c>
      <c r="M218" s="774" t="n">
        <v>41348</v>
      </c>
      <c r="O218" s="799" t="n">
        <v>4.46</v>
      </c>
      <c r="P218" s="749" t="s">
        <v>2613</v>
      </c>
      <c r="Q218" s="749" t="s">
        <v>2363</v>
      </c>
    </row>
    <row r="219" customFormat="false" ht="16.5" hidden="false" customHeight="true" outlineLevel="0" collapsed="false">
      <c r="A219" s="747" t="s">
        <v>2190</v>
      </c>
      <c r="B219" s="774" t="n">
        <v>40961</v>
      </c>
      <c r="D219" s="749" t="s">
        <v>644</v>
      </c>
      <c r="E219" s="749" t="s">
        <v>2359</v>
      </c>
      <c r="F219" s="749" t="s">
        <v>2650</v>
      </c>
      <c r="G219" s="798" t="s">
        <v>1267</v>
      </c>
      <c r="H219" s="776" t="n">
        <v>54800000</v>
      </c>
      <c r="I219" s="777" t="n">
        <v>82</v>
      </c>
      <c r="J219" s="778" t="n">
        <f aca="false">IF(I219="","",H219/I219)</f>
        <v>668292.682926829</v>
      </c>
      <c r="K219" s="749" t="s">
        <v>2361</v>
      </c>
      <c r="L219" s="774" t="n">
        <v>40966</v>
      </c>
      <c r="M219" s="774" t="n">
        <v>41332</v>
      </c>
      <c r="O219" s="801" t="n">
        <v>4</v>
      </c>
      <c r="P219" s="749" t="s">
        <v>2606</v>
      </c>
      <c r="Q219" s="749" t="s">
        <v>2607</v>
      </c>
    </row>
    <row r="220" customFormat="false" ht="16.5" hidden="false" customHeight="true" outlineLevel="0" collapsed="false">
      <c r="A220" s="747" t="s">
        <v>2335</v>
      </c>
      <c r="B220" s="774" t="n">
        <v>40973</v>
      </c>
      <c r="D220" s="749" t="s">
        <v>2375</v>
      </c>
      <c r="E220" s="749" t="s">
        <v>2599</v>
      </c>
      <c r="F220" s="749" t="s">
        <v>2340</v>
      </c>
      <c r="G220" s="798" t="s">
        <v>1267</v>
      </c>
      <c r="H220" s="776" t="n">
        <v>21240000</v>
      </c>
      <c r="I220" s="777" t="n">
        <v>82</v>
      </c>
      <c r="J220" s="778" t="n">
        <f aca="false">IF(I220="","",H220/I220)</f>
        <v>259024.390243902</v>
      </c>
      <c r="K220" s="749" t="s">
        <v>2336</v>
      </c>
      <c r="L220" s="774" t="n">
        <v>40975</v>
      </c>
      <c r="M220" s="774" t="n">
        <v>41350</v>
      </c>
      <c r="O220" s="799" t="n">
        <v>5</v>
      </c>
      <c r="P220" s="749" t="s">
        <v>2613</v>
      </c>
      <c r="Q220" s="749" t="s">
        <v>2363</v>
      </c>
    </row>
    <row r="221" customFormat="false" ht="16.5" hidden="false" customHeight="true" outlineLevel="0" collapsed="false">
      <c r="A221" s="747" t="s">
        <v>2190</v>
      </c>
      <c r="B221" s="774" t="n">
        <v>40974</v>
      </c>
      <c r="D221" s="749" t="s">
        <v>2430</v>
      </c>
      <c r="E221" s="749" t="s">
        <v>2431</v>
      </c>
      <c r="F221" s="749" t="s">
        <v>2638</v>
      </c>
      <c r="G221" s="798" t="s">
        <v>2136</v>
      </c>
      <c r="H221" s="776" t="n">
        <v>51720</v>
      </c>
      <c r="I221" s="777" t="n">
        <v>1</v>
      </c>
      <c r="J221" s="778" t="n">
        <f aca="false">IF(I221="","",H221/I221)</f>
        <v>51720</v>
      </c>
      <c r="K221" s="749" t="s">
        <v>2336</v>
      </c>
      <c r="L221" s="774" t="n">
        <v>40980</v>
      </c>
      <c r="M221" s="774" t="n">
        <v>41225</v>
      </c>
      <c r="O221" s="801" t="n">
        <v>3.22</v>
      </c>
      <c r="P221" s="749" t="s">
        <v>2606</v>
      </c>
      <c r="Q221" s="749" t="s">
        <v>2607</v>
      </c>
    </row>
    <row r="222" customFormat="false" ht="16.5" hidden="false" customHeight="true" outlineLevel="0" collapsed="false">
      <c r="A222" s="747" t="s">
        <v>2335</v>
      </c>
      <c r="B222" s="774" t="n">
        <v>40976</v>
      </c>
      <c r="D222" s="749" t="s">
        <v>644</v>
      </c>
      <c r="E222" s="749" t="s">
        <v>2379</v>
      </c>
      <c r="F222" s="749" t="s">
        <v>2380</v>
      </c>
      <c r="G222" s="798" t="s">
        <v>2136</v>
      </c>
      <c r="H222" s="776" t="n">
        <v>200000</v>
      </c>
      <c r="I222" s="777" t="n">
        <v>1</v>
      </c>
      <c r="J222" s="778" t="n">
        <f aca="false">IF(I222="","",H222/I222)</f>
        <v>200000</v>
      </c>
      <c r="K222" s="749" t="s">
        <v>2336</v>
      </c>
      <c r="L222" s="774" t="n">
        <v>40983</v>
      </c>
      <c r="M222" s="774" t="n">
        <v>41075</v>
      </c>
      <c r="O222" s="799" t="n">
        <v>3.17</v>
      </c>
      <c r="P222" s="749" t="s">
        <v>2613</v>
      </c>
      <c r="Q222" s="749" t="s">
        <v>2363</v>
      </c>
    </row>
    <row r="223" customFormat="false" ht="16.5" hidden="false" customHeight="true" outlineLevel="0" collapsed="false">
      <c r="A223" s="747" t="s">
        <v>2335</v>
      </c>
      <c r="B223" s="774" t="n">
        <v>40976</v>
      </c>
      <c r="D223" s="749" t="s">
        <v>644</v>
      </c>
      <c r="E223" s="749" t="s">
        <v>2379</v>
      </c>
      <c r="F223" s="749" t="s">
        <v>2380</v>
      </c>
      <c r="G223" s="798" t="s">
        <v>2136</v>
      </c>
      <c r="H223" s="776" t="n">
        <v>600000</v>
      </c>
      <c r="I223" s="777" t="n">
        <v>1</v>
      </c>
      <c r="J223" s="778" t="n">
        <f aca="false">IF(I223="","",H223/I223)</f>
        <v>600000</v>
      </c>
      <c r="K223" s="749" t="s">
        <v>2336</v>
      </c>
      <c r="L223" s="774" t="n">
        <v>40983</v>
      </c>
      <c r="M223" s="774" t="n">
        <v>41075</v>
      </c>
      <c r="O223" s="799" t="n">
        <v>3.17</v>
      </c>
      <c r="P223" s="749" t="s">
        <v>2613</v>
      </c>
      <c r="Q223" s="749" t="s">
        <v>2363</v>
      </c>
    </row>
    <row r="224" customFormat="false" ht="16.5" hidden="false" customHeight="true" outlineLevel="0" collapsed="false">
      <c r="A224" s="747" t="s">
        <v>2335</v>
      </c>
      <c r="B224" s="774" t="n">
        <v>40976</v>
      </c>
      <c r="D224" s="749" t="s">
        <v>644</v>
      </c>
      <c r="E224" s="749" t="s">
        <v>2379</v>
      </c>
      <c r="F224" s="749" t="s">
        <v>2380</v>
      </c>
      <c r="G224" s="798" t="s">
        <v>2136</v>
      </c>
      <c r="H224" s="776" t="n">
        <v>200000</v>
      </c>
      <c r="I224" s="777" t="n">
        <v>1</v>
      </c>
      <c r="J224" s="778" t="n">
        <f aca="false">IF(I224="","",H224/I224)</f>
        <v>200000</v>
      </c>
      <c r="K224" s="749" t="s">
        <v>2336</v>
      </c>
      <c r="L224" s="774" t="n">
        <v>40983</v>
      </c>
      <c r="M224" s="774" t="n">
        <v>41075</v>
      </c>
      <c r="O224" s="799" t="n">
        <v>3.17</v>
      </c>
      <c r="P224" s="749" t="s">
        <v>2613</v>
      </c>
      <c r="Q224" s="749" t="s">
        <v>2363</v>
      </c>
    </row>
    <row r="225" customFormat="false" ht="16.5" hidden="false" customHeight="true" outlineLevel="0" collapsed="false">
      <c r="A225" s="747" t="s">
        <v>2335</v>
      </c>
      <c r="B225" s="774" t="n">
        <v>40980</v>
      </c>
      <c r="D225" s="749" t="s">
        <v>2372</v>
      </c>
      <c r="E225" s="749" t="s">
        <v>2373</v>
      </c>
      <c r="F225" s="749" t="s">
        <v>2651</v>
      </c>
      <c r="G225" s="798" t="s">
        <v>1267</v>
      </c>
      <c r="H225" s="776" t="n">
        <v>24000000</v>
      </c>
      <c r="I225" s="777" t="n">
        <v>82</v>
      </c>
      <c r="J225" s="778" t="n">
        <f aca="false">IF(I225="","",H225/I225)</f>
        <v>292682.926829268</v>
      </c>
      <c r="K225" s="749" t="s">
        <v>2460</v>
      </c>
      <c r="L225" s="774" t="n">
        <v>40982</v>
      </c>
      <c r="M225" s="774" t="n">
        <v>41347</v>
      </c>
      <c r="O225" s="799" t="n">
        <v>3.8</v>
      </c>
      <c r="P225" s="749" t="s">
        <v>2613</v>
      </c>
      <c r="Q225" s="749" t="s">
        <v>2363</v>
      </c>
    </row>
    <row r="226" customFormat="false" ht="16.5" hidden="false" customHeight="true" outlineLevel="0" collapsed="false">
      <c r="A226" s="747" t="s">
        <v>2335</v>
      </c>
      <c r="B226" s="774" t="n">
        <v>40980</v>
      </c>
      <c r="D226" s="749" t="s">
        <v>2367</v>
      </c>
      <c r="E226" s="749" t="s">
        <v>2433</v>
      </c>
      <c r="F226" s="749" t="s">
        <v>2652</v>
      </c>
      <c r="G226" s="798" t="s">
        <v>1267</v>
      </c>
      <c r="H226" s="776" t="n">
        <v>18000000</v>
      </c>
      <c r="I226" s="777" t="n">
        <v>82</v>
      </c>
      <c r="J226" s="778" t="n">
        <f aca="false">IF(I226="","",H226/I226)</f>
        <v>219512.195121951</v>
      </c>
      <c r="K226" s="749" t="s">
        <v>2460</v>
      </c>
      <c r="L226" s="774" t="n">
        <v>40980</v>
      </c>
      <c r="M226" s="774" t="n">
        <v>41343</v>
      </c>
      <c r="O226" s="799" t="n">
        <v>4.27</v>
      </c>
      <c r="P226" s="749" t="s">
        <v>2613</v>
      </c>
      <c r="Q226" s="749" t="s">
        <v>2363</v>
      </c>
    </row>
    <row r="227" customFormat="false" ht="16.5" hidden="false" customHeight="true" outlineLevel="0" collapsed="false">
      <c r="A227" s="747" t="s">
        <v>2335</v>
      </c>
      <c r="B227" s="774" t="n">
        <v>40980</v>
      </c>
      <c r="D227" s="798" t="s">
        <v>2403</v>
      </c>
      <c r="E227" s="749" t="s">
        <v>2640</v>
      </c>
      <c r="F227" s="749" t="s">
        <v>2541</v>
      </c>
      <c r="G227" s="798" t="s">
        <v>2136</v>
      </c>
      <c r="H227" s="776" t="n">
        <v>227036</v>
      </c>
      <c r="I227" s="777" t="n">
        <v>1</v>
      </c>
      <c r="J227" s="778" t="n">
        <f aca="false">IF(I227="","",H227/I227)</f>
        <v>227036</v>
      </c>
      <c r="K227" s="749" t="s">
        <v>2336</v>
      </c>
      <c r="L227" s="774" t="n">
        <v>40982</v>
      </c>
      <c r="M227" s="774" t="n">
        <v>41166</v>
      </c>
      <c r="O227" s="799" t="n">
        <v>3.5</v>
      </c>
      <c r="P227" s="749" t="s">
        <v>2613</v>
      </c>
      <c r="Q227" s="749" t="s">
        <v>2363</v>
      </c>
    </row>
    <row r="228" customFormat="false" ht="16.5" hidden="false" customHeight="true" outlineLevel="0" collapsed="false">
      <c r="A228" s="747" t="s">
        <v>2190</v>
      </c>
      <c r="B228" s="774" t="n">
        <v>40980</v>
      </c>
      <c r="D228" s="749" t="s">
        <v>1184</v>
      </c>
      <c r="E228" s="749" t="s">
        <v>2619</v>
      </c>
      <c r="F228" s="749" t="s">
        <v>2653</v>
      </c>
      <c r="G228" s="798" t="s">
        <v>2136</v>
      </c>
      <c r="H228" s="776" t="n">
        <v>3000000</v>
      </c>
      <c r="I228" s="777" t="n">
        <v>1</v>
      </c>
      <c r="J228" s="778" t="n">
        <f aca="false">IF(I228="","",H228/I228)</f>
        <v>3000000</v>
      </c>
      <c r="K228" s="749" t="s">
        <v>2654</v>
      </c>
      <c r="L228" s="774" t="n">
        <v>40980</v>
      </c>
      <c r="M228" s="774" t="n">
        <v>41345</v>
      </c>
      <c r="O228" s="801" t="n">
        <v>3.24</v>
      </c>
      <c r="P228" s="749" t="s">
        <v>2606</v>
      </c>
      <c r="Q228" s="749" t="s">
        <v>2607</v>
      </c>
    </row>
    <row r="229" customFormat="false" ht="16.5" hidden="false" customHeight="true" outlineLevel="0" collapsed="false">
      <c r="A229" s="747" t="s">
        <v>2335</v>
      </c>
      <c r="B229" s="774" t="n">
        <v>40987</v>
      </c>
      <c r="D229" s="749" t="s">
        <v>124</v>
      </c>
      <c r="E229" s="749" t="s">
        <v>2642</v>
      </c>
      <c r="F229" s="749" t="s">
        <v>2655</v>
      </c>
      <c r="G229" s="798" t="s">
        <v>1267</v>
      </c>
      <c r="H229" s="776" t="n">
        <v>50000000</v>
      </c>
      <c r="I229" s="777" t="n">
        <v>82</v>
      </c>
      <c r="J229" s="778" t="n">
        <f aca="false">IF(I229="","",H229/I229)</f>
        <v>609756.097560976</v>
      </c>
      <c r="K229" s="749" t="s">
        <v>2336</v>
      </c>
      <c r="L229" s="774" t="n">
        <v>40994</v>
      </c>
      <c r="M229" s="774" t="n">
        <v>41359</v>
      </c>
      <c r="O229" s="799" t="n">
        <v>5.9</v>
      </c>
      <c r="P229" s="749" t="s">
        <v>2613</v>
      </c>
      <c r="Q229" s="749" t="s">
        <v>2363</v>
      </c>
    </row>
    <row r="230" customFormat="false" ht="16.5" hidden="false" customHeight="true" outlineLevel="0" collapsed="false">
      <c r="A230" s="747" t="s">
        <v>2335</v>
      </c>
      <c r="B230" s="774" t="n">
        <v>40987</v>
      </c>
      <c r="D230" s="749" t="s">
        <v>597</v>
      </c>
      <c r="E230" s="749" t="s">
        <v>2589</v>
      </c>
      <c r="F230" s="749" t="s">
        <v>2656</v>
      </c>
      <c r="G230" s="798" t="s">
        <v>1267</v>
      </c>
      <c r="H230" s="776" t="n">
        <v>91700000</v>
      </c>
      <c r="I230" s="777" t="n">
        <v>82</v>
      </c>
      <c r="J230" s="778" t="n">
        <f aca="false">IF(I230="","",H230/I230)</f>
        <v>1118292.68292683</v>
      </c>
      <c r="K230" s="749" t="s">
        <v>2336</v>
      </c>
      <c r="L230" s="774" t="n">
        <v>40990</v>
      </c>
      <c r="M230" s="774" t="n">
        <v>41355</v>
      </c>
      <c r="O230" s="799" t="n">
        <v>4.5</v>
      </c>
      <c r="P230" s="749" t="s">
        <v>2613</v>
      </c>
      <c r="Q230" s="749" t="s">
        <v>2363</v>
      </c>
    </row>
    <row r="231" customFormat="false" ht="16.5" hidden="false" customHeight="true" outlineLevel="0" collapsed="false">
      <c r="A231" s="747" t="s">
        <v>2335</v>
      </c>
      <c r="B231" s="774" t="n">
        <v>40990</v>
      </c>
      <c r="D231" s="749" t="s">
        <v>2657</v>
      </c>
      <c r="E231" s="749" t="s">
        <v>2370</v>
      </c>
      <c r="F231" s="749" t="s">
        <v>2658</v>
      </c>
      <c r="G231" s="798" t="s">
        <v>1267</v>
      </c>
      <c r="H231" s="776" t="n">
        <v>30700000</v>
      </c>
      <c r="I231" s="777" t="n">
        <v>82</v>
      </c>
      <c r="J231" s="778" t="n">
        <f aca="false">IF(I231="","",H231/I231)</f>
        <v>374390.243902439</v>
      </c>
      <c r="K231" s="749" t="s">
        <v>2659</v>
      </c>
      <c r="L231" s="774" t="n">
        <v>40994</v>
      </c>
      <c r="M231" s="774" t="n">
        <v>40992</v>
      </c>
      <c r="O231" s="799" t="n">
        <v>3.25</v>
      </c>
      <c r="P231" s="749" t="s">
        <v>2613</v>
      </c>
      <c r="Q231" s="749" t="s">
        <v>2363</v>
      </c>
    </row>
    <row r="232" customFormat="false" ht="16.5" hidden="false" customHeight="true" outlineLevel="0" collapsed="false">
      <c r="A232" s="747" t="s">
        <v>2190</v>
      </c>
      <c r="B232" s="774" t="n">
        <v>40990</v>
      </c>
      <c r="D232" s="749" t="s">
        <v>124</v>
      </c>
      <c r="E232" s="749" t="s">
        <v>2660</v>
      </c>
      <c r="F232" s="749" t="s">
        <v>2661</v>
      </c>
      <c r="G232" s="798" t="s">
        <v>1267</v>
      </c>
      <c r="H232" s="776" t="n">
        <v>563000000</v>
      </c>
      <c r="I232" s="777" t="n">
        <v>82</v>
      </c>
      <c r="J232" s="778" t="n">
        <f aca="false">IF(I232="","",H232/I232)</f>
        <v>6865853.65853659</v>
      </c>
      <c r="K232" s="749" t="s">
        <v>2662</v>
      </c>
      <c r="L232" s="774" t="n">
        <v>40994</v>
      </c>
      <c r="M232" s="774" t="n">
        <v>41024</v>
      </c>
      <c r="O232" s="801" t="n">
        <v>2.4</v>
      </c>
      <c r="P232" s="749" t="s">
        <v>2606</v>
      </c>
      <c r="Q232" s="749" t="s">
        <v>2607</v>
      </c>
    </row>
    <row r="233" customFormat="false" ht="16.5" hidden="false" customHeight="true" outlineLevel="0" collapsed="false">
      <c r="A233" s="747" t="s">
        <v>2190</v>
      </c>
      <c r="B233" s="774" t="n">
        <v>40990</v>
      </c>
      <c r="D233" s="749" t="s">
        <v>201</v>
      </c>
      <c r="E233" s="749" t="s">
        <v>2663</v>
      </c>
      <c r="F233" s="749" t="s">
        <v>2583</v>
      </c>
      <c r="G233" s="798" t="s">
        <v>1267</v>
      </c>
      <c r="H233" s="776" t="n">
        <v>29600000</v>
      </c>
      <c r="I233" s="777" t="n">
        <v>82</v>
      </c>
      <c r="J233" s="778" t="n">
        <f aca="false">IF(I233="","",H233/I233)</f>
        <v>360975.609756098</v>
      </c>
      <c r="K233" s="749" t="s">
        <v>2662</v>
      </c>
      <c r="L233" s="774" t="n">
        <v>40996</v>
      </c>
      <c r="M233" s="774" t="n">
        <v>42822</v>
      </c>
      <c r="O233" s="801" t="n">
        <v>4.6</v>
      </c>
      <c r="P233" s="749" t="s">
        <v>2606</v>
      </c>
      <c r="Q233" s="749" t="s">
        <v>2607</v>
      </c>
    </row>
    <row r="234" customFormat="false" ht="16.5" hidden="false" customHeight="true" outlineLevel="0" collapsed="false">
      <c r="A234" s="747" t="s">
        <v>2335</v>
      </c>
      <c r="B234" s="774" t="n">
        <v>40994</v>
      </c>
      <c r="D234" s="749" t="s">
        <v>2664</v>
      </c>
      <c r="E234" s="749" t="s">
        <v>2665</v>
      </c>
      <c r="F234" s="749" t="s">
        <v>2666</v>
      </c>
      <c r="G234" s="798" t="s">
        <v>1267</v>
      </c>
      <c r="H234" s="776" t="n">
        <v>3050000</v>
      </c>
      <c r="I234" s="777" t="n">
        <v>82</v>
      </c>
      <c r="J234" s="778" t="n">
        <f aca="false">IF(I234="","",H234/I234)</f>
        <v>37195.1219512195</v>
      </c>
      <c r="K234" s="749" t="s">
        <v>2336</v>
      </c>
      <c r="L234" s="774" t="n">
        <v>40996</v>
      </c>
      <c r="M234" s="774" t="n">
        <v>41361</v>
      </c>
      <c r="O234" s="799" t="n">
        <v>4.4</v>
      </c>
      <c r="P234" s="749" t="s">
        <v>2613</v>
      </c>
      <c r="Q234" s="749" t="s">
        <v>2363</v>
      </c>
    </row>
    <row r="235" customFormat="false" ht="16.5" hidden="false" customHeight="true" outlineLevel="0" collapsed="false">
      <c r="A235" s="747" t="s">
        <v>2335</v>
      </c>
      <c r="B235" s="774" t="n">
        <v>40994</v>
      </c>
      <c r="D235" s="749" t="s">
        <v>2375</v>
      </c>
      <c r="E235" s="749" t="s">
        <v>2599</v>
      </c>
      <c r="F235" s="749" t="s">
        <v>2667</v>
      </c>
      <c r="G235" s="798" t="s">
        <v>1267</v>
      </c>
      <c r="H235" s="776" t="n">
        <v>36600000</v>
      </c>
      <c r="I235" s="777" t="n">
        <v>82</v>
      </c>
      <c r="J235" s="778" t="n">
        <f aca="false">IF(I235="","",H235/I235)</f>
        <v>446341.463414634</v>
      </c>
      <c r="K235" s="749" t="s">
        <v>2336</v>
      </c>
      <c r="L235" s="774" t="n">
        <v>40999</v>
      </c>
      <c r="M235" s="774" t="n">
        <v>41364</v>
      </c>
      <c r="O235" s="799" t="n">
        <v>4</v>
      </c>
      <c r="P235" s="749" t="s">
        <v>2613</v>
      </c>
      <c r="Q235" s="749" t="s">
        <v>2363</v>
      </c>
    </row>
    <row r="236" customFormat="false" ht="16.5" hidden="false" customHeight="true" outlineLevel="0" collapsed="false">
      <c r="A236" s="747" t="s">
        <v>2335</v>
      </c>
      <c r="B236" s="774" t="n">
        <v>40995</v>
      </c>
      <c r="D236" s="749" t="s">
        <v>1366</v>
      </c>
      <c r="E236" s="749" t="s">
        <v>2413</v>
      </c>
      <c r="F236" s="749" t="s">
        <v>2668</v>
      </c>
      <c r="G236" s="798" t="s">
        <v>1267</v>
      </c>
      <c r="H236" s="776" t="n">
        <v>80000000</v>
      </c>
      <c r="I236" s="777" t="n">
        <v>82</v>
      </c>
      <c r="J236" s="778" t="n">
        <f aca="false">IF(I236="","",H236/I236)</f>
        <v>975609.756097561</v>
      </c>
      <c r="K236" s="749" t="s">
        <v>2460</v>
      </c>
      <c r="L236" s="774" t="n">
        <v>40999</v>
      </c>
      <c r="M236" s="774" t="n">
        <v>41364</v>
      </c>
      <c r="O236" s="799" t="n">
        <v>4</v>
      </c>
      <c r="P236" s="749" t="s">
        <v>2613</v>
      </c>
      <c r="Q236" s="749" t="s">
        <v>2363</v>
      </c>
    </row>
    <row r="237" customFormat="false" ht="16.5" hidden="false" customHeight="true" outlineLevel="0" collapsed="false">
      <c r="A237" s="747" t="s">
        <v>2335</v>
      </c>
      <c r="B237" s="774" t="n">
        <v>40996</v>
      </c>
      <c r="D237" s="749" t="s">
        <v>2344</v>
      </c>
      <c r="E237" s="749" t="s">
        <v>2572</v>
      </c>
      <c r="F237" s="749" t="s">
        <v>2669</v>
      </c>
      <c r="G237" s="798" t="s">
        <v>1267</v>
      </c>
      <c r="H237" s="776" t="n">
        <v>130000000</v>
      </c>
      <c r="I237" s="777" t="n">
        <v>82</v>
      </c>
      <c r="J237" s="778" t="n">
        <f aca="false">IF(I237="","",H237/I237)</f>
        <v>1585365.85365854</v>
      </c>
      <c r="K237" s="749" t="s">
        <v>2361</v>
      </c>
      <c r="L237" s="774" t="n">
        <v>40998</v>
      </c>
      <c r="M237" s="774" t="n">
        <v>41363</v>
      </c>
      <c r="O237" s="799" t="n">
        <v>3.43</v>
      </c>
      <c r="P237" s="749" t="s">
        <v>2613</v>
      </c>
      <c r="Q237" s="749" t="s">
        <v>2363</v>
      </c>
    </row>
    <row r="238" customFormat="false" ht="16.5" hidden="false" customHeight="true" outlineLevel="0" collapsed="false">
      <c r="A238" s="747" t="s">
        <v>2335</v>
      </c>
      <c r="B238" s="774" t="n">
        <v>40996</v>
      </c>
      <c r="D238" s="749" t="s">
        <v>2344</v>
      </c>
      <c r="E238" s="749" t="s">
        <v>2572</v>
      </c>
      <c r="F238" s="749" t="s">
        <v>2669</v>
      </c>
      <c r="G238" s="798" t="s">
        <v>1267</v>
      </c>
      <c r="H238" s="776" t="n">
        <v>51000000</v>
      </c>
      <c r="I238" s="777" t="n">
        <v>82</v>
      </c>
      <c r="J238" s="778" t="n">
        <f aca="false">IF(I238="","",H238/I238)</f>
        <v>621951.219512195</v>
      </c>
      <c r="K238" s="749" t="s">
        <v>2336</v>
      </c>
      <c r="L238" s="774" t="n">
        <v>40998</v>
      </c>
      <c r="M238" s="774" t="n">
        <v>41363</v>
      </c>
      <c r="O238" s="799" t="n">
        <v>4.15</v>
      </c>
      <c r="P238" s="749" t="s">
        <v>2613</v>
      </c>
      <c r="Q238" s="749" t="s">
        <v>2363</v>
      </c>
    </row>
    <row r="239" customFormat="false" ht="16.5" hidden="false" customHeight="true" outlineLevel="0" collapsed="false">
      <c r="A239" s="747" t="s">
        <v>2335</v>
      </c>
      <c r="B239" s="774" t="n">
        <v>40996</v>
      </c>
      <c r="D239" s="749" t="s">
        <v>96</v>
      </c>
      <c r="E239" s="749" t="s">
        <v>2390</v>
      </c>
      <c r="F239" s="749" t="s">
        <v>2670</v>
      </c>
      <c r="G239" s="798" t="s">
        <v>1267</v>
      </c>
      <c r="H239" s="776" t="n">
        <v>45000000</v>
      </c>
      <c r="I239" s="777" t="n">
        <v>82</v>
      </c>
      <c r="J239" s="778" t="n">
        <f aca="false">IF(I239="","",H239/I239)</f>
        <v>548780.487804878</v>
      </c>
      <c r="K239" s="749" t="s">
        <v>2336</v>
      </c>
      <c r="L239" s="774" t="n">
        <v>41003</v>
      </c>
      <c r="M239" s="774" t="s">
        <v>2671</v>
      </c>
      <c r="O239" s="799" t="n">
        <v>4.5</v>
      </c>
      <c r="P239" s="749" t="s">
        <v>2613</v>
      </c>
      <c r="Q239" s="749" t="s">
        <v>2363</v>
      </c>
    </row>
    <row r="240" customFormat="false" ht="16.5" hidden="false" customHeight="true" outlineLevel="0" collapsed="false">
      <c r="A240" s="747" t="s">
        <v>2335</v>
      </c>
      <c r="B240" s="774" t="n">
        <v>40996</v>
      </c>
      <c r="D240" s="749" t="s">
        <v>103</v>
      </c>
      <c r="E240" s="749" t="s">
        <v>2377</v>
      </c>
      <c r="F240" s="749" t="s">
        <v>2672</v>
      </c>
      <c r="G240" s="798" t="s">
        <v>1267</v>
      </c>
      <c r="H240" s="776" t="n">
        <v>16000000</v>
      </c>
      <c r="I240" s="777" t="n">
        <v>82</v>
      </c>
      <c r="J240" s="778" t="n">
        <f aca="false">IF(I240="","",H240/I240)</f>
        <v>195121.951219512</v>
      </c>
      <c r="K240" s="749" t="s">
        <v>2336</v>
      </c>
      <c r="L240" s="774" t="n">
        <v>41001</v>
      </c>
      <c r="M240" s="774" t="n">
        <v>41364</v>
      </c>
      <c r="O240" s="799" t="n">
        <v>4.17</v>
      </c>
      <c r="P240" s="749" t="s">
        <v>2613</v>
      </c>
      <c r="Q240" s="749" t="s">
        <v>2363</v>
      </c>
    </row>
    <row r="241" customFormat="false" ht="16.5" hidden="false" customHeight="true" outlineLevel="0" collapsed="false">
      <c r="A241" s="747" t="s">
        <v>2190</v>
      </c>
      <c r="B241" s="774" t="n">
        <v>40996</v>
      </c>
      <c r="D241" s="749" t="s">
        <v>133</v>
      </c>
      <c r="E241" s="749" t="s">
        <v>2584</v>
      </c>
      <c r="F241" s="749" t="s">
        <v>2673</v>
      </c>
      <c r="G241" s="798" t="s">
        <v>1267</v>
      </c>
      <c r="H241" s="776" t="n">
        <v>81450000</v>
      </c>
      <c r="I241" s="777" t="n">
        <v>82</v>
      </c>
      <c r="J241" s="778" t="n">
        <f aca="false">IF(I241="","",H241/I241)</f>
        <v>993292.682926829</v>
      </c>
      <c r="K241" s="749" t="s">
        <v>2361</v>
      </c>
      <c r="L241" s="774" t="n">
        <v>40998</v>
      </c>
      <c r="M241" s="774" t="n">
        <v>41363</v>
      </c>
      <c r="O241" s="801" t="n">
        <v>2.99</v>
      </c>
      <c r="P241" s="749" t="s">
        <v>2606</v>
      </c>
      <c r="Q241" s="749" t="s">
        <v>2607</v>
      </c>
    </row>
    <row r="242" customFormat="false" ht="16.5" hidden="false" customHeight="true" outlineLevel="0" collapsed="false">
      <c r="A242" s="747" t="s">
        <v>2335</v>
      </c>
      <c r="B242" s="774" t="n">
        <v>40997</v>
      </c>
      <c r="D242" s="749" t="s">
        <v>2510</v>
      </c>
      <c r="E242" s="749" t="s">
        <v>2674</v>
      </c>
      <c r="F242" s="749" t="s">
        <v>2675</v>
      </c>
      <c r="G242" s="798" t="s">
        <v>1267</v>
      </c>
      <c r="H242" s="776" t="n">
        <v>91000000</v>
      </c>
      <c r="I242" s="777" t="n">
        <v>82</v>
      </c>
      <c r="J242" s="778" t="n">
        <f aca="false">IF(I242="","",H242/I242)</f>
        <v>1109756.09756098</v>
      </c>
      <c r="K242" s="749" t="s">
        <v>2500</v>
      </c>
      <c r="L242" s="774" t="n">
        <v>40997</v>
      </c>
      <c r="M242" s="774" t="n">
        <v>40998</v>
      </c>
      <c r="O242" s="799" t="n">
        <v>2.41</v>
      </c>
      <c r="P242" s="749" t="s">
        <v>2613</v>
      </c>
      <c r="Q242" s="749" t="s">
        <v>2363</v>
      </c>
    </row>
    <row r="243" customFormat="false" ht="16.5" hidden="false" customHeight="true" outlineLevel="0" collapsed="false">
      <c r="A243" s="747" t="s">
        <v>2335</v>
      </c>
      <c r="B243" s="774" t="n">
        <v>41001</v>
      </c>
      <c r="D243" s="749" t="s">
        <v>2372</v>
      </c>
      <c r="E243" s="749" t="s">
        <v>2373</v>
      </c>
      <c r="F243" s="749" t="s">
        <v>2676</v>
      </c>
      <c r="G243" s="798" t="s">
        <v>1267</v>
      </c>
      <c r="H243" s="776" t="n">
        <v>33000000</v>
      </c>
      <c r="I243" s="777" t="n">
        <v>82</v>
      </c>
      <c r="J243" s="778" t="n">
        <f aca="false">IF(I243="","",H243/I243)</f>
        <v>402439.024390244</v>
      </c>
      <c r="K243" s="749" t="s">
        <v>2500</v>
      </c>
      <c r="L243" s="774" t="n">
        <v>41008</v>
      </c>
      <c r="M243" s="774" t="n">
        <v>41371</v>
      </c>
      <c r="O243" s="799" t="n">
        <v>3.77</v>
      </c>
      <c r="P243" s="749" t="s">
        <v>2613</v>
      </c>
      <c r="Q243" s="749" t="s">
        <v>2363</v>
      </c>
    </row>
    <row r="244" customFormat="false" ht="16.5" hidden="false" customHeight="true" outlineLevel="0" collapsed="false">
      <c r="A244" s="747" t="s">
        <v>2335</v>
      </c>
      <c r="B244" s="774" t="n">
        <v>41001</v>
      </c>
      <c r="D244" s="749" t="s">
        <v>597</v>
      </c>
      <c r="E244" s="749" t="s">
        <v>2624</v>
      </c>
      <c r="F244" s="749" t="s">
        <v>2523</v>
      </c>
      <c r="G244" s="798" t="s">
        <v>2136</v>
      </c>
      <c r="H244" s="776" t="n">
        <v>3000000</v>
      </c>
      <c r="I244" s="777" t="n">
        <v>1</v>
      </c>
      <c r="J244" s="778" t="n">
        <f aca="false">IF(I244="","",H244/I244)</f>
        <v>3000000</v>
      </c>
      <c r="K244" s="749" t="s">
        <v>2336</v>
      </c>
      <c r="L244" s="774" t="n">
        <v>41011</v>
      </c>
      <c r="M244" s="774" t="n">
        <v>41194</v>
      </c>
      <c r="O244" s="799" t="n">
        <v>2.67</v>
      </c>
      <c r="P244" s="749" t="s">
        <v>2613</v>
      </c>
      <c r="Q244" s="749" t="s">
        <v>2363</v>
      </c>
    </row>
    <row r="245" customFormat="false" ht="16.5" hidden="false" customHeight="true" outlineLevel="0" collapsed="false">
      <c r="A245" s="747" t="s">
        <v>2335</v>
      </c>
      <c r="B245" s="774" t="n">
        <v>41002</v>
      </c>
      <c r="D245" s="749" t="s">
        <v>2417</v>
      </c>
      <c r="E245" s="749" t="s">
        <v>2418</v>
      </c>
      <c r="F245" s="749" t="s">
        <v>2677</v>
      </c>
      <c r="G245" s="798" t="s">
        <v>1267</v>
      </c>
      <c r="H245" s="776" t="n">
        <v>8600000</v>
      </c>
      <c r="I245" s="777" t="n">
        <v>82</v>
      </c>
      <c r="J245" s="778" t="n">
        <f aca="false">IF(I245="","",H245/I245)</f>
        <v>104878.048780488</v>
      </c>
      <c r="K245" s="749" t="s">
        <v>2336</v>
      </c>
      <c r="L245" s="774" t="n">
        <v>41022</v>
      </c>
      <c r="M245" s="774" t="n">
        <v>41387</v>
      </c>
      <c r="O245" s="799" t="n">
        <v>4.5</v>
      </c>
      <c r="P245" s="749" t="s">
        <v>2613</v>
      </c>
      <c r="Q245" s="749" t="s">
        <v>2363</v>
      </c>
    </row>
    <row r="246" customFormat="false" ht="16.5" hidden="false" customHeight="true" outlineLevel="0" collapsed="false">
      <c r="A246" s="747" t="s">
        <v>2190</v>
      </c>
      <c r="B246" s="774" t="n">
        <v>41002</v>
      </c>
      <c r="D246" s="749" t="s">
        <v>103</v>
      </c>
      <c r="E246" s="749" t="s">
        <v>2377</v>
      </c>
      <c r="F246" s="749" t="s">
        <v>2678</v>
      </c>
      <c r="G246" s="798" t="s">
        <v>1267</v>
      </c>
      <c r="H246" s="776" t="n">
        <v>46100000</v>
      </c>
      <c r="I246" s="777" t="n">
        <v>82</v>
      </c>
      <c r="J246" s="778" t="n">
        <f aca="false">IF(I246="","",H246/I246)</f>
        <v>562195.12195122</v>
      </c>
      <c r="K246" s="749" t="s">
        <v>2336</v>
      </c>
      <c r="L246" s="774" t="n">
        <v>41005</v>
      </c>
      <c r="M246" s="774" t="n">
        <v>41370</v>
      </c>
      <c r="O246" s="801" t="n">
        <v>4.44</v>
      </c>
      <c r="P246" s="749" t="s">
        <v>2606</v>
      </c>
      <c r="Q246" s="749" t="s">
        <v>2607</v>
      </c>
    </row>
    <row r="247" customFormat="false" ht="16.5" hidden="false" customHeight="true" outlineLevel="0" collapsed="false">
      <c r="A247" s="747" t="s">
        <v>2190</v>
      </c>
      <c r="B247" s="774" t="n">
        <v>41002</v>
      </c>
      <c r="D247" s="749" t="s">
        <v>103</v>
      </c>
      <c r="E247" s="749" t="s">
        <v>2377</v>
      </c>
      <c r="F247" s="749" t="s">
        <v>2678</v>
      </c>
      <c r="G247" s="798" t="s">
        <v>1267</v>
      </c>
      <c r="H247" s="776" t="n">
        <v>24930000</v>
      </c>
      <c r="I247" s="777" t="n">
        <v>82</v>
      </c>
      <c r="J247" s="778" t="n">
        <f aca="false">IF(I247="","",H247/I247)</f>
        <v>304024.390243902</v>
      </c>
      <c r="K247" s="749" t="s">
        <v>2336</v>
      </c>
      <c r="L247" s="774" t="n">
        <v>41005</v>
      </c>
      <c r="M247" s="774" t="n">
        <v>41385</v>
      </c>
      <c r="O247" s="801" t="n">
        <v>4.05</v>
      </c>
      <c r="P247" s="749" t="s">
        <v>2606</v>
      </c>
      <c r="Q247" s="749" t="s">
        <v>2607</v>
      </c>
    </row>
    <row r="248" customFormat="false" ht="16.5" hidden="false" customHeight="true" outlineLevel="0" collapsed="false">
      <c r="A248" s="747" t="s">
        <v>2190</v>
      </c>
      <c r="B248" s="774" t="n">
        <v>41003</v>
      </c>
      <c r="D248" s="749" t="s">
        <v>2510</v>
      </c>
      <c r="E248" s="749" t="s">
        <v>2679</v>
      </c>
      <c r="F248" s="749" t="s">
        <v>2675</v>
      </c>
      <c r="G248" s="798" t="s">
        <v>1267</v>
      </c>
      <c r="H248" s="776" t="n">
        <v>39000000</v>
      </c>
      <c r="I248" s="777" t="n">
        <v>82</v>
      </c>
      <c r="J248" s="778" t="n">
        <f aca="false">IF(I248="","",H248/I248)</f>
        <v>475609.756097561</v>
      </c>
      <c r="K248" s="749" t="s">
        <v>2361</v>
      </c>
      <c r="L248" s="774" t="n">
        <v>41004</v>
      </c>
      <c r="M248" s="774" t="n">
        <v>41173</v>
      </c>
      <c r="O248" s="801" t="n">
        <v>2.9</v>
      </c>
      <c r="P248" s="749" t="s">
        <v>2606</v>
      </c>
      <c r="Q248" s="749" t="s">
        <v>2607</v>
      </c>
    </row>
    <row r="249" customFormat="false" ht="16.5" hidden="false" customHeight="true" outlineLevel="0" collapsed="false">
      <c r="A249" s="747" t="s">
        <v>2190</v>
      </c>
      <c r="B249" s="774" t="n">
        <v>41003</v>
      </c>
      <c r="D249" s="749" t="s">
        <v>2559</v>
      </c>
      <c r="E249" s="749" t="s">
        <v>2560</v>
      </c>
      <c r="F249" s="749" t="s">
        <v>2561</v>
      </c>
      <c r="G249" s="798" t="s">
        <v>2136</v>
      </c>
      <c r="H249" s="776" t="n">
        <v>100000</v>
      </c>
      <c r="I249" s="777" t="n">
        <v>1</v>
      </c>
      <c r="J249" s="778" t="n">
        <f aca="false">IF(I249="","",H249/I249)</f>
        <v>100000</v>
      </c>
      <c r="K249" s="749" t="s">
        <v>2336</v>
      </c>
      <c r="L249" s="774" t="n">
        <v>41003</v>
      </c>
      <c r="M249" s="774" t="n">
        <v>41290</v>
      </c>
      <c r="O249" s="801" t="n">
        <v>4.26</v>
      </c>
      <c r="P249" s="749" t="s">
        <v>2606</v>
      </c>
      <c r="Q249" s="749" t="s">
        <v>2607</v>
      </c>
    </row>
    <row r="250" customFormat="false" ht="16.5" hidden="false" customHeight="true" outlineLevel="0" collapsed="false">
      <c r="A250" s="747" t="s">
        <v>2335</v>
      </c>
      <c r="B250" s="774" t="n">
        <v>41005</v>
      </c>
      <c r="D250" s="749" t="s">
        <v>251</v>
      </c>
      <c r="E250" s="749" t="s">
        <v>2680</v>
      </c>
      <c r="F250" s="749" t="s">
        <v>2681</v>
      </c>
      <c r="G250" s="798" t="s">
        <v>1267</v>
      </c>
      <c r="H250" s="776" t="n">
        <v>350000</v>
      </c>
      <c r="I250" s="777" t="n">
        <v>82</v>
      </c>
      <c r="J250" s="778" t="n">
        <f aca="false">IF(I250="","",H250/I250)</f>
        <v>4268.29268292683</v>
      </c>
      <c r="K250" s="749" t="s">
        <v>2336</v>
      </c>
      <c r="L250" s="774" t="n">
        <v>41013</v>
      </c>
      <c r="M250" s="774" t="n">
        <v>41378</v>
      </c>
      <c r="O250" s="799" t="n">
        <v>4.5</v>
      </c>
      <c r="P250" s="749" t="s">
        <v>2613</v>
      </c>
      <c r="Q250" s="749" t="s">
        <v>2363</v>
      </c>
    </row>
    <row r="251" customFormat="false" ht="16.5" hidden="false" customHeight="true" outlineLevel="0" collapsed="false">
      <c r="A251" s="747" t="s">
        <v>2190</v>
      </c>
      <c r="B251" s="774" t="n">
        <v>41005</v>
      </c>
      <c r="D251" s="749" t="s">
        <v>1371</v>
      </c>
      <c r="E251" s="749" t="s">
        <v>2682</v>
      </c>
      <c r="F251" s="749" t="s">
        <v>2683</v>
      </c>
      <c r="G251" s="798" t="s">
        <v>1267</v>
      </c>
      <c r="H251" s="776" t="n">
        <v>47000000</v>
      </c>
      <c r="I251" s="777" t="n">
        <v>82</v>
      </c>
      <c r="J251" s="778" t="n">
        <f aca="false">IF(I251="","",H251/I251)</f>
        <v>573170.731707317</v>
      </c>
      <c r="K251" s="749" t="s">
        <v>2361</v>
      </c>
      <c r="L251" s="774" t="n">
        <v>41012</v>
      </c>
      <c r="M251" s="774" t="n">
        <v>41377</v>
      </c>
      <c r="O251" s="801" t="n">
        <v>3.5</v>
      </c>
      <c r="P251" s="749" t="s">
        <v>2606</v>
      </c>
      <c r="Q251" s="749" t="s">
        <v>2607</v>
      </c>
    </row>
    <row r="252" customFormat="false" ht="16.5" hidden="false" customHeight="true" outlineLevel="0" collapsed="false">
      <c r="A252" s="747" t="s">
        <v>2335</v>
      </c>
      <c r="B252" s="774" t="n">
        <v>41009</v>
      </c>
      <c r="D252" s="749" t="s">
        <v>103</v>
      </c>
      <c r="E252" s="749" t="s">
        <v>2377</v>
      </c>
      <c r="F252" s="749" t="s">
        <v>2684</v>
      </c>
      <c r="G252" s="798" t="s">
        <v>1267</v>
      </c>
      <c r="H252" s="776" t="n">
        <v>37000000</v>
      </c>
      <c r="I252" s="777" t="n">
        <v>82</v>
      </c>
      <c r="J252" s="778" t="n">
        <f aca="false">IF(I252="","",H252/I252)</f>
        <v>451219.512195122</v>
      </c>
      <c r="K252" s="749" t="s">
        <v>2336</v>
      </c>
      <c r="L252" s="774" t="n">
        <v>41012</v>
      </c>
      <c r="M252" s="774" t="n">
        <v>41378</v>
      </c>
      <c r="O252" s="799" t="n">
        <v>4.8</v>
      </c>
      <c r="P252" s="749" t="s">
        <v>2613</v>
      </c>
      <c r="Q252" s="749" t="s">
        <v>2363</v>
      </c>
    </row>
    <row r="253" customFormat="false" ht="16.5" hidden="false" customHeight="true" outlineLevel="0" collapsed="false">
      <c r="A253" s="747" t="s">
        <v>2335</v>
      </c>
      <c r="B253" s="774" t="n">
        <v>41011</v>
      </c>
      <c r="D253" s="798" t="s">
        <v>2403</v>
      </c>
      <c r="E253" s="749" t="s">
        <v>2640</v>
      </c>
      <c r="F253" s="749" t="s">
        <v>2635</v>
      </c>
      <c r="G253" s="798" t="s">
        <v>1267</v>
      </c>
      <c r="H253" s="776" t="n">
        <v>1530000</v>
      </c>
      <c r="I253" s="777" t="n">
        <v>82</v>
      </c>
      <c r="J253" s="778" t="n">
        <f aca="false">IF(I253="","",H253/I253)</f>
        <v>18658.5365853659</v>
      </c>
      <c r="K253" s="749" t="s">
        <v>2500</v>
      </c>
      <c r="L253" s="774" t="n">
        <v>41015</v>
      </c>
      <c r="M253" s="774" t="n">
        <v>41379</v>
      </c>
      <c r="O253" s="799" t="n">
        <v>3.83</v>
      </c>
      <c r="P253" s="749" t="s">
        <v>2613</v>
      </c>
      <c r="Q253" s="749" t="s">
        <v>2363</v>
      </c>
    </row>
    <row r="254" customFormat="false" ht="16.5" hidden="false" customHeight="true" outlineLevel="0" collapsed="false">
      <c r="A254" s="747" t="s">
        <v>2190</v>
      </c>
      <c r="B254" s="774" t="n">
        <v>41011</v>
      </c>
      <c r="D254" s="749" t="s">
        <v>133</v>
      </c>
      <c r="E254" s="749" t="s">
        <v>2529</v>
      </c>
      <c r="F254" s="802" t="s">
        <v>2685</v>
      </c>
      <c r="G254" s="798" t="s">
        <v>2136</v>
      </c>
      <c r="H254" s="776" t="n">
        <v>100000</v>
      </c>
      <c r="I254" s="777" t="n">
        <v>1</v>
      </c>
      <c r="J254" s="778" t="n">
        <f aca="false">IF(I254="","",H254/I254)</f>
        <v>100000</v>
      </c>
      <c r="K254" s="749" t="s">
        <v>2336</v>
      </c>
      <c r="L254" s="774" t="n">
        <v>41012</v>
      </c>
      <c r="M254" s="774" t="n">
        <v>41042</v>
      </c>
      <c r="O254" s="801" t="n">
        <v>2.75</v>
      </c>
      <c r="P254" s="749" t="s">
        <v>2606</v>
      </c>
      <c r="Q254" s="749" t="s">
        <v>2607</v>
      </c>
    </row>
    <row r="255" customFormat="false" ht="16.5" hidden="false" customHeight="true" outlineLevel="0" collapsed="false">
      <c r="A255" s="747" t="s">
        <v>2190</v>
      </c>
      <c r="B255" s="774" t="n">
        <v>41011</v>
      </c>
      <c r="D255" s="749" t="s">
        <v>644</v>
      </c>
      <c r="E255" s="749" t="s">
        <v>2379</v>
      </c>
      <c r="F255" s="749" t="s">
        <v>2380</v>
      </c>
      <c r="G255" s="798" t="s">
        <v>2136</v>
      </c>
      <c r="H255" s="776" t="n">
        <v>200000</v>
      </c>
      <c r="I255" s="777" t="n">
        <v>1</v>
      </c>
      <c r="J255" s="778" t="n">
        <f aca="false">IF(I255="","",H255/I255)</f>
        <v>200000</v>
      </c>
      <c r="K255" s="749" t="s">
        <v>2336</v>
      </c>
      <c r="L255" s="774" t="n">
        <v>41011</v>
      </c>
      <c r="M255" s="774" t="n">
        <v>41102</v>
      </c>
      <c r="O255" s="801" t="n">
        <v>3.33</v>
      </c>
      <c r="P255" s="749" t="s">
        <v>2606</v>
      </c>
      <c r="Q255" s="749" t="s">
        <v>2607</v>
      </c>
    </row>
    <row r="256" customFormat="false" ht="16.5" hidden="false" customHeight="true" outlineLevel="0" collapsed="false">
      <c r="A256" s="747" t="s">
        <v>2335</v>
      </c>
      <c r="B256" s="774" t="n">
        <v>41012</v>
      </c>
      <c r="D256" s="749" t="s">
        <v>2686</v>
      </c>
      <c r="E256" s="749" t="s">
        <v>2687</v>
      </c>
      <c r="F256" s="749" t="s">
        <v>2688</v>
      </c>
      <c r="G256" s="798" t="s">
        <v>1267</v>
      </c>
      <c r="H256" s="776" t="n">
        <v>20000000</v>
      </c>
      <c r="I256" s="777" t="n">
        <v>82</v>
      </c>
      <c r="J256" s="778" t="n">
        <f aca="false">IF(I256="","",H256/I256)</f>
        <v>243902.43902439</v>
      </c>
      <c r="K256" s="749" t="s">
        <v>2500</v>
      </c>
      <c r="L256" s="774" t="n">
        <v>41015</v>
      </c>
      <c r="M256" s="774" t="n">
        <v>41379</v>
      </c>
      <c r="O256" s="799" t="n">
        <v>3.19</v>
      </c>
      <c r="P256" s="749" t="s">
        <v>2613</v>
      </c>
      <c r="Q256" s="749" t="s">
        <v>2363</v>
      </c>
    </row>
    <row r="257" customFormat="false" ht="16.5" hidden="false" customHeight="true" outlineLevel="0" collapsed="false">
      <c r="A257" s="747" t="s">
        <v>2335</v>
      </c>
      <c r="B257" s="774" t="n">
        <v>41012</v>
      </c>
      <c r="D257" s="749" t="s">
        <v>644</v>
      </c>
      <c r="E257" s="749" t="s">
        <v>2359</v>
      </c>
      <c r="F257" s="749" t="s">
        <v>2689</v>
      </c>
      <c r="G257" s="798" t="s">
        <v>1267</v>
      </c>
      <c r="H257" s="776" t="n">
        <v>28000000</v>
      </c>
      <c r="I257" s="777" t="n">
        <v>82</v>
      </c>
      <c r="J257" s="778" t="n">
        <f aca="false">IF(I257="","",H257/I257)</f>
        <v>341463.414634146</v>
      </c>
      <c r="K257" s="749" t="s">
        <v>2500</v>
      </c>
      <c r="L257" s="774" t="n">
        <v>41013</v>
      </c>
      <c r="M257" s="774" t="n">
        <v>41378</v>
      </c>
      <c r="O257" s="799" t="n">
        <v>3.8</v>
      </c>
      <c r="P257" s="749" t="s">
        <v>2613</v>
      </c>
      <c r="Q257" s="749" t="s">
        <v>2363</v>
      </c>
    </row>
    <row r="258" customFormat="false" ht="16.5" hidden="false" customHeight="true" outlineLevel="0" collapsed="false">
      <c r="A258" s="747" t="s">
        <v>2335</v>
      </c>
      <c r="B258" s="774" t="n">
        <v>41012</v>
      </c>
      <c r="D258" s="749" t="s">
        <v>103</v>
      </c>
      <c r="E258" s="749" t="s">
        <v>2564</v>
      </c>
      <c r="F258" s="749" t="s">
        <v>2690</v>
      </c>
      <c r="G258" s="798" t="s">
        <v>1267</v>
      </c>
      <c r="H258" s="776" t="n">
        <v>188000000</v>
      </c>
      <c r="I258" s="777" t="n">
        <v>82</v>
      </c>
      <c r="J258" s="778" t="n">
        <f aca="false">IF(I258="","",H258/I258)</f>
        <v>2292682.92682927</v>
      </c>
      <c r="K258" s="749" t="s">
        <v>2500</v>
      </c>
      <c r="L258" s="774" t="n">
        <v>41020</v>
      </c>
      <c r="M258" s="774" t="n">
        <v>41385</v>
      </c>
      <c r="O258" s="799" t="n">
        <v>3.93</v>
      </c>
      <c r="P258" s="749" t="s">
        <v>2613</v>
      </c>
      <c r="Q258" s="749" t="s">
        <v>2363</v>
      </c>
    </row>
    <row r="259" customFormat="false" ht="16.5" hidden="false" customHeight="true" outlineLevel="0" collapsed="false">
      <c r="A259" s="747" t="s">
        <v>2335</v>
      </c>
      <c r="B259" s="774" t="n">
        <v>41015</v>
      </c>
      <c r="D259" s="749" t="s">
        <v>1366</v>
      </c>
      <c r="E259" s="749" t="s">
        <v>2542</v>
      </c>
      <c r="F259" s="749" t="s">
        <v>2691</v>
      </c>
      <c r="G259" s="798" t="s">
        <v>1267</v>
      </c>
      <c r="H259" s="776" t="n">
        <v>31500000</v>
      </c>
      <c r="I259" s="777" t="n">
        <v>82</v>
      </c>
      <c r="J259" s="778" t="n">
        <f aca="false">IF(I259="","",H259/I259)</f>
        <v>384146.341463415</v>
      </c>
      <c r="K259" s="749" t="s">
        <v>2500</v>
      </c>
      <c r="L259" s="774" t="n">
        <v>41017</v>
      </c>
      <c r="M259" s="774" t="n">
        <v>41382</v>
      </c>
      <c r="O259" s="799" t="n">
        <v>5.2</v>
      </c>
      <c r="P259" s="749" t="s">
        <v>2613</v>
      </c>
      <c r="Q259" s="749" t="s">
        <v>2363</v>
      </c>
    </row>
    <row r="260" customFormat="false" ht="16.5" hidden="false" customHeight="true" outlineLevel="0" collapsed="false">
      <c r="A260" s="747" t="s">
        <v>2335</v>
      </c>
      <c r="B260" s="774" t="n">
        <v>41017</v>
      </c>
      <c r="D260" s="749" t="s">
        <v>2372</v>
      </c>
      <c r="E260" s="749" t="s">
        <v>2692</v>
      </c>
      <c r="F260" s="749" t="s">
        <v>2693</v>
      </c>
      <c r="G260" s="798" t="s">
        <v>1267</v>
      </c>
      <c r="H260" s="776" t="n">
        <v>110000000</v>
      </c>
      <c r="I260" s="777" t="n">
        <v>82</v>
      </c>
      <c r="J260" s="778" t="n">
        <f aca="false">IF(I260="","",H260/I260)</f>
        <v>1341463.41463415</v>
      </c>
      <c r="K260" s="749" t="s">
        <v>2336</v>
      </c>
      <c r="L260" s="774" t="n">
        <v>41023</v>
      </c>
      <c r="M260" s="774" t="n">
        <v>41388</v>
      </c>
      <c r="O260" s="799" t="n">
        <v>3.37</v>
      </c>
      <c r="P260" s="749" t="s">
        <v>2613</v>
      </c>
      <c r="Q260" s="749" t="s">
        <v>2363</v>
      </c>
    </row>
    <row r="261" customFormat="false" ht="16.5" hidden="false" customHeight="true" outlineLevel="0" collapsed="false">
      <c r="A261" s="747" t="s">
        <v>2335</v>
      </c>
      <c r="B261" s="774" t="n">
        <v>41017</v>
      </c>
      <c r="D261" s="749" t="s">
        <v>2694</v>
      </c>
      <c r="E261" s="749" t="s">
        <v>2695</v>
      </c>
      <c r="F261" s="749" t="s">
        <v>2696</v>
      </c>
      <c r="G261" s="798" t="s">
        <v>2136</v>
      </c>
      <c r="H261" s="776" t="n">
        <v>1150000</v>
      </c>
      <c r="I261" s="777" t="n">
        <v>1</v>
      </c>
      <c r="J261" s="778" t="n">
        <f aca="false">IF(I261="","",H261/I261)</f>
        <v>1150000</v>
      </c>
      <c r="K261" s="749" t="s">
        <v>2336</v>
      </c>
      <c r="L261" s="774" t="n">
        <v>41022</v>
      </c>
      <c r="M261" s="774" t="n">
        <v>41387</v>
      </c>
      <c r="O261" s="799" t="n">
        <v>4.55</v>
      </c>
      <c r="P261" s="749" t="s">
        <v>2613</v>
      </c>
      <c r="Q261" s="749" t="s">
        <v>2363</v>
      </c>
    </row>
    <row r="262" customFormat="false" ht="16.5" hidden="false" customHeight="true" outlineLevel="0" collapsed="false">
      <c r="A262" s="747" t="s">
        <v>2335</v>
      </c>
      <c r="B262" s="774" t="n">
        <v>41017</v>
      </c>
      <c r="D262" s="749" t="s">
        <v>2430</v>
      </c>
      <c r="E262" s="749" t="s">
        <v>2431</v>
      </c>
      <c r="F262" s="749" t="s">
        <v>2432</v>
      </c>
      <c r="G262" s="798" t="s">
        <v>2136</v>
      </c>
      <c r="H262" s="776" t="n">
        <v>243125</v>
      </c>
      <c r="I262" s="777" t="n">
        <v>1</v>
      </c>
      <c r="J262" s="778" t="n">
        <f aca="false">IF(I262="","",H262/I262)</f>
        <v>243125</v>
      </c>
      <c r="K262" s="749" t="s">
        <v>2336</v>
      </c>
      <c r="L262" s="774" t="n">
        <v>41032</v>
      </c>
      <c r="M262" s="774" t="n">
        <v>41397</v>
      </c>
      <c r="O262" s="799" t="n">
        <v>3.22</v>
      </c>
      <c r="P262" s="749" t="s">
        <v>2613</v>
      </c>
      <c r="Q262" s="749" t="s">
        <v>2363</v>
      </c>
    </row>
    <row r="263" customFormat="false" ht="16.5" hidden="false" customHeight="true" outlineLevel="0" collapsed="false">
      <c r="A263" s="747" t="s">
        <v>2190</v>
      </c>
      <c r="B263" s="774" t="n">
        <v>41017</v>
      </c>
      <c r="D263" s="798" t="s">
        <v>2403</v>
      </c>
      <c r="E263" s="749" t="s">
        <v>2640</v>
      </c>
      <c r="F263" s="749" t="s">
        <v>2541</v>
      </c>
      <c r="G263" s="798" t="s">
        <v>2136</v>
      </c>
      <c r="H263" s="776" t="n">
        <v>207813</v>
      </c>
      <c r="I263" s="777" t="n">
        <v>1</v>
      </c>
      <c r="J263" s="778" t="n">
        <f aca="false">IF(I263="","",H263/I263)</f>
        <v>207813</v>
      </c>
      <c r="K263" s="749" t="s">
        <v>2336</v>
      </c>
      <c r="L263" s="774" t="n">
        <v>41019</v>
      </c>
      <c r="M263" s="774" t="n">
        <v>41108</v>
      </c>
      <c r="O263" s="799" t="n">
        <v>3.5</v>
      </c>
      <c r="P263" s="749" t="s">
        <v>2606</v>
      </c>
      <c r="Q263" s="749" t="s">
        <v>2607</v>
      </c>
    </row>
    <row r="264" customFormat="false" ht="16.5" hidden="false" customHeight="true" outlineLevel="0" collapsed="false">
      <c r="A264" s="747" t="s">
        <v>2335</v>
      </c>
      <c r="B264" s="774" t="n">
        <v>41022</v>
      </c>
      <c r="D264" s="749" t="s">
        <v>2697</v>
      </c>
      <c r="E264" s="749" t="s">
        <v>2698</v>
      </c>
      <c r="F264" s="749" t="s">
        <v>2699</v>
      </c>
      <c r="G264" s="798" t="s">
        <v>1267</v>
      </c>
      <c r="H264" s="776" t="n">
        <v>15000000</v>
      </c>
      <c r="I264" s="777" t="n">
        <v>82</v>
      </c>
      <c r="J264" s="778" t="n">
        <f aca="false">IF(I264="","",H264/I264)</f>
        <v>182926.829268293</v>
      </c>
      <c r="K264" s="749" t="s">
        <v>2336</v>
      </c>
      <c r="L264" s="774" t="n">
        <v>41023</v>
      </c>
      <c r="M264" s="774" t="n">
        <v>41388</v>
      </c>
      <c r="O264" s="799" t="n">
        <v>3.88</v>
      </c>
      <c r="P264" s="749" t="s">
        <v>2613</v>
      </c>
      <c r="Q264" s="749" t="s">
        <v>2363</v>
      </c>
    </row>
    <row r="265" customFormat="false" ht="16.5" hidden="false" customHeight="true" outlineLevel="0" collapsed="false">
      <c r="A265" s="747" t="s">
        <v>2335</v>
      </c>
      <c r="B265" s="774" t="n">
        <v>41022</v>
      </c>
      <c r="D265" s="749" t="s">
        <v>597</v>
      </c>
      <c r="E265" s="749" t="s">
        <v>2700</v>
      </c>
      <c r="F265" s="749" t="s">
        <v>2701</v>
      </c>
      <c r="G265" s="798" t="s">
        <v>1267</v>
      </c>
      <c r="H265" s="776" t="n">
        <v>24000000</v>
      </c>
      <c r="I265" s="777" t="n">
        <v>82</v>
      </c>
      <c r="J265" s="778" t="n">
        <f aca="false">IF(I265="","",H265/I265)</f>
        <v>292682.926829268</v>
      </c>
      <c r="K265" s="749" t="s">
        <v>2336</v>
      </c>
      <c r="L265" s="774" t="n">
        <v>41025</v>
      </c>
      <c r="M265" s="774" t="n">
        <v>41390</v>
      </c>
      <c r="O265" s="799" t="n">
        <v>4.21</v>
      </c>
      <c r="P265" s="749" t="s">
        <v>2613</v>
      </c>
      <c r="Q265" s="749" t="s">
        <v>2363</v>
      </c>
    </row>
    <row r="266" customFormat="false" ht="16.5" hidden="false" customHeight="true" outlineLevel="0" collapsed="false">
      <c r="A266" s="747" t="s">
        <v>2335</v>
      </c>
      <c r="B266" s="774" t="n">
        <v>41023</v>
      </c>
      <c r="D266" s="749" t="s">
        <v>103</v>
      </c>
      <c r="E266" s="749" t="s">
        <v>2564</v>
      </c>
      <c r="F266" s="749" t="s">
        <v>2702</v>
      </c>
      <c r="G266" s="798" t="s">
        <v>1267</v>
      </c>
      <c r="H266" s="776" t="n">
        <v>120000000</v>
      </c>
      <c r="I266" s="777" t="n">
        <v>82</v>
      </c>
      <c r="J266" s="778" t="n">
        <f aca="false">IF(I266="","",H266/I266)</f>
        <v>1463414.63414634</v>
      </c>
      <c r="K266" s="749" t="s">
        <v>2336</v>
      </c>
      <c r="L266" s="774" t="n">
        <v>41032</v>
      </c>
      <c r="M266" s="774" t="n">
        <v>41397</v>
      </c>
      <c r="O266" s="799" t="n">
        <v>3.93</v>
      </c>
      <c r="P266" s="749" t="s">
        <v>2613</v>
      </c>
      <c r="Q266" s="749" t="s">
        <v>2363</v>
      </c>
    </row>
    <row r="267" customFormat="false" ht="16.5" hidden="false" customHeight="true" outlineLevel="0" collapsed="false">
      <c r="A267" s="747" t="s">
        <v>2335</v>
      </c>
      <c r="B267" s="774" t="n">
        <v>41023</v>
      </c>
      <c r="D267" s="749" t="s">
        <v>103</v>
      </c>
      <c r="E267" s="749" t="s">
        <v>2377</v>
      </c>
      <c r="F267" s="749" t="s">
        <v>2703</v>
      </c>
      <c r="G267" s="798" t="s">
        <v>1267</v>
      </c>
      <c r="H267" s="776" t="n">
        <v>33900000</v>
      </c>
      <c r="I267" s="777" t="n">
        <v>82</v>
      </c>
      <c r="J267" s="778" t="n">
        <f aca="false">IF(I267="","",H267/I267)</f>
        <v>413414.634146342</v>
      </c>
      <c r="K267" s="749" t="s">
        <v>2336</v>
      </c>
      <c r="L267" s="774" t="n">
        <v>41026</v>
      </c>
      <c r="M267" s="774" t="n">
        <v>41391</v>
      </c>
      <c r="O267" s="799" t="n">
        <v>4.9</v>
      </c>
      <c r="P267" s="749" t="s">
        <v>2613</v>
      </c>
      <c r="Q267" s="749" t="s">
        <v>2363</v>
      </c>
    </row>
    <row r="268" customFormat="false" ht="16.5" hidden="false" customHeight="true" outlineLevel="0" collapsed="false">
      <c r="A268" s="747" t="s">
        <v>2190</v>
      </c>
      <c r="B268" s="774" t="n">
        <v>41024</v>
      </c>
      <c r="D268" s="749" t="s">
        <v>2704</v>
      </c>
      <c r="E268" s="749" t="s">
        <v>2705</v>
      </c>
      <c r="F268" s="749" t="s">
        <v>2706</v>
      </c>
      <c r="G268" s="798" t="s">
        <v>1267</v>
      </c>
      <c r="H268" s="776" t="n">
        <v>118200000</v>
      </c>
      <c r="I268" s="777" t="n">
        <v>82</v>
      </c>
      <c r="J268" s="778" t="n">
        <f aca="false">IF(I268="","",H268/I268)</f>
        <v>1441463.41463415</v>
      </c>
      <c r="K268" s="749" t="s">
        <v>2336</v>
      </c>
      <c r="L268" s="774" t="n">
        <v>41024</v>
      </c>
      <c r="M268" s="774" t="n">
        <v>41389</v>
      </c>
      <c r="O268" s="799" t="n">
        <v>4.25</v>
      </c>
      <c r="P268" s="749" t="s">
        <v>2606</v>
      </c>
      <c r="Q268" s="749" t="s">
        <v>2607</v>
      </c>
    </row>
    <row r="269" customFormat="false" ht="16.5" hidden="false" customHeight="true" outlineLevel="0" collapsed="false">
      <c r="A269" s="747" t="s">
        <v>2335</v>
      </c>
      <c r="B269" s="774" t="n">
        <v>41025</v>
      </c>
      <c r="D269" s="798" t="s">
        <v>2403</v>
      </c>
      <c r="E269" s="749" t="s">
        <v>2640</v>
      </c>
      <c r="F269" s="749" t="s">
        <v>2541</v>
      </c>
      <c r="G269" s="798" t="s">
        <v>2136</v>
      </c>
      <c r="H269" s="776" t="n">
        <v>464000</v>
      </c>
      <c r="I269" s="777" t="n">
        <v>1</v>
      </c>
      <c r="J269" s="778" t="n">
        <f aca="false">IF(I269="","",H269/I269)</f>
        <v>464000</v>
      </c>
      <c r="K269" s="749" t="s">
        <v>2336</v>
      </c>
      <c r="L269" s="774" t="n">
        <v>41029</v>
      </c>
      <c r="M269" s="774" t="n">
        <v>41210</v>
      </c>
      <c r="O269" s="799" t="n">
        <v>3.5</v>
      </c>
      <c r="P269" s="749" t="s">
        <v>2613</v>
      </c>
      <c r="Q269" s="749" t="s">
        <v>2363</v>
      </c>
    </row>
    <row r="270" customFormat="false" ht="16.5" hidden="false" customHeight="true" outlineLevel="0" collapsed="false">
      <c r="A270" s="747" t="s">
        <v>2190</v>
      </c>
      <c r="B270" s="774" t="n">
        <v>41025</v>
      </c>
      <c r="D270" s="749" t="s">
        <v>103</v>
      </c>
      <c r="E270" s="749" t="s">
        <v>2564</v>
      </c>
      <c r="F270" s="749" t="s">
        <v>2707</v>
      </c>
      <c r="G270" s="798" t="s">
        <v>1267</v>
      </c>
      <c r="H270" s="776" t="n">
        <v>64300000</v>
      </c>
      <c r="I270" s="777" t="n">
        <v>82</v>
      </c>
      <c r="J270" s="778" t="n">
        <f aca="false">IF(I270="","",H270/I270)</f>
        <v>784146.341463415</v>
      </c>
      <c r="K270" s="749" t="s">
        <v>2336</v>
      </c>
      <c r="L270" s="774" t="n">
        <v>41049</v>
      </c>
      <c r="M270" s="774" t="n">
        <v>41414</v>
      </c>
      <c r="O270" s="799" t="n">
        <v>4.24</v>
      </c>
      <c r="P270" s="749" t="s">
        <v>2606</v>
      </c>
      <c r="Q270" s="749" t="s">
        <v>2607</v>
      </c>
    </row>
    <row r="271" customFormat="false" ht="16.5" hidden="false" customHeight="true" outlineLevel="0" collapsed="false">
      <c r="A271" s="747" t="s">
        <v>2335</v>
      </c>
      <c r="B271" s="774" t="n">
        <v>41026</v>
      </c>
      <c r="D271" s="749" t="s">
        <v>201</v>
      </c>
      <c r="E271" s="749" t="s">
        <v>2663</v>
      </c>
      <c r="F271" s="749" t="s">
        <v>2708</v>
      </c>
      <c r="G271" s="798" t="s">
        <v>1267</v>
      </c>
      <c r="H271" s="776" t="n">
        <v>83000000</v>
      </c>
      <c r="I271" s="777" t="n">
        <v>82</v>
      </c>
      <c r="J271" s="778" t="n">
        <f aca="false">IF(I271="","",H271/I271)</f>
        <v>1012195.12195122</v>
      </c>
      <c r="K271" s="749" t="s">
        <v>2500</v>
      </c>
      <c r="L271" s="774" t="n">
        <v>41026</v>
      </c>
      <c r="M271" s="774" t="n">
        <v>41392</v>
      </c>
      <c r="O271" s="799" t="n">
        <v>4.9</v>
      </c>
      <c r="P271" s="749" t="s">
        <v>2613</v>
      </c>
      <c r="Q271" s="749" t="s">
        <v>2363</v>
      </c>
    </row>
    <row r="272" customFormat="false" ht="16.5" hidden="false" customHeight="true" outlineLevel="0" collapsed="false">
      <c r="A272" s="747" t="s">
        <v>2190</v>
      </c>
      <c r="B272" s="774" t="n">
        <v>41029</v>
      </c>
      <c r="D272" s="749" t="s">
        <v>2430</v>
      </c>
      <c r="E272" s="749" t="s">
        <v>2431</v>
      </c>
      <c r="F272" s="749" t="s">
        <v>2638</v>
      </c>
      <c r="G272" s="798" t="s">
        <v>2136</v>
      </c>
      <c r="H272" s="776" t="n">
        <v>55800</v>
      </c>
      <c r="I272" s="777" t="n">
        <v>1</v>
      </c>
      <c r="J272" s="778" t="n">
        <f aca="false">IF(I272="","",H272/I272)</f>
        <v>55800</v>
      </c>
      <c r="K272" s="749" t="s">
        <v>2336</v>
      </c>
      <c r="L272" s="774" t="n">
        <v>41031</v>
      </c>
      <c r="M272" s="774" t="n">
        <v>41396</v>
      </c>
      <c r="O272" s="799" t="n">
        <v>3.22</v>
      </c>
      <c r="P272" s="749" t="s">
        <v>2606</v>
      </c>
      <c r="Q272" s="749" t="s">
        <v>2607</v>
      </c>
    </row>
    <row r="273" customFormat="false" ht="16.5" hidden="false" customHeight="true" outlineLevel="0" collapsed="false">
      <c r="A273" s="747" t="s">
        <v>2335</v>
      </c>
      <c r="B273" s="774" t="n">
        <v>41039</v>
      </c>
      <c r="D273" s="749" t="s">
        <v>2423</v>
      </c>
      <c r="E273" s="749" t="s">
        <v>2709</v>
      </c>
      <c r="F273" s="749" t="s">
        <v>2710</v>
      </c>
      <c r="G273" s="798" t="s">
        <v>1267</v>
      </c>
      <c r="H273" s="776" t="n">
        <v>24000000</v>
      </c>
      <c r="I273" s="777" t="n">
        <v>82</v>
      </c>
      <c r="J273" s="778" t="n">
        <f aca="false">IF(I273="","",H273/I273)</f>
        <v>292682.926829268</v>
      </c>
      <c r="K273" s="749" t="s">
        <v>2336</v>
      </c>
      <c r="L273" s="774" t="n">
        <v>41041</v>
      </c>
      <c r="M273" s="774" t="n">
        <v>41406</v>
      </c>
      <c r="O273" s="799" t="n">
        <v>3.99</v>
      </c>
      <c r="P273" s="749" t="s">
        <v>2613</v>
      </c>
      <c r="Q273" s="749" t="s">
        <v>2363</v>
      </c>
    </row>
    <row r="274" customFormat="false" ht="16.5" hidden="false" customHeight="true" outlineLevel="0" collapsed="false">
      <c r="A274" s="747" t="s">
        <v>2335</v>
      </c>
      <c r="B274" s="774" t="n">
        <v>41040</v>
      </c>
      <c r="D274" s="749" t="s">
        <v>2482</v>
      </c>
      <c r="E274" s="749" t="s">
        <v>2711</v>
      </c>
      <c r="F274" s="749" t="s">
        <v>2712</v>
      </c>
      <c r="G274" s="798" t="s">
        <v>1267</v>
      </c>
      <c r="H274" s="776" t="n">
        <v>58950000</v>
      </c>
      <c r="I274" s="777" t="n">
        <v>82</v>
      </c>
      <c r="J274" s="778" t="n">
        <f aca="false">IF(I274="","",H274/I274)</f>
        <v>718902.43902439</v>
      </c>
      <c r="K274" s="749" t="s">
        <v>2500</v>
      </c>
      <c r="L274" s="774" t="n">
        <v>41046</v>
      </c>
      <c r="M274" s="774" t="n">
        <v>41411</v>
      </c>
      <c r="O274" s="799" t="n">
        <v>3.9</v>
      </c>
      <c r="P274" s="749" t="s">
        <v>2613</v>
      </c>
      <c r="Q274" s="749" t="s">
        <v>2363</v>
      </c>
    </row>
    <row r="275" customFormat="false" ht="16.5" hidden="false" customHeight="true" outlineLevel="0" collapsed="false">
      <c r="A275" s="747" t="s">
        <v>2190</v>
      </c>
      <c r="B275" s="774" t="n">
        <v>41040</v>
      </c>
      <c r="D275" s="749" t="s">
        <v>1366</v>
      </c>
      <c r="E275" s="749" t="s">
        <v>2413</v>
      </c>
      <c r="F275" s="749" t="s">
        <v>2713</v>
      </c>
      <c r="G275" s="798" t="s">
        <v>1267</v>
      </c>
      <c r="H275" s="776" t="n">
        <v>50000000</v>
      </c>
      <c r="I275" s="777" t="n">
        <v>82</v>
      </c>
      <c r="J275" s="778" t="n">
        <f aca="false">IF(I275="","",H275/I275)</f>
        <v>609756.097560976</v>
      </c>
      <c r="K275" s="749" t="s">
        <v>2460</v>
      </c>
      <c r="L275" s="774" t="n">
        <v>41040</v>
      </c>
      <c r="M275" s="774" t="n">
        <v>41405</v>
      </c>
      <c r="O275" s="799" t="n">
        <v>3.6</v>
      </c>
      <c r="P275" s="749" t="s">
        <v>2606</v>
      </c>
      <c r="Q275" s="749" t="s">
        <v>2607</v>
      </c>
    </row>
    <row r="276" customFormat="false" ht="16.5" hidden="false" customHeight="true" outlineLevel="0" collapsed="false">
      <c r="A276" s="747" t="s">
        <v>2335</v>
      </c>
      <c r="B276" s="774" t="n">
        <v>41043</v>
      </c>
      <c r="D276" s="749" t="s">
        <v>133</v>
      </c>
      <c r="E276" s="749" t="s">
        <v>2529</v>
      </c>
      <c r="F276" s="802" t="s">
        <v>2685</v>
      </c>
      <c r="G276" s="798" t="s">
        <v>2136</v>
      </c>
      <c r="H276" s="776" t="n">
        <v>100000</v>
      </c>
      <c r="I276" s="777" t="n">
        <v>1</v>
      </c>
      <c r="J276" s="778" t="n">
        <f aca="false">IF(I276="","",H276/I276)</f>
        <v>100000</v>
      </c>
      <c r="K276" s="749" t="s">
        <v>2336</v>
      </c>
      <c r="L276" s="774" t="n">
        <v>41043</v>
      </c>
      <c r="M276" s="774" t="n">
        <v>41047</v>
      </c>
      <c r="O276" s="799" t="n">
        <v>2.75</v>
      </c>
      <c r="P276" s="749" t="s">
        <v>2613</v>
      </c>
      <c r="Q276" s="749" t="s">
        <v>2363</v>
      </c>
    </row>
    <row r="277" customFormat="false" ht="16.5" hidden="false" customHeight="true" outlineLevel="0" collapsed="false">
      <c r="A277" s="747" t="s">
        <v>2190</v>
      </c>
      <c r="B277" s="774" t="n">
        <v>41043</v>
      </c>
      <c r="D277" s="749" t="s">
        <v>644</v>
      </c>
      <c r="E277" s="749" t="s">
        <v>2379</v>
      </c>
      <c r="F277" s="749" t="s">
        <v>2380</v>
      </c>
      <c r="G277" s="798" t="s">
        <v>2136</v>
      </c>
      <c r="H277" s="776" t="n">
        <v>100000</v>
      </c>
      <c r="I277" s="777" t="n">
        <v>1</v>
      </c>
      <c r="J277" s="778" t="n">
        <f aca="false">IF(I277="","",H277/I277)</f>
        <v>100000</v>
      </c>
      <c r="K277" s="749" t="s">
        <v>2336</v>
      </c>
      <c r="L277" s="774" t="n">
        <v>41043</v>
      </c>
      <c r="M277" s="774" t="n">
        <v>41102</v>
      </c>
      <c r="O277" s="799" t="n">
        <v>3.26</v>
      </c>
      <c r="P277" s="749" t="s">
        <v>2606</v>
      </c>
      <c r="Q277" s="749" t="s">
        <v>2607</v>
      </c>
    </row>
    <row r="278" customFormat="false" ht="16.5" hidden="false" customHeight="true" outlineLevel="0" collapsed="false">
      <c r="A278" s="747" t="s">
        <v>2335</v>
      </c>
      <c r="B278" s="774" t="n">
        <v>41044</v>
      </c>
      <c r="D278" s="749" t="s">
        <v>2372</v>
      </c>
      <c r="E278" s="749" t="s">
        <v>2373</v>
      </c>
      <c r="F278" s="749" t="s">
        <v>2533</v>
      </c>
      <c r="G278" s="798" t="s">
        <v>1267</v>
      </c>
      <c r="H278" s="776" t="n">
        <v>5000000</v>
      </c>
      <c r="I278" s="777" t="n">
        <v>82</v>
      </c>
      <c r="J278" s="778" t="n">
        <f aca="false">IF(I278="","",H278/I278)</f>
        <v>60975.6097560976</v>
      </c>
      <c r="K278" s="749" t="s">
        <v>2500</v>
      </c>
      <c r="L278" s="774" t="n">
        <v>41045</v>
      </c>
      <c r="M278" s="774" t="n">
        <v>41410</v>
      </c>
      <c r="O278" s="799" t="n">
        <v>3.5</v>
      </c>
      <c r="P278" s="749" t="s">
        <v>2613</v>
      </c>
      <c r="Q278" s="749" t="s">
        <v>2363</v>
      </c>
    </row>
    <row r="279" customFormat="false" ht="16.5" hidden="false" customHeight="true" outlineLevel="0" collapsed="false">
      <c r="A279" s="747" t="s">
        <v>2335</v>
      </c>
      <c r="B279" s="774" t="n">
        <v>41044</v>
      </c>
      <c r="D279" s="749" t="s">
        <v>2714</v>
      </c>
      <c r="E279" s="749" t="s">
        <v>2715</v>
      </c>
      <c r="F279" s="749" t="s">
        <v>2716</v>
      </c>
      <c r="G279" s="798" t="s">
        <v>1267</v>
      </c>
      <c r="H279" s="776" t="n">
        <v>15750000</v>
      </c>
      <c r="I279" s="777" t="n">
        <v>82</v>
      </c>
      <c r="J279" s="778" t="n">
        <f aca="false">IF(I279="","",H279/I279)</f>
        <v>192073.170731707</v>
      </c>
      <c r="K279" s="749" t="s">
        <v>2500</v>
      </c>
      <c r="L279" s="774" t="n">
        <v>41057</v>
      </c>
      <c r="M279" s="774" t="n">
        <v>41060</v>
      </c>
      <c r="O279" s="801" t="n">
        <v>3.69</v>
      </c>
      <c r="P279" s="749" t="s">
        <v>2613</v>
      </c>
      <c r="Q279" s="749" t="s">
        <v>2363</v>
      </c>
    </row>
    <row r="280" customFormat="false" ht="16.5" hidden="false" customHeight="true" outlineLevel="0" collapsed="false">
      <c r="A280" s="747" t="s">
        <v>2335</v>
      </c>
      <c r="B280" s="774" t="n">
        <v>41045</v>
      </c>
      <c r="D280" s="749" t="s">
        <v>1366</v>
      </c>
      <c r="E280" s="749" t="s">
        <v>2413</v>
      </c>
      <c r="F280" s="749" t="s">
        <v>2544</v>
      </c>
      <c r="G280" s="798" t="s">
        <v>1267</v>
      </c>
      <c r="H280" s="776" t="n">
        <v>40000000</v>
      </c>
      <c r="I280" s="777" t="n">
        <v>82</v>
      </c>
      <c r="J280" s="778" t="n">
        <f aca="false">IF(I280="","",H280/I280)</f>
        <v>487804.878048781</v>
      </c>
      <c r="K280" s="749" t="s">
        <v>2460</v>
      </c>
      <c r="L280" s="774" t="n">
        <v>41046</v>
      </c>
      <c r="M280" s="774" t="n">
        <v>41411</v>
      </c>
      <c r="O280" s="801" t="n">
        <v>4.28</v>
      </c>
      <c r="P280" s="749" t="s">
        <v>2613</v>
      </c>
      <c r="Q280" s="749" t="s">
        <v>2363</v>
      </c>
    </row>
    <row r="281" customFormat="false" ht="16.5" hidden="false" customHeight="true" outlineLevel="0" collapsed="false">
      <c r="A281" s="747" t="s">
        <v>2335</v>
      </c>
      <c r="B281" s="774" t="n">
        <v>41045</v>
      </c>
      <c r="D281" s="749" t="s">
        <v>2372</v>
      </c>
      <c r="E281" s="749" t="s">
        <v>2717</v>
      </c>
      <c r="F281" s="749" t="s">
        <v>2718</v>
      </c>
      <c r="G281" s="798" t="s">
        <v>1267</v>
      </c>
      <c r="H281" s="776" t="n">
        <v>98000000</v>
      </c>
      <c r="I281" s="777" t="n">
        <v>82</v>
      </c>
      <c r="J281" s="778" t="n">
        <f aca="false">IF(I281="","",H281/I281)</f>
        <v>1195121.95121951</v>
      </c>
      <c r="K281" s="749" t="s">
        <v>2500</v>
      </c>
      <c r="L281" s="774" t="n">
        <v>41053</v>
      </c>
      <c r="M281" s="774" t="n">
        <v>41418</v>
      </c>
      <c r="O281" s="799" t="n">
        <v>4</v>
      </c>
      <c r="P281" s="749" t="s">
        <v>2613</v>
      </c>
      <c r="Q281" s="749" t="s">
        <v>2363</v>
      </c>
    </row>
    <row r="282" customFormat="false" ht="16.5" hidden="false" customHeight="true" outlineLevel="0" collapsed="false">
      <c r="A282" s="747" t="s">
        <v>2335</v>
      </c>
      <c r="B282" s="774" t="n">
        <v>41045</v>
      </c>
      <c r="D282" s="749" t="s">
        <v>2344</v>
      </c>
      <c r="E282" s="749" t="s">
        <v>2572</v>
      </c>
      <c r="F282" s="749" t="s">
        <v>2669</v>
      </c>
      <c r="G282" s="798" t="s">
        <v>1267</v>
      </c>
      <c r="H282" s="776" t="n">
        <v>51000000</v>
      </c>
      <c r="I282" s="777" t="n">
        <v>82</v>
      </c>
      <c r="J282" s="778" t="n">
        <f aca="false">IF(I282="","",H282/I282)</f>
        <v>621951.219512195</v>
      </c>
      <c r="K282" s="749" t="s">
        <v>2336</v>
      </c>
      <c r="L282" s="774" t="n">
        <v>41048</v>
      </c>
      <c r="M282" s="774" t="n">
        <v>41413</v>
      </c>
      <c r="O282" s="799" t="n">
        <v>3.59</v>
      </c>
      <c r="P282" s="749" t="s">
        <v>2613</v>
      </c>
      <c r="Q282" s="749" t="s">
        <v>2363</v>
      </c>
    </row>
    <row r="283" customFormat="false" ht="16.5" hidden="false" customHeight="true" outlineLevel="0" collapsed="false">
      <c r="A283" s="747" t="s">
        <v>2335</v>
      </c>
      <c r="B283" s="774" t="n">
        <v>41046</v>
      </c>
      <c r="D283" s="749" t="s">
        <v>124</v>
      </c>
      <c r="E283" s="749" t="s">
        <v>2642</v>
      </c>
      <c r="F283" s="749" t="s">
        <v>2719</v>
      </c>
      <c r="G283" s="798" t="s">
        <v>1267</v>
      </c>
      <c r="H283" s="776" t="n">
        <v>29700000</v>
      </c>
      <c r="I283" s="777" t="n">
        <v>82</v>
      </c>
      <c r="J283" s="778" t="n">
        <f aca="false">IF(I283="","",H283/I283)</f>
        <v>362195.12195122</v>
      </c>
      <c r="K283" s="749" t="s">
        <v>2336</v>
      </c>
      <c r="L283" s="774" t="n">
        <v>41052</v>
      </c>
      <c r="M283" s="774" t="n">
        <v>41417</v>
      </c>
      <c r="O283" s="799" t="n">
        <v>4.5</v>
      </c>
      <c r="P283" s="749" t="s">
        <v>2613</v>
      </c>
      <c r="Q283" s="749" t="s">
        <v>2363</v>
      </c>
    </row>
    <row r="284" customFormat="false" ht="16.5" hidden="false" customHeight="true" outlineLevel="0" collapsed="false">
      <c r="A284" s="747" t="s">
        <v>2190</v>
      </c>
      <c r="B284" s="774" t="n">
        <v>41046</v>
      </c>
      <c r="D284" s="749" t="s">
        <v>2423</v>
      </c>
      <c r="E284" s="749" t="s">
        <v>2621</v>
      </c>
      <c r="F284" s="749" t="s">
        <v>2720</v>
      </c>
      <c r="G284" s="798" t="s">
        <v>1267</v>
      </c>
      <c r="H284" s="776" t="n">
        <v>28700000</v>
      </c>
      <c r="I284" s="777" t="n">
        <v>82</v>
      </c>
      <c r="J284" s="778" t="n">
        <f aca="false">IF(I284="","",H284/I284)</f>
        <v>350000</v>
      </c>
      <c r="K284" s="749" t="s">
        <v>2662</v>
      </c>
      <c r="L284" s="774" t="n">
        <v>41052</v>
      </c>
      <c r="M284" s="774" t="n">
        <v>41417</v>
      </c>
      <c r="O284" s="799" t="n">
        <v>3.65</v>
      </c>
      <c r="P284" s="749" t="s">
        <v>2606</v>
      </c>
      <c r="Q284" s="749" t="s">
        <v>2607</v>
      </c>
    </row>
    <row r="285" customFormat="false" ht="16.5" hidden="false" customHeight="true" outlineLevel="0" collapsed="false">
      <c r="A285" s="747" t="s">
        <v>2335</v>
      </c>
      <c r="B285" s="774" t="n">
        <v>41047</v>
      </c>
      <c r="D285" s="749" t="s">
        <v>2554</v>
      </c>
      <c r="E285" s="749" t="s">
        <v>2555</v>
      </c>
      <c r="F285" s="749" t="s">
        <v>2556</v>
      </c>
      <c r="G285" s="798" t="s">
        <v>1267</v>
      </c>
      <c r="H285" s="776" t="n">
        <v>36000000</v>
      </c>
      <c r="I285" s="777" t="n">
        <v>82</v>
      </c>
      <c r="J285" s="778" t="n">
        <f aca="false">IF(I285="","",H285/I285)</f>
        <v>439024.390243902</v>
      </c>
      <c r="K285" s="749" t="s">
        <v>2460</v>
      </c>
      <c r="L285" s="774" t="n">
        <v>41058</v>
      </c>
      <c r="M285" s="774" t="n">
        <v>41423</v>
      </c>
      <c r="O285" s="799" t="n">
        <v>4</v>
      </c>
      <c r="P285" s="749" t="s">
        <v>2613</v>
      </c>
      <c r="Q285" s="749" t="s">
        <v>2363</v>
      </c>
    </row>
    <row r="286" customFormat="false" ht="16.5" hidden="false" customHeight="true" outlineLevel="0" collapsed="false">
      <c r="A286" s="747" t="s">
        <v>2335</v>
      </c>
      <c r="B286" s="774" t="n">
        <v>41051</v>
      </c>
      <c r="D286" s="749" t="s">
        <v>103</v>
      </c>
      <c r="E286" s="749" t="s">
        <v>2564</v>
      </c>
      <c r="F286" s="749" t="s">
        <v>2721</v>
      </c>
      <c r="G286" s="798" t="s">
        <v>1267</v>
      </c>
      <c r="H286" s="776" t="n">
        <v>53700000</v>
      </c>
      <c r="I286" s="777" t="n">
        <v>82</v>
      </c>
      <c r="J286" s="778" t="n">
        <f aca="false">IF(I286="","",H286/I286)</f>
        <v>654878.048780488</v>
      </c>
      <c r="K286" s="749" t="s">
        <v>2336</v>
      </c>
      <c r="L286" s="774" t="n">
        <v>41068</v>
      </c>
      <c r="M286" s="774" t="n">
        <v>41433</v>
      </c>
      <c r="O286" s="799" t="n">
        <v>3.95</v>
      </c>
      <c r="P286" s="749" t="s">
        <v>2613</v>
      </c>
      <c r="Q286" s="749" t="s">
        <v>2363</v>
      </c>
    </row>
    <row r="287" customFormat="false" ht="16.5" hidden="false" customHeight="true" outlineLevel="0" collapsed="false">
      <c r="A287" s="747" t="s">
        <v>2335</v>
      </c>
      <c r="B287" s="774" t="n">
        <v>41051</v>
      </c>
      <c r="D287" s="749" t="s">
        <v>103</v>
      </c>
      <c r="E287" s="749" t="s">
        <v>2564</v>
      </c>
      <c r="F287" s="749" t="s">
        <v>2721</v>
      </c>
      <c r="G287" s="798" t="s">
        <v>1267</v>
      </c>
      <c r="H287" s="776" t="n">
        <v>32200000</v>
      </c>
      <c r="I287" s="777" t="n">
        <v>82</v>
      </c>
      <c r="J287" s="778" t="n">
        <f aca="false">IF(I287="","",H287/I287)</f>
        <v>392682.926829268</v>
      </c>
      <c r="K287" s="749" t="s">
        <v>2336</v>
      </c>
      <c r="L287" s="774" t="n">
        <v>41068</v>
      </c>
      <c r="M287" s="774" t="n">
        <v>41433</v>
      </c>
      <c r="O287" s="799" t="n">
        <v>3.95</v>
      </c>
      <c r="P287" s="749" t="s">
        <v>2613</v>
      </c>
      <c r="Q287" s="749" t="s">
        <v>2363</v>
      </c>
    </row>
    <row r="288" customFormat="false" ht="16.5" hidden="false" customHeight="true" outlineLevel="0" collapsed="false">
      <c r="A288" s="747" t="s">
        <v>2335</v>
      </c>
      <c r="B288" s="774" t="n">
        <v>41051</v>
      </c>
      <c r="D288" s="749" t="s">
        <v>2372</v>
      </c>
      <c r="E288" s="749" t="s">
        <v>2692</v>
      </c>
      <c r="F288" s="749" t="s">
        <v>2722</v>
      </c>
      <c r="G288" s="798" t="s">
        <v>1267</v>
      </c>
      <c r="H288" s="776" t="n">
        <v>60000000</v>
      </c>
      <c r="I288" s="777" t="n">
        <v>82</v>
      </c>
      <c r="J288" s="778" t="n">
        <f aca="false">IF(I288="","",H288/I288)</f>
        <v>731707.317073171</v>
      </c>
      <c r="K288" s="749" t="s">
        <v>2336</v>
      </c>
      <c r="L288" s="774" t="n">
        <v>41058</v>
      </c>
      <c r="M288" s="774" t="n">
        <v>41422</v>
      </c>
      <c r="O288" s="799" t="n">
        <v>3.4</v>
      </c>
      <c r="P288" s="749" t="s">
        <v>2613</v>
      </c>
      <c r="Q288" s="749" t="s">
        <v>2363</v>
      </c>
    </row>
    <row r="289" customFormat="false" ht="16.5" hidden="false" customHeight="true" outlineLevel="0" collapsed="false">
      <c r="A289" s="747" t="s">
        <v>2335</v>
      </c>
      <c r="B289" s="774" t="n">
        <v>41051</v>
      </c>
      <c r="D289" s="749" t="s">
        <v>2375</v>
      </c>
      <c r="E289" s="749" t="s">
        <v>2599</v>
      </c>
      <c r="F289" s="749" t="s">
        <v>2723</v>
      </c>
      <c r="G289" s="798" t="s">
        <v>1267</v>
      </c>
      <c r="H289" s="776" t="n">
        <v>36000000</v>
      </c>
      <c r="I289" s="777" t="n">
        <v>82</v>
      </c>
      <c r="J289" s="778" t="n">
        <f aca="false">IF(I289="","",H289/I289)</f>
        <v>439024.390243902</v>
      </c>
      <c r="K289" s="749" t="s">
        <v>2336</v>
      </c>
      <c r="L289" s="774" t="n">
        <v>41059</v>
      </c>
      <c r="M289" s="774" t="n">
        <v>41424</v>
      </c>
      <c r="O289" s="799" t="n">
        <v>4.3</v>
      </c>
      <c r="P289" s="749" t="s">
        <v>2613</v>
      </c>
      <c r="Q289" s="749" t="s">
        <v>2363</v>
      </c>
    </row>
    <row r="290" customFormat="false" ht="16.5" hidden="false" customHeight="true" outlineLevel="0" collapsed="false">
      <c r="A290" s="747" t="s">
        <v>2335</v>
      </c>
      <c r="B290" s="774" t="n">
        <v>41051</v>
      </c>
      <c r="D290" s="749" t="s">
        <v>2375</v>
      </c>
      <c r="E290" s="749" t="s">
        <v>2455</v>
      </c>
      <c r="F290" s="749" t="s">
        <v>2724</v>
      </c>
      <c r="G290" s="798" t="s">
        <v>1267</v>
      </c>
      <c r="H290" s="776" t="n">
        <v>90000000</v>
      </c>
      <c r="I290" s="777" t="n">
        <v>82</v>
      </c>
      <c r="J290" s="778" t="n">
        <f aca="false">IF(I290="","",H290/I290)</f>
        <v>1097560.97560976</v>
      </c>
      <c r="K290" s="749" t="s">
        <v>2336</v>
      </c>
      <c r="L290" s="774" t="n">
        <v>41058</v>
      </c>
      <c r="M290" s="774" t="n">
        <v>41422</v>
      </c>
      <c r="O290" s="799" t="n">
        <v>3.5</v>
      </c>
      <c r="P290" s="749" t="s">
        <v>2613</v>
      </c>
      <c r="Q290" s="749" t="s">
        <v>2363</v>
      </c>
    </row>
    <row r="291" customFormat="false" ht="16.5" hidden="false" customHeight="true" outlineLevel="0" collapsed="false">
      <c r="A291" s="747" t="s">
        <v>2335</v>
      </c>
      <c r="B291" s="774" t="n">
        <v>41051</v>
      </c>
      <c r="D291" s="749" t="s">
        <v>1184</v>
      </c>
      <c r="E291" s="749" t="s">
        <v>2725</v>
      </c>
      <c r="F291" s="749" t="s">
        <v>2726</v>
      </c>
      <c r="G291" s="798" t="s">
        <v>1267</v>
      </c>
      <c r="H291" s="776" t="n">
        <v>29500000</v>
      </c>
      <c r="I291" s="777" t="n">
        <v>82</v>
      </c>
      <c r="J291" s="778" t="n">
        <f aca="false">IF(I291="","",H291/I291)</f>
        <v>359756.097560976</v>
      </c>
      <c r="K291" s="749" t="s">
        <v>2460</v>
      </c>
      <c r="L291" s="774" t="n">
        <v>41068</v>
      </c>
      <c r="M291" s="774" t="n">
        <v>41433</v>
      </c>
      <c r="O291" s="799" t="n">
        <v>2.8</v>
      </c>
      <c r="P291" s="749" t="s">
        <v>2613</v>
      </c>
      <c r="Q291" s="749" t="s">
        <v>2363</v>
      </c>
    </row>
    <row r="292" customFormat="false" ht="16.5" hidden="false" customHeight="true" outlineLevel="0" collapsed="false">
      <c r="A292" s="747" t="s">
        <v>2335</v>
      </c>
      <c r="B292" s="774" t="n">
        <v>41052</v>
      </c>
      <c r="D292" s="749" t="s">
        <v>133</v>
      </c>
      <c r="E292" s="749" t="s">
        <v>2529</v>
      </c>
      <c r="F292" s="749" t="s">
        <v>2727</v>
      </c>
      <c r="G292" s="798" t="s">
        <v>1267</v>
      </c>
      <c r="H292" s="776" t="n">
        <v>41000000</v>
      </c>
      <c r="I292" s="777" t="n">
        <v>82</v>
      </c>
      <c r="J292" s="778" t="n">
        <f aca="false">IF(I292="","",H292/I292)</f>
        <v>500000</v>
      </c>
      <c r="K292" s="749" t="s">
        <v>2336</v>
      </c>
      <c r="L292" s="774" t="n">
        <v>41053</v>
      </c>
      <c r="M292" s="774" t="n">
        <v>41418</v>
      </c>
      <c r="O292" s="799" t="n">
        <v>3.9</v>
      </c>
      <c r="P292" s="749" t="s">
        <v>2613</v>
      </c>
      <c r="Q292" s="749" t="s">
        <v>2363</v>
      </c>
    </row>
    <row r="293" customFormat="false" ht="16.5" hidden="false" customHeight="true" outlineLevel="0" collapsed="false">
      <c r="A293" s="747" t="s">
        <v>2335</v>
      </c>
      <c r="B293" s="774" t="n">
        <v>41052</v>
      </c>
      <c r="D293" s="749" t="s">
        <v>133</v>
      </c>
      <c r="E293" s="749" t="s">
        <v>2529</v>
      </c>
      <c r="F293" s="749" t="s">
        <v>2728</v>
      </c>
      <c r="G293" s="798" t="s">
        <v>1267</v>
      </c>
      <c r="H293" s="776" t="n">
        <v>180180000</v>
      </c>
      <c r="I293" s="777" t="n">
        <v>82</v>
      </c>
      <c r="J293" s="778" t="n">
        <f aca="false">IF(I293="","",H293/I293)</f>
        <v>2197317.07317073</v>
      </c>
      <c r="K293" s="749" t="s">
        <v>2336</v>
      </c>
      <c r="L293" s="774" t="n">
        <v>41053</v>
      </c>
      <c r="M293" s="774" t="n">
        <v>41418</v>
      </c>
      <c r="O293" s="799" t="n">
        <v>3.9</v>
      </c>
      <c r="P293" s="749" t="s">
        <v>2613</v>
      </c>
      <c r="Q293" s="749" t="s">
        <v>2363</v>
      </c>
    </row>
    <row r="294" customFormat="false" ht="16.5" hidden="false" customHeight="true" outlineLevel="0" collapsed="false">
      <c r="A294" s="747" t="s">
        <v>2335</v>
      </c>
      <c r="B294" s="774" t="n">
        <v>41052</v>
      </c>
      <c r="D294" s="749" t="s">
        <v>1366</v>
      </c>
      <c r="E294" s="749" t="s">
        <v>2413</v>
      </c>
      <c r="F294" s="749" t="s">
        <v>2588</v>
      </c>
      <c r="G294" s="798" t="s">
        <v>1267</v>
      </c>
      <c r="H294" s="776" t="n">
        <v>100000000</v>
      </c>
      <c r="I294" s="777" t="n">
        <v>82</v>
      </c>
      <c r="J294" s="778" t="n">
        <f aca="false">IF(I294="","",H294/I294)</f>
        <v>1219512.19512195</v>
      </c>
      <c r="K294" s="749" t="s">
        <v>2460</v>
      </c>
      <c r="L294" s="774" t="n">
        <v>41057</v>
      </c>
      <c r="M294" s="774" t="n">
        <v>41422</v>
      </c>
      <c r="O294" s="799" t="n">
        <v>3.96</v>
      </c>
      <c r="P294" s="749" t="s">
        <v>2613</v>
      </c>
      <c r="Q294" s="749" t="s">
        <v>2363</v>
      </c>
    </row>
    <row r="295" customFormat="false" ht="16.5" hidden="false" customHeight="true" outlineLevel="0" collapsed="false">
      <c r="A295" s="747" t="s">
        <v>2335</v>
      </c>
      <c r="B295" s="774" t="n">
        <v>41054</v>
      </c>
      <c r="D295" s="749" t="s">
        <v>2358</v>
      </c>
      <c r="E295" s="749" t="s">
        <v>2636</v>
      </c>
      <c r="F295" s="749" t="s">
        <v>2729</v>
      </c>
      <c r="G295" s="798" t="s">
        <v>1267</v>
      </c>
      <c r="H295" s="776" t="n">
        <v>40700000</v>
      </c>
      <c r="I295" s="777" t="n">
        <v>82</v>
      </c>
      <c r="J295" s="778" t="n">
        <f aca="false">IF(I295="","",H295/I295)</f>
        <v>496341.463414634</v>
      </c>
      <c r="K295" s="749" t="s">
        <v>2460</v>
      </c>
      <c r="L295" s="774" t="n">
        <v>41058</v>
      </c>
      <c r="M295" s="774" t="n">
        <v>41421</v>
      </c>
      <c r="O295" s="799" t="n">
        <v>4</v>
      </c>
      <c r="P295" s="749" t="s">
        <v>2613</v>
      </c>
      <c r="Q295" s="749" t="s">
        <v>2363</v>
      </c>
    </row>
    <row r="296" customFormat="false" ht="16.5" hidden="false" customHeight="true" outlineLevel="0" collapsed="false">
      <c r="A296" s="747" t="s">
        <v>2335</v>
      </c>
      <c r="B296" s="774" t="n">
        <v>41058</v>
      </c>
      <c r="D296" s="749" t="s">
        <v>2559</v>
      </c>
      <c r="E296" s="749" t="s">
        <v>2730</v>
      </c>
      <c r="F296" s="749" t="s">
        <v>2561</v>
      </c>
      <c r="G296" s="798" t="s">
        <v>2136</v>
      </c>
      <c r="H296" s="776" t="n">
        <v>415000</v>
      </c>
      <c r="I296" s="777" t="n">
        <v>1</v>
      </c>
      <c r="J296" s="778" t="n">
        <f aca="false">IF(I296="","",H296/I296)</f>
        <v>415000</v>
      </c>
      <c r="K296" s="749" t="s">
        <v>2336</v>
      </c>
      <c r="L296" s="774" t="n">
        <v>41058</v>
      </c>
      <c r="M296" s="774" t="n">
        <v>41423</v>
      </c>
      <c r="O296" s="799" t="n">
        <v>4</v>
      </c>
      <c r="P296" s="749" t="s">
        <v>2613</v>
      </c>
      <c r="Q296" s="749" t="s">
        <v>2363</v>
      </c>
    </row>
    <row r="297" customFormat="false" ht="16.5" hidden="false" customHeight="true" outlineLevel="0" collapsed="false">
      <c r="A297" s="747" t="s">
        <v>2335</v>
      </c>
      <c r="B297" s="774" t="n">
        <v>41061</v>
      </c>
      <c r="D297" s="749" t="s">
        <v>2731</v>
      </c>
      <c r="E297" s="749" t="s">
        <v>2443</v>
      </c>
      <c r="F297" s="749" t="s">
        <v>2732</v>
      </c>
      <c r="G297" s="798" t="s">
        <v>1267</v>
      </c>
      <c r="H297" s="776" t="n">
        <v>67000000</v>
      </c>
      <c r="I297" s="777" t="n">
        <v>82</v>
      </c>
      <c r="J297" s="778" t="n">
        <f aca="false">IF(I297="","",H297/I297)</f>
        <v>817073.170731707</v>
      </c>
      <c r="K297" s="749" t="s">
        <v>2460</v>
      </c>
      <c r="L297" s="774" t="n">
        <v>41072</v>
      </c>
      <c r="M297" s="774" t="n">
        <v>41437</v>
      </c>
      <c r="O297" s="799" t="n">
        <v>3.7</v>
      </c>
      <c r="P297" s="749" t="s">
        <v>2613</v>
      </c>
      <c r="Q297" s="749" t="s">
        <v>2363</v>
      </c>
    </row>
    <row r="298" customFormat="false" ht="16.5" hidden="false" customHeight="true" outlineLevel="0" collapsed="false">
      <c r="A298" s="747" t="s">
        <v>2335</v>
      </c>
      <c r="B298" s="774" t="n">
        <v>41061</v>
      </c>
      <c r="D298" s="749" t="s">
        <v>2364</v>
      </c>
      <c r="E298" s="749" t="s">
        <v>2365</v>
      </c>
      <c r="F298" s="749" t="s">
        <v>2366</v>
      </c>
      <c r="G298" s="798" t="s">
        <v>1267</v>
      </c>
      <c r="H298" s="776" t="n">
        <v>20400000</v>
      </c>
      <c r="I298" s="777" t="n">
        <v>82</v>
      </c>
      <c r="J298" s="778" t="n">
        <f aca="false">IF(I298="","",H298/I298)</f>
        <v>248780.487804878</v>
      </c>
      <c r="K298" s="749" t="s">
        <v>2336</v>
      </c>
      <c r="L298" s="774" t="n">
        <v>41082</v>
      </c>
      <c r="M298" s="774" t="n">
        <v>41447</v>
      </c>
      <c r="O298" s="799" t="n">
        <v>5.1</v>
      </c>
      <c r="P298" s="749" t="s">
        <v>2613</v>
      </c>
      <c r="Q298" s="749" t="s">
        <v>2363</v>
      </c>
    </row>
    <row r="299" customFormat="false" ht="16.5" hidden="false" customHeight="true" outlineLevel="0" collapsed="false">
      <c r="A299" s="747" t="s">
        <v>2335</v>
      </c>
      <c r="B299" s="774" t="n">
        <v>41061</v>
      </c>
      <c r="D299" s="749" t="s">
        <v>124</v>
      </c>
      <c r="E299" s="749" t="s">
        <v>2733</v>
      </c>
      <c r="F299" s="749" t="s">
        <v>2382</v>
      </c>
      <c r="G299" s="798" t="s">
        <v>1267</v>
      </c>
      <c r="H299" s="776" t="n">
        <v>27370000</v>
      </c>
      <c r="I299" s="777" t="n">
        <v>82</v>
      </c>
      <c r="J299" s="778" t="n">
        <f aca="false">IF(I299="","",H299/I299)</f>
        <v>333780.487804878</v>
      </c>
      <c r="K299" s="749" t="s">
        <v>2336</v>
      </c>
      <c r="L299" s="774" t="n">
        <v>41076</v>
      </c>
      <c r="M299" s="774" t="n">
        <v>41806</v>
      </c>
      <c r="O299" s="799" t="n">
        <v>2.62</v>
      </c>
      <c r="P299" s="749" t="s">
        <v>2613</v>
      </c>
      <c r="Q299" s="749" t="s">
        <v>2363</v>
      </c>
    </row>
    <row r="300" customFormat="false" ht="16.5" hidden="false" customHeight="true" outlineLevel="0" collapsed="false">
      <c r="A300" s="747" t="s">
        <v>2335</v>
      </c>
      <c r="B300" s="774" t="n">
        <v>41064</v>
      </c>
      <c r="D300" s="749" t="s">
        <v>2372</v>
      </c>
      <c r="E300" s="749" t="s">
        <v>2692</v>
      </c>
      <c r="F300" s="749" t="s">
        <v>2487</v>
      </c>
      <c r="G300" s="798" t="s">
        <v>1267</v>
      </c>
      <c r="H300" s="776" t="n">
        <v>20000000</v>
      </c>
      <c r="I300" s="777" t="n">
        <v>82</v>
      </c>
      <c r="J300" s="778" t="n">
        <f aca="false">IF(I300="","",H300/I300)</f>
        <v>243902.43902439</v>
      </c>
      <c r="K300" s="749" t="s">
        <v>2336</v>
      </c>
      <c r="L300" s="774" t="n">
        <v>41071</v>
      </c>
      <c r="M300" s="774" t="n">
        <v>41436</v>
      </c>
      <c r="O300" s="799" t="n">
        <v>4</v>
      </c>
      <c r="P300" s="749" t="s">
        <v>2613</v>
      </c>
      <c r="Q300" s="749" t="s">
        <v>2363</v>
      </c>
    </row>
    <row r="301" customFormat="false" ht="16.5" hidden="false" customHeight="true" outlineLevel="0" collapsed="false">
      <c r="A301" s="747" t="s">
        <v>2335</v>
      </c>
      <c r="B301" s="774" t="n">
        <v>41064</v>
      </c>
      <c r="D301" s="749" t="s">
        <v>2372</v>
      </c>
      <c r="E301" s="749" t="s">
        <v>2373</v>
      </c>
      <c r="F301" s="749" t="s">
        <v>2734</v>
      </c>
      <c r="G301" s="798" t="s">
        <v>1267</v>
      </c>
      <c r="H301" s="776" t="n">
        <v>50000000</v>
      </c>
      <c r="I301" s="777" t="n">
        <v>82</v>
      </c>
      <c r="J301" s="778" t="n">
        <f aca="false">IF(I301="","",H301/I301)</f>
        <v>609756.097560976</v>
      </c>
      <c r="K301" s="749" t="s">
        <v>2336</v>
      </c>
      <c r="L301" s="774" t="n">
        <v>41067</v>
      </c>
      <c r="M301" s="774" t="n">
        <v>41432</v>
      </c>
      <c r="O301" s="799" t="n">
        <v>3.78</v>
      </c>
      <c r="P301" s="749" t="s">
        <v>2613</v>
      </c>
      <c r="Q301" s="749" t="s">
        <v>2363</v>
      </c>
    </row>
    <row r="302" customFormat="false" ht="16.5" hidden="false" customHeight="true" outlineLevel="0" collapsed="false">
      <c r="A302" s="747" t="s">
        <v>2190</v>
      </c>
      <c r="B302" s="774" t="n">
        <v>41064</v>
      </c>
      <c r="D302" s="798" t="s">
        <v>2403</v>
      </c>
      <c r="E302" s="749" t="s">
        <v>2640</v>
      </c>
      <c r="F302" s="749" t="s">
        <v>2541</v>
      </c>
      <c r="G302" s="798" t="s">
        <v>2136</v>
      </c>
      <c r="H302" s="776" t="n">
        <v>229216</v>
      </c>
      <c r="I302" s="777" t="n">
        <v>1</v>
      </c>
      <c r="J302" s="778" t="n">
        <f aca="false">IF(I302="","",H302/I302)</f>
        <v>229216</v>
      </c>
      <c r="K302" s="749" t="s">
        <v>2336</v>
      </c>
      <c r="L302" s="774" t="n">
        <v>41065</v>
      </c>
      <c r="M302" s="774" t="n">
        <v>41246</v>
      </c>
      <c r="O302" s="799" t="n">
        <v>3.6</v>
      </c>
      <c r="P302" s="749" t="s">
        <v>2606</v>
      </c>
      <c r="Q302" s="749" t="s">
        <v>2607</v>
      </c>
    </row>
    <row r="303" customFormat="false" ht="16.5" hidden="false" customHeight="true" outlineLevel="0" collapsed="false">
      <c r="A303" s="747" t="s">
        <v>2335</v>
      </c>
      <c r="B303" s="774" t="n">
        <v>41065</v>
      </c>
      <c r="D303" s="749" t="s">
        <v>2559</v>
      </c>
      <c r="E303" s="749" t="s">
        <v>2560</v>
      </c>
      <c r="F303" s="749" t="s">
        <v>2735</v>
      </c>
      <c r="G303" s="798" t="s">
        <v>1267</v>
      </c>
      <c r="H303" s="776" t="n">
        <v>176970000</v>
      </c>
      <c r="I303" s="777" t="n">
        <v>82</v>
      </c>
      <c r="J303" s="778" t="n">
        <f aca="false">IF(I303="","",H303/I303)</f>
        <v>2158170.73170732</v>
      </c>
      <c r="K303" s="749" t="s">
        <v>2361</v>
      </c>
      <c r="L303" s="774" t="n">
        <v>41065</v>
      </c>
      <c r="M303" s="774" t="n">
        <v>41430</v>
      </c>
      <c r="O303" s="799" t="n">
        <v>3.15</v>
      </c>
      <c r="P303" s="749" t="s">
        <v>2613</v>
      </c>
      <c r="Q303" s="749" t="s">
        <v>2363</v>
      </c>
    </row>
    <row r="304" customFormat="false" ht="16.5" hidden="false" customHeight="true" outlineLevel="0" collapsed="false">
      <c r="A304" s="747" t="s">
        <v>2335</v>
      </c>
      <c r="B304" s="774" t="n">
        <v>41065</v>
      </c>
      <c r="D304" s="749" t="s">
        <v>2430</v>
      </c>
      <c r="E304" s="749" t="s">
        <v>2431</v>
      </c>
      <c r="F304" s="749" t="s">
        <v>2432</v>
      </c>
      <c r="G304" s="798" t="s">
        <v>2136</v>
      </c>
      <c r="H304" s="776" t="n">
        <v>54880</v>
      </c>
      <c r="I304" s="777" t="n">
        <v>1</v>
      </c>
      <c r="J304" s="778" t="n">
        <f aca="false">IF(I304="","",H304/I304)</f>
        <v>54880</v>
      </c>
      <c r="K304" s="749" t="s">
        <v>2336</v>
      </c>
      <c r="L304" s="774" t="n">
        <v>41073</v>
      </c>
      <c r="M304" s="774" t="n">
        <v>41438</v>
      </c>
      <c r="O304" s="799" t="n">
        <v>3.22</v>
      </c>
      <c r="P304" s="749" t="s">
        <v>2613</v>
      </c>
      <c r="Q304" s="749" t="s">
        <v>2363</v>
      </c>
    </row>
    <row r="305" customFormat="false" ht="16.5" hidden="false" customHeight="true" outlineLevel="0" collapsed="false">
      <c r="A305" s="747" t="s">
        <v>2190</v>
      </c>
      <c r="B305" s="774" t="n">
        <v>41065</v>
      </c>
      <c r="D305" s="749" t="s">
        <v>1366</v>
      </c>
      <c r="E305" s="749" t="s">
        <v>2415</v>
      </c>
      <c r="F305" s="749" t="s">
        <v>2736</v>
      </c>
      <c r="G305" s="798" t="s">
        <v>1267</v>
      </c>
      <c r="H305" s="776" t="n">
        <v>46700000</v>
      </c>
      <c r="I305" s="777" t="n">
        <v>82</v>
      </c>
      <c r="J305" s="778" t="n">
        <f aca="false">IF(I305="","",H305/I305)</f>
        <v>569512.195121951</v>
      </c>
      <c r="K305" s="749" t="s">
        <v>2460</v>
      </c>
      <c r="L305" s="774" t="n">
        <v>41065</v>
      </c>
      <c r="M305" s="774" t="n">
        <v>41430</v>
      </c>
      <c r="O305" s="799" t="n">
        <v>3.7</v>
      </c>
      <c r="P305" s="749" t="s">
        <v>2606</v>
      </c>
      <c r="Q305" s="749" t="s">
        <v>2607</v>
      </c>
    </row>
    <row r="306" customFormat="false" ht="16.5" hidden="false" customHeight="true" outlineLevel="0" collapsed="false">
      <c r="A306" s="747" t="s">
        <v>2190</v>
      </c>
      <c r="B306" s="774" t="n">
        <v>41065</v>
      </c>
      <c r="D306" s="749" t="s">
        <v>2358</v>
      </c>
      <c r="E306" s="749" t="s">
        <v>2636</v>
      </c>
      <c r="F306" s="749" t="s">
        <v>2549</v>
      </c>
      <c r="G306" s="798" t="s">
        <v>2136</v>
      </c>
      <c r="H306" s="776" t="n">
        <v>306000</v>
      </c>
      <c r="I306" s="777" t="n">
        <v>1</v>
      </c>
      <c r="J306" s="778" t="n">
        <f aca="false">IF(I306="","",H306/I306)</f>
        <v>306000</v>
      </c>
      <c r="K306" s="749" t="s">
        <v>2361</v>
      </c>
      <c r="L306" s="774" t="n">
        <v>41065</v>
      </c>
      <c r="M306" s="774" t="n">
        <v>41157</v>
      </c>
      <c r="O306" s="799" t="n">
        <v>4</v>
      </c>
      <c r="P306" s="749" t="s">
        <v>2606</v>
      </c>
      <c r="Q306" s="749" t="s">
        <v>2607</v>
      </c>
    </row>
    <row r="307" customFormat="false" ht="16.5" hidden="false" customHeight="true" outlineLevel="0" collapsed="false">
      <c r="A307" s="747" t="s">
        <v>2335</v>
      </c>
      <c r="B307" s="774" t="n">
        <v>41068</v>
      </c>
      <c r="D307" s="749" t="s">
        <v>2344</v>
      </c>
      <c r="E307" s="749" t="s">
        <v>2524</v>
      </c>
      <c r="F307" s="749" t="s">
        <v>2737</v>
      </c>
      <c r="G307" s="798" t="s">
        <v>1267</v>
      </c>
      <c r="H307" s="776" t="n">
        <v>15100000</v>
      </c>
      <c r="I307" s="777" t="n">
        <v>82</v>
      </c>
      <c r="J307" s="778" t="n">
        <f aca="false">IF(I307="","",H307/I307)</f>
        <v>184146.341463415</v>
      </c>
      <c r="K307" s="749" t="s">
        <v>2336</v>
      </c>
      <c r="L307" s="774" t="n">
        <v>41068</v>
      </c>
      <c r="M307" s="774" t="n">
        <v>41433</v>
      </c>
      <c r="O307" s="799" t="n">
        <v>5</v>
      </c>
      <c r="P307" s="749" t="s">
        <v>2613</v>
      </c>
      <c r="Q307" s="749" t="s">
        <v>2363</v>
      </c>
    </row>
    <row r="308" customFormat="false" ht="16.5" hidden="false" customHeight="true" outlineLevel="0" collapsed="false">
      <c r="A308" s="747" t="s">
        <v>2335</v>
      </c>
      <c r="B308" s="774" t="n">
        <v>41068</v>
      </c>
      <c r="D308" s="749" t="s">
        <v>124</v>
      </c>
      <c r="E308" s="749" t="s">
        <v>2733</v>
      </c>
      <c r="F308" s="749" t="s">
        <v>2383</v>
      </c>
      <c r="G308" s="798" t="s">
        <v>1267</v>
      </c>
      <c r="H308" s="776" t="n">
        <v>23700000</v>
      </c>
      <c r="I308" s="777" t="n">
        <v>82</v>
      </c>
      <c r="J308" s="778" t="n">
        <f aca="false">IF(I308="","",H308/I308)</f>
        <v>289024.390243902</v>
      </c>
      <c r="K308" s="749" t="s">
        <v>2336</v>
      </c>
      <c r="L308" s="774" t="n">
        <v>41071</v>
      </c>
      <c r="M308" s="774" t="n">
        <v>41080</v>
      </c>
      <c r="O308" s="799" t="n">
        <v>2.98</v>
      </c>
      <c r="P308" s="749" t="s">
        <v>2613</v>
      </c>
      <c r="Q308" s="749" t="s">
        <v>2363</v>
      </c>
    </row>
    <row r="309" customFormat="false" ht="16.5" hidden="false" customHeight="true" outlineLevel="0" collapsed="false">
      <c r="A309" s="747" t="s">
        <v>2335</v>
      </c>
      <c r="B309" s="774" t="n">
        <v>41068</v>
      </c>
      <c r="D309" s="749" t="s">
        <v>1366</v>
      </c>
      <c r="E309" s="749" t="s">
        <v>2413</v>
      </c>
      <c r="F309" s="749" t="s">
        <v>2371</v>
      </c>
      <c r="G309" s="798" t="s">
        <v>1267</v>
      </c>
      <c r="H309" s="776" t="n">
        <v>100000000</v>
      </c>
      <c r="I309" s="777" t="n">
        <v>82</v>
      </c>
      <c r="J309" s="778" t="n">
        <f aca="false">IF(I309="","",H309/I309)</f>
        <v>1219512.19512195</v>
      </c>
      <c r="K309" s="749" t="s">
        <v>2336</v>
      </c>
      <c r="L309" s="774" t="n">
        <v>41071</v>
      </c>
      <c r="M309" s="774" t="n">
        <v>41162</v>
      </c>
      <c r="O309" s="799" t="n">
        <v>3.88</v>
      </c>
      <c r="P309" s="749" t="s">
        <v>2613</v>
      </c>
      <c r="Q309" s="749" t="s">
        <v>2363</v>
      </c>
    </row>
    <row r="310" customFormat="false" ht="16.5" hidden="false" customHeight="true" outlineLevel="0" collapsed="false">
      <c r="A310" s="747" t="s">
        <v>2335</v>
      </c>
      <c r="B310" s="774" t="n">
        <v>41071</v>
      </c>
      <c r="D310" s="749" t="s">
        <v>96</v>
      </c>
      <c r="E310" s="749" t="s">
        <v>2390</v>
      </c>
      <c r="F310" s="749" t="s">
        <v>2392</v>
      </c>
      <c r="G310" s="798" t="s">
        <v>1267</v>
      </c>
      <c r="H310" s="776" t="n">
        <v>59100000</v>
      </c>
      <c r="I310" s="777" t="n">
        <v>82</v>
      </c>
      <c r="J310" s="778" t="n">
        <f aca="false">IF(I310="","",H310/I310)</f>
        <v>720731.707317073</v>
      </c>
      <c r="K310" s="749" t="s">
        <v>2336</v>
      </c>
      <c r="L310" s="774" t="n">
        <v>41081</v>
      </c>
      <c r="M310" s="774" t="n">
        <v>41446</v>
      </c>
      <c r="O310" s="799" t="n">
        <v>3.6</v>
      </c>
      <c r="P310" s="749" t="s">
        <v>2613</v>
      </c>
      <c r="Q310" s="749" t="s">
        <v>2363</v>
      </c>
    </row>
    <row r="311" customFormat="false" ht="16.5" hidden="false" customHeight="true" outlineLevel="0" collapsed="false">
      <c r="A311" s="747" t="s">
        <v>2335</v>
      </c>
      <c r="B311" s="774" t="n">
        <v>41072</v>
      </c>
      <c r="D311" s="749" t="s">
        <v>2375</v>
      </c>
      <c r="E311" s="749" t="s">
        <v>2599</v>
      </c>
      <c r="F311" s="749" t="s">
        <v>2340</v>
      </c>
      <c r="G311" s="798" t="s">
        <v>1267</v>
      </c>
      <c r="H311" s="776" t="n">
        <v>10600000</v>
      </c>
      <c r="I311" s="777" t="n">
        <v>82</v>
      </c>
      <c r="J311" s="778" t="n">
        <f aca="false">IF(I311="","",H311/I311)</f>
        <v>129268.292682927</v>
      </c>
      <c r="K311" s="749" t="s">
        <v>2336</v>
      </c>
      <c r="L311" s="774" t="n">
        <v>41079</v>
      </c>
      <c r="M311" s="774" t="n">
        <v>41444</v>
      </c>
      <c r="O311" s="799" t="n">
        <v>3.9</v>
      </c>
      <c r="P311" s="749" t="s">
        <v>2613</v>
      </c>
      <c r="Q311" s="749" t="s">
        <v>2363</v>
      </c>
    </row>
    <row r="312" customFormat="false" ht="16.5" hidden="false" customHeight="true" outlineLevel="0" collapsed="false">
      <c r="A312" s="747" t="s">
        <v>2335</v>
      </c>
      <c r="B312" s="774" t="n">
        <v>41073</v>
      </c>
      <c r="D312" s="749" t="s">
        <v>103</v>
      </c>
      <c r="E312" s="749" t="s">
        <v>2377</v>
      </c>
      <c r="F312" s="749" t="s">
        <v>2394</v>
      </c>
      <c r="G312" s="798" t="s">
        <v>1267</v>
      </c>
      <c r="H312" s="776" t="n">
        <v>28000000</v>
      </c>
      <c r="I312" s="777" t="n">
        <v>82</v>
      </c>
      <c r="J312" s="778" t="n">
        <f aca="false">IF(I312="","",H312/I312)</f>
        <v>341463.414634146</v>
      </c>
      <c r="K312" s="749" t="s">
        <v>2336</v>
      </c>
      <c r="L312" s="774" t="n">
        <v>41078</v>
      </c>
      <c r="M312" s="774" t="n">
        <v>41443</v>
      </c>
      <c r="O312" s="799" t="n">
        <v>4.3</v>
      </c>
      <c r="P312" s="749" t="s">
        <v>2613</v>
      </c>
      <c r="Q312" s="749" t="s">
        <v>2363</v>
      </c>
    </row>
    <row r="313" customFormat="false" ht="16.5" hidden="false" customHeight="true" outlineLevel="0" collapsed="false">
      <c r="A313" s="747" t="s">
        <v>2335</v>
      </c>
      <c r="B313" s="774" t="n">
        <v>41073</v>
      </c>
      <c r="D313" s="749" t="s">
        <v>2358</v>
      </c>
      <c r="E313" s="749" t="s">
        <v>2636</v>
      </c>
      <c r="F313" s="749" t="s">
        <v>2360</v>
      </c>
      <c r="G313" s="798" t="s">
        <v>1267</v>
      </c>
      <c r="H313" s="776" t="n">
        <v>44500000</v>
      </c>
      <c r="I313" s="777" t="n">
        <v>82</v>
      </c>
      <c r="J313" s="778" t="n">
        <f aca="false">IF(I313="","",H313/I313)</f>
        <v>542682.926829268</v>
      </c>
      <c r="K313" s="749" t="s">
        <v>2500</v>
      </c>
      <c r="L313" s="774" t="n">
        <v>41074</v>
      </c>
      <c r="M313" s="774" t="n">
        <v>41439</v>
      </c>
      <c r="O313" s="799" t="n">
        <v>3</v>
      </c>
      <c r="P313" s="749" t="s">
        <v>2613</v>
      </c>
      <c r="Q313" s="749" t="s">
        <v>2363</v>
      </c>
    </row>
    <row r="314" customFormat="false" ht="16.5" hidden="false" customHeight="true" outlineLevel="0" collapsed="false">
      <c r="A314" s="747" t="s">
        <v>2335</v>
      </c>
      <c r="B314" s="774" t="n">
        <v>41073</v>
      </c>
      <c r="D314" s="749" t="s">
        <v>2372</v>
      </c>
      <c r="E314" s="749" t="s">
        <v>2373</v>
      </c>
      <c r="F314" s="749" t="s">
        <v>2374</v>
      </c>
      <c r="G314" s="798" t="s">
        <v>1267</v>
      </c>
      <c r="H314" s="776" t="n">
        <v>15700000</v>
      </c>
      <c r="I314" s="777" t="n">
        <v>82</v>
      </c>
      <c r="J314" s="778" t="n">
        <f aca="false">IF(I314="","",H314/I314)</f>
        <v>191463.414634146</v>
      </c>
      <c r="K314" s="749" t="s">
        <v>2500</v>
      </c>
      <c r="L314" s="774" t="n">
        <v>41075</v>
      </c>
      <c r="M314" s="774" t="n">
        <v>41440</v>
      </c>
      <c r="O314" s="799" t="n">
        <v>3.5</v>
      </c>
      <c r="P314" s="749" t="s">
        <v>2613</v>
      </c>
      <c r="Q314" s="749" t="s">
        <v>2363</v>
      </c>
    </row>
    <row r="315" customFormat="false" ht="16.5" hidden="false" customHeight="true" outlineLevel="0" collapsed="false">
      <c r="A315" s="747" t="s">
        <v>2190</v>
      </c>
      <c r="B315" s="774" t="n">
        <v>41073</v>
      </c>
      <c r="D315" s="749" t="s">
        <v>2430</v>
      </c>
      <c r="E315" s="749" t="s">
        <v>2431</v>
      </c>
      <c r="F315" s="749" t="s">
        <v>2638</v>
      </c>
      <c r="G315" s="798" t="s">
        <v>2136</v>
      </c>
      <c r="H315" s="776" t="n">
        <v>73800</v>
      </c>
      <c r="I315" s="777" t="n">
        <v>1</v>
      </c>
      <c r="J315" s="778" t="n">
        <f aca="false">IF(I315="","",H315/I315)</f>
        <v>73800</v>
      </c>
      <c r="K315" s="749" t="s">
        <v>2336</v>
      </c>
      <c r="L315" s="774" t="n">
        <v>41075</v>
      </c>
      <c r="M315" s="774" t="n">
        <v>41440</v>
      </c>
      <c r="O315" s="799" t="n">
        <v>2.96</v>
      </c>
      <c r="P315" s="749" t="s">
        <v>2606</v>
      </c>
      <c r="Q315" s="749" t="s">
        <v>2607</v>
      </c>
    </row>
    <row r="316" customFormat="false" ht="16.5" hidden="false" customHeight="true" outlineLevel="0" collapsed="false">
      <c r="A316" s="747" t="s">
        <v>2335</v>
      </c>
      <c r="B316" s="774" t="n">
        <v>41074</v>
      </c>
      <c r="D316" s="749" t="s">
        <v>2358</v>
      </c>
      <c r="E316" s="749" t="s">
        <v>2636</v>
      </c>
      <c r="F316" s="749" t="s">
        <v>2387</v>
      </c>
      <c r="G316" s="798" t="s">
        <v>1267</v>
      </c>
      <c r="H316" s="776" t="n">
        <v>37500000</v>
      </c>
      <c r="I316" s="777" t="n">
        <v>82</v>
      </c>
      <c r="J316" s="778" t="n">
        <f aca="false">IF(I316="","",H316/I316)</f>
        <v>457317.073170732</v>
      </c>
      <c r="K316" s="749" t="s">
        <v>2500</v>
      </c>
      <c r="L316" s="774" t="n">
        <v>41078</v>
      </c>
      <c r="M316" s="774" t="n">
        <v>41442</v>
      </c>
      <c r="O316" s="799" t="n">
        <v>4.3</v>
      </c>
      <c r="P316" s="749" t="s">
        <v>2613</v>
      </c>
      <c r="Q316" s="749" t="s">
        <v>2363</v>
      </c>
    </row>
    <row r="317" customFormat="false" ht="16.5" hidden="false" customHeight="true" outlineLevel="0" collapsed="false">
      <c r="A317" s="747" t="s">
        <v>2335</v>
      </c>
      <c r="B317" s="774" t="n">
        <v>41074</v>
      </c>
      <c r="D317" s="749" t="s">
        <v>2367</v>
      </c>
      <c r="E317" s="749" t="s">
        <v>2738</v>
      </c>
      <c r="F317" s="749" t="s">
        <v>2369</v>
      </c>
      <c r="G317" s="798" t="s">
        <v>1267</v>
      </c>
      <c r="H317" s="776" t="n">
        <v>67000000</v>
      </c>
      <c r="I317" s="777" t="n">
        <v>82</v>
      </c>
      <c r="J317" s="778" t="n">
        <f aca="false">IF(I317="","",H317/I317)</f>
        <v>817073.170731707</v>
      </c>
      <c r="K317" s="749" t="s">
        <v>2336</v>
      </c>
      <c r="L317" s="774" t="n">
        <v>41078</v>
      </c>
      <c r="M317" s="774" t="n">
        <v>41079</v>
      </c>
      <c r="O317" s="799" t="n">
        <v>4.2</v>
      </c>
      <c r="P317" s="749" t="s">
        <v>2613</v>
      </c>
      <c r="Q317" s="749" t="s">
        <v>2363</v>
      </c>
    </row>
    <row r="318" customFormat="false" ht="16.5" hidden="false" customHeight="true" outlineLevel="0" collapsed="false">
      <c r="A318" s="747" t="s">
        <v>2335</v>
      </c>
      <c r="B318" s="774" t="n">
        <v>41074</v>
      </c>
      <c r="D318" s="749" t="s">
        <v>644</v>
      </c>
      <c r="E318" s="749" t="s">
        <v>2379</v>
      </c>
      <c r="F318" s="749" t="s">
        <v>2380</v>
      </c>
      <c r="G318" s="798" t="s">
        <v>2136</v>
      </c>
      <c r="H318" s="776" t="n">
        <v>200000</v>
      </c>
      <c r="I318" s="777" t="n">
        <v>1</v>
      </c>
      <c r="J318" s="778" t="n">
        <f aca="false">IF(I318="","",H318/I318)</f>
        <v>200000</v>
      </c>
      <c r="K318" s="749" t="s">
        <v>2336</v>
      </c>
      <c r="L318" s="774" t="n">
        <v>41075</v>
      </c>
      <c r="M318" s="774" t="n">
        <v>41167</v>
      </c>
      <c r="O318" s="799" t="n">
        <v>3.3</v>
      </c>
      <c r="P318" s="749" t="s">
        <v>2613</v>
      </c>
      <c r="Q318" s="749" t="s">
        <v>2363</v>
      </c>
    </row>
    <row r="319" customFormat="false" ht="16.5" hidden="false" customHeight="true" outlineLevel="0" collapsed="false">
      <c r="A319" s="747" t="s">
        <v>2335</v>
      </c>
      <c r="B319" s="774" t="n">
        <v>41074</v>
      </c>
      <c r="D319" s="749" t="s">
        <v>644</v>
      </c>
      <c r="E319" s="749" t="s">
        <v>2379</v>
      </c>
      <c r="F319" s="749" t="s">
        <v>2380</v>
      </c>
      <c r="G319" s="798" t="s">
        <v>2136</v>
      </c>
      <c r="H319" s="776" t="n">
        <v>200000</v>
      </c>
      <c r="I319" s="777" t="n">
        <v>1</v>
      </c>
      <c r="J319" s="778" t="n">
        <f aca="false">IF(I319="","",H319/I319)</f>
        <v>200000</v>
      </c>
      <c r="K319" s="749" t="s">
        <v>2336</v>
      </c>
      <c r="L319" s="774" t="n">
        <v>41075</v>
      </c>
      <c r="M319" s="774" t="n">
        <v>41167</v>
      </c>
      <c r="O319" s="799" t="n">
        <v>3.3</v>
      </c>
      <c r="P319" s="749" t="s">
        <v>2613</v>
      </c>
      <c r="Q319" s="749" t="s">
        <v>2363</v>
      </c>
    </row>
    <row r="320" customFormat="false" ht="16.5" hidden="false" customHeight="true" outlineLevel="0" collapsed="false">
      <c r="A320" s="747" t="s">
        <v>2335</v>
      </c>
      <c r="B320" s="774" t="n">
        <v>41074</v>
      </c>
      <c r="D320" s="749" t="s">
        <v>644</v>
      </c>
      <c r="E320" s="749" t="s">
        <v>2379</v>
      </c>
      <c r="F320" s="749" t="s">
        <v>2380</v>
      </c>
      <c r="G320" s="798" t="s">
        <v>2136</v>
      </c>
      <c r="H320" s="776" t="n">
        <v>200000</v>
      </c>
      <c r="I320" s="777" t="n">
        <v>1</v>
      </c>
      <c r="J320" s="778" t="n">
        <f aca="false">IF(I320="","",H320/I320)</f>
        <v>200000</v>
      </c>
      <c r="K320" s="749" t="s">
        <v>2336</v>
      </c>
      <c r="L320" s="774" t="n">
        <v>41075</v>
      </c>
      <c r="M320" s="774" t="n">
        <v>41167</v>
      </c>
      <c r="O320" s="799" t="n">
        <v>3.3</v>
      </c>
      <c r="P320" s="749" t="s">
        <v>2613</v>
      </c>
      <c r="Q320" s="749" t="s">
        <v>2363</v>
      </c>
    </row>
    <row r="321" customFormat="false" ht="16.5" hidden="false" customHeight="true" outlineLevel="0" collapsed="false">
      <c r="A321" s="747" t="s">
        <v>2190</v>
      </c>
      <c r="B321" s="774" t="n">
        <v>41074</v>
      </c>
      <c r="D321" s="749" t="s">
        <v>103</v>
      </c>
      <c r="E321" s="749" t="s">
        <v>2739</v>
      </c>
      <c r="F321" s="749" t="s">
        <v>2740</v>
      </c>
      <c r="G321" s="798" t="s">
        <v>2136</v>
      </c>
      <c r="H321" s="776" t="n">
        <v>3000000</v>
      </c>
      <c r="I321" s="777" t="n">
        <v>1</v>
      </c>
      <c r="J321" s="778" t="n">
        <f aca="false">IF(I321="","",H321/I321)</f>
        <v>3000000</v>
      </c>
      <c r="K321" s="749" t="s">
        <v>2336</v>
      </c>
      <c r="L321" s="774" t="n">
        <v>41075</v>
      </c>
      <c r="M321" s="774" t="n">
        <v>42170</v>
      </c>
      <c r="O321" s="799" t="n">
        <v>3.69</v>
      </c>
      <c r="P321" s="749" t="s">
        <v>2606</v>
      </c>
      <c r="Q321" s="749" t="s">
        <v>2607</v>
      </c>
    </row>
    <row r="322" customFormat="false" ht="16.5" hidden="false" customHeight="true" outlineLevel="0" collapsed="false">
      <c r="A322" s="747" t="s">
        <v>2335</v>
      </c>
      <c r="B322" s="774" t="n">
        <v>41075</v>
      </c>
      <c r="D322" s="798" t="s">
        <v>2403</v>
      </c>
      <c r="E322" s="749" t="s">
        <v>2404</v>
      </c>
      <c r="F322" s="749" t="s">
        <v>2405</v>
      </c>
      <c r="G322" s="798" t="s">
        <v>1267</v>
      </c>
      <c r="H322" s="776" t="n">
        <v>35100000</v>
      </c>
      <c r="I322" s="777" t="n">
        <v>82</v>
      </c>
      <c r="J322" s="778" t="n">
        <f aca="false">IF(I322="","",H322/I322)</f>
        <v>428048.780487805</v>
      </c>
      <c r="K322" s="749" t="s">
        <v>2336</v>
      </c>
      <c r="L322" s="774" t="n">
        <v>41089</v>
      </c>
      <c r="M322" s="774" t="n">
        <v>41454</v>
      </c>
      <c r="O322" s="799" t="n">
        <v>3.5</v>
      </c>
      <c r="P322" s="749" t="s">
        <v>2613</v>
      </c>
      <c r="Q322" s="749" t="s">
        <v>2363</v>
      </c>
    </row>
    <row r="323" customFormat="false" ht="16.5" hidden="false" customHeight="true" outlineLevel="0" collapsed="false">
      <c r="A323" s="747" t="s">
        <v>2335</v>
      </c>
      <c r="B323" s="774" t="n">
        <v>41075</v>
      </c>
      <c r="D323" s="798" t="s">
        <v>2403</v>
      </c>
      <c r="E323" s="749" t="s">
        <v>2404</v>
      </c>
      <c r="F323" s="749" t="s">
        <v>2405</v>
      </c>
      <c r="G323" s="798" t="s">
        <v>1267</v>
      </c>
      <c r="H323" s="776" t="n">
        <v>23000000</v>
      </c>
      <c r="I323" s="777" t="n">
        <v>82</v>
      </c>
      <c r="J323" s="778" t="n">
        <f aca="false">IF(I323="","",H323/I323)</f>
        <v>280487.804878049</v>
      </c>
      <c r="K323" s="749" t="s">
        <v>2336</v>
      </c>
      <c r="L323" s="774" t="n">
        <v>41089</v>
      </c>
      <c r="M323" s="774" t="n">
        <v>41454</v>
      </c>
      <c r="O323" s="799" t="n">
        <v>3.5</v>
      </c>
      <c r="P323" s="749" t="s">
        <v>2613</v>
      </c>
      <c r="Q323" s="749" t="s">
        <v>2363</v>
      </c>
    </row>
    <row r="324" customFormat="false" ht="16.5" hidden="false" customHeight="true" outlineLevel="0" collapsed="false">
      <c r="A324" s="747" t="s">
        <v>2335</v>
      </c>
      <c r="B324" s="774" t="n">
        <v>41078</v>
      </c>
      <c r="D324" s="749" t="s">
        <v>201</v>
      </c>
      <c r="E324" s="749" t="s">
        <v>2663</v>
      </c>
      <c r="F324" s="749" t="s">
        <v>2389</v>
      </c>
      <c r="G324" s="798" t="s">
        <v>1267</v>
      </c>
      <c r="H324" s="776" t="n">
        <v>200000000</v>
      </c>
      <c r="I324" s="777" t="n">
        <v>82</v>
      </c>
      <c r="J324" s="778" t="n">
        <f aca="false">IF(I324="","",H324/I324)</f>
        <v>2439024.3902439</v>
      </c>
      <c r="K324" s="749" t="s">
        <v>2500</v>
      </c>
      <c r="L324" s="774" t="n">
        <v>41079</v>
      </c>
      <c r="M324" s="774" t="n">
        <v>41444</v>
      </c>
      <c r="O324" s="799" t="n">
        <v>4.66</v>
      </c>
      <c r="P324" s="749" t="s">
        <v>2613</v>
      </c>
      <c r="Q324" s="749" t="s">
        <v>2363</v>
      </c>
    </row>
    <row r="325" customFormat="false" ht="16.5" hidden="false" customHeight="true" outlineLevel="0" collapsed="false">
      <c r="A325" s="747" t="s">
        <v>2335</v>
      </c>
      <c r="B325" s="774" t="n">
        <v>41079</v>
      </c>
      <c r="D325" s="749" t="s">
        <v>2384</v>
      </c>
      <c r="E325" s="749" t="s">
        <v>2385</v>
      </c>
      <c r="F325" s="749" t="s">
        <v>2386</v>
      </c>
      <c r="G325" s="798" t="s">
        <v>2136</v>
      </c>
      <c r="H325" s="776" t="n">
        <v>2740000</v>
      </c>
      <c r="I325" s="777" t="n">
        <v>1</v>
      </c>
      <c r="J325" s="778" t="n">
        <f aca="false">IF(I325="","",H325/I325)</f>
        <v>2740000</v>
      </c>
      <c r="K325" s="749" t="s">
        <v>2500</v>
      </c>
      <c r="L325" s="774" t="n">
        <v>41080</v>
      </c>
      <c r="M325" s="774" t="n">
        <v>41445</v>
      </c>
      <c r="O325" s="799" t="n">
        <v>3.7</v>
      </c>
      <c r="P325" s="749" t="s">
        <v>2613</v>
      </c>
      <c r="Q325" s="749" t="s">
        <v>2363</v>
      </c>
    </row>
    <row r="326" customFormat="false" ht="16.5" hidden="false" customHeight="true" outlineLevel="0" collapsed="false">
      <c r="A326" s="747" t="s">
        <v>2335</v>
      </c>
      <c r="B326" s="774" t="n">
        <v>41080</v>
      </c>
      <c r="D326" s="749" t="s">
        <v>2395</v>
      </c>
      <c r="E326" s="749" t="s">
        <v>2396</v>
      </c>
      <c r="F326" s="749" t="s">
        <v>2397</v>
      </c>
      <c r="G326" s="798" t="s">
        <v>1267</v>
      </c>
      <c r="H326" s="776" t="n">
        <v>50000000</v>
      </c>
      <c r="I326" s="777" t="n">
        <v>82</v>
      </c>
      <c r="J326" s="778" t="n">
        <f aca="false">IF(I326="","",H326/I326)</f>
        <v>609756.097560976</v>
      </c>
      <c r="K326" s="749" t="s">
        <v>2336</v>
      </c>
      <c r="L326" s="774" t="n">
        <v>41081</v>
      </c>
      <c r="M326" s="774" t="n">
        <v>41446</v>
      </c>
      <c r="O326" s="799" t="n">
        <v>4.92</v>
      </c>
      <c r="P326" s="749" t="s">
        <v>2613</v>
      </c>
      <c r="Q326" s="749" t="s">
        <v>2363</v>
      </c>
    </row>
    <row r="327" customFormat="false" ht="16.5" hidden="false" customHeight="true" outlineLevel="0" collapsed="false">
      <c r="A327" s="747" t="s">
        <v>2190</v>
      </c>
      <c r="B327" s="774" t="n">
        <v>41080</v>
      </c>
      <c r="D327" s="749" t="s">
        <v>644</v>
      </c>
      <c r="E327" s="749" t="s">
        <v>2379</v>
      </c>
      <c r="F327" s="749" t="s">
        <v>2380</v>
      </c>
      <c r="G327" s="798" t="s">
        <v>2136</v>
      </c>
      <c r="H327" s="776" t="n">
        <v>200000</v>
      </c>
      <c r="I327" s="777" t="n">
        <v>1</v>
      </c>
      <c r="J327" s="778" t="n">
        <f aca="false">IF(I327="","",H327/I327)</f>
        <v>200000</v>
      </c>
      <c r="K327" s="749" t="s">
        <v>2336</v>
      </c>
      <c r="L327" s="774" t="n">
        <v>41080</v>
      </c>
      <c r="M327" s="774" t="n">
        <v>41167</v>
      </c>
      <c r="O327" s="799" t="n">
        <v>3.26</v>
      </c>
      <c r="P327" s="749" t="s">
        <v>2606</v>
      </c>
      <c r="Q327" s="749" t="s">
        <v>2607</v>
      </c>
    </row>
    <row r="328" customFormat="false" ht="16.5" hidden="false" customHeight="true" outlineLevel="0" collapsed="false">
      <c r="A328" s="747" t="s">
        <v>2335</v>
      </c>
      <c r="B328" s="774" t="n">
        <v>41081</v>
      </c>
      <c r="D328" s="749" t="s">
        <v>2375</v>
      </c>
      <c r="E328" s="749" t="s">
        <v>2455</v>
      </c>
      <c r="F328" s="749" t="s">
        <v>2377</v>
      </c>
      <c r="G328" s="798" t="s">
        <v>1267</v>
      </c>
      <c r="H328" s="776" t="n">
        <v>59600000</v>
      </c>
      <c r="I328" s="777" t="n">
        <v>82</v>
      </c>
      <c r="J328" s="778" t="n">
        <f aca="false">IF(I328="","",H328/I328)</f>
        <v>726829.268292683</v>
      </c>
      <c r="K328" s="749" t="s">
        <v>2336</v>
      </c>
      <c r="L328" s="774" t="n">
        <v>41085</v>
      </c>
      <c r="M328" s="774" t="n">
        <v>41448</v>
      </c>
      <c r="O328" s="799" t="n">
        <v>3.4</v>
      </c>
      <c r="P328" s="749" t="s">
        <v>2613</v>
      </c>
      <c r="Q328" s="749" t="s">
        <v>2363</v>
      </c>
    </row>
    <row r="329" customFormat="false" ht="16.5" hidden="false" customHeight="true" outlineLevel="0" collapsed="false">
      <c r="A329" s="747" t="s">
        <v>2335</v>
      </c>
      <c r="B329" s="774" t="n">
        <v>41081</v>
      </c>
      <c r="D329" s="749" t="s">
        <v>2375</v>
      </c>
      <c r="E329" s="749" t="s">
        <v>2599</v>
      </c>
      <c r="F329" s="749" t="s">
        <v>2741</v>
      </c>
      <c r="G329" s="798" t="s">
        <v>1267</v>
      </c>
      <c r="H329" s="776" t="n">
        <v>30000000</v>
      </c>
      <c r="I329" s="777" t="n">
        <v>82</v>
      </c>
      <c r="J329" s="778" t="n">
        <f aca="false">IF(I329="","",H329/I329)</f>
        <v>365853.658536585</v>
      </c>
      <c r="K329" s="749" t="s">
        <v>2460</v>
      </c>
      <c r="L329" s="774" t="n">
        <v>41082</v>
      </c>
      <c r="M329" s="774" t="n">
        <v>41447</v>
      </c>
      <c r="O329" s="799" t="n">
        <v>4</v>
      </c>
      <c r="P329" s="749" t="s">
        <v>2613</v>
      </c>
      <c r="Q329" s="749" t="s">
        <v>2363</v>
      </c>
    </row>
    <row r="330" customFormat="false" ht="16.5" hidden="false" customHeight="true" outlineLevel="0" collapsed="false">
      <c r="A330" s="747" t="s">
        <v>2190</v>
      </c>
      <c r="B330" s="774" t="n">
        <v>41085</v>
      </c>
      <c r="D330" s="749" t="s">
        <v>1366</v>
      </c>
      <c r="E330" s="749" t="s">
        <v>2742</v>
      </c>
      <c r="F330" s="749" t="s">
        <v>2743</v>
      </c>
      <c r="G330" s="798" t="s">
        <v>1267</v>
      </c>
      <c r="H330" s="776" t="n">
        <v>320000000</v>
      </c>
      <c r="I330" s="777" t="n">
        <v>82</v>
      </c>
      <c r="J330" s="778" t="n">
        <f aca="false">IF(I330="","",H330/I330)</f>
        <v>3902439.02439024</v>
      </c>
      <c r="K330" s="749" t="s">
        <v>2361</v>
      </c>
      <c r="L330" s="774" t="n">
        <v>41085</v>
      </c>
      <c r="M330" s="774" t="n">
        <v>41450</v>
      </c>
      <c r="O330" s="799" t="n">
        <v>3.75</v>
      </c>
      <c r="P330" s="749" t="s">
        <v>2606</v>
      </c>
      <c r="Q330" s="749" t="s">
        <v>2607</v>
      </c>
    </row>
    <row r="331" customFormat="false" ht="16.5" hidden="false" customHeight="true" outlineLevel="0" collapsed="false">
      <c r="A331" s="747" t="s">
        <v>2190</v>
      </c>
      <c r="B331" s="774" t="n">
        <v>41085</v>
      </c>
      <c r="D331" s="749" t="s">
        <v>1366</v>
      </c>
      <c r="E331" s="749" t="s">
        <v>2742</v>
      </c>
      <c r="F331" s="749" t="s">
        <v>2743</v>
      </c>
      <c r="G331" s="798" t="s">
        <v>1267</v>
      </c>
      <c r="H331" s="776" t="n">
        <v>130000000</v>
      </c>
      <c r="I331" s="777" t="n">
        <v>82</v>
      </c>
      <c r="J331" s="778" t="n">
        <f aca="false">IF(I331="","",H331/I331)</f>
        <v>1585365.85365854</v>
      </c>
      <c r="K331" s="749" t="s">
        <v>2361</v>
      </c>
      <c r="L331" s="774" t="n">
        <v>41085</v>
      </c>
      <c r="M331" s="774" t="n">
        <v>41450</v>
      </c>
      <c r="O331" s="799" t="n">
        <v>4.1</v>
      </c>
      <c r="P331" s="749" t="s">
        <v>2606</v>
      </c>
      <c r="Q331" s="749" t="s">
        <v>2607</v>
      </c>
    </row>
    <row r="332" customFormat="false" ht="16.5" hidden="false" customHeight="true" outlineLevel="0" collapsed="false">
      <c r="A332" s="747" t="s">
        <v>2335</v>
      </c>
      <c r="B332" s="774" t="n">
        <v>41086</v>
      </c>
      <c r="D332" s="749" t="s">
        <v>2367</v>
      </c>
      <c r="E332" s="749" t="s">
        <v>2738</v>
      </c>
      <c r="F332" s="749" t="s">
        <v>2406</v>
      </c>
      <c r="G332" s="798" t="s">
        <v>1267</v>
      </c>
      <c r="H332" s="776" t="n">
        <v>123000000</v>
      </c>
      <c r="I332" s="777" t="n">
        <v>82</v>
      </c>
      <c r="J332" s="778" t="n">
        <f aca="false">IF(I332="","",H332/I332)</f>
        <v>1500000</v>
      </c>
      <c r="K332" s="749" t="s">
        <v>2336</v>
      </c>
      <c r="L332" s="774" t="n">
        <v>41089</v>
      </c>
      <c r="M332" s="774" t="n">
        <v>41454</v>
      </c>
      <c r="O332" s="799" t="n">
        <v>3.4</v>
      </c>
      <c r="P332" s="749" t="s">
        <v>2613</v>
      </c>
      <c r="Q332" s="749" t="s">
        <v>2363</v>
      </c>
    </row>
    <row r="333" customFormat="false" ht="16.5" hidden="false" customHeight="true" outlineLevel="0" collapsed="false">
      <c r="A333" s="747" t="s">
        <v>2335</v>
      </c>
      <c r="B333" s="774" t="n">
        <v>41086</v>
      </c>
      <c r="D333" s="749" t="s">
        <v>201</v>
      </c>
      <c r="E333" s="749" t="s">
        <v>2411</v>
      </c>
      <c r="F333" s="749" t="s">
        <v>2412</v>
      </c>
      <c r="G333" s="798" t="s">
        <v>2136</v>
      </c>
      <c r="H333" s="776" t="n">
        <v>480000</v>
      </c>
      <c r="I333" s="777" t="n">
        <v>1</v>
      </c>
      <c r="J333" s="778" t="n">
        <f aca="false">IF(I333="","",H333/I333)</f>
        <v>480000</v>
      </c>
      <c r="K333" s="749" t="s">
        <v>2460</v>
      </c>
      <c r="L333" s="774" t="n">
        <v>41092</v>
      </c>
      <c r="M333" s="774" t="n">
        <v>41457</v>
      </c>
      <c r="O333" s="799" t="n">
        <v>3.4</v>
      </c>
      <c r="P333" s="749" t="s">
        <v>2613</v>
      </c>
      <c r="Q333" s="749" t="s">
        <v>2363</v>
      </c>
    </row>
    <row r="334" customFormat="false" ht="16.5" hidden="false" customHeight="true" outlineLevel="0" collapsed="false">
      <c r="A334" s="747" t="s">
        <v>2335</v>
      </c>
      <c r="B334" s="774" t="n">
        <v>41087</v>
      </c>
      <c r="D334" s="749" t="s">
        <v>1366</v>
      </c>
      <c r="E334" s="749" t="s">
        <v>2415</v>
      </c>
      <c r="F334" s="749" t="s">
        <v>2604</v>
      </c>
      <c r="G334" s="798" t="s">
        <v>1267</v>
      </c>
      <c r="H334" s="776" t="n">
        <v>1663900000</v>
      </c>
      <c r="I334" s="777" t="n">
        <v>82</v>
      </c>
      <c r="J334" s="778" t="n">
        <f aca="false">IF(I334="","",H334/I334)</f>
        <v>20291463.4146341</v>
      </c>
      <c r="K334" s="749" t="s">
        <v>2460</v>
      </c>
      <c r="L334" s="774" t="n">
        <v>41087</v>
      </c>
      <c r="M334" s="774" t="n">
        <v>41452</v>
      </c>
      <c r="O334" s="799" t="n">
        <v>4.7</v>
      </c>
      <c r="P334" s="749" t="s">
        <v>2613</v>
      </c>
      <c r="Q334" s="749" t="s">
        <v>2363</v>
      </c>
      <c r="R334" s="780" t="s">
        <v>2744</v>
      </c>
    </row>
    <row r="335" customFormat="false" ht="16.5" hidden="false" customHeight="true" outlineLevel="0" collapsed="false">
      <c r="A335" s="747" t="s">
        <v>2335</v>
      </c>
      <c r="B335" s="774" t="n">
        <v>41087</v>
      </c>
      <c r="D335" s="749" t="s">
        <v>1366</v>
      </c>
      <c r="E335" s="749" t="s">
        <v>2415</v>
      </c>
      <c r="F335" s="749" t="s">
        <v>2604</v>
      </c>
      <c r="G335" s="798" t="s">
        <v>1267</v>
      </c>
      <c r="H335" s="776" t="n">
        <v>328600000</v>
      </c>
      <c r="I335" s="777" t="n">
        <v>82</v>
      </c>
      <c r="J335" s="778" t="n">
        <f aca="false">IF(I335="","",H335/I335)</f>
        <v>4007317.07317073</v>
      </c>
      <c r="K335" s="749" t="s">
        <v>2460</v>
      </c>
      <c r="L335" s="774" t="n">
        <v>41087</v>
      </c>
      <c r="M335" s="774" t="n">
        <v>41452</v>
      </c>
      <c r="O335" s="799" t="n">
        <v>4.7</v>
      </c>
      <c r="P335" s="749" t="s">
        <v>2613</v>
      </c>
      <c r="Q335" s="749" t="s">
        <v>2363</v>
      </c>
      <c r="R335" s="780" t="s">
        <v>2744</v>
      </c>
    </row>
    <row r="336" customFormat="false" ht="16.5" hidden="false" customHeight="true" outlineLevel="0" collapsed="false">
      <c r="A336" s="747" t="s">
        <v>2335</v>
      </c>
      <c r="B336" s="774" t="n">
        <v>41087</v>
      </c>
      <c r="D336" s="749" t="s">
        <v>1366</v>
      </c>
      <c r="E336" s="749" t="s">
        <v>2415</v>
      </c>
      <c r="F336" s="749" t="s">
        <v>2604</v>
      </c>
      <c r="G336" s="798" t="s">
        <v>1267</v>
      </c>
      <c r="H336" s="776" t="n">
        <v>61600000</v>
      </c>
      <c r="I336" s="777" t="n">
        <v>82</v>
      </c>
      <c r="J336" s="778" t="n">
        <f aca="false">IF(I336="","",H336/I336)</f>
        <v>751219.512195122</v>
      </c>
      <c r="K336" s="749" t="s">
        <v>2460</v>
      </c>
      <c r="L336" s="774" t="n">
        <v>41087</v>
      </c>
      <c r="M336" s="774" t="n">
        <v>41452</v>
      </c>
      <c r="O336" s="799" t="n">
        <v>4.7</v>
      </c>
      <c r="P336" s="749" t="s">
        <v>2613</v>
      </c>
      <c r="Q336" s="749" t="s">
        <v>2363</v>
      </c>
      <c r="R336" s="780" t="s">
        <v>2744</v>
      </c>
    </row>
    <row r="337" customFormat="false" ht="16.5" hidden="false" customHeight="true" outlineLevel="0" collapsed="false">
      <c r="A337" s="747" t="s">
        <v>2335</v>
      </c>
      <c r="B337" s="774" t="n">
        <v>41087</v>
      </c>
      <c r="D337" s="749" t="s">
        <v>2344</v>
      </c>
      <c r="E337" s="749" t="s">
        <v>2572</v>
      </c>
      <c r="F337" s="749" t="s">
        <v>2408</v>
      </c>
      <c r="G337" s="798" t="s">
        <v>1267</v>
      </c>
      <c r="H337" s="776" t="n">
        <v>60000000</v>
      </c>
      <c r="I337" s="777" t="n">
        <v>82</v>
      </c>
      <c r="J337" s="778" t="n">
        <f aca="false">IF(I337="","",H337/I337)</f>
        <v>731707.317073171</v>
      </c>
      <c r="K337" s="749" t="s">
        <v>2336</v>
      </c>
      <c r="L337" s="774" t="n">
        <v>41089</v>
      </c>
      <c r="M337" s="774" t="n">
        <v>41454</v>
      </c>
      <c r="O337" s="799" t="n">
        <v>3.82</v>
      </c>
      <c r="P337" s="749" t="s">
        <v>2613</v>
      </c>
      <c r="Q337" s="749" t="s">
        <v>2363</v>
      </c>
    </row>
    <row r="338" customFormat="false" ht="16.5" hidden="false" customHeight="true" outlineLevel="0" collapsed="false">
      <c r="A338" s="747" t="s">
        <v>2190</v>
      </c>
      <c r="B338" s="774" t="n">
        <v>41093</v>
      </c>
      <c r="D338" s="749" t="s">
        <v>96</v>
      </c>
      <c r="E338" s="749" t="s">
        <v>2575</v>
      </c>
      <c r="F338" s="749" t="s">
        <v>2745</v>
      </c>
      <c r="G338" s="798" t="s">
        <v>2136</v>
      </c>
      <c r="H338" s="776" t="n">
        <v>920000</v>
      </c>
      <c r="I338" s="777" t="n">
        <v>1</v>
      </c>
      <c r="J338" s="778" t="n">
        <f aca="false">IF(I338="","",H338/I338)</f>
        <v>920000</v>
      </c>
      <c r="K338" s="749" t="s">
        <v>2336</v>
      </c>
      <c r="L338" s="774" t="n">
        <v>41093</v>
      </c>
      <c r="M338" s="774" t="n">
        <v>41458</v>
      </c>
      <c r="O338" s="799" t="n">
        <v>3</v>
      </c>
      <c r="P338" s="749" t="s">
        <v>2606</v>
      </c>
      <c r="Q338" s="749" t="s">
        <v>2607</v>
      </c>
    </row>
    <row r="339" customFormat="false" ht="16.5" hidden="false" customHeight="true" outlineLevel="0" collapsed="false">
      <c r="A339" s="747" t="s">
        <v>2335</v>
      </c>
      <c r="B339" s="774" t="n">
        <v>41094</v>
      </c>
      <c r="D339" s="749" t="s">
        <v>96</v>
      </c>
      <c r="E339" s="749" t="s">
        <v>2443</v>
      </c>
      <c r="F339" s="749" t="s">
        <v>2444</v>
      </c>
      <c r="G339" s="798" t="s">
        <v>2136</v>
      </c>
      <c r="H339" s="776" t="n">
        <v>1500000</v>
      </c>
      <c r="I339" s="777" t="n">
        <v>1</v>
      </c>
      <c r="J339" s="778" t="n">
        <f aca="false">IF(I339="","",H339/I339)</f>
        <v>1500000</v>
      </c>
      <c r="K339" s="749" t="s">
        <v>2336</v>
      </c>
      <c r="L339" s="774" t="n">
        <v>41093</v>
      </c>
      <c r="M339" s="774" t="n">
        <v>41277</v>
      </c>
      <c r="O339" s="799" t="n">
        <v>5.5</v>
      </c>
      <c r="P339" s="749" t="s">
        <v>2613</v>
      </c>
      <c r="Q339" s="749" t="s">
        <v>2363</v>
      </c>
    </row>
    <row r="340" customFormat="false" ht="16.5" hidden="false" customHeight="true" outlineLevel="0" collapsed="false">
      <c r="A340" s="747" t="s">
        <v>2335</v>
      </c>
      <c r="B340" s="774" t="n">
        <v>41095</v>
      </c>
      <c r="D340" s="749" t="s">
        <v>770</v>
      </c>
      <c r="E340" s="749" t="s">
        <v>2421</v>
      </c>
      <c r="F340" s="749" t="s">
        <v>2422</v>
      </c>
      <c r="G340" s="798" t="s">
        <v>1267</v>
      </c>
      <c r="H340" s="776" t="n">
        <v>30000000</v>
      </c>
      <c r="I340" s="777" t="n">
        <v>82</v>
      </c>
      <c r="J340" s="778" t="n">
        <f aca="false">IF(I340="","",H340/I340)</f>
        <v>365853.658536585</v>
      </c>
      <c r="K340" s="749" t="s">
        <v>2336</v>
      </c>
      <c r="L340" s="774" t="n">
        <v>41099</v>
      </c>
      <c r="M340" s="774" t="n">
        <v>41100</v>
      </c>
      <c r="O340" s="799" t="n">
        <v>3.7</v>
      </c>
      <c r="P340" s="749" t="s">
        <v>2613</v>
      </c>
      <c r="Q340" s="749" t="s">
        <v>2363</v>
      </c>
    </row>
    <row r="341" customFormat="false" ht="16.5" hidden="false" customHeight="true" outlineLevel="0" collapsed="false">
      <c r="A341" s="747" t="s">
        <v>2190</v>
      </c>
      <c r="B341" s="774" t="n">
        <v>41095</v>
      </c>
      <c r="D341" s="798" t="s">
        <v>2403</v>
      </c>
      <c r="E341" s="749" t="s">
        <v>2640</v>
      </c>
      <c r="F341" s="749" t="s">
        <v>2541</v>
      </c>
      <c r="G341" s="798" t="s">
        <v>2136</v>
      </c>
      <c r="H341" s="776" t="n">
        <v>250303</v>
      </c>
      <c r="I341" s="777" t="n">
        <v>1</v>
      </c>
      <c r="J341" s="778" t="n">
        <f aca="false">IF(I341="","",H341/I341)</f>
        <v>250303</v>
      </c>
      <c r="K341" s="749" t="s">
        <v>2336</v>
      </c>
      <c r="L341" s="774" t="n">
        <v>41096</v>
      </c>
      <c r="M341" s="774" t="n">
        <v>41280</v>
      </c>
      <c r="O341" s="799" t="n">
        <v>3.5</v>
      </c>
      <c r="P341" s="749" t="s">
        <v>2606</v>
      </c>
      <c r="Q341" s="749" t="s">
        <v>2607</v>
      </c>
    </row>
    <row r="342" customFormat="false" ht="16.5" hidden="false" customHeight="true" outlineLevel="0" collapsed="false">
      <c r="A342" s="747" t="s">
        <v>2335</v>
      </c>
      <c r="B342" s="774" t="n">
        <v>41099</v>
      </c>
      <c r="D342" s="749" t="s">
        <v>1366</v>
      </c>
      <c r="E342" s="749" t="s">
        <v>2413</v>
      </c>
      <c r="F342" s="749" t="s">
        <v>2427</v>
      </c>
      <c r="G342" s="798" t="s">
        <v>1267</v>
      </c>
      <c r="H342" s="776" t="n">
        <v>45800000</v>
      </c>
      <c r="I342" s="777" t="n">
        <v>82</v>
      </c>
      <c r="J342" s="778" t="n">
        <f aca="false">IF(I342="","",H342/I342)</f>
        <v>558536.585365854</v>
      </c>
      <c r="K342" s="749" t="s">
        <v>2361</v>
      </c>
      <c r="L342" s="774" t="n">
        <v>41100</v>
      </c>
      <c r="M342" s="774" t="n">
        <v>41465</v>
      </c>
      <c r="O342" s="799" t="n">
        <v>4</v>
      </c>
      <c r="P342" s="749" t="s">
        <v>2613</v>
      </c>
      <c r="Q342" s="749" t="s">
        <v>2363</v>
      </c>
    </row>
    <row r="343" customFormat="false" ht="16.5" hidden="false" customHeight="true" outlineLevel="0" collapsed="false">
      <c r="A343" s="747" t="s">
        <v>2335</v>
      </c>
      <c r="B343" s="774" t="n">
        <v>41099</v>
      </c>
      <c r="D343" s="749" t="s">
        <v>1366</v>
      </c>
      <c r="E343" s="749" t="s">
        <v>2413</v>
      </c>
      <c r="F343" s="749" t="s">
        <v>2414</v>
      </c>
      <c r="G343" s="798" t="s">
        <v>1267</v>
      </c>
      <c r="H343" s="776" t="n">
        <v>46600000</v>
      </c>
      <c r="I343" s="777" t="n">
        <v>82</v>
      </c>
      <c r="J343" s="778" t="n">
        <f aca="false">IF(I343="","",H343/I343)</f>
        <v>568292.682926829</v>
      </c>
      <c r="K343" s="749" t="s">
        <v>2361</v>
      </c>
      <c r="L343" s="774" t="n">
        <v>41101</v>
      </c>
      <c r="M343" s="774" t="n">
        <v>41466</v>
      </c>
      <c r="O343" s="799" t="n">
        <v>4</v>
      </c>
      <c r="P343" s="749" t="s">
        <v>2613</v>
      </c>
      <c r="Q343" s="749" t="s">
        <v>2363</v>
      </c>
    </row>
    <row r="344" customFormat="false" ht="16.5" hidden="false" customHeight="true" outlineLevel="0" collapsed="false">
      <c r="A344" s="747" t="s">
        <v>2335</v>
      </c>
      <c r="B344" s="774" t="n">
        <v>41099</v>
      </c>
      <c r="D344" s="749" t="s">
        <v>1366</v>
      </c>
      <c r="E344" s="749" t="s">
        <v>2413</v>
      </c>
      <c r="F344" s="749" t="s">
        <v>2428</v>
      </c>
      <c r="G344" s="798" t="s">
        <v>1267</v>
      </c>
      <c r="H344" s="776" t="n">
        <v>46600000</v>
      </c>
      <c r="I344" s="777" t="n">
        <v>82</v>
      </c>
      <c r="J344" s="778" t="n">
        <f aca="false">IF(I344="","",H344/I344)</f>
        <v>568292.682926829</v>
      </c>
      <c r="K344" s="749" t="s">
        <v>2361</v>
      </c>
      <c r="L344" s="774" t="n">
        <v>41104</v>
      </c>
      <c r="M344" s="774" t="n">
        <v>41469</v>
      </c>
      <c r="O344" s="799" t="n">
        <v>4</v>
      </c>
      <c r="P344" s="749" t="s">
        <v>2613</v>
      </c>
      <c r="Q344" s="749" t="s">
        <v>2363</v>
      </c>
    </row>
    <row r="345" customFormat="false" ht="16.5" hidden="false" customHeight="true" outlineLevel="0" collapsed="false">
      <c r="A345" s="747" t="s">
        <v>2335</v>
      </c>
      <c r="B345" s="774" t="n">
        <v>41099</v>
      </c>
      <c r="D345" s="749" t="s">
        <v>1366</v>
      </c>
      <c r="E345" s="749" t="s">
        <v>2413</v>
      </c>
      <c r="F345" s="749" t="s">
        <v>2429</v>
      </c>
      <c r="G345" s="798" t="s">
        <v>1267</v>
      </c>
      <c r="H345" s="776" t="n">
        <v>80500000</v>
      </c>
      <c r="I345" s="777" t="n">
        <v>82</v>
      </c>
      <c r="J345" s="778" t="n">
        <f aca="false">IF(I345="","",H345/I345)</f>
        <v>981707.317073171</v>
      </c>
      <c r="K345" s="749" t="s">
        <v>2361</v>
      </c>
      <c r="L345" s="774" t="n">
        <v>41105</v>
      </c>
      <c r="M345" s="774" t="n">
        <v>41470</v>
      </c>
      <c r="O345" s="799" t="n">
        <v>4</v>
      </c>
      <c r="P345" s="749" t="s">
        <v>2613</v>
      </c>
      <c r="Q345" s="749" t="s">
        <v>2363</v>
      </c>
    </row>
    <row r="346" customFormat="false" ht="16.5" hidden="false" customHeight="true" outlineLevel="0" collapsed="false">
      <c r="A346" s="747" t="s">
        <v>2335</v>
      </c>
      <c r="B346" s="774" t="n">
        <v>41099</v>
      </c>
      <c r="D346" s="749" t="s">
        <v>1366</v>
      </c>
      <c r="E346" s="749" t="s">
        <v>2413</v>
      </c>
      <c r="F346" s="749" t="s">
        <v>2435</v>
      </c>
      <c r="G346" s="798" t="s">
        <v>1267</v>
      </c>
      <c r="H346" s="776" t="n">
        <v>46400000</v>
      </c>
      <c r="I346" s="777" t="n">
        <v>82</v>
      </c>
      <c r="J346" s="778" t="n">
        <f aca="false">IF(I346="","",H346/I346)</f>
        <v>565853.658536585</v>
      </c>
      <c r="K346" s="749" t="s">
        <v>2361</v>
      </c>
      <c r="L346" s="774" t="n">
        <v>41108</v>
      </c>
      <c r="M346" s="774" t="n">
        <v>41473</v>
      </c>
      <c r="O346" s="799" t="n">
        <v>4</v>
      </c>
      <c r="P346" s="749" t="s">
        <v>2613</v>
      </c>
      <c r="Q346" s="749" t="s">
        <v>2363</v>
      </c>
    </row>
    <row r="347" customFormat="false" ht="16.5" hidden="false" customHeight="true" outlineLevel="0" collapsed="false">
      <c r="A347" s="747" t="s">
        <v>2335</v>
      </c>
      <c r="B347" s="774" t="n">
        <v>41100</v>
      </c>
      <c r="D347" s="749" t="s">
        <v>644</v>
      </c>
      <c r="E347" s="749" t="s">
        <v>2379</v>
      </c>
      <c r="F347" s="749" t="s">
        <v>2380</v>
      </c>
      <c r="G347" s="798" t="s">
        <v>2136</v>
      </c>
      <c r="H347" s="776" t="n">
        <v>200000</v>
      </c>
      <c r="I347" s="777" t="n">
        <v>1</v>
      </c>
      <c r="J347" s="778" t="n">
        <f aca="false">IF(I347="","",H347/I347)</f>
        <v>200000</v>
      </c>
      <c r="K347" s="749" t="s">
        <v>2336</v>
      </c>
      <c r="L347" s="774" t="n">
        <v>41103</v>
      </c>
      <c r="M347" s="774" t="n">
        <v>41167</v>
      </c>
      <c r="O347" s="799" t="n">
        <v>3.26</v>
      </c>
      <c r="P347" s="749" t="s">
        <v>2613</v>
      </c>
      <c r="Q347" s="749" t="s">
        <v>2363</v>
      </c>
    </row>
    <row r="348" customFormat="false" ht="16.5" hidden="false" customHeight="true" outlineLevel="0" collapsed="false">
      <c r="A348" s="747" t="s">
        <v>2335</v>
      </c>
      <c r="B348" s="774" t="n">
        <v>41100</v>
      </c>
      <c r="D348" s="749" t="s">
        <v>644</v>
      </c>
      <c r="E348" s="749" t="s">
        <v>2379</v>
      </c>
      <c r="F348" s="749" t="s">
        <v>2380</v>
      </c>
      <c r="G348" s="798" t="s">
        <v>2136</v>
      </c>
      <c r="H348" s="776" t="n">
        <v>100000</v>
      </c>
      <c r="I348" s="777" t="n">
        <v>1</v>
      </c>
      <c r="J348" s="778" t="n">
        <f aca="false">IF(I348="","",H348/I348)</f>
        <v>100000</v>
      </c>
      <c r="K348" s="749" t="s">
        <v>2336</v>
      </c>
      <c r="L348" s="774" t="n">
        <v>41102</v>
      </c>
      <c r="M348" s="774" t="n">
        <v>41167</v>
      </c>
      <c r="O348" s="799" t="n">
        <v>3.26</v>
      </c>
      <c r="P348" s="749" t="s">
        <v>2613</v>
      </c>
      <c r="Q348" s="749" t="s">
        <v>2363</v>
      </c>
    </row>
    <row r="349" customFormat="false" ht="16.5" hidden="false" customHeight="true" outlineLevel="0" collapsed="false">
      <c r="A349" s="747" t="s">
        <v>2190</v>
      </c>
      <c r="B349" s="774" t="n">
        <v>41102</v>
      </c>
      <c r="D349" s="749" t="s">
        <v>2423</v>
      </c>
      <c r="E349" s="749" t="s">
        <v>2621</v>
      </c>
      <c r="F349" s="749" t="s">
        <v>2720</v>
      </c>
      <c r="G349" s="798" t="s">
        <v>2136</v>
      </c>
      <c r="H349" s="776" t="n">
        <v>1000000</v>
      </c>
      <c r="I349" s="777" t="n">
        <v>1</v>
      </c>
      <c r="J349" s="778" t="n">
        <f aca="false">IF(I349="","",H349/I349)</f>
        <v>1000000</v>
      </c>
      <c r="K349" s="749" t="s">
        <v>2746</v>
      </c>
      <c r="L349" s="774" t="n">
        <v>41113</v>
      </c>
      <c r="M349" s="774" t="n">
        <v>41478</v>
      </c>
      <c r="O349" s="799" t="n">
        <v>3.66</v>
      </c>
      <c r="P349" s="749" t="s">
        <v>2606</v>
      </c>
      <c r="Q349" s="749" t="s">
        <v>2607</v>
      </c>
    </row>
    <row r="350" customFormat="false" ht="16.5" hidden="false" customHeight="true" outlineLevel="0" collapsed="false">
      <c r="A350" s="747" t="s">
        <v>2335</v>
      </c>
      <c r="B350" s="774" t="n">
        <v>41106</v>
      </c>
      <c r="D350" s="798" t="s">
        <v>2403</v>
      </c>
      <c r="E350" s="749" t="s">
        <v>2640</v>
      </c>
      <c r="F350" s="749" t="s">
        <v>2541</v>
      </c>
      <c r="G350" s="798" t="s">
        <v>2136</v>
      </c>
      <c r="H350" s="776" t="n">
        <v>264397</v>
      </c>
      <c r="I350" s="777" t="n">
        <v>1</v>
      </c>
      <c r="J350" s="778" t="n">
        <f aca="false">IF(I350="","",H350/I350)</f>
        <v>264397</v>
      </c>
      <c r="K350" s="749" t="s">
        <v>2336</v>
      </c>
      <c r="L350" s="774" t="n">
        <v>41108</v>
      </c>
      <c r="M350" s="774" t="n">
        <v>41292</v>
      </c>
      <c r="O350" s="799" t="n">
        <v>3.5</v>
      </c>
      <c r="P350" s="749" t="s">
        <v>2613</v>
      </c>
      <c r="Q350" s="749" t="s">
        <v>2363</v>
      </c>
    </row>
    <row r="351" customFormat="false" ht="16.5" hidden="false" customHeight="true" outlineLevel="0" collapsed="false">
      <c r="A351" s="747" t="s">
        <v>2335</v>
      </c>
      <c r="B351" s="774" t="n">
        <v>41106</v>
      </c>
      <c r="D351" s="798" t="s">
        <v>2403</v>
      </c>
      <c r="E351" s="749" t="s">
        <v>2640</v>
      </c>
      <c r="F351" s="749" t="s">
        <v>2541</v>
      </c>
      <c r="G351" s="798" t="s">
        <v>2136</v>
      </c>
      <c r="H351" s="776" t="n">
        <v>207813</v>
      </c>
      <c r="I351" s="777" t="n">
        <v>1</v>
      </c>
      <c r="J351" s="778" t="n">
        <f aca="false">IF(I351="","",H351/I351)</f>
        <v>207813</v>
      </c>
      <c r="K351" s="749" t="s">
        <v>2336</v>
      </c>
      <c r="L351" s="774" t="n">
        <v>41108</v>
      </c>
      <c r="M351" s="774" t="n">
        <v>41473</v>
      </c>
      <c r="O351" s="799" t="n">
        <v>3.5</v>
      </c>
      <c r="P351" s="749" t="s">
        <v>2613</v>
      </c>
      <c r="Q351" s="749" t="s">
        <v>2363</v>
      </c>
    </row>
    <row r="352" customFormat="false" ht="16.5" hidden="false" customHeight="true" outlineLevel="0" collapsed="false">
      <c r="A352" s="747" t="s">
        <v>2335</v>
      </c>
      <c r="B352" s="774" t="n">
        <v>41108</v>
      </c>
      <c r="D352" s="749" t="s">
        <v>162</v>
      </c>
      <c r="E352" s="749" t="s">
        <v>2747</v>
      </c>
      <c r="F352" s="749" t="s">
        <v>2437</v>
      </c>
      <c r="G352" s="798" t="s">
        <v>1267</v>
      </c>
      <c r="H352" s="776" t="n">
        <v>70000000</v>
      </c>
      <c r="I352" s="777" t="n">
        <v>82</v>
      </c>
      <c r="J352" s="778" t="n">
        <f aca="false">IF(I352="","",H352/I352)</f>
        <v>853658.536585366</v>
      </c>
      <c r="K352" s="749" t="s">
        <v>2361</v>
      </c>
      <c r="L352" s="774" t="n">
        <v>41108</v>
      </c>
      <c r="M352" s="774" t="n">
        <v>41473</v>
      </c>
      <c r="O352" s="799" t="n">
        <v>4.47</v>
      </c>
      <c r="P352" s="749" t="s">
        <v>2613</v>
      </c>
      <c r="Q352" s="749" t="s">
        <v>2363</v>
      </c>
    </row>
    <row r="353" customFormat="false" ht="16.5" hidden="false" customHeight="true" outlineLevel="0" collapsed="false">
      <c r="A353" s="747" t="s">
        <v>2335</v>
      </c>
      <c r="B353" s="774" t="n">
        <v>41108</v>
      </c>
      <c r="D353" s="749" t="s">
        <v>2372</v>
      </c>
      <c r="E353" s="749" t="s">
        <v>2692</v>
      </c>
      <c r="F353" s="749" t="s">
        <v>2442</v>
      </c>
      <c r="G353" s="798" t="s">
        <v>1267</v>
      </c>
      <c r="H353" s="776" t="n">
        <v>104000000</v>
      </c>
      <c r="I353" s="777" t="n">
        <v>82</v>
      </c>
      <c r="J353" s="778" t="n">
        <f aca="false">IF(I353="","",H353/I353)</f>
        <v>1268292.68292683</v>
      </c>
      <c r="K353" s="749" t="s">
        <v>2336</v>
      </c>
      <c r="L353" s="774" t="n">
        <v>41115</v>
      </c>
      <c r="M353" s="774" t="n">
        <v>41480</v>
      </c>
      <c r="O353" s="799" t="n">
        <v>3.9</v>
      </c>
      <c r="P353" s="749" t="s">
        <v>2613</v>
      </c>
      <c r="Q353" s="749" t="s">
        <v>2363</v>
      </c>
    </row>
    <row r="354" customFormat="false" ht="16.5" hidden="false" customHeight="true" outlineLevel="0" collapsed="false">
      <c r="A354" s="747" t="s">
        <v>2190</v>
      </c>
      <c r="B354" s="774" t="n">
        <v>41108</v>
      </c>
      <c r="D354" s="749" t="s">
        <v>2748</v>
      </c>
      <c r="E354" s="749" t="s">
        <v>2749</v>
      </c>
      <c r="F354" s="749" t="s">
        <v>2750</v>
      </c>
      <c r="G354" s="798" t="s">
        <v>1267</v>
      </c>
      <c r="H354" s="776" t="n">
        <v>34000000</v>
      </c>
      <c r="I354" s="777" t="n">
        <v>82</v>
      </c>
      <c r="J354" s="778" t="n">
        <f aca="false">IF(I354="","",H354/I354)</f>
        <v>414634.146341463</v>
      </c>
      <c r="K354" s="749" t="s">
        <v>2361</v>
      </c>
      <c r="L354" s="774" t="n">
        <v>41110</v>
      </c>
      <c r="M354" s="774" t="n">
        <v>44762</v>
      </c>
      <c r="O354" s="799" t="n">
        <v>4</v>
      </c>
      <c r="P354" s="749" t="s">
        <v>2606</v>
      </c>
      <c r="Q354" s="749" t="s">
        <v>2607</v>
      </c>
    </row>
    <row r="355" customFormat="false" ht="16.5" hidden="false" customHeight="true" outlineLevel="0" collapsed="false">
      <c r="A355" s="747" t="s">
        <v>2190</v>
      </c>
      <c r="B355" s="774" t="n">
        <v>41109</v>
      </c>
      <c r="D355" s="749" t="s">
        <v>1366</v>
      </c>
      <c r="E355" s="749" t="s">
        <v>2413</v>
      </c>
      <c r="F355" s="749" t="s">
        <v>2454</v>
      </c>
      <c r="G355" s="798" t="s">
        <v>1267</v>
      </c>
      <c r="H355" s="776" t="n">
        <v>100000000</v>
      </c>
      <c r="I355" s="777" t="n">
        <v>82</v>
      </c>
      <c r="J355" s="778" t="n">
        <f aca="false">IF(I355="","",H355/I355)</f>
        <v>1219512.19512195</v>
      </c>
      <c r="K355" s="749" t="s">
        <v>2361</v>
      </c>
      <c r="L355" s="774" t="n">
        <v>41110</v>
      </c>
      <c r="M355" s="774" t="n">
        <v>41475</v>
      </c>
      <c r="O355" s="799" t="n">
        <v>3.6</v>
      </c>
      <c r="P355" s="749" t="s">
        <v>2606</v>
      </c>
      <c r="Q355" s="749" t="s">
        <v>2607</v>
      </c>
    </row>
    <row r="356" customFormat="false" ht="16.5" hidden="false" customHeight="true" outlineLevel="0" collapsed="false">
      <c r="A356" s="747" t="s">
        <v>2190</v>
      </c>
      <c r="B356" s="774" t="n">
        <v>41114</v>
      </c>
      <c r="D356" s="749" t="s">
        <v>644</v>
      </c>
      <c r="E356" s="749" t="s">
        <v>2359</v>
      </c>
      <c r="F356" s="749" t="s">
        <v>2359</v>
      </c>
      <c r="G356" s="798" t="s">
        <v>1267</v>
      </c>
      <c r="H356" s="776" t="n">
        <v>50000000</v>
      </c>
      <c r="I356" s="777" t="n">
        <v>82</v>
      </c>
      <c r="J356" s="778" t="n">
        <f aca="false">IF(I356="","",H356/I356)</f>
        <v>609756.097560976</v>
      </c>
      <c r="K356" s="749" t="s">
        <v>2361</v>
      </c>
      <c r="L356" s="774" t="n">
        <v>41116</v>
      </c>
      <c r="M356" s="774" t="n">
        <v>41481</v>
      </c>
      <c r="O356" s="799" t="n">
        <v>4</v>
      </c>
      <c r="P356" s="749" t="s">
        <v>2606</v>
      </c>
      <c r="Q356" s="749" t="s">
        <v>2607</v>
      </c>
    </row>
    <row r="357" customFormat="false" ht="16.5" hidden="false" customHeight="true" outlineLevel="0" collapsed="false">
      <c r="A357" s="747" t="s">
        <v>2190</v>
      </c>
      <c r="B357" s="774" t="n">
        <v>41116</v>
      </c>
      <c r="D357" s="749" t="s">
        <v>597</v>
      </c>
      <c r="E357" s="749" t="s">
        <v>2700</v>
      </c>
      <c r="F357" s="749" t="s">
        <v>2751</v>
      </c>
      <c r="G357" s="798" t="s">
        <v>1267</v>
      </c>
      <c r="H357" s="776" t="n">
        <v>58000000</v>
      </c>
      <c r="I357" s="777" t="n">
        <v>82</v>
      </c>
      <c r="J357" s="778" t="n">
        <f aca="false">IF(I357="","",H357/I357)</f>
        <v>707317.073170732</v>
      </c>
      <c r="K357" s="749" t="s">
        <v>2361</v>
      </c>
      <c r="L357" s="774" t="n">
        <v>41120</v>
      </c>
      <c r="M357" s="774" t="n">
        <v>41483</v>
      </c>
      <c r="O357" s="799" t="n">
        <v>4.33</v>
      </c>
      <c r="P357" s="749" t="s">
        <v>2606</v>
      </c>
      <c r="Q357" s="749" t="s">
        <v>2607</v>
      </c>
    </row>
    <row r="358" customFormat="false" ht="16.5" hidden="false" customHeight="true" outlineLevel="0" collapsed="false">
      <c r="A358" s="747" t="s">
        <v>2190</v>
      </c>
      <c r="B358" s="774" t="n">
        <v>41116</v>
      </c>
      <c r="D358" s="749" t="s">
        <v>2752</v>
      </c>
      <c r="E358" s="749" t="s">
        <v>2753</v>
      </c>
      <c r="F358" s="749" t="s">
        <v>2754</v>
      </c>
      <c r="G358" s="798" t="s">
        <v>2136</v>
      </c>
      <c r="H358" s="776" t="n">
        <v>80000</v>
      </c>
      <c r="I358" s="777" t="n">
        <v>1</v>
      </c>
      <c r="J358" s="778" t="n">
        <f aca="false">IF(I358="","",H358/I358)</f>
        <v>80000</v>
      </c>
      <c r="K358" s="749" t="s">
        <v>2336</v>
      </c>
      <c r="L358" s="774" t="n">
        <v>41122</v>
      </c>
      <c r="M358" s="774" t="n">
        <v>41487</v>
      </c>
      <c r="O358" s="799" t="n">
        <v>5.8</v>
      </c>
      <c r="P358" s="749" t="s">
        <v>2606</v>
      </c>
      <c r="Q358" s="749" t="s">
        <v>2607</v>
      </c>
    </row>
    <row r="359" customFormat="false" ht="16.5" hidden="false" customHeight="true" outlineLevel="0" collapsed="false">
      <c r="A359" s="747" t="s">
        <v>2190</v>
      </c>
      <c r="B359" s="774" t="n">
        <v>41116</v>
      </c>
      <c r="D359" s="749" t="s">
        <v>1184</v>
      </c>
      <c r="E359" s="749" t="s">
        <v>2619</v>
      </c>
      <c r="F359" s="749" t="s">
        <v>2620</v>
      </c>
      <c r="G359" s="798" t="s">
        <v>2136</v>
      </c>
      <c r="H359" s="776" t="n">
        <v>2000000</v>
      </c>
      <c r="I359" s="777" t="n">
        <v>1</v>
      </c>
      <c r="J359" s="778" t="n">
        <f aca="false">IF(I359="","",H359/I359)</f>
        <v>2000000</v>
      </c>
      <c r="K359" s="749" t="s">
        <v>2336</v>
      </c>
      <c r="L359" s="774" t="n">
        <v>41123</v>
      </c>
      <c r="M359" s="774" t="n">
        <v>41488</v>
      </c>
      <c r="O359" s="799" t="n">
        <v>3.65</v>
      </c>
      <c r="P359" s="749" t="s">
        <v>2606</v>
      </c>
      <c r="Q359" s="749" t="s">
        <v>2607</v>
      </c>
    </row>
    <row r="360" customFormat="false" ht="16.5" hidden="false" customHeight="true" outlineLevel="0" collapsed="false">
      <c r="A360" s="747" t="s">
        <v>2335</v>
      </c>
      <c r="B360" s="774" t="n">
        <v>41117</v>
      </c>
      <c r="D360" s="749" t="s">
        <v>2367</v>
      </c>
      <c r="E360" s="749" t="s">
        <v>2738</v>
      </c>
      <c r="F360" s="749" t="s">
        <v>2755</v>
      </c>
      <c r="G360" s="798" t="s">
        <v>1267</v>
      </c>
      <c r="H360" s="776" t="n">
        <v>27330000</v>
      </c>
      <c r="I360" s="777" t="n">
        <v>82</v>
      </c>
      <c r="J360" s="778" t="n">
        <f aca="false">IF(I360="","",H360/I360)</f>
        <v>333292.682926829</v>
      </c>
      <c r="K360" s="749" t="s">
        <v>2336</v>
      </c>
      <c r="L360" s="774" t="n">
        <v>41125</v>
      </c>
      <c r="M360" s="774" t="n">
        <v>41490</v>
      </c>
      <c r="O360" s="799" t="n">
        <v>3.5</v>
      </c>
      <c r="P360" s="749" t="s">
        <v>2613</v>
      </c>
      <c r="Q360" s="749" t="s">
        <v>2363</v>
      </c>
    </row>
    <row r="361" customFormat="false" ht="16.5" hidden="false" customHeight="true" outlineLevel="0" collapsed="false">
      <c r="A361" s="747" t="s">
        <v>2335</v>
      </c>
      <c r="B361" s="774" t="n">
        <v>41120</v>
      </c>
      <c r="D361" s="749" t="s">
        <v>2697</v>
      </c>
      <c r="E361" s="749" t="s">
        <v>2698</v>
      </c>
      <c r="F361" s="749" t="s">
        <v>2756</v>
      </c>
      <c r="G361" s="798" t="s">
        <v>1267</v>
      </c>
      <c r="H361" s="776" t="n">
        <v>10000000</v>
      </c>
      <c r="I361" s="777" t="n">
        <v>82</v>
      </c>
      <c r="J361" s="778" t="n">
        <f aca="false">IF(I361="","",H361/I361)</f>
        <v>121951.219512195</v>
      </c>
      <c r="K361" s="749" t="s">
        <v>2336</v>
      </c>
      <c r="L361" s="774" t="n">
        <v>41124</v>
      </c>
      <c r="M361" s="774" t="n">
        <v>41489</v>
      </c>
      <c r="O361" s="799" t="n">
        <v>3.52</v>
      </c>
      <c r="P361" s="749" t="s">
        <v>2613</v>
      </c>
      <c r="Q361" s="749" t="s">
        <v>2363</v>
      </c>
    </row>
    <row r="362" customFormat="false" ht="16.5" hidden="false" customHeight="true" outlineLevel="0" collapsed="false">
      <c r="A362" s="747" t="s">
        <v>2335</v>
      </c>
      <c r="B362" s="774" t="n">
        <v>41120</v>
      </c>
      <c r="D362" s="749" t="s">
        <v>2697</v>
      </c>
      <c r="E362" s="749" t="s">
        <v>2698</v>
      </c>
      <c r="F362" s="749" t="s">
        <v>2756</v>
      </c>
      <c r="G362" s="798" t="s">
        <v>1267</v>
      </c>
      <c r="H362" s="776" t="n">
        <v>19970000</v>
      </c>
      <c r="I362" s="777" t="n">
        <v>82</v>
      </c>
      <c r="J362" s="778" t="n">
        <f aca="false">IF(I362="","",H362/I362)</f>
        <v>243536.585365854</v>
      </c>
      <c r="K362" s="749" t="s">
        <v>2336</v>
      </c>
      <c r="L362" s="774" t="n">
        <v>41124</v>
      </c>
      <c r="M362" s="774" t="n">
        <v>41489</v>
      </c>
      <c r="O362" s="799" t="n">
        <v>3.52</v>
      </c>
      <c r="P362" s="749" t="s">
        <v>2613</v>
      </c>
      <c r="Q362" s="749" t="s">
        <v>2363</v>
      </c>
    </row>
    <row r="363" customFormat="false" ht="16.5" hidden="false" customHeight="true" outlineLevel="0" collapsed="false">
      <c r="A363" s="747" t="s">
        <v>2335</v>
      </c>
      <c r="B363" s="774" t="n">
        <v>41121</v>
      </c>
      <c r="D363" s="749" t="s">
        <v>103</v>
      </c>
      <c r="E363" s="749" t="s">
        <v>2377</v>
      </c>
      <c r="F363" s="749" t="s">
        <v>2757</v>
      </c>
      <c r="G363" s="798" t="s">
        <v>1267</v>
      </c>
      <c r="H363" s="776" t="n">
        <v>22000000</v>
      </c>
      <c r="I363" s="777" t="n">
        <v>82</v>
      </c>
      <c r="J363" s="778" t="n">
        <f aca="false">IF(I363="","",H363/I363)</f>
        <v>268292.682926829</v>
      </c>
      <c r="K363" s="749" t="s">
        <v>2336</v>
      </c>
      <c r="L363" s="774" t="n">
        <v>41124</v>
      </c>
      <c r="M363" s="774" t="n">
        <v>41489</v>
      </c>
      <c r="O363" s="799" t="n">
        <v>4.2</v>
      </c>
      <c r="P363" s="749" t="s">
        <v>2613</v>
      </c>
      <c r="Q363" s="749" t="s">
        <v>2363</v>
      </c>
    </row>
    <row r="364" customFormat="false" ht="16.5" hidden="false" customHeight="true" outlineLevel="0" collapsed="false">
      <c r="A364" s="747" t="s">
        <v>2335</v>
      </c>
      <c r="B364" s="774" t="n">
        <v>41123</v>
      </c>
      <c r="D364" s="749" t="s">
        <v>2344</v>
      </c>
      <c r="E364" s="749" t="s">
        <v>2401</v>
      </c>
      <c r="F364" s="749" t="s">
        <v>2346</v>
      </c>
      <c r="G364" s="798" t="s">
        <v>1267</v>
      </c>
      <c r="H364" s="776" t="n">
        <v>49500000</v>
      </c>
      <c r="I364" s="777" t="n">
        <v>82</v>
      </c>
      <c r="J364" s="778" t="n">
        <f aca="false">IF(I364="","",H364/I364)</f>
        <v>603658.536585366</v>
      </c>
      <c r="K364" s="749" t="s">
        <v>2336</v>
      </c>
      <c r="L364" s="774" t="n">
        <v>41127</v>
      </c>
      <c r="M364" s="774" t="n">
        <v>41491</v>
      </c>
      <c r="O364" s="799" t="n">
        <v>4.27</v>
      </c>
      <c r="P364" s="749" t="s">
        <v>2613</v>
      </c>
      <c r="Q364" s="749" t="s">
        <v>2363</v>
      </c>
    </row>
    <row r="365" customFormat="false" ht="16.5" hidden="false" customHeight="true" outlineLevel="0" collapsed="false">
      <c r="A365" s="747" t="s">
        <v>2335</v>
      </c>
      <c r="B365" s="774" t="n">
        <v>41127</v>
      </c>
      <c r="D365" s="749" t="s">
        <v>1366</v>
      </c>
      <c r="E365" s="749" t="s">
        <v>2742</v>
      </c>
      <c r="F365" s="749" t="s">
        <v>2446</v>
      </c>
      <c r="G365" s="798" t="s">
        <v>1267</v>
      </c>
      <c r="H365" s="776" t="n">
        <v>22500000</v>
      </c>
      <c r="I365" s="777" t="n">
        <v>82</v>
      </c>
      <c r="J365" s="778" t="n">
        <f aca="false">IF(I365="","",H365/I365)</f>
        <v>274390.243902439</v>
      </c>
      <c r="K365" s="749" t="s">
        <v>2361</v>
      </c>
      <c r="L365" s="774" t="n">
        <v>41127</v>
      </c>
      <c r="M365" s="774" t="n">
        <v>41492</v>
      </c>
      <c r="O365" s="799" t="n">
        <v>3.7</v>
      </c>
      <c r="P365" s="749" t="s">
        <v>2613</v>
      </c>
      <c r="Q365" s="749" t="s">
        <v>2363</v>
      </c>
    </row>
    <row r="366" customFormat="false" ht="16.5" hidden="false" customHeight="true" outlineLevel="0" collapsed="false">
      <c r="A366" s="747" t="s">
        <v>2335</v>
      </c>
      <c r="B366" s="774" t="n">
        <v>41127</v>
      </c>
      <c r="D366" s="749" t="s">
        <v>1366</v>
      </c>
      <c r="E366" s="749" t="s">
        <v>2742</v>
      </c>
      <c r="F366" s="749" t="s">
        <v>2446</v>
      </c>
      <c r="G366" s="798" t="s">
        <v>1267</v>
      </c>
      <c r="H366" s="776" t="n">
        <v>53000000</v>
      </c>
      <c r="I366" s="777" t="n">
        <v>82</v>
      </c>
      <c r="J366" s="778" t="n">
        <f aca="false">IF(I366="","",H366/I366)</f>
        <v>646341.463414634</v>
      </c>
      <c r="K366" s="749" t="s">
        <v>2361</v>
      </c>
      <c r="L366" s="774" t="n">
        <v>41127</v>
      </c>
      <c r="M366" s="774" t="n">
        <v>41165</v>
      </c>
      <c r="O366" s="799" t="n">
        <v>3.7</v>
      </c>
      <c r="P366" s="749" t="s">
        <v>2613</v>
      </c>
      <c r="Q366" s="749" t="s">
        <v>2363</v>
      </c>
    </row>
    <row r="367" customFormat="false" ht="16.5" hidden="false" customHeight="true" outlineLevel="0" collapsed="false">
      <c r="A367" s="747" t="s">
        <v>2190</v>
      </c>
      <c r="B367" s="774" t="n">
        <v>41130</v>
      </c>
      <c r="D367" s="749" t="s">
        <v>2467</v>
      </c>
      <c r="E367" s="749" t="s">
        <v>2758</v>
      </c>
      <c r="F367" s="749" t="s">
        <v>2469</v>
      </c>
      <c r="G367" s="798" t="s">
        <v>2156</v>
      </c>
      <c r="H367" s="776" t="n">
        <v>600000</v>
      </c>
      <c r="I367" s="777" t="n">
        <v>1.2</v>
      </c>
      <c r="J367" s="778" t="n">
        <f aca="false">IF(I367="","",H367/I367)</f>
        <v>500000</v>
      </c>
      <c r="K367" s="749" t="s">
        <v>2759</v>
      </c>
      <c r="L367" s="774" t="n">
        <v>41130</v>
      </c>
      <c r="M367" s="774" t="n">
        <v>41314</v>
      </c>
      <c r="O367" s="799" t="n">
        <v>2</v>
      </c>
      <c r="P367" s="749" t="s">
        <v>2606</v>
      </c>
      <c r="Q367" s="749" t="s">
        <v>2607</v>
      </c>
    </row>
    <row r="368" customFormat="false" ht="16.5" hidden="false" customHeight="true" outlineLevel="0" collapsed="false">
      <c r="A368" s="747" t="s">
        <v>2190</v>
      </c>
      <c r="B368" s="774" t="n">
        <v>41130</v>
      </c>
      <c r="D368" s="749" t="s">
        <v>2760</v>
      </c>
      <c r="E368" s="749" t="s">
        <v>2761</v>
      </c>
      <c r="F368" s="749" t="s">
        <v>2762</v>
      </c>
      <c r="G368" s="798" t="s">
        <v>1267</v>
      </c>
      <c r="H368" s="776" t="n">
        <v>39097000</v>
      </c>
      <c r="I368" s="777" t="n">
        <v>82</v>
      </c>
      <c r="J368" s="778" t="n">
        <f aca="false">IF(I368="","",H368/I368)</f>
        <v>476792.682926829</v>
      </c>
      <c r="K368" s="749" t="s">
        <v>2763</v>
      </c>
      <c r="L368" s="774" t="n">
        <v>41143</v>
      </c>
      <c r="M368" s="774" t="n">
        <v>41873</v>
      </c>
      <c r="O368" s="799" t="n">
        <v>2.03</v>
      </c>
      <c r="P368" s="749" t="s">
        <v>2606</v>
      </c>
      <c r="Q368" s="749" t="s">
        <v>2607</v>
      </c>
    </row>
    <row r="369" customFormat="false" ht="16.5" hidden="false" customHeight="true" outlineLevel="0" collapsed="false">
      <c r="A369" s="747" t="s">
        <v>2335</v>
      </c>
      <c r="B369" s="774" t="n">
        <v>41131</v>
      </c>
      <c r="D369" s="749" t="s">
        <v>96</v>
      </c>
      <c r="E369" s="749" t="s">
        <v>2575</v>
      </c>
      <c r="F369" s="749" t="s">
        <v>2745</v>
      </c>
      <c r="G369" s="798" t="s">
        <v>2136</v>
      </c>
      <c r="H369" s="776" t="n">
        <v>380000</v>
      </c>
      <c r="I369" s="777" t="n">
        <v>1</v>
      </c>
      <c r="J369" s="778" t="n">
        <f aca="false">IF(I369="","",H369/I369)</f>
        <v>380000</v>
      </c>
      <c r="K369" s="749" t="s">
        <v>2361</v>
      </c>
      <c r="L369" s="774" t="n">
        <v>41131</v>
      </c>
      <c r="M369" s="774" t="n">
        <v>41458</v>
      </c>
      <c r="O369" s="799" t="n">
        <v>4.2</v>
      </c>
      <c r="P369" s="749" t="s">
        <v>2613</v>
      </c>
      <c r="Q369" s="749" t="s">
        <v>2363</v>
      </c>
    </row>
    <row r="370" customFormat="false" ht="16.5" hidden="false" customHeight="true" outlineLevel="0" collapsed="false">
      <c r="A370" s="747" t="s">
        <v>2335</v>
      </c>
      <c r="B370" s="774" t="n">
        <v>41134</v>
      </c>
      <c r="D370" s="749" t="s">
        <v>2372</v>
      </c>
      <c r="E370" s="749" t="s">
        <v>2764</v>
      </c>
      <c r="F370" s="749" t="s">
        <v>2452</v>
      </c>
      <c r="G370" s="798" t="s">
        <v>1267</v>
      </c>
      <c r="H370" s="776" t="n">
        <v>118000000</v>
      </c>
      <c r="I370" s="777" t="n">
        <v>82</v>
      </c>
      <c r="J370" s="778" t="n">
        <f aca="false">IF(I370="","",H370/I370)</f>
        <v>1439024.3902439</v>
      </c>
      <c r="K370" s="749" t="s">
        <v>2361</v>
      </c>
      <c r="L370" s="774" t="n">
        <v>41135</v>
      </c>
      <c r="M370" s="774" t="n">
        <v>41500</v>
      </c>
      <c r="O370" s="799" t="n">
        <v>3.89</v>
      </c>
      <c r="P370" s="749" t="s">
        <v>2613</v>
      </c>
      <c r="Q370" s="749" t="s">
        <v>2363</v>
      </c>
    </row>
    <row r="371" customFormat="false" ht="16.5" hidden="false" customHeight="true" outlineLevel="0" collapsed="false">
      <c r="A371" s="747" t="s">
        <v>2335</v>
      </c>
      <c r="B371" s="774" t="n">
        <v>41137</v>
      </c>
      <c r="D371" s="749" t="s">
        <v>2372</v>
      </c>
      <c r="E371" s="749" t="s">
        <v>2764</v>
      </c>
      <c r="F371" s="749" t="s">
        <v>2765</v>
      </c>
      <c r="G371" s="798" t="s">
        <v>1267</v>
      </c>
      <c r="H371" s="776" t="n">
        <v>63700000</v>
      </c>
      <c r="I371" s="777" t="n">
        <v>82</v>
      </c>
      <c r="J371" s="778" t="n">
        <f aca="false">IF(I371="","",H371/I371)</f>
        <v>776829.268292683</v>
      </c>
      <c r="K371" s="749" t="s">
        <v>2361</v>
      </c>
      <c r="L371" s="774" t="n">
        <v>41141</v>
      </c>
      <c r="M371" s="774" t="n">
        <v>41506</v>
      </c>
      <c r="O371" s="799" t="n">
        <v>4.1</v>
      </c>
      <c r="P371" s="749" t="s">
        <v>2613</v>
      </c>
      <c r="Q371" s="749" t="s">
        <v>2363</v>
      </c>
    </row>
    <row r="372" customFormat="false" ht="16.5" hidden="false" customHeight="true" outlineLevel="0" collapsed="false">
      <c r="A372" s="747" t="s">
        <v>2335</v>
      </c>
      <c r="B372" s="774" t="n">
        <v>41138</v>
      </c>
      <c r="D372" s="749" t="s">
        <v>209</v>
      </c>
      <c r="E372" s="749" t="s">
        <v>2450</v>
      </c>
      <c r="F372" s="749" t="s">
        <v>2451</v>
      </c>
      <c r="G372" s="798" t="s">
        <v>1267</v>
      </c>
      <c r="H372" s="776" t="n">
        <v>91000000</v>
      </c>
      <c r="I372" s="777" t="n">
        <v>82</v>
      </c>
      <c r="J372" s="778" t="n">
        <f aca="false">IF(I372="","",H372/I372)</f>
        <v>1109756.09756098</v>
      </c>
      <c r="K372" s="749" t="s">
        <v>2361</v>
      </c>
      <c r="L372" s="774" t="n">
        <v>41149</v>
      </c>
      <c r="M372" s="774" t="n">
        <v>41514</v>
      </c>
      <c r="O372" s="799" t="n">
        <v>2.9</v>
      </c>
      <c r="P372" s="749" t="s">
        <v>2613</v>
      </c>
      <c r="Q372" s="749" t="s">
        <v>2363</v>
      </c>
    </row>
    <row r="373" customFormat="false" ht="16.5" hidden="false" customHeight="true" outlineLevel="0" collapsed="false">
      <c r="A373" s="747" t="s">
        <v>2190</v>
      </c>
      <c r="B373" s="774" t="n">
        <v>41138</v>
      </c>
      <c r="D373" s="749" t="s">
        <v>2714</v>
      </c>
      <c r="E373" s="749" t="s">
        <v>2715</v>
      </c>
      <c r="F373" s="749" t="s">
        <v>2716</v>
      </c>
      <c r="G373" s="798" t="s">
        <v>1267</v>
      </c>
      <c r="H373" s="776" t="n">
        <v>32500000</v>
      </c>
      <c r="I373" s="777" t="n">
        <v>82</v>
      </c>
      <c r="J373" s="778" t="n">
        <f aca="false">IF(I373="","",H373/I373)</f>
        <v>396341.463414634</v>
      </c>
      <c r="K373" s="749" t="s">
        <v>2361</v>
      </c>
      <c r="L373" s="774" t="n">
        <v>41144</v>
      </c>
      <c r="M373" s="774" t="n">
        <v>42239</v>
      </c>
      <c r="O373" s="799" t="n">
        <v>3.1</v>
      </c>
      <c r="P373" s="749" t="s">
        <v>2606</v>
      </c>
      <c r="Q373" s="749" t="s">
        <v>2607</v>
      </c>
    </row>
    <row r="374" customFormat="false" ht="16.5" hidden="false" customHeight="true" outlineLevel="0" collapsed="false">
      <c r="A374" s="747" t="s">
        <v>2335</v>
      </c>
      <c r="B374" s="774" t="n">
        <v>41143</v>
      </c>
      <c r="D374" s="749" t="s">
        <v>1366</v>
      </c>
      <c r="E374" s="749" t="s">
        <v>2413</v>
      </c>
      <c r="F374" s="749" t="s">
        <v>2454</v>
      </c>
      <c r="G374" s="798" t="s">
        <v>1267</v>
      </c>
      <c r="H374" s="776" t="n">
        <v>99080000</v>
      </c>
      <c r="I374" s="777" t="n">
        <v>82</v>
      </c>
      <c r="J374" s="778" t="n">
        <f aca="false">IF(I374="","",H374/I374)</f>
        <v>1208292.68292683</v>
      </c>
      <c r="K374" s="749" t="s">
        <v>2361</v>
      </c>
      <c r="L374" s="774" t="n">
        <v>41147</v>
      </c>
      <c r="M374" s="774" t="n">
        <v>41512</v>
      </c>
      <c r="O374" s="799" t="n">
        <v>3.5</v>
      </c>
      <c r="P374" s="749" t="s">
        <v>2613</v>
      </c>
      <c r="Q374" s="749" t="s">
        <v>2363</v>
      </c>
    </row>
    <row r="375" customFormat="false" ht="16.5" hidden="false" customHeight="true" outlineLevel="0" collapsed="false">
      <c r="A375" s="747" t="s">
        <v>2335</v>
      </c>
      <c r="B375" s="774" t="n">
        <v>41143</v>
      </c>
      <c r="D375" s="749" t="s">
        <v>1366</v>
      </c>
      <c r="E375" s="749" t="s">
        <v>2413</v>
      </c>
      <c r="F375" s="749" t="s">
        <v>2457</v>
      </c>
      <c r="G375" s="798" t="s">
        <v>1267</v>
      </c>
      <c r="H375" s="776" t="n">
        <v>39600000</v>
      </c>
      <c r="I375" s="777" t="n">
        <v>82</v>
      </c>
      <c r="J375" s="778" t="n">
        <f aca="false">IF(I375="","",H375/I375)</f>
        <v>482926.829268293</v>
      </c>
      <c r="K375" s="749" t="s">
        <v>2361</v>
      </c>
      <c r="L375" s="774" t="n">
        <v>41150</v>
      </c>
      <c r="M375" s="774" t="n">
        <v>41515</v>
      </c>
      <c r="O375" s="799" t="n">
        <v>3.1</v>
      </c>
      <c r="P375" s="749" t="s">
        <v>2613</v>
      </c>
      <c r="Q375" s="749" t="s">
        <v>2363</v>
      </c>
    </row>
    <row r="376" customFormat="false" ht="16.5" hidden="false" customHeight="true" outlineLevel="0" collapsed="false">
      <c r="A376" s="747" t="s">
        <v>2335</v>
      </c>
      <c r="B376" s="774" t="n">
        <v>41145</v>
      </c>
      <c r="D376" s="749" t="s">
        <v>2372</v>
      </c>
      <c r="E376" s="749" t="s">
        <v>2692</v>
      </c>
      <c r="F376" s="749" t="s">
        <v>2466</v>
      </c>
      <c r="G376" s="798" t="s">
        <v>1267</v>
      </c>
      <c r="H376" s="776" t="n">
        <v>31000000</v>
      </c>
      <c r="I376" s="777" t="n">
        <v>82</v>
      </c>
      <c r="J376" s="778" t="n">
        <f aca="false">IF(I376="","",H376/I376)</f>
        <v>378048.780487805</v>
      </c>
      <c r="K376" s="749" t="s">
        <v>2361</v>
      </c>
      <c r="L376" s="774" t="n">
        <v>41153</v>
      </c>
      <c r="M376" s="774" t="n">
        <v>41518</v>
      </c>
      <c r="O376" s="799" t="n">
        <v>3.2</v>
      </c>
      <c r="P376" s="749" t="s">
        <v>2613</v>
      </c>
      <c r="Q376" s="749" t="s">
        <v>2363</v>
      </c>
    </row>
    <row r="377" customFormat="false" ht="16.5" hidden="false" customHeight="true" outlineLevel="0" collapsed="false">
      <c r="A377" s="747" t="s">
        <v>2335</v>
      </c>
      <c r="B377" s="774" t="n">
        <v>41149</v>
      </c>
      <c r="D377" s="749" t="s">
        <v>1366</v>
      </c>
      <c r="E377" s="749" t="s">
        <v>2415</v>
      </c>
      <c r="F377" s="749" t="s">
        <v>2461</v>
      </c>
      <c r="G377" s="798" t="s">
        <v>1267</v>
      </c>
      <c r="H377" s="776" t="n">
        <v>58300000</v>
      </c>
      <c r="I377" s="777" t="n">
        <v>82</v>
      </c>
      <c r="J377" s="778" t="n">
        <f aca="false">IF(I377="","",H377/I377)</f>
        <v>710975.609756098</v>
      </c>
      <c r="K377" s="749" t="s">
        <v>2361</v>
      </c>
      <c r="L377" s="774" t="n">
        <v>41149</v>
      </c>
      <c r="M377" s="774" t="n">
        <v>41514</v>
      </c>
      <c r="O377" s="799" t="n">
        <v>4.5</v>
      </c>
      <c r="P377" s="749" t="s">
        <v>2613</v>
      </c>
      <c r="Q377" s="749" t="s">
        <v>2363</v>
      </c>
    </row>
    <row r="378" customFormat="false" ht="16.5" hidden="false" customHeight="true" outlineLevel="0" collapsed="false">
      <c r="A378" s="747" t="s">
        <v>2335</v>
      </c>
      <c r="B378" s="774" t="n">
        <v>41151</v>
      </c>
      <c r="D378" s="749" t="s">
        <v>169</v>
      </c>
      <c r="E378" s="749" t="s">
        <v>2766</v>
      </c>
      <c r="F378" s="749" t="s">
        <v>2459</v>
      </c>
      <c r="G378" s="798" t="s">
        <v>1267</v>
      </c>
      <c r="H378" s="776" t="n">
        <v>120000000</v>
      </c>
      <c r="I378" s="777" t="n">
        <v>82</v>
      </c>
      <c r="J378" s="778" t="n">
        <f aca="false">IF(I378="","",H378/I378)</f>
        <v>1463414.63414634</v>
      </c>
      <c r="K378" s="749" t="s">
        <v>2361</v>
      </c>
      <c r="L378" s="774" t="n">
        <v>41152</v>
      </c>
      <c r="M378" s="774" t="n">
        <v>41517</v>
      </c>
      <c r="O378" s="799" t="n">
        <v>2.5</v>
      </c>
      <c r="P378" s="749" t="s">
        <v>2613</v>
      </c>
      <c r="Q378" s="749" t="s">
        <v>2363</v>
      </c>
    </row>
    <row r="379" customFormat="false" ht="16.5" hidden="false" customHeight="true" outlineLevel="0" collapsed="false">
      <c r="A379" s="747" t="s">
        <v>2335</v>
      </c>
      <c r="B379" s="774" t="n">
        <v>41156</v>
      </c>
      <c r="D379" s="749" t="s">
        <v>597</v>
      </c>
      <c r="E379" s="749" t="s">
        <v>2589</v>
      </c>
      <c r="F379" s="749" t="s">
        <v>2590</v>
      </c>
      <c r="G379" s="798" t="s">
        <v>1267</v>
      </c>
      <c r="H379" s="776" t="n">
        <v>30000000</v>
      </c>
      <c r="I379" s="777" t="n">
        <v>82</v>
      </c>
      <c r="J379" s="778" t="n">
        <f aca="false">IF(I379="","",H379/I379)</f>
        <v>365853.658536585</v>
      </c>
      <c r="K379" s="749" t="s">
        <v>2361</v>
      </c>
      <c r="L379" s="774" t="n">
        <v>41159</v>
      </c>
      <c r="M379" s="774" t="n">
        <v>41524</v>
      </c>
      <c r="O379" s="799" t="n">
        <v>2.97</v>
      </c>
      <c r="P379" s="749" t="s">
        <v>2613</v>
      </c>
      <c r="Q379" s="749" t="s">
        <v>2363</v>
      </c>
    </row>
    <row r="380" customFormat="false" ht="16.5" hidden="false" customHeight="true" outlineLevel="0" collapsed="false">
      <c r="A380" s="747" t="s">
        <v>2335</v>
      </c>
      <c r="B380" s="774" t="n">
        <v>41156</v>
      </c>
      <c r="D380" s="749" t="s">
        <v>1366</v>
      </c>
      <c r="E380" s="749" t="s">
        <v>2742</v>
      </c>
      <c r="F380" s="749" t="s">
        <v>2473</v>
      </c>
      <c r="G380" s="798" t="s">
        <v>1267</v>
      </c>
      <c r="H380" s="776" t="n">
        <v>90000000</v>
      </c>
      <c r="I380" s="777" t="n">
        <v>82</v>
      </c>
      <c r="J380" s="778" t="n">
        <f aca="false">IF(I380="","",H380/I380)</f>
        <v>1097560.97560976</v>
      </c>
      <c r="K380" s="749" t="s">
        <v>2361</v>
      </c>
      <c r="L380" s="774" t="n">
        <v>41157</v>
      </c>
      <c r="M380" s="774" t="n">
        <v>41522</v>
      </c>
      <c r="O380" s="799" t="n">
        <v>3.8</v>
      </c>
      <c r="P380" s="749" t="s">
        <v>2613</v>
      </c>
      <c r="Q380" s="749" t="s">
        <v>2363</v>
      </c>
    </row>
    <row r="381" customFormat="false" ht="16.5" hidden="false" customHeight="true" outlineLevel="0" collapsed="false">
      <c r="A381" s="747" t="s">
        <v>2335</v>
      </c>
      <c r="B381" s="774" t="n">
        <v>41157</v>
      </c>
      <c r="D381" s="749" t="s">
        <v>1366</v>
      </c>
      <c r="E381" s="749" t="s">
        <v>2742</v>
      </c>
      <c r="F381" s="749" t="s">
        <v>2473</v>
      </c>
      <c r="G381" s="798" t="s">
        <v>1267</v>
      </c>
      <c r="H381" s="776" t="n">
        <v>52000000</v>
      </c>
      <c r="I381" s="777" t="n">
        <v>82</v>
      </c>
      <c r="J381" s="778" t="n">
        <f aca="false">IF(I381="","",H381/I381)</f>
        <v>634146.341463415</v>
      </c>
      <c r="K381" s="749" t="s">
        <v>2361</v>
      </c>
      <c r="L381" s="774" t="n">
        <v>41157</v>
      </c>
      <c r="M381" s="774" t="n">
        <v>41553</v>
      </c>
      <c r="O381" s="799" t="n">
        <v>3.8</v>
      </c>
      <c r="P381" s="749" t="s">
        <v>2613</v>
      </c>
      <c r="Q381" s="749" t="s">
        <v>2363</v>
      </c>
    </row>
    <row r="382" customFormat="false" ht="16.5" hidden="false" customHeight="true" outlineLevel="0" collapsed="false">
      <c r="A382" s="747" t="s">
        <v>2335</v>
      </c>
      <c r="B382" s="774" t="n">
        <v>41162</v>
      </c>
      <c r="D382" s="749" t="s">
        <v>691</v>
      </c>
      <c r="E382" s="749" t="s">
        <v>2767</v>
      </c>
      <c r="F382" s="749" t="s">
        <v>2768</v>
      </c>
      <c r="G382" s="798" t="s">
        <v>1267</v>
      </c>
      <c r="H382" s="776" t="n">
        <v>19200000</v>
      </c>
      <c r="I382" s="777" t="n">
        <v>82</v>
      </c>
      <c r="J382" s="778" t="n">
        <f aca="false">IF(I382="","",H382/I382)</f>
        <v>234146.341463415</v>
      </c>
      <c r="K382" s="749" t="s">
        <v>2361</v>
      </c>
      <c r="L382" s="774" t="n">
        <v>41162</v>
      </c>
      <c r="M382" s="774" t="n">
        <v>41526</v>
      </c>
      <c r="O382" s="799" t="n">
        <v>3.5</v>
      </c>
      <c r="P382" s="749" t="s">
        <v>2613</v>
      </c>
      <c r="Q382" s="749" t="s">
        <v>2363</v>
      </c>
    </row>
    <row r="383" customFormat="false" ht="16.5" hidden="false" customHeight="true" outlineLevel="0" collapsed="false">
      <c r="A383" s="747" t="s">
        <v>2335</v>
      </c>
      <c r="B383" s="774" t="n">
        <v>41162</v>
      </c>
      <c r="D383" s="749" t="s">
        <v>96</v>
      </c>
      <c r="E383" s="749" t="s">
        <v>2390</v>
      </c>
      <c r="F383" s="749" t="s">
        <v>2486</v>
      </c>
      <c r="G383" s="798" t="s">
        <v>1267</v>
      </c>
      <c r="H383" s="776" t="n">
        <v>21000000</v>
      </c>
      <c r="I383" s="777" t="n">
        <v>82</v>
      </c>
      <c r="J383" s="778" t="n">
        <f aca="false">IF(I383="","",H383/I383)</f>
        <v>256097.56097561</v>
      </c>
      <c r="K383" s="749" t="s">
        <v>2361</v>
      </c>
      <c r="L383" s="774" t="n">
        <v>41180</v>
      </c>
      <c r="M383" s="774" t="n">
        <v>41545</v>
      </c>
      <c r="O383" s="799" t="n">
        <v>4.3</v>
      </c>
      <c r="P383" s="749" t="s">
        <v>2613</v>
      </c>
      <c r="Q383" s="749" t="s">
        <v>2363</v>
      </c>
    </row>
    <row r="384" customFormat="false" ht="16.5" hidden="false" customHeight="true" outlineLevel="0" collapsed="false">
      <c r="A384" s="747" t="s">
        <v>2335</v>
      </c>
      <c r="B384" s="774" t="n">
        <v>41162</v>
      </c>
      <c r="D384" s="749" t="s">
        <v>2482</v>
      </c>
      <c r="E384" s="749" t="s">
        <v>2769</v>
      </c>
      <c r="F384" s="749" t="s">
        <v>2484</v>
      </c>
      <c r="G384" s="798" t="s">
        <v>1267</v>
      </c>
      <c r="H384" s="776" t="n">
        <v>8400000</v>
      </c>
      <c r="I384" s="777" t="n">
        <v>82</v>
      </c>
      <c r="J384" s="778" t="n">
        <f aca="false">IF(I384="","",H384/I384)</f>
        <v>102439.024390244</v>
      </c>
      <c r="K384" s="749" t="s">
        <v>2361</v>
      </c>
      <c r="L384" s="774" t="n">
        <v>41164</v>
      </c>
      <c r="M384" s="774" t="n">
        <v>41529</v>
      </c>
      <c r="O384" s="799" t="n">
        <v>4.26</v>
      </c>
      <c r="P384" s="749" t="s">
        <v>2613</v>
      </c>
      <c r="Q384" s="749" t="s">
        <v>2363</v>
      </c>
    </row>
    <row r="385" customFormat="false" ht="16.5" hidden="false" customHeight="true" outlineLevel="0" collapsed="false">
      <c r="A385" s="747" t="s">
        <v>2335</v>
      </c>
      <c r="B385" s="774" t="n">
        <v>41165</v>
      </c>
      <c r="D385" s="749" t="s">
        <v>1366</v>
      </c>
      <c r="E385" s="749" t="s">
        <v>2413</v>
      </c>
      <c r="F385" s="749" t="s">
        <v>2479</v>
      </c>
      <c r="G385" s="798" t="s">
        <v>1267</v>
      </c>
      <c r="H385" s="776" t="n">
        <v>25000000</v>
      </c>
      <c r="I385" s="777" t="n">
        <v>82</v>
      </c>
      <c r="J385" s="778" t="n">
        <f aca="false">IF(I385="","",H385/I385)</f>
        <v>304878.048780488</v>
      </c>
      <c r="K385" s="749" t="s">
        <v>2361</v>
      </c>
      <c r="L385" s="774" t="n">
        <v>41165</v>
      </c>
      <c r="M385" s="774" t="n">
        <v>41530</v>
      </c>
      <c r="O385" s="799" t="n">
        <v>3.7</v>
      </c>
      <c r="P385" s="749" t="s">
        <v>2613</v>
      </c>
      <c r="Q385" s="749" t="s">
        <v>2363</v>
      </c>
    </row>
    <row r="386" customFormat="false" ht="16.5" hidden="false" customHeight="true" outlineLevel="0" collapsed="false">
      <c r="A386" s="747" t="s">
        <v>2335</v>
      </c>
      <c r="B386" s="774" t="n">
        <v>41165</v>
      </c>
      <c r="D386" s="749" t="s">
        <v>124</v>
      </c>
      <c r="E386" s="749" t="s">
        <v>2770</v>
      </c>
      <c r="F386" s="749" t="s">
        <v>2463</v>
      </c>
      <c r="G386" s="798" t="s">
        <v>1267</v>
      </c>
      <c r="H386" s="776" t="n">
        <v>16900000</v>
      </c>
      <c r="I386" s="777" t="n">
        <v>82</v>
      </c>
      <c r="J386" s="778" t="n">
        <f aca="false">IF(I386="","",H386/I386)</f>
        <v>206097.56097561</v>
      </c>
      <c r="K386" s="749" t="s">
        <v>2361</v>
      </c>
      <c r="L386" s="774" t="n">
        <v>41166</v>
      </c>
      <c r="M386" s="774" t="n">
        <v>41408</v>
      </c>
      <c r="O386" s="799" t="n">
        <v>2.87</v>
      </c>
      <c r="P386" s="749" t="s">
        <v>2613</v>
      </c>
      <c r="Q386" s="749" t="s">
        <v>2363</v>
      </c>
    </row>
    <row r="387" customFormat="false" ht="16.5" hidden="false" customHeight="true" outlineLevel="0" collapsed="false">
      <c r="A387" s="747" t="s">
        <v>2335</v>
      </c>
      <c r="B387" s="774" t="n">
        <v>41166</v>
      </c>
      <c r="D387" s="749" t="s">
        <v>597</v>
      </c>
      <c r="E387" s="749" t="s">
        <v>2589</v>
      </c>
      <c r="F387" s="749" t="s">
        <v>2494</v>
      </c>
      <c r="G387" s="798" t="s">
        <v>1267</v>
      </c>
      <c r="H387" s="776" t="n">
        <v>12500000</v>
      </c>
      <c r="I387" s="777" t="n">
        <v>82</v>
      </c>
      <c r="J387" s="778" t="n">
        <f aca="false">IF(I387="","",H387/I387)</f>
        <v>152439.024390244</v>
      </c>
      <c r="K387" s="749" t="s">
        <v>2361</v>
      </c>
      <c r="L387" s="774" t="n">
        <v>41173</v>
      </c>
      <c r="M387" s="774" t="n">
        <v>41538</v>
      </c>
      <c r="O387" s="799" t="n">
        <v>3.05</v>
      </c>
      <c r="P387" s="749" t="s">
        <v>2613</v>
      </c>
      <c r="Q387" s="749" t="s">
        <v>2363</v>
      </c>
    </row>
    <row r="388" customFormat="false" ht="16.5" hidden="false" customHeight="true" outlineLevel="0" collapsed="false">
      <c r="A388" s="747" t="s">
        <v>2335</v>
      </c>
      <c r="B388" s="774" t="n">
        <v>41170</v>
      </c>
      <c r="D388" s="749" t="s">
        <v>2510</v>
      </c>
      <c r="E388" s="749" t="s">
        <v>2771</v>
      </c>
      <c r="F388" s="749" t="s">
        <v>2772</v>
      </c>
      <c r="G388" s="798" t="s">
        <v>1267</v>
      </c>
      <c r="H388" s="776" t="n">
        <v>130000000</v>
      </c>
      <c r="I388" s="777" t="n">
        <v>82</v>
      </c>
      <c r="J388" s="778" t="n">
        <f aca="false">IF(I388="","",H388/I388)</f>
        <v>1585365.85365854</v>
      </c>
      <c r="K388" s="749" t="s">
        <v>2361</v>
      </c>
      <c r="L388" s="774" t="n">
        <v>41172</v>
      </c>
      <c r="M388" s="774" t="n">
        <v>41173</v>
      </c>
      <c r="O388" s="799" t="n">
        <v>2.7</v>
      </c>
      <c r="P388" s="749" t="s">
        <v>2773</v>
      </c>
      <c r="Q388" s="749" t="s">
        <v>2363</v>
      </c>
    </row>
    <row r="389" customFormat="false" ht="16.5" hidden="false" customHeight="true" outlineLevel="0" collapsed="false">
      <c r="A389" s="747" t="s">
        <v>2335</v>
      </c>
      <c r="B389" s="774" t="n">
        <v>41173</v>
      </c>
      <c r="D389" s="749" t="s">
        <v>2375</v>
      </c>
      <c r="E389" s="749" t="s">
        <v>2599</v>
      </c>
      <c r="F389" s="749" t="s">
        <v>2499</v>
      </c>
      <c r="G389" s="798" t="s">
        <v>1267</v>
      </c>
      <c r="H389" s="776" t="n">
        <v>80000000</v>
      </c>
      <c r="I389" s="777" t="n">
        <v>82</v>
      </c>
      <c r="J389" s="778" t="n">
        <f aca="false">IF(I389="","",H389/I389)</f>
        <v>975609.756097561</v>
      </c>
      <c r="K389" s="749" t="s">
        <v>2361</v>
      </c>
      <c r="L389" s="774" t="n">
        <v>41177</v>
      </c>
      <c r="M389" s="774" t="n">
        <v>41542</v>
      </c>
      <c r="O389" s="799" t="n">
        <v>4</v>
      </c>
      <c r="P389" s="749" t="s">
        <v>2613</v>
      </c>
      <c r="Q389" s="749" t="s">
        <v>2363</v>
      </c>
    </row>
    <row r="390" customFormat="false" ht="16.5" hidden="false" customHeight="true" outlineLevel="0" collapsed="false">
      <c r="A390" s="747" t="s">
        <v>2335</v>
      </c>
      <c r="B390" s="774" t="n">
        <v>41176</v>
      </c>
      <c r="D390" s="749" t="s">
        <v>1366</v>
      </c>
      <c r="E390" s="749" t="s">
        <v>2413</v>
      </c>
      <c r="F390" s="749" t="s">
        <v>2493</v>
      </c>
      <c r="G390" s="798" t="s">
        <v>1267</v>
      </c>
      <c r="H390" s="776" t="n">
        <v>80300000</v>
      </c>
      <c r="I390" s="777" t="n">
        <v>82</v>
      </c>
      <c r="J390" s="778" t="n">
        <f aca="false">IF(I390="","",H390/I390)</f>
        <v>979268.292682927</v>
      </c>
      <c r="K390" s="749" t="s">
        <v>2361</v>
      </c>
      <c r="L390" s="774" t="n">
        <v>41180</v>
      </c>
      <c r="M390" s="774" t="n">
        <v>41445</v>
      </c>
      <c r="O390" s="799" t="n">
        <v>4.12</v>
      </c>
      <c r="P390" s="749" t="s">
        <v>2613</v>
      </c>
      <c r="Q390" s="749" t="s">
        <v>2363</v>
      </c>
    </row>
    <row r="391" customFormat="false" ht="16.5" hidden="false" customHeight="true" outlineLevel="0" collapsed="false">
      <c r="A391" s="747" t="s">
        <v>2335</v>
      </c>
      <c r="B391" s="774" t="n">
        <v>41177</v>
      </c>
      <c r="D391" s="749" t="s">
        <v>2344</v>
      </c>
      <c r="E391" s="749" t="s">
        <v>2550</v>
      </c>
      <c r="F391" s="749" t="s">
        <v>2551</v>
      </c>
      <c r="G391" s="798" t="s">
        <v>1267</v>
      </c>
      <c r="H391" s="776" t="n">
        <v>19000000</v>
      </c>
      <c r="I391" s="777" t="n">
        <v>82</v>
      </c>
      <c r="J391" s="778" t="n">
        <f aca="false">IF(I391="","",H391/I391)</f>
        <v>231707.317073171</v>
      </c>
      <c r="K391" s="749" t="s">
        <v>2361</v>
      </c>
      <c r="L391" s="774" t="n">
        <v>41180</v>
      </c>
      <c r="M391" s="774" t="n">
        <v>41544</v>
      </c>
      <c r="O391" s="799" t="n">
        <v>3</v>
      </c>
      <c r="P391" s="749" t="s">
        <v>2613</v>
      </c>
      <c r="Q391" s="749" t="s">
        <v>2363</v>
      </c>
    </row>
    <row r="392" customFormat="false" ht="16.5" hidden="false" customHeight="true" outlineLevel="0" collapsed="false">
      <c r="A392" s="747" t="s">
        <v>2335</v>
      </c>
      <c r="B392" s="774" t="n">
        <v>41177</v>
      </c>
      <c r="D392" s="749" t="s">
        <v>2344</v>
      </c>
      <c r="E392" s="749" t="s">
        <v>2550</v>
      </c>
      <c r="F392" s="749" t="s">
        <v>2774</v>
      </c>
      <c r="G392" s="798" t="s">
        <v>1267</v>
      </c>
      <c r="H392" s="776" t="n">
        <v>45000000</v>
      </c>
      <c r="I392" s="777" t="n">
        <v>82</v>
      </c>
      <c r="J392" s="778" t="n">
        <f aca="false">IF(I392="","",H392/I392)</f>
        <v>548780.487804878</v>
      </c>
      <c r="K392" s="749" t="s">
        <v>2361</v>
      </c>
      <c r="L392" s="774" t="n">
        <v>41185</v>
      </c>
      <c r="M392" s="774" t="n">
        <v>41367</v>
      </c>
      <c r="O392" s="799" t="n">
        <v>3</v>
      </c>
      <c r="P392" s="749" t="s">
        <v>2613</v>
      </c>
      <c r="Q392" s="749" t="s">
        <v>2363</v>
      </c>
    </row>
    <row r="393" customFormat="false" ht="16.5" hidden="false" customHeight="true" outlineLevel="0" collapsed="false">
      <c r="A393" s="747" t="s">
        <v>2335</v>
      </c>
      <c r="B393" s="774" t="n">
        <v>41179</v>
      </c>
      <c r="D393" s="749" t="s">
        <v>103</v>
      </c>
      <c r="E393" s="749" t="s">
        <v>2564</v>
      </c>
      <c r="F393" s="749" t="s">
        <v>2775</v>
      </c>
      <c r="G393" s="798" t="s">
        <v>2136</v>
      </c>
      <c r="H393" s="776" t="n">
        <v>5000000</v>
      </c>
      <c r="I393" s="777" t="n">
        <v>1</v>
      </c>
      <c r="J393" s="778" t="n">
        <f aca="false">IF(I393="","",H393/I393)</f>
        <v>5000000</v>
      </c>
      <c r="K393" s="749" t="s">
        <v>2336</v>
      </c>
      <c r="L393" s="774" t="n">
        <v>41179</v>
      </c>
      <c r="M393" s="774" t="n">
        <v>42274</v>
      </c>
      <c r="O393" s="799" t="n">
        <v>4.9</v>
      </c>
      <c r="P393" s="749" t="s">
        <v>2613</v>
      </c>
      <c r="Q393" s="749" t="s">
        <v>2363</v>
      </c>
    </row>
    <row r="394" customFormat="false" ht="16.5" hidden="false" customHeight="true" outlineLevel="0" collapsed="false">
      <c r="A394" s="747" t="s">
        <v>2335</v>
      </c>
      <c r="B394" s="774" t="n">
        <v>41180</v>
      </c>
      <c r="D394" s="749" t="s">
        <v>2375</v>
      </c>
      <c r="E394" s="749" t="s">
        <v>2601</v>
      </c>
      <c r="F394" s="749" t="s">
        <v>2514</v>
      </c>
      <c r="G394" s="798" t="s">
        <v>1267</v>
      </c>
      <c r="H394" s="776" t="n">
        <v>66000000</v>
      </c>
      <c r="I394" s="777" t="n">
        <v>82</v>
      </c>
      <c r="J394" s="778" t="n">
        <f aca="false">IF(I394="","",H394/I394)</f>
        <v>804878.048780488</v>
      </c>
      <c r="K394" s="749" t="s">
        <v>2361</v>
      </c>
      <c r="L394" s="774" t="n">
        <v>41184</v>
      </c>
      <c r="M394" s="774" t="n">
        <v>41549</v>
      </c>
      <c r="O394" s="799" t="n">
        <v>3.65</v>
      </c>
      <c r="P394" s="749" t="s">
        <v>2613</v>
      </c>
      <c r="Q394" s="749" t="s">
        <v>2363</v>
      </c>
    </row>
    <row r="395" customFormat="false" ht="16.5" hidden="false" customHeight="true" outlineLevel="0" collapsed="false">
      <c r="A395" s="747" t="s">
        <v>2335</v>
      </c>
      <c r="B395" s="774" t="n">
        <v>41187</v>
      </c>
      <c r="D395" s="749" t="s">
        <v>597</v>
      </c>
      <c r="E395" s="749" t="s">
        <v>2624</v>
      </c>
      <c r="F395" s="749" t="s">
        <v>2523</v>
      </c>
      <c r="G395" s="798" t="s">
        <v>2136</v>
      </c>
      <c r="H395" s="776" t="n">
        <v>3000000</v>
      </c>
      <c r="I395" s="777" t="n">
        <v>1</v>
      </c>
      <c r="J395" s="778" t="n">
        <f aca="false">IF(I395="","",H395/I395)</f>
        <v>3000000</v>
      </c>
      <c r="K395" s="749" t="s">
        <v>2336</v>
      </c>
      <c r="L395" s="774" t="n">
        <v>41194</v>
      </c>
      <c r="M395" s="774" t="n">
        <v>41376</v>
      </c>
      <c r="O395" s="799" t="n">
        <v>2.5</v>
      </c>
      <c r="P395" s="749" t="s">
        <v>2613</v>
      </c>
      <c r="Q395" s="749" t="s">
        <v>2363</v>
      </c>
    </row>
    <row r="396" customFormat="false" ht="16.5" hidden="false" customHeight="true" outlineLevel="0" collapsed="false">
      <c r="A396" s="747" t="s">
        <v>2335</v>
      </c>
      <c r="B396" s="774" t="n">
        <v>41190</v>
      </c>
      <c r="D396" s="749" t="s">
        <v>2344</v>
      </c>
      <c r="E396" s="749" t="s">
        <v>2524</v>
      </c>
      <c r="F396" s="749" t="s">
        <v>2525</v>
      </c>
      <c r="G396" s="798" t="s">
        <v>1267</v>
      </c>
      <c r="H396" s="776" t="n">
        <v>13000000</v>
      </c>
      <c r="I396" s="777" t="n">
        <v>82</v>
      </c>
      <c r="J396" s="778" t="n">
        <f aca="false">IF(I396="","",H396/I396)</f>
        <v>158536.585365854</v>
      </c>
      <c r="K396" s="749" t="s">
        <v>2361</v>
      </c>
      <c r="L396" s="774" t="n">
        <v>41190</v>
      </c>
      <c r="M396" s="774" t="n">
        <v>41555</v>
      </c>
      <c r="O396" s="799" t="n">
        <v>4.23</v>
      </c>
      <c r="P396" s="749" t="s">
        <v>2613</v>
      </c>
      <c r="Q396" s="749" t="s">
        <v>2363</v>
      </c>
    </row>
    <row r="397" customFormat="false" ht="16.5" hidden="false" customHeight="true" outlineLevel="0" collapsed="false">
      <c r="A397" s="747" t="s">
        <v>2335</v>
      </c>
      <c r="B397" s="774" t="n">
        <v>41197</v>
      </c>
      <c r="D397" s="749" t="s">
        <v>2520</v>
      </c>
      <c r="E397" s="749" t="s">
        <v>2776</v>
      </c>
      <c r="F397" s="749" t="s">
        <v>2521</v>
      </c>
      <c r="G397" s="798" t="s">
        <v>1267</v>
      </c>
      <c r="H397" s="776" t="n">
        <v>65000000</v>
      </c>
      <c r="I397" s="777" t="n">
        <v>82</v>
      </c>
      <c r="J397" s="778" t="n">
        <f aca="false">IF(I397="","",H397/I397)</f>
        <v>792682.926829268</v>
      </c>
      <c r="K397" s="749" t="s">
        <v>2361</v>
      </c>
      <c r="L397" s="774" t="n">
        <v>41197</v>
      </c>
      <c r="M397" s="774" t="n">
        <v>41379</v>
      </c>
      <c r="O397" s="799" t="n">
        <v>4.45</v>
      </c>
      <c r="P397" s="749" t="s">
        <v>2613</v>
      </c>
      <c r="Q397" s="749" t="s">
        <v>2363</v>
      </c>
    </row>
    <row r="398" customFormat="false" ht="16.5" hidden="false" customHeight="true" outlineLevel="0" collapsed="false">
      <c r="A398" s="747" t="s">
        <v>2335</v>
      </c>
      <c r="B398" s="774" t="n">
        <v>41205</v>
      </c>
      <c r="D398" s="749" t="s">
        <v>2384</v>
      </c>
      <c r="E398" s="749" t="s">
        <v>2385</v>
      </c>
      <c r="F398" s="749" t="s">
        <v>2777</v>
      </c>
      <c r="G398" s="798" t="s">
        <v>1267</v>
      </c>
      <c r="H398" s="776" t="n">
        <v>41000000</v>
      </c>
      <c r="I398" s="777" t="n">
        <v>82</v>
      </c>
      <c r="J398" s="778" t="n">
        <f aca="false">IF(I398="","",H398/I398)</f>
        <v>500000</v>
      </c>
      <c r="K398" s="749" t="s">
        <v>2361</v>
      </c>
      <c r="L398" s="774" t="n">
        <v>41208</v>
      </c>
      <c r="M398" s="774" t="n">
        <v>41573</v>
      </c>
      <c r="O398" s="799" t="n">
        <v>3.91</v>
      </c>
      <c r="P398" s="749" t="s">
        <v>2613</v>
      </c>
      <c r="Q398" s="749" t="s">
        <v>2363</v>
      </c>
    </row>
    <row r="399" customFormat="false" ht="16.5" hidden="false" customHeight="true" outlineLevel="0" collapsed="false">
      <c r="A399" s="747" t="s">
        <v>2335</v>
      </c>
      <c r="B399" s="774" t="n">
        <v>41205</v>
      </c>
      <c r="D399" s="749" t="s">
        <v>1366</v>
      </c>
      <c r="E399" s="749" t="s">
        <v>2778</v>
      </c>
      <c r="F399" s="749" t="s">
        <v>2543</v>
      </c>
      <c r="G399" s="798" t="s">
        <v>1267</v>
      </c>
      <c r="H399" s="776" t="n">
        <v>19400000</v>
      </c>
      <c r="I399" s="777" t="n">
        <v>82</v>
      </c>
      <c r="J399" s="778" t="n">
        <f aca="false">IF(I399="","",H399/I399)</f>
        <v>236585.365853659</v>
      </c>
      <c r="K399" s="749" t="s">
        <v>2361</v>
      </c>
      <c r="L399" s="774" t="n">
        <v>41212</v>
      </c>
      <c r="M399" s="774" t="n">
        <v>41213</v>
      </c>
      <c r="O399" s="799" t="n">
        <v>3.94</v>
      </c>
      <c r="P399" s="749" t="s">
        <v>2613</v>
      </c>
      <c r="Q399" s="749" t="s">
        <v>2363</v>
      </c>
    </row>
    <row r="400" customFormat="false" ht="16.5" hidden="false" customHeight="true" outlineLevel="0" collapsed="false">
      <c r="A400" s="747" t="s">
        <v>2335</v>
      </c>
      <c r="B400" s="774" t="n">
        <v>41206</v>
      </c>
      <c r="D400" s="749" t="s">
        <v>2372</v>
      </c>
      <c r="E400" s="749" t="s">
        <v>2692</v>
      </c>
      <c r="F400" s="749" t="s">
        <v>2545</v>
      </c>
      <c r="G400" s="798" t="s">
        <v>1267</v>
      </c>
      <c r="H400" s="776" t="n">
        <v>39870000</v>
      </c>
      <c r="I400" s="777" t="n">
        <v>82</v>
      </c>
      <c r="J400" s="778" t="n">
        <f aca="false">IF(I400="","",H400/I400)</f>
        <v>486219.512195122</v>
      </c>
      <c r="K400" s="749" t="s">
        <v>2361</v>
      </c>
      <c r="L400" s="774" t="n">
        <v>41212</v>
      </c>
      <c r="M400" s="774" t="n">
        <v>41577</v>
      </c>
      <c r="O400" s="799" t="n">
        <v>3.9</v>
      </c>
      <c r="P400" s="749" t="s">
        <v>2613</v>
      </c>
      <c r="Q400" s="749" t="s">
        <v>2363</v>
      </c>
    </row>
    <row r="401" customFormat="false" ht="16.5" hidden="false" customHeight="true" outlineLevel="0" collapsed="false">
      <c r="A401" s="747" t="s">
        <v>2335</v>
      </c>
      <c r="B401" s="774" t="n">
        <v>41206</v>
      </c>
      <c r="D401" s="749" t="s">
        <v>2530</v>
      </c>
      <c r="E401" s="749" t="s">
        <v>2779</v>
      </c>
      <c r="F401" s="749" t="s">
        <v>2532</v>
      </c>
      <c r="G401" s="798" t="s">
        <v>1267</v>
      </c>
      <c r="H401" s="776" t="n">
        <v>210000000</v>
      </c>
      <c r="I401" s="777" t="n">
        <v>82</v>
      </c>
      <c r="J401" s="778" t="n">
        <f aca="false">IF(I401="","",H401/I401)</f>
        <v>2560975.6097561</v>
      </c>
      <c r="K401" s="749" t="s">
        <v>2361</v>
      </c>
      <c r="L401" s="774" t="n">
        <v>41207</v>
      </c>
      <c r="M401" s="774" t="n">
        <v>41389</v>
      </c>
      <c r="O401" s="799" t="n">
        <v>3.85</v>
      </c>
      <c r="P401" s="749" t="s">
        <v>2613</v>
      </c>
      <c r="Q401" s="749" t="s">
        <v>2363</v>
      </c>
    </row>
    <row r="402" customFormat="false" ht="16.5" hidden="false" customHeight="true" outlineLevel="0" collapsed="false">
      <c r="A402" s="747" t="s">
        <v>2335</v>
      </c>
      <c r="B402" s="774" t="n">
        <v>41208</v>
      </c>
      <c r="D402" s="798" t="s">
        <v>2403</v>
      </c>
      <c r="E402" s="749" t="s">
        <v>2640</v>
      </c>
      <c r="F402" s="749" t="s">
        <v>2538</v>
      </c>
      <c r="G402" s="798" t="s">
        <v>1267</v>
      </c>
      <c r="H402" s="776" t="n">
        <v>22800000</v>
      </c>
      <c r="I402" s="777" t="n">
        <v>82</v>
      </c>
      <c r="J402" s="778" t="n">
        <f aca="false">IF(I402="","",H402/I402)</f>
        <v>278048.780487805</v>
      </c>
      <c r="K402" s="749" t="s">
        <v>2361</v>
      </c>
      <c r="L402" s="774" t="n">
        <v>41210</v>
      </c>
      <c r="M402" s="774" t="n">
        <v>41393</v>
      </c>
      <c r="O402" s="799" t="n">
        <v>4</v>
      </c>
      <c r="P402" s="749" t="s">
        <v>2613</v>
      </c>
      <c r="Q402" s="749" t="s">
        <v>2363</v>
      </c>
    </row>
    <row r="403" customFormat="false" ht="16.5" hidden="false" customHeight="true" outlineLevel="0" collapsed="false">
      <c r="A403" s="747" t="s">
        <v>2335</v>
      </c>
      <c r="B403" s="774" t="n">
        <v>41208</v>
      </c>
      <c r="D403" s="798" t="s">
        <v>2403</v>
      </c>
      <c r="E403" s="749" t="s">
        <v>2640</v>
      </c>
      <c r="F403" s="749" t="s">
        <v>2540</v>
      </c>
      <c r="G403" s="798" t="s">
        <v>1267</v>
      </c>
      <c r="H403" s="776" t="n">
        <v>17600000</v>
      </c>
      <c r="I403" s="777" t="n">
        <v>82</v>
      </c>
      <c r="J403" s="778" t="n">
        <f aca="false">IF(I403="","",H403/I403)</f>
        <v>214634.146341463</v>
      </c>
      <c r="K403" s="749" t="s">
        <v>2361</v>
      </c>
      <c r="L403" s="774" t="n">
        <v>41211</v>
      </c>
      <c r="M403" s="774" t="n">
        <v>41393</v>
      </c>
      <c r="O403" s="783" t="n">
        <v>4</v>
      </c>
      <c r="P403" s="749" t="s">
        <v>2613</v>
      </c>
      <c r="Q403" s="749" t="s">
        <v>2363</v>
      </c>
    </row>
    <row r="404" customFormat="false" ht="16.5" hidden="false" customHeight="true" outlineLevel="0" collapsed="false">
      <c r="A404" s="747" t="s">
        <v>2335</v>
      </c>
      <c r="B404" s="774" t="n">
        <v>41208</v>
      </c>
      <c r="D404" s="798" t="s">
        <v>2403</v>
      </c>
      <c r="E404" s="749" t="s">
        <v>2640</v>
      </c>
      <c r="F404" s="749" t="s">
        <v>2539</v>
      </c>
      <c r="G404" s="798" t="s">
        <v>1267</v>
      </c>
      <c r="H404" s="776" t="n">
        <v>27000000</v>
      </c>
      <c r="I404" s="777" t="n">
        <v>82</v>
      </c>
      <c r="J404" s="778" t="n">
        <f aca="false">IF(I404="","",H404/I404)</f>
        <v>329268.292682927</v>
      </c>
      <c r="K404" s="749" t="s">
        <v>2361</v>
      </c>
      <c r="L404" s="774" t="n">
        <v>41211</v>
      </c>
      <c r="M404" s="774" t="n">
        <v>41393</v>
      </c>
      <c r="O404" s="783" t="n">
        <v>4</v>
      </c>
      <c r="P404" s="749" t="s">
        <v>2613</v>
      </c>
      <c r="Q404" s="749" t="s">
        <v>2363</v>
      </c>
    </row>
    <row r="405" customFormat="false" ht="16.5" hidden="false" customHeight="true" outlineLevel="0" collapsed="false">
      <c r="A405" s="747" t="s">
        <v>2335</v>
      </c>
      <c r="B405" s="774" t="n">
        <v>41208</v>
      </c>
      <c r="D405" s="798" t="s">
        <v>2403</v>
      </c>
      <c r="E405" s="749" t="s">
        <v>2640</v>
      </c>
      <c r="F405" s="749" t="s">
        <v>2541</v>
      </c>
      <c r="G405" s="798" t="s">
        <v>2136</v>
      </c>
      <c r="H405" s="776" t="n">
        <v>464000</v>
      </c>
      <c r="I405" s="777" t="n">
        <v>1</v>
      </c>
      <c r="J405" s="778" t="n">
        <f aca="false">IF(I405="","",H405/I405)</f>
        <v>464000</v>
      </c>
      <c r="K405" s="749" t="s">
        <v>2361</v>
      </c>
      <c r="L405" s="774" t="n">
        <v>41211</v>
      </c>
      <c r="M405" s="774" t="n">
        <v>41392</v>
      </c>
      <c r="O405" s="783" t="n">
        <v>3.5</v>
      </c>
      <c r="P405" s="749" t="s">
        <v>2613</v>
      </c>
      <c r="Q405" s="749" t="s">
        <v>2363</v>
      </c>
    </row>
    <row r="406" customFormat="false" ht="16.5" hidden="false" customHeight="true" outlineLevel="0" collapsed="false">
      <c r="A406" s="747" t="s">
        <v>2335</v>
      </c>
      <c r="B406" s="774" t="n">
        <v>41211</v>
      </c>
      <c r="D406" s="749" t="s">
        <v>1366</v>
      </c>
      <c r="E406" s="749" t="s">
        <v>2413</v>
      </c>
      <c r="F406" s="749" t="s">
        <v>2544</v>
      </c>
      <c r="G406" s="798" t="s">
        <v>1267</v>
      </c>
      <c r="H406" s="776" t="n">
        <v>66000000</v>
      </c>
      <c r="I406" s="777" t="n">
        <v>82</v>
      </c>
      <c r="J406" s="778" t="n">
        <f aca="false">IF(I406="","",H406/I406)</f>
        <v>804878.048780488</v>
      </c>
      <c r="K406" s="749" t="s">
        <v>2361</v>
      </c>
      <c r="L406" s="774" t="n">
        <v>41213</v>
      </c>
      <c r="M406" s="774" t="n">
        <v>41578</v>
      </c>
      <c r="O406" s="783" t="n">
        <v>3.6</v>
      </c>
      <c r="P406" s="749" t="s">
        <v>2613</v>
      </c>
      <c r="Q406" s="749" t="s">
        <v>2363</v>
      </c>
    </row>
    <row r="407" customFormat="false" ht="16.5" hidden="false" customHeight="true" outlineLevel="0" collapsed="false">
      <c r="A407" s="747" t="s">
        <v>2335</v>
      </c>
      <c r="B407" s="774" t="n">
        <v>41211</v>
      </c>
      <c r="D407" s="749" t="s">
        <v>2358</v>
      </c>
      <c r="E407" s="749" t="s">
        <v>2636</v>
      </c>
      <c r="F407" s="749" t="s">
        <v>2549</v>
      </c>
      <c r="G407" s="798" t="s">
        <v>1267</v>
      </c>
      <c r="H407" s="776" t="n">
        <v>630000000</v>
      </c>
      <c r="I407" s="777" t="n">
        <v>82</v>
      </c>
      <c r="J407" s="778" t="n">
        <f aca="false">IF(I407="","",H407/I407)</f>
        <v>7682926.82926829</v>
      </c>
      <c r="K407" s="749" t="s">
        <v>2361</v>
      </c>
      <c r="L407" s="774" t="n">
        <v>41213</v>
      </c>
      <c r="M407" s="774" t="n">
        <v>41394</v>
      </c>
      <c r="O407" s="783" t="n">
        <v>3.94</v>
      </c>
      <c r="P407" s="749" t="s">
        <v>2613</v>
      </c>
      <c r="Q407" s="749" t="s">
        <v>2363</v>
      </c>
    </row>
    <row r="408" customFormat="false" ht="16.5" hidden="false" customHeight="true" outlineLevel="0" collapsed="false">
      <c r="A408" s="747" t="s">
        <v>2335</v>
      </c>
      <c r="B408" s="774" t="n">
        <v>41215</v>
      </c>
      <c r="D408" s="749" t="s">
        <v>2358</v>
      </c>
      <c r="E408" s="749" t="s">
        <v>2636</v>
      </c>
      <c r="F408" s="749" t="s">
        <v>2557</v>
      </c>
      <c r="G408" s="798" t="s">
        <v>1267</v>
      </c>
      <c r="H408" s="776" t="n">
        <v>300000000</v>
      </c>
      <c r="I408" s="777" t="n">
        <v>82</v>
      </c>
      <c r="J408" s="778" t="n">
        <f aca="false">IF(I408="","",H408/I408)</f>
        <v>3658536.58536585</v>
      </c>
      <c r="K408" s="749" t="s">
        <v>2361</v>
      </c>
      <c r="L408" s="774" t="n">
        <v>41219</v>
      </c>
      <c r="M408" s="774" t="n">
        <v>41401</v>
      </c>
      <c r="O408" s="783" t="n">
        <v>4.04</v>
      </c>
      <c r="P408" s="749" t="s">
        <v>2613</v>
      </c>
      <c r="Q408" s="749" t="s">
        <v>2363</v>
      </c>
    </row>
    <row r="409" customFormat="false" ht="16.5" hidden="false" customHeight="true" outlineLevel="0" collapsed="false">
      <c r="A409" s="747" t="s">
        <v>2335</v>
      </c>
      <c r="B409" s="774" t="n">
        <v>41215</v>
      </c>
      <c r="D409" s="749" t="s">
        <v>2358</v>
      </c>
      <c r="E409" s="749" t="s">
        <v>2636</v>
      </c>
      <c r="F409" s="749" t="s">
        <v>2558</v>
      </c>
      <c r="G409" s="798" t="s">
        <v>1267</v>
      </c>
      <c r="H409" s="776" t="n">
        <v>541000000</v>
      </c>
      <c r="I409" s="777" t="n">
        <v>82</v>
      </c>
      <c r="J409" s="778" t="n">
        <f aca="false">IF(I409="","",H409/I409)</f>
        <v>6597560.97560976</v>
      </c>
      <c r="K409" s="749" t="s">
        <v>2361</v>
      </c>
      <c r="L409" s="774" t="n">
        <v>41219</v>
      </c>
      <c r="M409" s="774" t="n">
        <v>41584</v>
      </c>
      <c r="O409" s="783" t="n">
        <v>3.8</v>
      </c>
      <c r="P409" s="749" t="s">
        <v>2613</v>
      </c>
      <c r="Q409" s="749" t="s">
        <v>2363</v>
      </c>
    </row>
    <row r="410" customFormat="false" ht="16.5" hidden="false" customHeight="true" outlineLevel="0" collapsed="false">
      <c r="A410" s="747" t="s">
        <v>2190</v>
      </c>
      <c r="B410" s="774" t="n">
        <v>41215</v>
      </c>
      <c r="D410" s="749" t="s">
        <v>2430</v>
      </c>
      <c r="E410" s="749" t="s">
        <v>2431</v>
      </c>
      <c r="F410" s="749" t="s">
        <v>2780</v>
      </c>
      <c r="G410" s="798" t="s">
        <v>2136</v>
      </c>
      <c r="H410" s="776" t="n">
        <v>72900</v>
      </c>
      <c r="I410" s="777" t="n">
        <v>1</v>
      </c>
      <c r="J410" s="778" t="n">
        <f aca="false">IF(I410="","",H410/I410)</f>
        <v>72900</v>
      </c>
      <c r="K410" s="749" t="s">
        <v>2336</v>
      </c>
      <c r="L410" s="774" t="n">
        <v>41215</v>
      </c>
      <c r="M410" s="774" t="n">
        <v>41580</v>
      </c>
      <c r="O410" s="799" t="n">
        <v>3.07</v>
      </c>
      <c r="P410" s="749" t="s">
        <v>2606</v>
      </c>
      <c r="Q410" s="749" t="s">
        <v>2607</v>
      </c>
    </row>
    <row r="411" customFormat="false" ht="16.5" hidden="false" customHeight="true" outlineLevel="0" collapsed="false">
      <c r="A411" s="747" t="s">
        <v>2335</v>
      </c>
      <c r="B411" s="774" t="n">
        <v>41218</v>
      </c>
      <c r="D411" s="749" t="s">
        <v>2344</v>
      </c>
      <c r="E411" s="749" t="s">
        <v>2550</v>
      </c>
      <c r="F411" s="749" t="s">
        <v>2551</v>
      </c>
      <c r="G411" s="798" t="s">
        <v>1267</v>
      </c>
      <c r="H411" s="776" t="n">
        <v>158300000</v>
      </c>
      <c r="I411" s="777" t="n">
        <v>82</v>
      </c>
      <c r="J411" s="778" t="n">
        <f aca="false">IF(I411="","",H411/I411)</f>
        <v>1930487.80487805</v>
      </c>
      <c r="K411" s="749" t="s">
        <v>2361</v>
      </c>
      <c r="L411" s="774" t="n">
        <v>41227</v>
      </c>
      <c r="M411" s="774" t="n">
        <v>41415</v>
      </c>
      <c r="O411" s="783" t="n">
        <v>3</v>
      </c>
      <c r="P411" s="749" t="s">
        <v>2613</v>
      </c>
      <c r="Q411" s="749" t="s">
        <v>2363</v>
      </c>
    </row>
    <row r="412" customFormat="false" ht="16.5" hidden="false" customHeight="true" outlineLevel="0" collapsed="false">
      <c r="A412" s="747" t="s">
        <v>2335</v>
      </c>
      <c r="B412" s="774" t="n">
        <v>41218</v>
      </c>
      <c r="D412" s="749" t="s">
        <v>133</v>
      </c>
      <c r="E412" s="749" t="s">
        <v>2584</v>
      </c>
      <c r="F412" s="749" t="s">
        <v>2585</v>
      </c>
      <c r="G412" s="798" t="s">
        <v>1267</v>
      </c>
      <c r="H412" s="776" t="n">
        <v>11700000</v>
      </c>
      <c r="I412" s="777" t="n">
        <v>82</v>
      </c>
      <c r="J412" s="778" t="n">
        <f aca="false">IF(I412="","",H412/I412)</f>
        <v>142682.926829268</v>
      </c>
      <c r="K412" s="749" t="s">
        <v>2361</v>
      </c>
      <c r="L412" s="774" t="n">
        <v>41220</v>
      </c>
      <c r="M412" s="774" t="n">
        <v>41607</v>
      </c>
      <c r="O412" s="783" t="n">
        <v>2.95</v>
      </c>
      <c r="P412" s="749" t="s">
        <v>2613</v>
      </c>
      <c r="Q412" s="749" t="s">
        <v>2363</v>
      </c>
    </row>
    <row r="413" customFormat="false" ht="16.5" hidden="false" customHeight="true" outlineLevel="0" collapsed="false">
      <c r="A413" s="747" t="s">
        <v>2335</v>
      </c>
      <c r="B413" s="774" t="n">
        <v>41219</v>
      </c>
      <c r="D413" s="749" t="s">
        <v>124</v>
      </c>
      <c r="E413" s="749" t="s">
        <v>2733</v>
      </c>
      <c r="F413" s="749" t="s">
        <v>2553</v>
      </c>
      <c r="G413" s="798" t="s">
        <v>1267</v>
      </c>
      <c r="H413" s="776" t="n">
        <v>95000000</v>
      </c>
      <c r="I413" s="777" t="n">
        <v>82</v>
      </c>
      <c r="J413" s="778" t="n">
        <f aca="false">IF(I413="","",H413/I413)</f>
        <v>1158536.58536585</v>
      </c>
      <c r="K413" s="749" t="s">
        <v>2361</v>
      </c>
      <c r="L413" s="774" t="n">
        <v>41222</v>
      </c>
      <c r="M413" s="774" t="n">
        <v>41587</v>
      </c>
      <c r="O413" s="783" t="n">
        <v>4.03</v>
      </c>
      <c r="P413" s="749" t="s">
        <v>2613</v>
      </c>
      <c r="Q413" s="749" t="s">
        <v>2363</v>
      </c>
    </row>
    <row r="414" customFormat="false" ht="16.5" hidden="false" customHeight="true" outlineLevel="0" collapsed="false">
      <c r="A414" s="747" t="s">
        <v>2335</v>
      </c>
      <c r="B414" s="774" t="n">
        <v>41221</v>
      </c>
      <c r="D414" s="749" t="s">
        <v>2358</v>
      </c>
      <c r="E414" s="749" t="s">
        <v>2636</v>
      </c>
      <c r="F414" s="749" t="s">
        <v>2562</v>
      </c>
      <c r="G414" s="798" t="s">
        <v>1267</v>
      </c>
      <c r="H414" s="776" t="n">
        <v>100000000</v>
      </c>
      <c r="I414" s="777" t="n">
        <v>82</v>
      </c>
      <c r="J414" s="778" t="n">
        <f aca="false">IF(I414="","",H414/I414)</f>
        <v>1219512.19512195</v>
      </c>
      <c r="K414" s="749" t="s">
        <v>2361</v>
      </c>
      <c r="L414" s="774" t="n">
        <v>41222</v>
      </c>
      <c r="M414" s="774" t="n">
        <v>41403</v>
      </c>
      <c r="O414" s="783" t="n">
        <v>4.6</v>
      </c>
      <c r="P414" s="749" t="s">
        <v>2613</v>
      </c>
      <c r="Q414" s="749" t="s">
        <v>2363</v>
      </c>
    </row>
    <row r="415" customFormat="false" ht="16.5" hidden="false" customHeight="true" outlineLevel="0" collapsed="false">
      <c r="A415" s="747" t="s">
        <v>2190</v>
      </c>
      <c r="B415" s="774" t="n">
        <v>41221</v>
      </c>
      <c r="D415" s="749" t="s">
        <v>103</v>
      </c>
      <c r="E415" s="749" t="s">
        <v>2739</v>
      </c>
      <c r="F415" s="749" t="s">
        <v>2781</v>
      </c>
      <c r="G415" s="798" t="s">
        <v>2136</v>
      </c>
      <c r="H415" s="776" t="n">
        <v>2000000</v>
      </c>
      <c r="I415" s="777" t="n">
        <v>1</v>
      </c>
      <c r="J415" s="778" t="n">
        <f aca="false">IF(I415="","",H415/I415)</f>
        <v>2000000</v>
      </c>
      <c r="K415" s="749" t="s">
        <v>2336</v>
      </c>
      <c r="L415" s="774" t="n">
        <v>41222</v>
      </c>
      <c r="M415" s="774" t="n">
        <v>41587</v>
      </c>
      <c r="O415" s="799" t="n">
        <v>2.88</v>
      </c>
      <c r="P415" s="749" t="s">
        <v>2606</v>
      </c>
      <c r="Q415" s="749" t="s">
        <v>2607</v>
      </c>
    </row>
    <row r="416" customFormat="false" ht="16.5" hidden="false" customHeight="true" outlineLevel="0" collapsed="false">
      <c r="A416" s="747" t="s">
        <v>2335</v>
      </c>
      <c r="B416" s="774" t="n">
        <v>41225</v>
      </c>
      <c r="D416" s="749" t="s">
        <v>2358</v>
      </c>
      <c r="E416" s="749" t="s">
        <v>2636</v>
      </c>
      <c r="F416" s="749" t="s">
        <v>2782</v>
      </c>
      <c r="G416" s="798" t="s">
        <v>1267</v>
      </c>
      <c r="H416" s="776" t="n">
        <v>75000000</v>
      </c>
      <c r="I416" s="777" t="n">
        <v>82</v>
      </c>
      <c r="J416" s="778" t="n">
        <f aca="false">IF(I416="","",H416/I416)</f>
        <v>914634.146341463</v>
      </c>
      <c r="K416" s="749" t="s">
        <v>2361</v>
      </c>
      <c r="L416" s="774" t="n">
        <v>41226</v>
      </c>
      <c r="M416" s="774" t="n">
        <v>41408</v>
      </c>
      <c r="O416" s="783" t="n">
        <v>3.8</v>
      </c>
      <c r="P416" s="749" t="s">
        <v>2613</v>
      </c>
      <c r="Q416" s="749" t="s">
        <v>2363</v>
      </c>
    </row>
    <row r="417" customFormat="false" ht="16.5" hidden="false" customHeight="true" outlineLevel="0" collapsed="false">
      <c r="A417" s="747" t="s">
        <v>2335</v>
      </c>
      <c r="B417" s="774" t="n">
        <v>41225</v>
      </c>
      <c r="D417" s="749" t="s">
        <v>2344</v>
      </c>
      <c r="E417" s="749" t="s">
        <v>2550</v>
      </c>
      <c r="F417" s="749" t="s">
        <v>2774</v>
      </c>
      <c r="G417" s="798" t="s">
        <v>1267</v>
      </c>
      <c r="H417" s="776" t="n">
        <v>92000000</v>
      </c>
      <c r="I417" s="777" t="n">
        <v>82</v>
      </c>
      <c r="J417" s="778" t="n">
        <f aca="false">IF(I417="","",H417/I417)</f>
        <v>1121951.2195122</v>
      </c>
      <c r="K417" s="749" t="s">
        <v>2361</v>
      </c>
      <c r="L417" s="774" t="n">
        <v>41226</v>
      </c>
      <c r="M417" s="774" t="n">
        <v>41408</v>
      </c>
      <c r="O417" s="783" t="n">
        <v>4</v>
      </c>
      <c r="P417" s="749" t="s">
        <v>2613</v>
      </c>
      <c r="Q417" s="749" t="s">
        <v>2363</v>
      </c>
    </row>
    <row r="418" customFormat="false" ht="16.5" hidden="false" customHeight="true" outlineLevel="0" collapsed="false">
      <c r="A418" s="747" t="s">
        <v>2335</v>
      </c>
      <c r="B418" s="774" t="n">
        <v>41226</v>
      </c>
      <c r="D418" s="749" t="s">
        <v>2367</v>
      </c>
      <c r="E418" s="749" t="s">
        <v>2443</v>
      </c>
      <c r="F418" s="749" t="s">
        <v>2571</v>
      </c>
      <c r="G418" s="798" t="s">
        <v>1267</v>
      </c>
      <c r="H418" s="776" t="n">
        <v>120000000</v>
      </c>
      <c r="I418" s="777" t="n">
        <v>82</v>
      </c>
      <c r="J418" s="778" t="n">
        <f aca="false">IF(I418="","",H418/I418)</f>
        <v>1463414.63414634</v>
      </c>
      <c r="K418" s="749" t="s">
        <v>2361</v>
      </c>
      <c r="L418" s="774" t="n">
        <v>41240</v>
      </c>
      <c r="M418" s="774" t="n">
        <v>41605</v>
      </c>
      <c r="O418" s="783" t="n">
        <v>3.6</v>
      </c>
      <c r="P418" s="749" t="s">
        <v>2613</v>
      </c>
      <c r="Q418" s="749" t="s">
        <v>2363</v>
      </c>
    </row>
    <row r="419" customFormat="false" ht="16.5" hidden="false" customHeight="true" outlineLevel="0" collapsed="false">
      <c r="A419" s="747" t="s">
        <v>2335</v>
      </c>
      <c r="B419" s="774" t="n">
        <v>41227</v>
      </c>
      <c r="D419" s="749" t="s">
        <v>2344</v>
      </c>
      <c r="E419" s="749" t="s">
        <v>2572</v>
      </c>
      <c r="F419" s="749" t="s">
        <v>2573</v>
      </c>
      <c r="G419" s="798" t="s">
        <v>1267</v>
      </c>
      <c r="H419" s="776" t="n">
        <v>79500000</v>
      </c>
      <c r="I419" s="777" t="n">
        <v>82</v>
      </c>
      <c r="J419" s="778" t="n">
        <f aca="false">IF(I419="","",H419/I419)</f>
        <v>969512.195121951</v>
      </c>
      <c r="K419" s="749" t="s">
        <v>2361</v>
      </c>
      <c r="L419" s="774" t="n">
        <v>41236</v>
      </c>
      <c r="M419" s="774" t="n">
        <v>41601</v>
      </c>
      <c r="O419" s="783" t="n">
        <v>3.9</v>
      </c>
      <c r="P419" s="749" t="s">
        <v>2613</v>
      </c>
      <c r="Q419" s="749" t="s">
        <v>2363</v>
      </c>
    </row>
    <row r="420" customFormat="false" ht="16.5" hidden="false" customHeight="true" outlineLevel="0" collapsed="false">
      <c r="A420" s="747" t="s">
        <v>2335</v>
      </c>
      <c r="B420" s="774" t="n">
        <v>41228</v>
      </c>
      <c r="D420" s="749" t="s">
        <v>2358</v>
      </c>
      <c r="E420" s="749" t="s">
        <v>2636</v>
      </c>
      <c r="F420" s="749" t="s">
        <v>2569</v>
      </c>
      <c r="G420" s="798" t="s">
        <v>1267</v>
      </c>
      <c r="H420" s="776" t="n">
        <v>77000000</v>
      </c>
      <c r="I420" s="777" t="n">
        <v>82</v>
      </c>
      <c r="J420" s="778" t="n">
        <f aca="false">IF(I420="","",H420/I420)</f>
        <v>939024.390243903</v>
      </c>
      <c r="K420" s="749" t="s">
        <v>2361</v>
      </c>
      <c r="L420" s="774" t="n">
        <v>41229</v>
      </c>
      <c r="M420" s="774" t="n">
        <v>41410</v>
      </c>
      <c r="O420" s="783" t="n">
        <v>4.34</v>
      </c>
      <c r="P420" s="749" t="s">
        <v>2613</v>
      </c>
      <c r="Q420" s="749" t="s">
        <v>2363</v>
      </c>
    </row>
    <row r="421" customFormat="false" ht="16.5" hidden="false" customHeight="true" outlineLevel="0" collapsed="false">
      <c r="A421" s="747" t="s">
        <v>2335</v>
      </c>
      <c r="B421" s="774" t="n">
        <v>41228</v>
      </c>
      <c r="D421" s="749" t="s">
        <v>209</v>
      </c>
      <c r="E421" s="749" t="s">
        <v>2450</v>
      </c>
      <c r="F421" s="749" t="s">
        <v>2451</v>
      </c>
      <c r="G421" s="798" t="s">
        <v>1267</v>
      </c>
      <c r="H421" s="776" t="n">
        <v>17000000</v>
      </c>
      <c r="I421" s="777" t="n">
        <v>82</v>
      </c>
      <c r="J421" s="778" t="n">
        <f aca="false">IF(I421="","",H421/I421)</f>
        <v>207317.073170732</v>
      </c>
      <c r="K421" s="749" t="s">
        <v>2361</v>
      </c>
      <c r="L421" s="774" t="n">
        <v>41231</v>
      </c>
      <c r="M421" s="774" t="n">
        <v>41596</v>
      </c>
      <c r="O421" s="783" t="n">
        <v>4.66</v>
      </c>
      <c r="P421" s="749" t="s">
        <v>2613</v>
      </c>
      <c r="Q421" s="749" t="s">
        <v>2363</v>
      </c>
    </row>
    <row r="422" customFormat="false" ht="16.5" hidden="false" customHeight="true" outlineLevel="0" collapsed="false">
      <c r="A422" s="747" t="s">
        <v>2190</v>
      </c>
      <c r="B422" s="774" t="n">
        <v>41233</v>
      </c>
      <c r="D422" s="749" t="s">
        <v>103</v>
      </c>
      <c r="E422" s="749" t="s">
        <v>2739</v>
      </c>
      <c r="F422" s="749" t="s">
        <v>2783</v>
      </c>
      <c r="G422" s="798" t="s">
        <v>1267</v>
      </c>
      <c r="H422" s="776" t="n">
        <v>109900000</v>
      </c>
      <c r="I422" s="777" t="n">
        <v>82</v>
      </c>
      <c r="J422" s="778" t="n">
        <f aca="false">IF(I422="","",H422/I422)</f>
        <v>1340243.90243902</v>
      </c>
      <c r="K422" s="749" t="s">
        <v>2336</v>
      </c>
      <c r="L422" s="774" t="n">
        <v>41234</v>
      </c>
      <c r="M422" s="774" t="n">
        <v>41415</v>
      </c>
      <c r="O422" s="801" t="n">
        <v>3.7</v>
      </c>
      <c r="P422" s="749" t="s">
        <v>2606</v>
      </c>
      <c r="Q422" s="749" t="s">
        <v>2607</v>
      </c>
    </row>
    <row r="423" customFormat="false" ht="16.5" hidden="false" customHeight="true" outlineLevel="0" collapsed="false">
      <c r="A423" s="747" t="s">
        <v>2335</v>
      </c>
      <c r="B423" s="774" t="n">
        <v>41234</v>
      </c>
      <c r="D423" s="749" t="s">
        <v>2358</v>
      </c>
      <c r="E423" s="749" t="s">
        <v>2636</v>
      </c>
      <c r="F423" s="749" t="s">
        <v>2574</v>
      </c>
      <c r="G423" s="798" t="s">
        <v>1267</v>
      </c>
      <c r="H423" s="776" t="n">
        <v>84400000</v>
      </c>
      <c r="I423" s="777" t="n">
        <v>82</v>
      </c>
      <c r="J423" s="778" t="n">
        <f aca="false">IF(I423="","",H423/I423)</f>
        <v>1029268.29268293</v>
      </c>
      <c r="K423" s="749" t="s">
        <v>2361</v>
      </c>
      <c r="L423" s="774" t="n">
        <v>41235</v>
      </c>
      <c r="M423" s="774" t="n">
        <v>41417</v>
      </c>
      <c r="O423" s="783" t="n">
        <v>3.9</v>
      </c>
      <c r="P423" s="749" t="s">
        <v>2613</v>
      </c>
      <c r="Q423" s="749" t="s">
        <v>2363</v>
      </c>
    </row>
    <row r="424" customFormat="false" ht="16.5" hidden="false" customHeight="true" outlineLevel="0" collapsed="false">
      <c r="A424" s="747" t="s">
        <v>2335</v>
      </c>
      <c r="B424" s="774" t="n">
        <v>41234</v>
      </c>
      <c r="D424" s="749" t="s">
        <v>1366</v>
      </c>
      <c r="E424" s="749" t="s">
        <v>2778</v>
      </c>
      <c r="F424" s="749" t="s">
        <v>2578</v>
      </c>
      <c r="G424" s="798" t="s">
        <v>1267</v>
      </c>
      <c r="H424" s="776" t="n">
        <v>54700000</v>
      </c>
      <c r="I424" s="777" t="n">
        <v>82</v>
      </c>
      <c r="J424" s="778" t="n">
        <f aca="false">IF(I424="","",H424/I424)</f>
        <v>667073.170731707</v>
      </c>
      <c r="K424" s="749" t="s">
        <v>2361</v>
      </c>
      <c r="L424" s="774" t="n">
        <v>41243</v>
      </c>
      <c r="M424" s="774" t="n">
        <v>41608</v>
      </c>
      <c r="O424" s="783" t="n">
        <v>3.3</v>
      </c>
      <c r="P424" s="749" t="s">
        <v>2613</v>
      </c>
      <c r="Q424" s="749" t="s">
        <v>2363</v>
      </c>
    </row>
    <row r="425" customFormat="false" ht="16.5" hidden="false" customHeight="true" outlineLevel="0" collapsed="false">
      <c r="A425" s="747" t="s">
        <v>2335</v>
      </c>
      <c r="B425" s="774" t="n">
        <v>41240</v>
      </c>
      <c r="D425" s="749" t="s">
        <v>2358</v>
      </c>
      <c r="E425" s="749" t="s">
        <v>2636</v>
      </c>
      <c r="F425" s="749" t="s">
        <v>2579</v>
      </c>
      <c r="G425" s="798" t="s">
        <v>1267</v>
      </c>
      <c r="H425" s="776" t="n">
        <v>208000000</v>
      </c>
      <c r="I425" s="777" t="n">
        <v>82</v>
      </c>
      <c r="J425" s="778" t="n">
        <f aca="false">IF(I425="","",H425/I425)</f>
        <v>2536585.36585366</v>
      </c>
      <c r="K425" s="749" t="s">
        <v>2361</v>
      </c>
      <c r="L425" s="774" t="n">
        <v>41241</v>
      </c>
      <c r="M425" s="774" t="n">
        <v>41422</v>
      </c>
      <c r="O425" s="783" t="n">
        <v>3.8</v>
      </c>
      <c r="P425" s="749" t="s">
        <v>2613</v>
      </c>
      <c r="Q425" s="749" t="s">
        <v>2363</v>
      </c>
    </row>
    <row r="426" customFormat="false" ht="16.5" hidden="false" customHeight="true" outlineLevel="0" collapsed="false">
      <c r="A426" s="747" t="s">
        <v>2335</v>
      </c>
      <c r="B426" s="774" t="n">
        <v>41240</v>
      </c>
      <c r="D426" s="749" t="s">
        <v>1366</v>
      </c>
      <c r="E426" s="749" t="s">
        <v>2778</v>
      </c>
      <c r="F426" s="749" t="s">
        <v>2581</v>
      </c>
      <c r="G426" s="798" t="s">
        <v>1267</v>
      </c>
      <c r="H426" s="776" t="n">
        <v>31500000</v>
      </c>
      <c r="I426" s="777" t="n">
        <v>82</v>
      </c>
      <c r="J426" s="778" t="n">
        <f aca="false">IF(I426="","",H426/I426)</f>
        <v>384146.341463415</v>
      </c>
      <c r="K426" s="749" t="s">
        <v>2361</v>
      </c>
      <c r="L426" s="774" t="n">
        <v>41248</v>
      </c>
      <c r="M426" s="774" t="n">
        <v>41430</v>
      </c>
      <c r="O426" s="783" t="n">
        <v>4.2</v>
      </c>
      <c r="P426" s="749" t="s">
        <v>2613</v>
      </c>
      <c r="Q426" s="749" t="s">
        <v>2363</v>
      </c>
    </row>
    <row r="427" customFormat="false" ht="16.5" hidden="false" customHeight="true" outlineLevel="0" collapsed="false">
      <c r="A427" s="747" t="s">
        <v>2335</v>
      </c>
      <c r="B427" s="774" t="n">
        <v>41240</v>
      </c>
      <c r="D427" s="798" t="s">
        <v>2403</v>
      </c>
      <c r="E427" s="749" t="s">
        <v>2640</v>
      </c>
      <c r="F427" s="749" t="s">
        <v>2577</v>
      </c>
      <c r="G427" s="798" t="s">
        <v>1267</v>
      </c>
      <c r="H427" s="776" t="n">
        <v>22000000</v>
      </c>
      <c r="I427" s="777" t="n">
        <v>82</v>
      </c>
      <c r="J427" s="778" t="n">
        <f aca="false">IF(I427="","",H427/I427)</f>
        <v>268292.682926829</v>
      </c>
      <c r="K427" s="749" t="s">
        <v>2361</v>
      </c>
      <c r="L427" s="774" t="n">
        <v>41242</v>
      </c>
      <c r="M427" s="774" t="n">
        <v>41424</v>
      </c>
      <c r="O427" s="783" t="n">
        <v>3.5</v>
      </c>
      <c r="P427" s="749" t="s">
        <v>2613</v>
      </c>
      <c r="Q427" s="749" t="s">
        <v>2363</v>
      </c>
    </row>
    <row r="428" customFormat="false" ht="16.5" hidden="false" customHeight="true" outlineLevel="0" collapsed="false">
      <c r="A428" s="747" t="s">
        <v>2335</v>
      </c>
      <c r="B428" s="774" t="n">
        <v>41240</v>
      </c>
      <c r="D428" s="798" t="s">
        <v>2403</v>
      </c>
      <c r="E428" s="749" t="s">
        <v>2640</v>
      </c>
      <c r="F428" s="749" t="s">
        <v>2565</v>
      </c>
      <c r="G428" s="798" t="s">
        <v>1267</v>
      </c>
      <c r="H428" s="776" t="n">
        <v>5450000</v>
      </c>
      <c r="I428" s="777" t="n">
        <v>82</v>
      </c>
      <c r="J428" s="778" t="n">
        <f aca="false">IF(I428="","",H428/I428)</f>
        <v>66463.4146341463</v>
      </c>
      <c r="K428" s="749" t="s">
        <v>2361</v>
      </c>
      <c r="L428" s="774" t="n">
        <v>41228</v>
      </c>
      <c r="M428" s="774" t="n">
        <v>41409</v>
      </c>
      <c r="O428" s="783" t="n">
        <v>3.5</v>
      </c>
      <c r="P428" s="749" t="s">
        <v>2613</v>
      </c>
      <c r="Q428" s="749" t="s">
        <v>2363</v>
      </c>
    </row>
    <row r="429" customFormat="false" ht="16.5" hidden="false" customHeight="true" outlineLevel="0" collapsed="false">
      <c r="A429" s="747" t="s">
        <v>2335</v>
      </c>
      <c r="B429" s="774" t="n">
        <v>41240</v>
      </c>
      <c r="D429" s="798" t="s">
        <v>2403</v>
      </c>
      <c r="E429" s="749" t="s">
        <v>2640</v>
      </c>
      <c r="F429" s="749" t="s">
        <v>2566</v>
      </c>
      <c r="G429" s="798" t="s">
        <v>1267</v>
      </c>
      <c r="H429" s="776" t="n">
        <v>51000000</v>
      </c>
      <c r="I429" s="777" t="n">
        <v>82</v>
      </c>
      <c r="J429" s="778" t="n">
        <f aca="false">IF(I429="","",H429/I429)</f>
        <v>621951.219512195</v>
      </c>
      <c r="K429" s="749" t="s">
        <v>2361</v>
      </c>
      <c r="L429" s="774" t="n">
        <v>41228</v>
      </c>
      <c r="M429" s="774" t="n">
        <v>41409</v>
      </c>
      <c r="O429" s="783" t="n">
        <v>3.5</v>
      </c>
      <c r="P429" s="749" t="s">
        <v>2613</v>
      </c>
      <c r="Q429" s="749" t="s">
        <v>2363</v>
      </c>
    </row>
    <row r="430" customFormat="false" ht="16.5" hidden="false" customHeight="true" outlineLevel="0" collapsed="false">
      <c r="A430" s="747" t="s">
        <v>2335</v>
      </c>
      <c r="B430" s="774" t="n">
        <v>41240</v>
      </c>
      <c r="D430" s="798" t="s">
        <v>2403</v>
      </c>
      <c r="E430" s="749" t="s">
        <v>2640</v>
      </c>
      <c r="F430" s="749" t="s">
        <v>2541</v>
      </c>
      <c r="G430" s="798" t="s">
        <v>2136</v>
      </c>
      <c r="H430" s="776" t="n">
        <v>227036</v>
      </c>
      <c r="I430" s="777" t="n">
        <v>1</v>
      </c>
      <c r="J430" s="778" t="n">
        <f aca="false">IF(I430="","",H430/I430)</f>
        <v>227036</v>
      </c>
      <c r="K430" s="749" t="s">
        <v>2361</v>
      </c>
      <c r="L430" s="774" t="n">
        <v>41166</v>
      </c>
      <c r="M430" s="774" t="n">
        <v>41347</v>
      </c>
      <c r="O430" s="783" t="n">
        <v>3.5</v>
      </c>
      <c r="P430" s="749" t="s">
        <v>2613</v>
      </c>
      <c r="Q430" s="749" t="s">
        <v>2363</v>
      </c>
    </row>
    <row r="431" customFormat="false" ht="16.5" hidden="false" customHeight="true" outlineLevel="0" collapsed="false">
      <c r="A431" s="747" t="s">
        <v>2335</v>
      </c>
      <c r="B431" s="774" t="n">
        <v>41240</v>
      </c>
      <c r="D431" s="798" t="s">
        <v>2403</v>
      </c>
      <c r="E431" s="749" t="s">
        <v>2640</v>
      </c>
      <c r="F431" s="749" t="s">
        <v>2541</v>
      </c>
      <c r="G431" s="798" t="s">
        <v>2136</v>
      </c>
      <c r="H431" s="776" t="n">
        <v>427240</v>
      </c>
      <c r="I431" s="777" t="n">
        <v>1</v>
      </c>
      <c r="J431" s="778" t="n">
        <f aca="false">IF(I431="","",H431/I431)</f>
        <v>427240</v>
      </c>
      <c r="K431" s="749" t="s">
        <v>2361</v>
      </c>
      <c r="L431" s="774" t="n">
        <v>41076</v>
      </c>
      <c r="M431" s="774" t="n">
        <v>41259</v>
      </c>
      <c r="O431" s="783" t="n">
        <v>3.5</v>
      </c>
      <c r="P431" s="749" t="s">
        <v>2613</v>
      </c>
      <c r="Q431" s="749" t="s">
        <v>2363</v>
      </c>
    </row>
    <row r="432" customFormat="false" ht="16.5" hidden="false" customHeight="true" outlineLevel="0" collapsed="false">
      <c r="A432" s="747" t="s">
        <v>2335</v>
      </c>
      <c r="B432" s="774" t="n">
        <v>41240</v>
      </c>
      <c r="D432" s="749" t="s">
        <v>201</v>
      </c>
      <c r="E432" s="749" t="s">
        <v>2663</v>
      </c>
      <c r="F432" s="749" t="s">
        <v>2582</v>
      </c>
      <c r="G432" s="798" t="s">
        <v>1267</v>
      </c>
      <c r="H432" s="776" t="n">
        <v>13300000</v>
      </c>
      <c r="I432" s="777" t="n">
        <v>82</v>
      </c>
      <c r="J432" s="778" t="n">
        <f aca="false">IF(I432="","",H432/I432)</f>
        <v>162195.12195122</v>
      </c>
      <c r="K432" s="749" t="s">
        <v>2361</v>
      </c>
      <c r="L432" s="774" t="n">
        <v>41243</v>
      </c>
      <c r="M432" s="774" t="n">
        <v>41608</v>
      </c>
      <c r="O432" s="783" t="n">
        <v>4.3</v>
      </c>
      <c r="P432" s="749" t="s">
        <v>2613</v>
      </c>
      <c r="Q432" s="749" t="s">
        <v>2363</v>
      </c>
    </row>
    <row r="433" customFormat="false" ht="16.5" hidden="false" customHeight="true" outlineLevel="0" collapsed="false">
      <c r="A433" s="747" t="s">
        <v>2335</v>
      </c>
      <c r="B433" s="774" t="n">
        <v>41241</v>
      </c>
      <c r="D433" s="749" t="s">
        <v>201</v>
      </c>
      <c r="E433" s="749" t="s">
        <v>2663</v>
      </c>
      <c r="F433" s="749" t="s">
        <v>2784</v>
      </c>
      <c r="G433" s="798" t="s">
        <v>1267</v>
      </c>
      <c r="H433" s="776" t="n">
        <v>34000000</v>
      </c>
      <c r="I433" s="777" t="n">
        <v>82</v>
      </c>
      <c r="J433" s="778" t="n">
        <f aca="false">IF(I433="","",H433/I433)</f>
        <v>414634.146341463</v>
      </c>
      <c r="K433" s="749" t="s">
        <v>2361</v>
      </c>
      <c r="L433" s="774" t="n">
        <v>41242</v>
      </c>
      <c r="M433" s="774" t="n">
        <v>41243</v>
      </c>
      <c r="O433" s="783" t="n">
        <v>4.22</v>
      </c>
      <c r="P433" s="749" t="s">
        <v>2613</v>
      </c>
      <c r="Q433" s="749" t="s">
        <v>2363</v>
      </c>
    </row>
    <row r="434" customFormat="false" ht="16.5" hidden="false" customHeight="true" outlineLevel="0" collapsed="false">
      <c r="A434" s="747" t="s">
        <v>2335</v>
      </c>
      <c r="B434" s="774" t="n">
        <v>41241</v>
      </c>
      <c r="D434" s="749" t="s">
        <v>201</v>
      </c>
      <c r="E434" s="749" t="s">
        <v>2663</v>
      </c>
      <c r="F434" s="749" t="s">
        <v>2784</v>
      </c>
      <c r="G434" s="798" t="s">
        <v>1267</v>
      </c>
      <c r="H434" s="776" t="n">
        <v>29600000</v>
      </c>
      <c r="I434" s="777" t="n">
        <v>82</v>
      </c>
      <c r="J434" s="778" t="n">
        <f aca="false">IF(I434="","",H434/I434)</f>
        <v>360975.609756098</v>
      </c>
      <c r="K434" s="749" t="s">
        <v>2361</v>
      </c>
      <c r="L434" s="774" t="n">
        <v>41242</v>
      </c>
      <c r="M434" s="774" t="n">
        <v>42835</v>
      </c>
      <c r="O434" s="783" t="n">
        <v>4.59</v>
      </c>
      <c r="P434" s="749" t="s">
        <v>2613</v>
      </c>
      <c r="Q434" s="749" t="s">
        <v>2363</v>
      </c>
    </row>
    <row r="435" customFormat="false" ht="16.5" hidden="false" customHeight="true" outlineLevel="0" collapsed="false">
      <c r="A435" s="747" t="s">
        <v>2335</v>
      </c>
      <c r="B435" s="774" t="n">
        <v>41241</v>
      </c>
      <c r="D435" s="749" t="s">
        <v>2358</v>
      </c>
      <c r="E435" s="749" t="s">
        <v>2636</v>
      </c>
      <c r="F435" s="749" t="s">
        <v>2580</v>
      </c>
      <c r="G435" s="798" t="s">
        <v>1267</v>
      </c>
      <c r="H435" s="776" t="n">
        <v>383000000</v>
      </c>
      <c r="I435" s="777" t="n">
        <v>82</v>
      </c>
      <c r="J435" s="778" t="n">
        <f aca="false">IF(I435="","",H435/I435)</f>
        <v>4670731.70731707</v>
      </c>
      <c r="K435" s="749" t="s">
        <v>2361</v>
      </c>
      <c r="L435" s="774" t="n">
        <v>41242</v>
      </c>
      <c r="M435" s="774" t="n">
        <v>41607</v>
      </c>
      <c r="O435" s="783" t="n">
        <v>4.1</v>
      </c>
      <c r="P435" s="749" t="s">
        <v>2613</v>
      </c>
      <c r="Q435" s="749" t="s">
        <v>2363</v>
      </c>
    </row>
    <row r="436" customFormat="false" ht="16.5" hidden="false" customHeight="true" outlineLevel="0" collapsed="false">
      <c r="A436" s="747" t="s">
        <v>2335</v>
      </c>
      <c r="B436" s="774" t="n">
        <v>41242</v>
      </c>
      <c r="D436" s="749" t="s">
        <v>2785</v>
      </c>
      <c r="E436" s="749" t="s">
        <v>2786</v>
      </c>
      <c r="F436" s="749" t="s">
        <v>2787</v>
      </c>
      <c r="G436" s="798" t="s">
        <v>1267</v>
      </c>
      <c r="H436" s="776" t="n">
        <v>73500000</v>
      </c>
      <c r="I436" s="777" t="n">
        <v>82</v>
      </c>
      <c r="J436" s="778" t="n">
        <f aca="false">IF(I436="","",H436/I436)</f>
        <v>896341.463414634</v>
      </c>
      <c r="K436" s="749" t="s">
        <v>2361</v>
      </c>
      <c r="L436" s="774" t="n">
        <v>41252</v>
      </c>
      <c r="M436" s="774" t="n">
        <v>41982</v>
      </c>
      <c r="O436" s="783" t="n">
        <v>4.5</v>
      </c>
      <c r="P436" s="749" t="s">
        <v>2613</v>
      </c>
      <c r="Q436" s="749" t="s">
        <v>2363</v>
      </c>
    </row>
    <row r="437" customFormat="false" ht="16.5" hidden="false" customHeight="true" outlineLevel="0" collapsed="false">
      <c r="A437" s="747" t="s">
        <v>2335</v>
      </c>
      <c r="B437" s="774" t="n">
        <v>41242</v>
      </c>
      <c r="D437" s="749" t="s">
        <v>201</v>
      </c>
      <c r="E437" s="749" t="s">
        <v>2663</v>
      </c>
      <c r="F437" s="749" t="s">
        <v>2784</v>
      </c>
      <c r="G437" s="798" t="s">
        <v>1267</v>
      </c>
      <c r="H437" s="776" t="n">
        <v>34000000</v>
      </c>
      <c r="I437" s="777" t="n">
        <v>82</v>
      </c>
      <c r="J437" s="778" t="n">
        <f aca="false">IF(I437="","",H437/I437)</f>
        <v>414634.146341463</v>
      </c>
      <c r="K437" s="749" t="s">
        <v>2361</v>
      </c>
      <c r="L437" s="774" t="n">
        <v>41243</v>
      </c>
      <c r="M437" s="774" t="n">
        <v>41608</v>
      </c>
      <c r="O437" s="783" t="n">
        <v>4.23</v>
      </c>
      <c r="P437" s="749" t="s">
        <v>2613</v>
      </c>
      <c r="Q437" s="749" t="s">
        <v>2363</v>
      </c>
    </row>
    <row r="438" customFormat="false" ht="16.5" hidden="false" customHeight="true" outlineLevel="0" collapsed="false">
      <c r="A438" s="747" t="s">
        <v>2335</v>
      </c>
      <c r="B438" s="774" t="n">
        <v>41246</v>
      </c>
      <c r="D438" s="749" t="s">
        <v>2358</v>
      </c>
      <c r="E438" s="749" t="s">
        <v>2788</v>
      </c>
      <c r="F438" s="749" t="s">
        <v>2591</v>
      </c>
      <c r="G438" s="798" t="s">
        <v>1267</v>
      </c>
      <c r="H438" s="776" t="n">
        <v>19000000</v>
      </c>
      <c r="I438" s="777" t="n">
        <v>82</v>
      </c>
      <c r="J438" s="778" t="n">
        <f aca="false">IF(I438="","",H438/I438)</f>
        <v>231707.317073171</v>
      </c>
      <c r="K438" s="749" t="s">
        <v>2361</v>
      </c>
      <c r="L438" s="774" t="n">
        <v>41246</v>
      </c>
      <c r="M438" s="774" t="n">
        <v>41611</v>
      </c>
      <c r="O438" s="783" t="n">
        <v>3.89</v>
      </c>
      <c r="P438" s="749" t="s">
        <v>2613</v>
      </c>
      <c r="Q438" s="749" t="s">
        <v>2363</v>
      </c>
    </row>
    <row r="439" customFormat="false" ht="16.5" hidden="false" customHeight="true" outlineLevel="0" collapsed="false">
      <c r="A439" s="747" t="s">
        <v>2335</v>
      </c>
      <c r="B439" s="774" t="n">
        <v>41248</v>
      </c>
      <c r="D439" s="749" t="s">
        <v>2358</v>
      </c>
      <c r="E439" s="749" t="s">
        <v>2636</v>
      </c>
      <c r="F439" s="749" t="s">
        <v>2592</v>
      </c>
      <c r="G439" s="798" t="s">
        <v>1267</v>
      </c>
      <c r="H439" s="776" t="n">
        <v>116000000</v>
      </c>
      <c r="I439" s="777" t="n">
        <v>82</v>
      </c>
      <c r="J439" s="778" t="n">
        <f aca="false">IF(I439="","",H439/I439)</f>
        <v>1414634.14634146</v>
      </c>
      <c r="K439" s="749" t="s">
        <v>2361</v>
      </c>
      <c r="L439" s="774" t="n">
        <v>41248</v>
      </c>
      <c r="M439" s="774" t="n">
        <v>41430</v>
      </c>
      <c r="O439" s="783" t="n">
        <v>4.09</v>
      </c>
      <c r="P439" s="749" t="s">
        <v>2613</v>
      </c>
      <c r="Q439" s="749" t="s">
        <v>2363</v>
      </c>
    </row>
    <row r="440" customFormat="false" ht="16.5" hidden="false" customHeight="true" outlineLevel="0" collapsed="false">
      <c r="A440" s="747" t="s">
        <v>2335</v>
      </c>
      <c r="B440" s="774" t="n">
        <v>41248</v>
      </c>
      <c r="D440" s="749" t="s">
        <v>2358</v>
      </c>
      <c r="E440" s="749" t="s">
        <v>2636</v>
      </c>
      <c r="F440" s="749" t="s">
        <v>2593</v>
      </c>
      <c r="G440" s="798" t="s">
        <v>1267</v>
      </c>
      <c r="H440" s="776" t="n">
        <v>77500000</v>
      </c>
      <c r="I440" s="777" t="n">
        <v>82</v>
      </c>
      <c r="J440" s="778" t="n">
        <f aca="false">IF(I440="","",H440/I440)</f>
        <v>945121.951219512</v>
      </c>
      <c r="K440" s="749" t="s">
        <v>2361</v>
      </c>
      <c r="L440" s="774" t="n">
        <v>41248</v>
      </c>
      <c r="M440" s="774" t="n">
        <v>41430</v>
      </c>
      <c r="O440" s="783" t="n">
        <v>4.27</v>
      </c>
      <c r="P440" s="749" t="s">
        <v>2613</v>
      </c>
      <c r="Q440" s="749" t="s">
        <v>2363</v>
      </c>
    </row>
    <row r="441" customFormat="false" ht="16.5" hidden="false" customHeight="true" outlineLevel="0" collapsed="false">
      <c r="A441" s="747" t="s">
        <v>2335</v>
      </c>
      <c r="B441" s="774" t="n">
        <v>41254</v>
      </c>
      <c r="D441" s="749" t="s">
        <v>2344</v>
      </c>
      <c r="E441" s="749" t="s">
        <v>2401</v>
      </c>
      <c r="F441" s="749" t="s">
        <v>2789</v>
      </c>
      <c r="G441" s="798" t="s">
        <v>1267</v>
      </c>
      <c r="H441" s="776" t="n">
        <v>136500000</v>
      </c>
      <c r="I441" s="777" t="n">
        <v>82</v>
      </c>
      <c r="J441" s="778" t="n">
        <f aca="false">IF(I441="","",H441/I441)</f>
        <v>1664634.14634146</v>
      </c>
      <c r="K441" s="749" t="s">
        <v>2361</v>
      </c>
      <c r="L441" s="774" t="n">
        <v>41254</v>
      </c>
      <c r="M441" s="774" t="n">
        <v>42819</v>
      </c>
      <c r="O441" s="783" t="n">
        <v>3.48</v>
      </c>
      <c r="P441" s="749" t="s">
        <v>2613</v>
      </c>
      <c r="Q441" s="749" t="s">
        <v>2363</v>
      </c>
      <c r="R441" s="811" t="s">
        <v>2790</v>
      </c>
    </row>
    <row r="442" customFormat="false" ht="16.5" hidden="false" customHeight="true" outlineLevel="0" collapsed="false">
      <c r="A442" s="747" t="s">
        <v>2335</v>
      </c>
      <c r="B442" s="774" t="n">
        <v>41254</v>
      </c>
      <c r="D442" s="749" t="s">
        <v>2358</v>
      </c>
      <c r="E442" s="749" t="s">
        <v>2636</v>
      </c>
      <c r="F442" s="749" t="s">
        <v>2594</v>
      </c>
      <c r="G442" s="798" t="s">
        <v>1267</v>
      </c>
      <c r="H442" s="776" t="n">
        <v>890000000</v>
      </c>
      <c r="I442" s="777" t="n">
        <v>82</v>
      </c>
      <c r="J442" s="778" t="n">
        <f aca="false">IF(I442="","",H442/I442)</f>
        <v>10853658.5365854</v>
      </c>
      <c r="K442" s="749" t="s">
        <v>2361</v>
      </c>
      <c r="L442" s="774" t="n">
        <v>41255</v>
      </c>
      <c r="M442" s="774" t="n">
        <v>41621</v>
      </c>
      <c r="O442" s="783" t="n">
        <v>4.09</v>
      </c>
      <c r="P442" s="749" t="s">
        <v>2613</v>
      </c>
      <c r="Q442" s="749" t="s">
        <v>2363</v>
      </c>
      <c r="R442" s="811"/>
    </row>
    <row r="443" customFormat="false" ht="16.5" hidden="false" customHeight="true" outlineLevel="0" collapsed="false">
      <c r="A443" s="747" t="s">
        <v>2190</v>
      </c>
      <c r="B443" s="774" t="n">
        <v>41254</v>
      </c>
      <c r="D443" s="749" t="s">
        <v>1366</v>
      </c>
      <c r="E443" s="749" t="s">
        <v>2413</v>
      </c>
      <c r="F443" s="749" t="s">
        <v>2791</v>
      </c>
      <c r="G443" s="798" t="s">
        <v>2136</v>
      </c>
      <c r="H443" s="776" t="n">
        <v>1400000</v>
      </c>
      <c r="I443" s="777" t="n">
        <v>82</v>
      </c>
      <c r="J443" s="778" t="n">
        <f aca="false">IF(I443="","",H443/I443)</f>
        <v>17073.1707317073</v>
      </c>
      <c r="K443" s="749" t="s">
        <v>2361</v>
      </c>
      <c r="L443" s="774" t="n">
        <v>41256</v>
      </c>
      <c r="M443" s="774" t="n">
        <v>41621</v>
      </c>
      <c r="O443" s="801" t="n">
        <v>3.6</v>
      </c>
      <c r="P443" s="749" t="s">
        <v>2606</v>
      </c>
      <c r="Q443" s="749" t="s">
        <v>2607</v>
      </c>
      <c r="R443" s="811"/>
    </row>
    <row r="444" customFormat="false" ht="16.5" hidden="false" customHeight="true" outlineLevel="0" collapsed="false">
      <c r="A444" s="747" t="s">
        <v>2190</v>
      </c>
      <c r="B444" s="774" t="n">
        <v>41254</v>
      </c>
      <c r="D444" s="749" t="s">
        <v>1366</v>
      </c>
      <c r="E444" s="749" t="s">
        <v>2413</v>
      </c>
      <c r="F444" s="812" t="s">
        <v>2791</v>
      </c>
      <c r="G444" s="798" t="s">
        <v>2136</v>
      </c>
      <c r="H444" s="776" t="n">
        <v>730000</v>
      </c>
      <c r="I444" s="777" t="n">
        <v>82</v>
      </c>
      <c r="J444" s="778" t="n">
        <f aca="false">IF(I444="","",H444/I444)</f>
        <v>8902.43902439024</v>
      </c>
      <c r="K444" s="749" t="s">
        <v>2361</v>
      </c>
      <c r="L444" s="774" t="n">
        <v>41256</v>
      </c>
      <c r="M444" s="774" t="n">
        <v>42351</v>
      </c>
      <c r="O444" s="801" t="n">
        <v>4.5</v>
      </c>
      <c r="P444" s="749" t="s">
        <v>2606</v>
      </c>
      <c r="Q444" s="749" t="s">
        <v>2607</v>
      </c>
      <c r="R444" s="811"/>
    </row>
    <row r="445" customFormat="false" ht="16.5" hidden="false" customHeight="true" outlineLevel="0" collapsed="false">
      <c r="A445" s="747" t="s">
        <v>2335</v>
      </c>
      <c r="B445" s="774" t="n">
        <v>41257</v>
      </c>
      <c r="D445" s="749" t="s">
        <v>2375</v>
      </c>
      <c r="E445" s="749" t="s">
        <v>2601</v>
      </c>
      <c r="F445" s="749" t="s">
        <v>2602</v>
      </c>
      <c r="G445" s="798" t="s">
        <v>1267</v>
      </c>
      <c r="H445" s="776" t="n">
        <v>160000000</v>
      </c>
      <c r="I445" s="777" t="n">
        <v>82</v>
      </c>
      <c r="J445" s="778" t="n">
        <f aca="false">IF(I445="","",H445/I445)</f>
        <v>1951219.51219512</v>
      </c>
      <c r="K445" s="749" t="s">
        <v>2361</v>
      </c>
      <c r="L445" s="774" t="n">
        <v>41260</v>
      </c>
      <c r="M445" s="774" t="n">
        <v>41624</v>
      </c>
      <c r="O445" s="783" t="n">
        <v>3.14</v>
      </c>
      <c r="P445" s="749" t="s">
        <v>2613</v>
      </c>
      <c r="Q445" s="749" t="s">
        <v>2363</v>
      </c>
      <c r="R445" s="811"/>
    </row>
    <row r="446" customFormat="false" ht="16.5" hidden="false" customHeight="true" outlineLevel="0" collapsed="false">
      <c r="A446" s="747" t="s">
        <v>2335</v>
      </c>
      <c r="B446" s="774" t="n">
        <v>41257</v>
      </c>
      <c r="D446" s="749" t="s">
        <v>2358</v>
      </c>
      <c r="E446" s="749" t="s">
        <v>2636</v>
      </c>
      <c r="F446" s="749" t="s">
        <v>2596</v>
      </c>
      <c r="G446" s="798" t="s">
        <v>1267</v>
      </c>
      <c r="H446" s="776" t="n">
        <v>86700000</v>
      </c>
      <c r="I446" s="777" t="n">
        <v>82</v>
      </c>
      <c r="J446" s="778" t="n">
        <f aca="false">IF(I446="","",H446/I446)</f>
        <v>1057317.07317073</v>
      </c>
      <c r="K446" s="749" t="s">
        <v>2361</v>
      </c>
      <c r="L446" s="774" t="n">
        <v>41260</v>
      </c>
      <c r="M446" s="774" t="n">
        <v>41441</v>
      </c>
      <c r="O446" s="783" t="n">
        <v>3.81</v>
      </c>
      <c r="P446" s="749" t="s">
        <v>2613</v>
      </c>
      <c r="Q446" s="749" t="s">
        <v>2363</v>
      </c>
      <c r="R446" s="811"/>
    </row>
    <row r="447" customFormat="false" ht="16.5" hidden="false" customHeight="true" outlineLevel="0" collapsed="false">
      <c r="A447" s="747" t="s">
        <v>2335</v>
      </c>
      <c r="B447" s="774" t="n">
        <v>41257</v>
      </c>
      <c r="D447" s="749" t="s">
        <v>2358</v>
      </c>
      <c r="E447" s="749" t="s">
        <v>2636</v>
      </c>
      <c r="F447" s="749" t="s">
        <v>2595</v>
      </c>
      <c r="G447" s="798" t="s">
        <v>1267</v>
      </c>
      <c r="H447" s="776" t="n">
        <v>87900000</v>
      </c>
      <c r="I447" s="777" t="n">
        <v>82</v>
      </c>
      <c r="J447" s="778" t="n">
        <f aca="false">IF(I447="","",H447/I447)</f>
        <v>1071951.2195122</v>
      </c>
      <c r="K447" s="749" t="s">
        <v>2361</v>
      </c>
      <c r="L447" s="774" t="n">
        <v>41260</v>
      </c>
      <c r="M447" s="774" t="n">
        <v>41441</v>
      </c>
      <c r="O447" s="783" t="n">
        <v>3.81</v>
      </c>
      <c r="P447" s="749" t="s">
        <v>2613</v>
      </c>
      <c r="Q447" s="749" t="s">
        <v>2363</v>
      </c>
      <c r="R447" s="811"/>
    </row>
    <row r="448" customFormat="false" ht="16.5" hidden="false" customHeight="true" outlineLevel="0" collapsed="false">
      <c r="A448" s="747" t="s">
        <v>2335</v>
      </c>
      <c r="B448" s="774" t="n">
        <v>41257</v>
      </c>
      <c r="D448" s="749" t="s">
        <v>2378</v>
      </c>
      <c r="E448" s="749" t="s">
        <v>2379</v>
      </c>
      <c r="F448" s="749" t="s">
        <v>2380</v>
      </c>
      <c r="G448" s="798" t="s">
        <v>2136</v>
      </c>
      <c r="H448" s="776" t="n">
        <v>500000</v>
      </c>
      <c r="I448" s="777" t="n">
        <v>1</v>
      </c>
      <c r="J448" s="778" t="n">
        <f aca="false">IF(I448="","",H448/I448)</f>
        <v>500000</v>
      </c>
      <c r="K448" s="749" t="s">
        <v>2336</v>
      </c>
      <c r="L448" s="774" t="n">
        <v>41260</v>
      </c>
      <c r="M448" s="774" t="n">
        <v>41291</v>
      </c>
      <c r="O448" s="783" t="n">
        <v>3.09</v>
      </c>
      <c r="P448" s="749" t="s">
        <v>2613</v>
      </c>
      <c r="Q448" s="749" t="s">
        <v>2363</v>
      </c>
      <c r="R448" s="811"/>
    </row>
    <row r="449" customFormat="false" ht="16.5" hidden="false" customHeight="true" outlineLevel="0" collapsed="false">
      <c r="A449" s="747" t="s">
        <v>2335</v>
      </c>
      <c r="B449" s="774" t="n">
        <v>41263</v>
      </c>
      <c r="D449" s="749" t="s">
        <v>2714</v>
      </c>
      <c r="E449" s="749" t="s">
        <v>2792</v>
      </c>
      <c r="F449" s="749" t="s">
        <v>2716</v>
      </c>
      <c r="G449" s="798" t="s">
        <v>1267</v>
      </c>
      <c r="H449" s="776" t="n">
        <v>2500000</v>
      </c>
      <c r="I449" s="777" t="n">
        <v>82</v>
      </c>
      <c r="J449" s="778" t="n">
        <f aca="false">IF(I449="","",H449/I449)</f>
        <v>30487.8048780488</v>
      </c>
      <c r="K449" s="749" t="s">
        <v>2336</v>
      </c>
      <c r="L449" s="774" t="n">
        <v>41264</v>
      </c>
      <c r="M449" s="774" t="n">
        <v>41629</v>
      </c>
      <c r="O449" s="783" t="n">
        <v>4.9</v>
      </c>
      <c r="P449" s="749" t="s">
        <v>2613</v>
      </c>
      <c r="Q449" s="749" t="s">
        <v>2363</v>
      </c>
      <c r="R449" s="811"/>
    </row>
    <row r="450" customFormat="false" ht="16.5" hidden="false" customHeight="true" outlineLevel="0" collapsed="false">
      <c r="A450" s="747" t="s">
        <v>2335</v>
      </c>
      <c r="B450" s="774" t="n">
        <v>41267</v>
      </c>
      <c r="D450" s="749" t="s">
        <v>2344</v>
      </c>
      <c r="E450" s="749" t="s">
        <v>2572</v>
      </c>
      <c r="F450" s="749" t="s">
        <v>2603</v>
      </c>
      <c r="G450" s="798" t="s">
        <v>1267</v>
      </c>
      <c r="H450" s="776" t="n">
        <v>63000000</v>
      </c>
      <c r="I450" s="777" t="n">
        <v>82</v>
      </c>
      <c r="J450" s="778" t="n">
        <f aca="false">IF(I450="","",H450/I450)</f>
        <v>768292.682926829</v>
      </c>
      <c r="K450" s="749" t="s">
        <v>2361</v>
      </c>
      <c r="L450" s="774" t="n">
        <v>41269</v>
      </c>
      <c r="M450" s="774" t="n">
        <v>41451</v>
      </c>
      <c r="O450" s="783" t="n">
        <v>3.39</v>
      </c>
      <c r="P450" s="749" t="s">
        <v>2613</v>
      </c>
      <c r="Q450" s="749" t="s">
        <v>2363</v>
      </c>
      <c r="R450" s="811"/>
    </row>
    <row r="451" customFormat="false" ht="16.5" hidden="false" customHeight="true" outlineLevel="0" collapsed="false">
      <c r="A451" s="747" t="s">
        <v>2335</v>
      </c>
      <c r="B451" s="774" t="n">
        <v>41281</v>
      </c>
      <c r="D451" s="749" t="s">
        <v>866</v>
      </c>
      <c r="E451" s="749" t="s">
        <v>2415</v>
      </c>
      <c r="F451" s="749" t="s">
        <v>2608</v>
      </c>
      <c r="G451" s="798" t="s">
        <v>1267</v>
      </c>
      <c r="H451" s="776" t="n">
        <v>60615000</v>
      </c>
      <c r="I451" s="777" t="n">
        <v>82</v>
      </c>
      <c r="J451" s="778" t="n">
        <f aca="false">IF(I451="","",H451/I451)</f>
        <v>739207.317073171</v>
      </c>
      <c r="K451" s="749" t="s">
        <v>2361</v>
      </c>
      <c r="L451" s="774" t="n">
        <v>41281</v>
      </c>
      <c r="M451" s="774" t="n">
        <v>41645</v>
      </c>
      <c r="O451" s="783" t="n">
        <v>3.6</v>
      </c>
      <c r="P451" s="749" t="s">
        <v>2606</v>
      </c>
      <c r="Q451" s="749" t="s">
        <v>2607</v>
      </c>
      <c r="R451" s="811"/>
    </row>
    <row r="452" customFormat="false" ht="16.5" hidden="false" customHeight="true" outlineLevel="0" collapsed="false">
      <c r="A452" s="747" t="s">
        <v>2335</v>
      </c>
      <c r="B452" s="774" t="n">
        <v>41282</v>
      </c>
      <c r="D452" s="749" t="s">
        <v>2358</v>
      </c>
      <c r="E452" s="749" t="s">
        <v>2636</v>
      </c>
      <c r="F452" s="749" t="s">
        <v>2609</v>
      </c>
      <c r="G452" s="798" t="s">
        <v>1267</v>
      </c>
      <c r="H452" s="776" t="n">
        <v>87900000</v>
      </c>
      <c r="I452" s="777" t="n">
        <v>82</v>
      </c>
      <c r="J452" s="778" t="n">
        <f aca="false">IF(I452="","",H452/I452)</f>
        <v>1071951.2195122</v>
      </c>
      <c r="K452" s="749" t="s">
        <v>2361</v>
      </c>
      <c r="L452" s="774" t="n">
        <v>41281</v>
      </c>
      <c r="M452" s="774" t="n">
        <v>41469</v>
      </c>
      <c r="O452" s="783" t="n">
        <v>3.8</v>
      </c>
      <c r="P452" s="749" t="s">
        <v>2606</v>
      </c>
      <c r="Q452" s="749" t="s">
        <v>2607</v>
      </c>
      <c r="R452" s="811"/>
    </row>
    <row r="453" customFormat="false" ht="16.5" hidden="false" customHeight="true" outlineLevel="0" collapsed="false">
      <c r="A453" s="813" t="s">
        <v>2190</v>
      </c>
      <c r="B453" s="774" t="n">
        <v>41284</v>
      </c>
      <c r="D453" s="749" t="s">
        <v>1366</v>
      </c>
      <c r="E453" s="749" t="s">
        <v>2413</v>
      </c>
      <c r="F453" s="749" t="s">
        <v>2793</v>
      </c>
      <c r="G453" s="798" t="s">
        <v>1267</v>
      </c>
      <c r="H453" s="776" t="n">
        <v>44000000</v>
      </c>
      <c r="I453" s="777" t="n">
        <v>82</v>
      </c>
      <c r="J453" s="778" t="n">
        <f aca="false">IF(I453="","",H453/I453)</f>
        <v>536585.365853659</v>
      </c>
      <c r="K453" s="749" t="s">
        <v>2361</v>
      </c>
      <c r="L453" s="774" t="n">
        <v>41288</v>
      </c>
      <c r="M453" s="774" t="n">
        <v>41653</v>
      </c>
      <c r="O453" s="783" t="n">
        <v>3.2</v>
      </c>
      <c r="P453" s="749" t="s">
        <v>2606</v>
      </c>
      <c r="Q453" s="749" t="s">
        <v>2607</v>
      </c>
      <c r="R453" s="811"/>
    </row>
    <row r="454" customFormat="false" ht="16.5" hidden="false" customHeight="true" outlineLevel="0" collapsed="false">
      <c r="A454" s="747" t="s">
        <v>2335</v>
      </c>
      <c r="B454" s="774" t="n">
        <v>41288</v>
      </c>
      <c r="D454" s="798" t="s">
        <v>2403</v>
      </c>
      <c r="E454" s="749" t="s">
        <v>2404</v>
      </c>
      <c r="F454" s="749" t="s">
        <v>2610</v>
      </c>
      <c r="G454" s="798" t="s">
        <v>1267</v>
      </c>
      <c r="H454" s="776" t="n">
        <v>24500000</v>
      </c>
      <c r="I454" s="777" t="n">
        <v>82</v>
      </c>
      <c r="J454" s="778" t="n">
        <f aca="false">IF(I454="","",H454/I454)</f>
        <v>298780.487804878</v>
      </c>
      <c r="K454" s="749" t="s">
        <v>2361</v>
      </c>
      <c r="L454" s="774" t="n">
        <v>41295</v>
      </c>
      <c r="M454" s="774" t="n">
        <v>41658</v>
      </c>
      <c r="O454" s="783" t="n">
        <v>3.5</v>
      </c>
      <c r="P454" s="749" t="s">
        <v>2606</v>
      </c>
      <c r="Q454" s="749" t="s">
        <v>2607</v>
      </c>
      <c r="R454" s="811"/>
    </row>
    <row r="455" customFormat="false" ht="16.5" hidden="false" customHeight="true" outlineLevel="0" collapsed="false">
      <c r="A455" s="747" t="s">
        <v>2335</v>
      </c>
      <c r="B455" s="774" t="n">
        <v>41289</v>
      </c>
      <c r="D455" s="749" t="s">
        <v>644</v>
      </c>
      <c r="E455" s="749" t="s">
        <v>2359</v>
      </c>
      <c r="F455" s="749" t="s">
        <v>2380</v>
      </c>
      <c r="G455" s="798" t="s">
        <v>2136</v>
      </c>
      <c r="H455" s="776" t="n">
        <v>500000</v>
      </c>
      <c r="I455" s="777" t="n">
        <v>1</v>
      </c>
      <c r="J455" s="778" t="n">
        <f aca="false">IF(I455="","",H455/I455)</f>
        <v>500000</v>
      </c>
      <c r="K455" s="749" t="s">
        <v>2336</v>
      </c>
      <c r="L455" s="774" t="n">
        <v>41289</v>
      </c>
      <c r="M455" s="774" t="n">
        <v>41524</v>
      </c>
      <c r="O455" s="783" t="n">
        <v>3.1</v>
      </c>
      <c r="P455" s="749" t="s">
        <v>2606</v>
      </c>
      <c r="Q455" s="749" t="s">
        <v>2607</v>
      </c>
      <c r="R455" s="811"/>
    </row>
    <row r="456" customFormat="false" ht="16.5" hidden="false" customHeight="true" outlineLevel="0" collapsed="false">
      <c r="A456" s="747" t="s">
        <v>2335</v>
      </c>
      <c r="B456" s="774" t="n">
        <v>41290</v>
      </c>
      <c r="D456" s="749" t="s">
        <v>2358</v>
      </c>
      <c r="E456" s="749" t="s">
        <v>2788</v>
      </c>
      <c r="F456" s="749" t="s">
        <v>2615</v>
      </c>
      <c r="G456" s="798" t="s">
        <v>1267</v>
      </c>
      <c r="H456" s="776" t="n">
        <v>124800000</v>
      </c>
      <c r="I456" s="777" t="n">
        <v>82</v>
      </c>
      <c r="J456" s="778" t="n">
        <f aca="false">IF(I456="","",H456/I456)</f>
        <v>1521951.2195122</v>
      </c>
      <c r="K456" s="749" t="s">
        <v>2361</v>
      </c>
      <c r="L456" s="774" t="n">
        <v>41290</v>
      </c>
      <c r="M456" s="774" t="n">
        <v>41471</v>
      </c>
      <c r="O456" s="783" t="n">
        <v>4.1</v>
      </c>
      <c r="P456" s="749" t="s">
        <v>2606</v>
      </c>
      <c r="Q456" s="749" t="s">
        <v>2607</v>
      </c>
      <c r="R456" s="811"/>
    </row>
    <row r="457" customFormat="false" ht="16.5" hidden="false" customHeight="true" outlineLevel="0" collapsed="false">
      <c r="A457" s="747" t="s">
        <v>2335</v>
      </c>
      <c r="B457" s="774" t="n">
        <v>41291</v>
      </c>
      <c r="D457" s="749" t="s">
        <v>2358</v>
      </c>
      <c r="E457" s="749" t="s">
        <v>2788</v>
      </c>
      <c r="F457" s="749" t="s">
        <v>2616</v>
      </c>
      <c r="G457" s="798" t="s">
        <v>1267</v>
      </c>
      <c r="H457" s="776" t="n">
        <v>87900000</v>
      </c>
      <c r="I457" s="777" t="n">
        <v>82</v>
      </c>
      <c r="J457" s="778" t="n">
        <f aca="false">IF(I457="","",H457/I457)</f>
        <v>1071951.2195122</v>
      </c>
      <c r="K457" s="749" t="s">
        <v>2361</v>
      </c>
      <c r="L457" s="774" t="n">
        <v>41291</v>
      </c>
      <c r="M457" s="774" t="n">
        <v>41472</v>
      </c>
      <c r="O457" s="783" t="n">
        <v>4.1</v>
      </c>
      <c r="P457" s="749" t="s">
        <v>2606</v>
      </c>
      <c r="Q457" s="749" t="s">
        <v>2607</v>
      </c>
      <c r="R457" s="811"/>
    </row>
    <row r="458" customFormat="false" ht="16.5" hidden="false" customHeight="true" outlineLevel="0" collapsed="false">
      <c r="A458" s="747" t="s">
        <v>2335</v>
      </c>
      <c r="B458" s="774" t="n">
        <v>41292</v>
      </c>
      <c r="D458" s="749" t="s">
        <v>1172</v>
      </c>
      <c r="E458" s="749" t="s">
        <v>2629</v>
      </c>
      <c r="F458" s="749" t="s">
        <v>2630</v>
      </c>
      <c r="G458" s="798" t="s">
        <v>1267</v>
      </c>
      <c r="H458" s="776" t="n">
        <v>120000000</v>
      </c>
      <c r="I458" s="777" t="n">
        <v>82</v>
      </c>
      <c r="J458" s="778" t="n">
        <f aca="false">IF(I458="","",H458/I458)</f>
        <v>1463414.63414634</v>
      </c>
      <c r="K458" s="749" t="s">
        <v>2794</v>
      </c>
      <c r="L458" s="774" t="n">
        <v>41306</v>
      </c>
      <c r="M458" s="774" t="n">
        <v>41673</v>
      </c>
      <c r="O458" s="783" t="n">
        <v>3.96</v>
      </c>
      <c r="P458" s="749" t="s">
        <v>2606</v>
      </c>
      <c r="Q458" s="749" t="s">
        <v>2607</v>
      </c>
      <c r="R458" s="811"/>
    </row>
    <row r="459" customFormat="false" ht="16.5" hidden="false" customHeight="true" outlineLevel="0" collapsed="false">
      <c r="A459" s="747" t="s">
        <v>2335</v>
      </c>
      <c r="B459" s="774" t="n">
        <v>41292</v>
      </c>
      <c r="D459" s="749" t="s">
        <v>2358</v>
      </c>
      <c r="E459" s="749" t="s">
        <v>2788</v>
      </c>
      <c r="F459" s="749" t="s">
        <v>2626</v>
      </c>
      <c r="G459" s="798" t="s">
        <v>1267</v>
      </c>
      <c r="H459" s="776" t="n">
        <v>89800000</v>
      </c>
      <c r="I459" s="777" t="n">
        <v>82</v>
      </c>
      <c r="J459" s="778" t="n">
        <f aca="false">IF(I459="","",H459/I459)</f>
        <v>1095121.95121951</v>
      </c>
      <c r="K459" s="749" t="s">
        <v>2361</v>
      </c>
      <c r="L459" s="774" t="n">
        <v>41295</v>
      </c>
      <c r="M459" s="774" t="n">
        <v>41476</v>
      </c>
      <c r="O459" s="783" t="n">
        <v>3.99</v>
      </c>
      <c r="P459" s="749" t="s">
        <v>2606</v>
      </c>
      <c r="Q459" s="749" t="s">
        <v>2607</v>
      </c>
      <c r="R459" s="811"/>
    </row>
    <row r="460" customFormat="false" ht="16.5" hidden="false" customHeight="true" outlineLevel="0" collapsed="false">
      <c r="A460" s="747" t="s">
        <v>2335</v>
      </c>
      <c r="B460" s="774" t="n">
        <v>41296</v>
      </c>
      <c r="D460" s="749" t="s">
        <v>2358</v>
      </c>
      <c r="E460" s="749" t="s">
        <v>2788</v>
      </c>
      <c r="F460" s="749" t="s">
        <v>2627</v>
      </c>
      <c r="G460" s="798" t="s">
        <v>1267</v>
      </c>
      <c r="H460" s="776" t="n">
        <v>88300000</v>
      </c>
      <c r="I460" s="777" t="n">
        <v>83</v>
      </c>
      <c r="J460" s="778" t="n">
        <f aca="false">IF(I460="","",H460/I460)</f>
        <v>1063855.42168675</v>
      </c>
      <c r="K460" s="749" t="s">
        <v>2361</v>
      </c>
      <c r="L460" s="774" t="n">
        <v>41297</v>
      </c>
      <c r="M460" s="774" t="n">
        <v>41478</v>
      </c>
      <c r="O460" s="783" t="n">
        <v>4</v>
      </c>
      <c r="P460" s="749" t="s">
        <v>2606</v>
      </c>
      <c r="Q460" s="749" t="s">
        <v>2607</v>
      </c>
      <c r="R460" s="811"/>
    </row>
    <row r="461" customFormat="false" ht="16.5" hidden="false" customHeight="true" outlineLevel="0" collapsed="false">
      <c r="A461" s="747" t="s">
        <v>2335</v>
      </c>
      <c r="B461" s="774" t="n">
        <v>41297</v>
      </c>
      <c r="D461" s="749" t="s">
        <v>2375</v>
      </c>
      <c r="E461" s="749" t="s">
        <v>2601</v>
      </c>
      <c r="F461" s="749" t="s">
        <v>2623</v>
      </c>
      <c r="G461" s="798" t="s">
        <v>1267</v>
      </c>
      <c r="H461" s="776" t="n">
        <v>41000000</v>
      </c>
      <c r="I461" s="777" t="n">
        <v>82</v>
      </c>
      <c r="J461" s="778" t="n">
        <f aca="false">IF(I461="","",H461/I461)</f>
        <v>500000</v>
      </c>
      <c r="K461" s="749" t="s">
        <v>2361</v>
      </c>
      <c r="L461" s="774" t="n">
        <v>41300</v>
      </c>
      <c r="M461" s="774" t="n">
        <v>41665</v>
      </c>
      <c r="O461" s="783" t="n">
        <v>3.99</v>
      </c>
      <c r="P461" s="749" t="s">
        <v>2606</v>
      </c>
      <c r="Q461" s="749" t="s">
        <v>2607</v>
      </c>
      <c r="R461" s="811"/>
    </row>
    <row r="462" customFormat="false" ht="16.5" hidden="false" customHeight="true" outlineLevel="0" collapsed="false">
      <c r="A462" s="747" t="s">
        <v>2335</v>
      </c>
      <c r="B462" s="774" t="n">
        <v>41298</v>
      </c>
      <c r="D462" s="749" t="s">
        <v>162</v>
      </c>
      <c r="E462" s="749" t="s">
        <v>2795</v>
      </c>
      <c r="F462" s="749" t="s">
        <v>2632</v>
      </c>
      <c r="G462" s="798" t="s">
        <v>1267</v>
      </c>
      <c r="H462" s="776" t="n">
        <v>28000000</v>
      </c>
      <c r="I462" s="777" t="n">
        <v>84</v>
      </c>
      <c r="J462" s="778" t="n">
        <f aca="false">IF(I462="","",H462/I462)</f>
        <v>333333.333333333</v>
      </c>
      <c r="K462" s="749" t="s">
        <v>2361</v>
      </c>
      <c r="L462" s="774" t="n">
        <v>41302</v>
      </c>
      <c r="M462" s="774" t="n">
        <v>41667</v>
      </c>
      <c r="O462" s="783" t="n">
        <v>4</v>
      </c>
      <c r="P462" s="749" t="s">
        <v>2606</v>
      </c>
      <c r="Q462" s="749" t="s">
        <v>2607</v>
      </c>
      <c r="R462" s="811"/>
    </row>
    <row r="463" customFormat="false" ht="16.5" hidden="false" customHeight="true" outlineLevel="0" collapsed="false">
      <c r="A463" s="747" t="s">
        <v>2335</v>
      </c>
      <c r="B463" s="774" t="n">
        <v>41298</v>
      </c>
      <c r="D463" s="749" t="s">
        <v>124</v>
      </c>
      <c r="E463" s="749" t="s">
        <v>2529</v>
      </c>
      <c r="F463" s="749" t="s">
        <v>2625</v>
      </c>
      <c r="G463" s="798" t="s">
        <v>2136</v>
      </c>
      <c r="H463" s="776" t="n">
        <v>160000</v>
      </c>
      <c r="I463" s="777" t="n">
        <v>1</v>
      </c>
      <c r="J463" s="778" t="n">
        <f aca="false">IF(I463="","",H463/I463)</f>
        <v>160000</v>
      </c>
      <c r="K463" s="749" t="s">
        <v>2361</v>
      </c>
      <c r="L463" s="774" t="n">
        <v>41299</v>
      </c>
      <c r="M463" s="774" t="n">
        <v>41664</v>
      </c>
      <c r="O463" s="783" t="n">
        <v>4.5</v>
      </c>
      <c r="P463" s="749" t="s">
        <v>2606</v>
      </c>
      <c r="Q463" s="749" t="s">
        <v>2607</v>
      </c>
      <c r="R463" s="811"/>
    </row>
    <row r="464" customFormat="false" ht="16.5" hidden="false" customHeight="true" outlineLevel="0" collapsed="false">
      <c r="A464" s="747" t="s">
        <v>2335</v>
      </c>
      <c r="B464" s="774" t="n">
        <v>41305</v>
      </c>
      <c r="D464" s="749" t="s">
        <v>2358</v>
      </c>
      <c r="E464" s="749" t="s">
        <v>2788</v>
      </c>
      <c r="F464" s="749" t="s">
        <v>2617</v>
      </c>
      <c r="G464" s="798" t="s">
        <v>1267</v>
      </c>
      <c r="H464" s="776" t="n">
        <v>87900000</v>
      </c>
      <c r="I464" s="777" t="n">
        <v>86</v>
      </c>
      <c r="J464" s="778" t="n">
        <f aca="false">IF(I464="","",H464/I464)</f>
        <v>1022093.02325581</v>
      </c>
      <c r="K464" s="749" t="s">
        <v>2361</v>
      </c>
      <c r="L464" s="774" t="n">
        <v>41305</v>
      </c>
      <c r="M464" s="774" t="n">
        <v>41472</v>
      </c>
      <c r="O464" s="783" t="n">
        <v>3.89</v>
      </c>
      <c r="P464" s="749" t="s">
        <v>2606</v>
      </c>
      <c r="Q464" s="749" t="s">
        <v>2607</v>
      </c>
      <c r="R464" s="811"/>
    </row>
    <row r="465" customFormat="false" ht="16.5" hidden="false" customHeight="true" outlineLevel="0" collapsed="false">
      <c r="A465" s="747" t="s">
        <v>2190</v>
      </c>
      <c r="B465" s="774" t="n">
        <v>41312</v>
      </c>
      <c r="D465" s="749" t="s">
        <v>2430</v>
      </c>
      <c r="E465" s="749" t="s">
        <v>2431</v>
      </c>
      <c r="F465" s="814" t="s">
        <v>2780</v>
      </c>
      <c r="G465" s="798" t="s">
        <v>2136</v>
      </c>
      <c r="H465" s="776" t="n">
        <v>54180</v>
      </c>
      <c r="I465" s="777" t="n">
        <v>90</v>
      </c>
      <c r="J465" s="778" t="n">
        <f aca="false">IF(I465="","",H465/I465)</f>
        <v>602</v>
      </c>
      <c r="K465" s="749" t="s">
        <v>2336</v>
      </c>
      <c r="L465" s="774" t="n">
        <v>41317</v>
      </c>
      <c r="M465" s="774" t="n">
        <v>41559</v>
      </c>
      <c r="O465" s="801" t="n">
        <v>3.03</v>
      </c>
      <c r="P465" s="749" t="s">
        <v>2606</v>
      </c>
      <c r="Q465" s="749" t="s">
        <v>2607</v>
      </c>
      <c r="R465" s="811"/>
    </row>
    <row r="466" customFormat="false" ht="16.5" hidden="false" customHeight="true" outlineLevel="0" collapsed="false">
      <c r="A466" s="747" t="s">
        <v>2335</v>
      </c>
      <c r="B466" s="774" t="n">
        <v>41319</v>
      </c>
      <c r="D466" s="798" t="s">
        <v>2403</v>
      </c>
      <c r="E466" s="749" t="s">
        <v>2796</v>
      </c>
      <c r="F466" s="749" t="s">
        <v>2641</v>
      </c>
      <c r="G466" s="798" t="s">
        <v>1267</v>
      </c>
      <c r="H466" s="776" t="n">
        <v>21500000</v>
      </c>
      <c r="I466" s="777" t="n">
        <v>87</v>
      </c>
      <c r="J466" s="778" t="n">
        <f aca="false">IF(I466="","",H466/I466)</f>
        <v>247126.436781609</v>
      </c>
      <c r="K466" s="749" t="s">
        <v>2361</v>
      </c>
      <c r="L466" s="774" t="n">
        <v>41320</v>
      </c>
      <c r="M466" s="774" t="n">
        <v>41688</v>
      </c>
      <c r="O466" s="783" t="n">
        <v>3</v>
      </c>
      <c r="P466" s="749" t="s">
        <v>2606</v>
      </c>
      <c r="Q466" s="749" t="s">
        <v>2607</v>
      </c>
      <c r="R466" s="811"/>
    </row>
    <row r="467" customFormat="false" ht="16.5" hidden="false" customHeight="true" outlineLevel="0" collapsed="false">
      <c r="A467" s="747" t="s">
        <v>2335</v>
      </c>
      <c r="B467" s="774" t="n">
        <v>41324</v>
      </c>
      <c r="D467" s="749" t="s">
        <v>201</v>
      </c>
      <c r="E467" s="749" t="s">
        <v>2411</v>
      </c>
      <c r="F467" s="749" t="s">
        <v>2644</v>
      </c>
      <c r="G467" s="798" t="s">
        <v>1267</v>
      </c>
      <c r="H467" s="776" t="n">
        <v>110000000</v>
      </c>
      <c r="I467" s="777" t="n">
        <v>88</v>
      </c>
      <c r="J467" s="778" t="n">
        <f aca="false">IF(I467="","",H467/I467)</f>
        <v>1250000</v>
      </c>
      <c r="K467" s="749" t="s">
        <v>2361</v>
      </c>
      <c r="L467" s="774" t="n">
        <v>41330</v>
      </c>
      <c r="M467" s="774" t="n">
        <v>41695</v>
      </c>
      <c r="O467" s="783" t="n">
        <v>4.14</v>
      </c>
      <c r="P467" s="749" t="s">
        <v>2606</v>
      </c>
      <c r="Q467" s="749" t="s">
        <v>2607</v>
      </c>
      <c r="R467" s="811"/>
    </row>
    <row r="468" customFormat="false" ht="16.5" hidden="false" customHeight="true" outlineLevel="0" collapsed="false">
      <c r="A468" s="747" t="s">
        <v>2335</v>
      </c>
      <c r="B468" s="774" t="n">
        <v>41325</v>
      </c>
      <c r="D468" s="749" t="s">
        <v>2344</v>
      </c>
      <c r="E468" s="749" t="s">
        <v>2550</v>
      </c>
      <c r="F468" s="749" t="s">
        <v>2797</v>
      </c>
      <c r="G468" s="798" t="s">
        <v>1267</v>
      </c>
      <c r="H468" s="776" t="n">
        <v>54000000</v>
      </c>
      <c r="I468" s="777" t="n">
        <v>89</v>
      </c>
      <c r="J468" s="778" t="n">
        <f aca="false">IF(I468="","",H468/I468)</f>
        <v>606741.573033708</v>
      </c>
      <c r="K468" s="749" t="s">
        <v>2361</v>
      </c>
      <c r="L468" s="774" t="n">
        <v>41332</v>
      </c>
      <c r="M468" s="774" t="n">
        <v>41697</v>
      </c>
      <c r="O468" s="783" t="n">
        <v>3</v>
      </c>
      <c r="P468" s="749" t="s">
        <v>2606</v>
      </c>
      <c r="Q468" s="749" t="s">
        <v>2607</v>
      </c>
      <c r="R468" s="811"/>
    </row>
    <row r="469" customFormat="false" ht="16.5" hidden="false" customHeight="true" outlineLevel="0" collapsed="false">
      <c r="A469" s="747" t="s">
        <v>2190</v>
      </c>
      <c r="B469" s="774" t="n">
        <v>41328</v>
      </c>
      <c r="D469" s="749" t="s">
        <v>597</v>
      </c>
      <c r="E469" s="749" t="s">
        <v>2624</v>
      </c>
      <c r="F469" s="749" t="s">
        <v>2798</v>
      </c>
      <c r="G469" s="798" t="s">
        <v>1267</v>
      </c>
      <c r="H469" s="776" t="n">
        <v>75000000</v>
      </c>
      <c r="I469" s="777" t="n">
        <v>90</v>
      </c>
      <c r="J469" s="778" t="n">
        <f aca="false">IF(I469="","",H469/I469)</f>
        <v>833333.333333333</v>
      </c>
      <c r="K469" s="749" t="s">
        <v>2361</v>
      </c>
      <c r="L469" s="774" t="n">
        <v>41332</v>
      </c>
      <c r="M469" s="774" t="n">
        <v>43158</v>
      </c>
      <c r="O469" s="801" t="n">
        <v>3.88</v>
      </c>
      <c r="P469" s="749" t="s">
        <v>2606</v>
      </c>
      <c r="Q469" s="749" t="s">
        <v>2607</v>
      </c>
      <c r="R469" s="811"/>
    </row>
    <row r="470" customFormat="false" ht="16.5" hidden="false" customHeight="true" outlineLevel="0" collapsed="false">
      <c r="A470" s="747" t="s">
        <v>2190</v>
      </c>
      <c r="B470" s="774" t="n">
        <v>41328</v>
      </c>
      <c r="D470" s="749" t="s">
        <v>597</v>
      </c>
      <c r="E470" s="749" t="s">
        <v>2624</v>
      </c>
      <c r="F470" s="749" t="s">
        <v>2798</v>
      </c>
      <c r="G470" s="798" t="s">
        <v>1267</v>
      </c>
      <c r="H470" s="776" t="n">
        <v>23000000</v>
      </c>
      <c r="I470" s="777" t="n">
        <v>90</v>
      </c>
      <c r="J470" s="778" t="n">
        <f aca="false">IF(I470="","",H470/I470)</f>
        <v>255555.555555556</v>
      </c>
      <c r="K470" s="749" t="s">
        <v>2361</v>
      </c>
      <c r="L470" s="774" t="n">
        <v>41374</v>
      </c>
      <c r="M470" s="774" t="n">
        <v>43200</v>
      </c>
      <c r="O470" s="801" t="n">
        <v>3.88</v>
      </c>
      <c r="P470" s="749" t="s">
        <v>2606</v>
      </c>
      <c r="Q470" s="749" t="s">
        <v>2607</v>
      </c>
      <c r="R470" s="811"/>
    </row>
    <row r="471" customFormat="false" ht="16.5" hidden="false" customHeight="true" outlineLevel="0" collapsed="false">
      <c r="A471" s="747" t="s">
        <v>2335</v>
      </c>
      <c r="B471" s="774" t="n">
        <v>41331</v>
      </c>
      <c r="D471" s="749" t="s">
        <v>644</v>
      </c>
      <c r="E471" s="749" t="s">
        <v>2359</v>
      </c>
      <c r="F471" s="749" t="s">
        <v>2799</v>
      </c>
      <c r="G471" s="798" t="s">
        <v>1267</v>
      </c>
      <c r="H471" s="776" t="n">
        <v>54500000</v>
      </c>
      <c r="I471" s="777" t="n">
        <v>89</v>
      </c>
      <c r="J471" s="778" t="n">
        <f aca="false">IF(I471="","",H471/I471)</f>
        <v>612359.550561798</v>
      </c>
      <c r="K471" s="749" t="s">
        <v>2361</v>
      </c>
      <c r="L471" s="774" t="n">
        <v>41332</v>
      </c>
      <c r="M471" s="774" t="n">
        <v>41697</v>
      </c>
      <c r="O471" s="801" t="n">
        <v>3.83</v>
      </c>
      <c r="P471" s="749" t="s">
        <v>2606</v>
      </c>
      <c r="Q471" s="749" t="s">
        <v>2607</v>
      </c>
      <c r="R471" s="811"/>
    </row>
    <row r="472" customFormat="false" ht="16.5" hidden="false" customHeight="true" outlineLevel="0" collapsed="false">
      <c r="A472" s="747" t="s">
        <v>2335</v>
      </c>
      <c r="B472" s="774" t="n">
        <v>41331</v>
      </c>
      <c r="D472" s="749" t="s">
        <v>2358</v>
      </c>
      <c r="E472" s="749" t="s">
        <v>2788</v>
      </c>
      <c r="F472" s="749" t="s">
        <v>2647</v>
      </c>
      <c r="G472" s="798" t="s">
        <v>1267</v>
      </c>
      <c r="H472" s="776" t="n">
        <v>120770000</v>
      </c>
      <c r="I472" s="777" t="n">
        <v>91</v>
      </c>
      <c r="J472" s="778" t="n">
        <f aca="false">IF(I472="","",H472/I472)</f>
        <v>1327142.85714286</v>
      </c>
      <c r="K472" s="749" t="s">
        <v>2361</v>
      </c>
      <c r="L472" s="774" t="n">
        <v>41331</v>
      </c>
      <c r="M472" s="774" t="n">
        <v>41511</v>
      </c>
      <c r="O472" s="783" t="n">
        <v>5.99</v>
      </c>
      <c r="P472" s="749" t="s">
        <v>2606</v>
      </c>
      <c r="Q472" s="749" t="s">
        <v>2607</v>
      </c>
      <c r="R472" s="811"/>
    </row>
    <row r="473" customFormat="false" ht="16.5" hidden="false" customHeight="true" outlineLevel="0" collapsed="false">
      <c r="A473" s="747" t="s">
        <v>2190</v>
      </c>
      <c r="B473" s="774" t="n">
        <v>41332</v>
      </c>
      <c r="D473" s="749" t="s">
        <v>597</v>
      </c>
      <c r="E473" s="749" t="s">
        <v>2624</v>
      </c>
      <c r="F473" s="749" t="s">
        <v>2798</v>
      </c>
      <c r="G473" s="798" t="s">
        <v>1267</v>
      </c>
      <c r="H473" s="776" t="n">
        <v>75000000</v>
      </c>
      <c r="I473" s="777" t="n">
        <v>90</v>
      </c>
      <c r="J473" s="778" t="n">
        <f aca="false">IF(I473="","",H473/I473)</f>
        <v>833333.333333333</v>
      </c>
      <c r="K473" s="749" t="s">
        <v>2361</v>
      </c>
      <c r="L473" s="774" t="n">
        <v>41332</v>
      </c>
      <c r="M473" s="774" t="n">
        <v>43158</v>
      </c>
      <c r="O473" s="801" t="n">
        <v>3.88</v>
      </c>
      <c r="P473" s="749" t="s">
        <v>2606</v>
      </c>
      <c r="Q473" s="749" t="s">
        <v>2607</v>
      </c>
      <c r="R473" s="811"/>
    </row>
    <row r="474" customFormat="false" ht="16.5" hidden="false" customHeight="true" outlineLevel="0" collapsed="false">
      <c r="A474" s="747" t="s">
        <v>2190</v>
      </c>
      <c r="B474" s="774" t="n">
        <v>41332</v>
      </c>
      <c r="D474" s="749" t="s">
        <v>597</v>
      </c>
      <c r="E474" s="749" t="s">
        <v>2624</v>
      </c>
      <c r="F474" s="749" t="s">
        <v>2798</v>
      </c>
      <c r="G474" s="798" t="s">
        <v>1267</v>
      </c>
      <c r="H474" s="776" t="n">
        <v>23000000</v>
      </c>
      <c r="I474" s="777" t="n">
        <v>90</v>
      </c>
      <c r="J474" s="778" t="n">
        <f aca="false">IF(I474="","",H474/I474)</f>
        <v>255555.555555556</v>
      </c>
      <c r="K474" s="749" t="s">
        <v>2361</v>
      </c>
      <c r="L474" s="774" t="n">
        <v>41374</v>
      </c>
      <c r="M474" s="774" t="n">
        <v>43200</v>
      </c>
      <c r="O474" s="801" t="n">
        <v>3.88</v>
      </c>
      <c r="P474" s="749" t="s">
        <v>2606</v>
      </c>
      <c r="Q474" s="749" t="s">
        <v>2607</v>
      </c>
      <c r="R474" s="811"/>
    </row>
    <row r="475" customFormat="false" ht="16.5" hidden="false" customHeight="true" outlineLevel="0" collapsed="false">
      <c r="A475" s="747" t="s">
        <v>2335</v>
      </c>
      <c r="B475" s="774" t="n">
        <v>41339</v>
      </c>
      <c r="D475" s="749" t="s">
        <v>1172</v>
      </c>
      <c r="E475" s="749" t="s">
        <v>2629</v>
      </c>
      <c r="F475" s="749" t="s">
        <v>2630</v>
      </c>
      <c r="G475" s="798" t="s">
        <v>1267</v>
      </c>
      <c r="H475" s="776" t="n">
        <v>700000000</v>
      </c>
      <c r="I475" s="777" t="n">
        <v>94.23</v>
      </c>
      <c r="J475" s="778" t="n">
        <f aca="false">IF(I475="","",H475/I475)</f>
        <v>7428632.07046588</v>
      </c>
      <c r="K475" s="749" t="s">
        <v>2794</v>
      </c>
      <c r="L475" s="774" t="n">
        <v>41348</v>
      </c>
      <c r="M475" s="774" t="n">
        <v>41716</v>
      </c>
      <c r="O475" s="783" t="n">
        <v>4.45</v>
      </c>
      <c r="P475" s="749" t="s">
        <v>2606</v>
      </c>
      <c r="Q475" s="749" t="s">
        <v>2607</v>
      </c>
      <c r="R475" s="811"/>
    </row>
    <row r="476" customFormat="false" ht="16.5" hidden="false" customHeight="true" outlineLevel="0" collapsed="false">
      <c r="A476" s="747" t="s">
        <v>2335</v>
      </c>
      <c r="B476" s="774" t="n">
        <v>41341</v>
      </c>
      <c r="D476" s="749" t="s">
        <v>1184</v>
      </c>
      <c r="E476" s="749" t="s">
        <v>2800</v>
      </c>
      <c r="F476" s="749" t="s">
        <v>2653</v>
      </c>
      <c r="G476" s="798" t="s">
        <v>2136</v>
      </c>
      <c r="H476" s="776" t="n">
        <v>3000000</v>
      </c>
      <c r="I476" s="777" t="n">
        <v>1</v>
      </c>
      <c r="J476" s="778" t="n">
        <f aca="false">IF(I476="","",H476/I476)</f>
        <v>3000000</v>
      </c>
      <c r="K476" s="749" t="s">
        <v>2794</v>
      </c>
      <c r="L476" s="774" t="n">
        <v>41345</v>
      </c>
      <c r="M476" s="774" t="n">
        <v>41710</v>
      </c>
      <c r="O476" s="783" t="n">
        <v>3.06</v>
      </c>
      <c r="P476" s="749" t="s">
        <v>2606</v>
      </c>
      <c r="Q476" s="749" t="s">
        <v>2607</v>
      </c>
      <c r="R476" s="811"/>
    </row>
    <row r="477" customFormat="false" ht="16.5" hidden="false" customHeight="true" outlineLevel="0" collapsed="false">
      <c r="A477" s="747" t="s">
        <v>2335</v>
      </c>
      <c r="B477" s="774" t="n">
        <v>41346</v>
      </c>
      <c r="D477" s="749" t="s">
        <v>2375</v>
      </c>
      <c r="E477" s="749" t="s">
        <v>2599</v>
      </c>
      <c r="F477" s="749" t="s">
        <v>2340</v>
      </c>
      <c r="G477" s="798" t="s">
        <v>1267</v>
      </c>
      <c r="H477" s="776" t="n">
        <v>21240000</v>
      </c>
      <c r="I477" s="777" t="n">
        <v>94.23</v>
      </c>
      <c r="J477" s="778" t="n">
        <f aca="false">IF(I477="","",H477/I477)</f>
        <v>225405.921680993</v>
      </c>
      <c r="K477" s="749" t="s">
        <v>2336</v>
      </c>
      <c r="L477" s="774" t="n">
        <v>41350</v>
      </c>
      <c r="M477" s="774" t="n">
        <v>41715</v>
      </c>
      <c r="O477" s="783" t="n">
        <v>4</v>
      </c>
      <c r="P477" s="749" t="s">
        <v>2606</v>
      </c>
      <c r="Q477" s="749" t="s">
        <v>2607</v>
      </c>
      <c r="R477" s="811"/>
    </row>
    <row r="478" customFormat="false" ht="16.5" hidden="false" customHeight="true" outlineLevel="0" collapsed="false">
      <c r="A478" s="747" t="s">
        <v>2335</v>
      </c>
      <c r="B478" s="774" t="n">
        <v>41347</v>
      </c>
      <c r="D478" s="798" t="s">
        <v>2403</v>
      </c>
      <c r="E478" s="749" t="s">
        <v>2796</v>
      </c>
      <c r="F478" s="749" t="s">
        <v>2541</v>
      </c>
      <c r="G478" s="798" t="s">
        <v>2136</v>
      </c>
      <c r="H478" s="776" t="n">
        <v>227036</v>
      </c>
      <c r="I478" s="777" t="n">
        <v>1</v>
      </c>
      <c r="J478" s="778" t="n">
        <f aca="false">IF(I478="","",H478/I478)</f>
        <v>227036</v>
      </c>
      <c r="K478" s="749" t="s">
        <v>2336</v>
      </c>
      <c r="L478" s="774" t="n">
        <v>41347</v>
      </c>
      <c r="M478" s="774" t="n">
        <v>41439</v>
      </c>
      <c r="O478" s="783" t="n">
        <v>3</v>
      </c>
      <c r="P478" s="749" t="s">
        <v>2606</v>
      </c>
      <c r="Q478" s="749" t="s">
        <v>2607</v>
      </c>
      <c r="R478" s="811"/>
    </row>
    <row r="479" customFormat="false" ht="16.5" hidden="false" customHeight="true" outlineLevel="0" collapsed="false">
      <c r="A479" s="747" t="s">
        <v>2335</v>
      </c>
      <c r="B479" s="774" t="n">
        <v>41348</v>
      </c>
      <c r="D479" s="749" t="s">
        <v>597</v>
      </c>
      <c r="E479" s="749" t="s">
        <v>2589</v>
      </c>
      <c r="F479" s="749" t="s">
        <v>2656</v>
      </c>
      <c r="G479" s="798" t="s">
        <v>1267</v>
      </c>
      <c r="H479" s="776" t="n">
        <v>91700000</v>
      </c>
      <c r="I479" s="777" t="n">
        <v>94.23</v>
      </c>
      <c r="J479" s="778" t="n">
        <f aca="false">IF(I479="","",H479/I479)</f>
        <v>973150.80123103</v>
      </c>
      <c r="K479" s="749" t="s">
        <v>2336</v>
      </c>
      <c r="L479" s="774" t="n">
        <v>41355</v>
      </c>
      <c r="M479" s="774" t="n">
        <v>41720</v>
      </c>
      <c r="O479" s="783" t="n">
        <v>4.3</v>
      </c>
      <c r="P479" s="749" t="s">
        <v>2606</v>
      </c>
      <c r="Q479" s="749" t="s">
        <v>2607</v>
      </c>
      <c r="R479" s="811"/>
    </row>
    <row r="480" customFormat="false" ht="16.5" hidden="false" customHeight="true" outlineLevel="0" collapsed="false">
      <c r="A480" s="747" t="s">
        <v>2335</v>
      </c>
      <c r="B480" s="774" t="n">
        <v>41352</v>
      </c>
      <c r="D480" s="749" t="s">
        <v>96</v>
      </c>
      <c r="E480" s="749" t="s">
        <v>2390</v>
      </c>
      <c r="F480" s="749" t="s">
        <v>2670</v>
      </c>
      <c r="G480" s="798" t="s">
        <v>1267</v>
      </c>
      <c r="H480" s="776" t="n">
        <v>45000000</v>
      </c>
      <c r="I480" s="777" t="n">
        <v>94.23</v>
      </c>
      <c r="J480" s="778" t="n">
        <f aca="false">IF(I480="","",H480/I480)</f>
        <v>477554.918815664</v>
      </c>
      <c r="K480" s="749" t="s">
        <v>2336</v>
      </c>
      <c r="L480" s="774" t="n">
        <v>41368</v>
      </c>
      <c r="M480" s="774" t="n">
        <v>41733</v>
      </c>
      <c r="O480" s="783" t="n">
        <v>4.5</v>
      </c>
      <c r="P480" s="749" t="s">
        <v>2606</v>
      </c>
      <c r="Q480" s="749" t="s">
        <v>2607</v>
      </c>
      <c r="R480" s="811"/>
    </row>
    <row r="481" customFormat="false" ht="16.5" hidden="false" customHeight="true" outlineLevel="0" collapsed="false">
      <c r="A481" s="747" t="s">
        <v>2335</v>
      </c>
      <c r="B481" s="774" t="n">
        <v>41353</v>
      </c>
      <c r="D481" s="749" t="s">
        <v>2375</v>
      </c>
      <c r="E481" s="749" t="s">
        <v>2599</v>
      </c>
      <c r="F481" s="749" t="s">
        <v>2499</v>
      </c>
      <c r="G481" s="798" t="s">
        <v>1267</v>
      </c>
      <c r="H481" s="776" t="n">
        <v>80000000</v>
      </c>
      <c r="I481" s="777" t="n">
        <v>94.23</v>
      </c>
      <c r="J481" s="778" t="n">
        <f aca="false">IF(I481="","",H481/I481)</f>
        <v>848986.522338958</v>
      </c>
      <c r="K481" s="749" t="s">
        <v>2361</v>
      </c>
      <c r="L481" s="774" t="n">
        <v>41358</v>
      </c>
      <c r="M481" s="774" t="n">
        <v>41723</v>
      </c>
      <c r="O481" s="783" t="n">
        <v>2.98</v>
      </c>
      <c r="P481" s="749" t="s">
        <v>2606</v>
      </c>
      <c r="Q481" s="749" t="s">
        <v>2607</v>
      </c>
      <c r="R481" s="811"/>
    </row>
    <row r="482" customFormat="false" ht="16.5" hidden="false" customHeight="true" outlineLevel="0" collapsed="false">
      <c r="A482" s="815" t="s">
        <v>2190</v>
      </c>
      <c r="B482" s="774" t="n">
        <v>41353</v>
      </c>
      <c r="D482" s="749" t="s">
        <v>644</v>
      </c>
      <c r="E482" s="749" t="s">
        <v>2359</v>
      </c>
      <c r="F482" s="749" t="s">
        <v>2380</v>
      </c>
      <c r="G482" s="798" t="s">
        <v>2136</v>
      </c>
      <c r="H482" s="776" t="n">
        <v>300000</v>
      </c>
      <c r="I482" s="777" t="n">
        <v>94</v>
      </c>
      <c r="J482" s="778" t="n">
        <f aca="false">IF(I482="","",H482/I482)</f>
        <v>3191.48936170213</v>
      </c>
      <c r="K482" s="749" t="s">
        <v>2336</v>
      </c>
      <c r="L482" s="774" t="n">
        <v>41353</v>
      </c>
      <c r="M482" s="774" t="n">
        <v>41524</v>
      </c>
      <c r="O482" s="801" t="n">
        <v>3.1</v>
      </c>
      <c r="P482" s="749" t="s">
        <v>2606</v>
      </c>
      <c r="Q482" s="749" t="s">
        <v>2607</v>
      </c>
      <c r="R482" s="811"/>
    </row>
    <row r="483" customFormat="false" ht="16.5" hidden="false" customHeight="true" outlineLevel="0" collapsed="false">
      <c r="A483" s="747" t="s">
        <v>2335</v>
      </c>
      <c r="B483" s="774" t="n">
        <v>41354</v>
      </c>
      <c r="D483" s="749" t="s">
        <v>597</v>
      </c>
      <c r="E483" s="749" t="s">
        <v>2589</v>
      </c>
      <c r="F483" s="749" t="s">
        <v>2801</v>
      </c>
      <c r="G483" s="798" t="s">
        <v>1267</v>
      </c>
      <c r="H483" s="776" t="n">
        <v>91700000</v>
      </c>
      <c r="I483" s="777" t="n">
        <v>94.23</v>
      </c>
      <c r="J483" s="778" t="n">
        <f aca="false">IF(I483="","",H483/I483)</f>
        <v>973150.80123103</v>
      </c>
      <c r="K483" s="749" t="s">
        <v>2336</v>
      </c>
      <c r="L483" s="774" t="n">
        <v>41355</v>
      </c>
      <c r="M483" s="774" t="n">
        <v>41720</v>
      </c>
      <c r="O483" s="783" t="n">
        <v>4.1</v>
      </c>
      <c r="P483" s="749" t="s">
        <v>2606</v>
      </c>
      <c r="Q483" s="749" t="s">
        <v>2607</v>
      </c>
      <c r="R483" s="811" t="s">
        <v>2802</v>
      </c>
    </row>
    <row r="484" customFormat="false" ht="16.5" hidden="false" customHeight="true" outlineLevel="0" collapsed="false">
      <c r="A484" s="747" t="s">
        <v>2335</v>
      </c>
      <c r="B484" s="774" t="n">
        <v>41354</v>
      </c>
      <c r="D484" s="749" t="s">
        <v>2375</v>
      </c>
      <c r="E484" s="749" t="s">
        <v>2599</v>
      </c>
      <c r="F484" s="749" t="s">
        <v>2667</v>
      </c>
      <c r="G484" s="798" t="s">
        <v>1267</v>
      </c>
      <c r="H484" s="776" t="n">
        <v>36600000</v>
      </c>
      <c r="I484" s="777" t="n">
        <v>94.23</v>
      </c>
      <c r="J484" s="778" t="n">
        <f aca="false">IF(I484="","",H484/I484)</f>
        <v>388411.333970073</v>
      </c>
      <c r="K484" s="749" t="s">
        <v>2336</v>
      </c>
      <c r="L484" s="774" t="n">
        <v>41364</v>
      </c>
      <c r="M484" s="774" t="n">
        <v>41729</v>
      </c>
      <c r="O484" s="783" t="n">
        <v>3.79</v>
      </c>
      <c r="P484" s="749" t="s">
        <v>2606</v>
      </c>
      <c r="Q484" s="749" t="s">
        <v>2607</v>
      </c>
      <c r="R484" s="811"/>
    </row>
    <row r="485" customFormat="false" ht="16.5" hidden="false" customHeight="true" outlineLevel="0" collapsed="false">
      <c r="A485" s="747" t="s">
        <v>2335</v>
      </c>
      <c r="B485" s="774" t="n">
        <v>41355</v>
      </c>
      <c r="D485" s="749" t="s">
        <v>124</v>
      </c>
      <c r="E485" s="749" t="s">
        <v>2803</v>
      </c>
      <c r="F485" s="749" t="s">
        <v>2804</v>
      </c>
      <c r="G485" s="798" t="s">
        <v>1267</v>
      </c>
      <c r="H485" s="776" t="n">
        <v>50000000</v>
      </c>
      <c r="I485" s="777" t="n">
        <v>94.23</v>
      </c>
      <c r="J485" s="778" t="n">
        <f aca="false">IF(I485="","",H485/I485)</f>
        <v>530616.576461849</v>
      </c>
      <c r="K485" s="749" t="s">
        <v>2336</v>
      </c>
      <c r="L485" s="774" t="n">
        <v>41358</v>
      </c>
      <c r="M485" s="774" t="n">
        <v>41723</v>
      </c>
      <c r="O485" s="783" t="n">
        <v>5.9</v>
      </c>
      <c r="P485" s="749" t="s">
        <v>2606</v>
      </c>
      <c r="Q485" s="749" t="s">
        <v>2607</v>
      </c>
      <c r="R485" s="811"/>
    </row>
    <row r="486" customFormat="false" ht="16.5" hidden="false" customHeight="true" outlineLevel="0" collapsed="false">
      <c r="A486" s="747" t="s">
        <v>2335</v>
      </c>
      <c r="B486" s="774" t="n">
        <v>41355</v>
      </c>
      <c r="D486" s="749" t="s">
        <v>133</v>
      </c>
      <c r="E486" s="749" t="s">
        <v>2805</v>
      </c>
      <c r="F486" s="749" t="s">
        <v>2673</v>
      </c>
      <c r="G486" s="798" t="s">
        <v>1267</v>
      </c>
      <c r="H486" s="776" t="n">
        <v>81450000</v>
      </c>
      <c r="I486" s="777" t="n">
        <v>94.23</v>
      </c>
      <c r="J486" s="778" t="n">
        <f aca="false">IF(I486="","",H486/I486)</f>
        <v>864374.403056352</v>
      </c>
      <c r="K486" s="749" t="s">
        <v>2361</v>
      </c>
      <c r="L486" s="774" t="n">
        <v>41362</v>
      </c>
      <c r="M486" s="774" t="n">
        <v>41727</v>
      </c>
      <c r="O486" s="783" t="n">
        <v>2.5</v>
      </c>
      <c r="P486" s="749" t="s">
        <v>2606</v>
      </c>
      <c r="Q486" s="749" t="s">
        <v>2607</v>
      </c>
      <c r="R486" s="811"/>
    </row>
    <row r="487" customFormat="false" ht="16.5" hidden="false" customHeight="true" outlineLevel="0" collapsed="false">
      <c r="A487" s="747" t="s">
        <v>2190</v>
      </c>
      <c r="B487" s="774" t="n">
        <v>41358</v>
      </c>
      <c r="D487" s="749" t="s">
        <v>2559</v>
      </c>
      <c r="E487" s="749" t="s">
        <v>2806</v>
      </c>
      <c r="F487" s="749" t="s">
        <v>2561</v>
      </c>
      <c r="G487" s="798" t="s">
        <v>2136</v>
      </c>
      <c r="H487" s="776" t="n">
        <v>22621.2</v>
      </c>
      <c r="I487" s="777" t="n">
        <v>94</v>
      </c>
      <c r="J487" s="778" t="n">
        <f aca="false">IF(I487="","",H487/I487)</f>
        <v>240.651063829787</v>
      </c>
      <c r="K487" s="749" t="s">
        <v>2336</v>
      </c>
      <c r="L487" s="774" t="n">
        <v>41359</v>
      </c>
      <c r="M487" s="774" t="n">
        <v>41724</v>
      </c>
      <c r="O487" s="801" t="n">
        <v>4.5</v>
      </c>
      <c r="P487" s="749" t="s">
        <v>2606</v>
      </c>
      <c r="Q487" s="749" t="s">
        <v>2607</v>
      </c>
      <c r="R487" s="811"/>
    </row>
    <row r="488" customFormat="false" ht="16.5" hidden="false" customHeight="true" outlineLevel="0" collapsed="false">
      <c r="A488" s="747" t="s">
        <v>2190</v>
      </c>
      <c r="B488" s="774" t="n">
        <v>41361</v>
      </c>
      <c r="D488" s="749" t="s">
        <v>103</v>
      </c>
      <c r="E488" s="749" t="s">
        <v>2739</v>
      </c>
      <c r="F488" s="749" t="s">
        <v>2807</v>
      </c>
      <c r="G488" s="798" t="s">
        <v>2136</v>
      </c>
      <c r="H488" s="776" t="n">
        <v>2000000</v>
      </c>
      <c r="I488" s="777" t="n">
        <v>94</v>
      </c>
      <c r="J488" s="778" t="n">
        <f aca="false">IF(I488="","",H488/I488)</f>
        <v>21276.5957446809</v>
      </c>
      <c r="K488" s="749" t="s">
        <v>2336</v>
      </c>
      <c r="L488" s="774" t="n">
        <v>41361</v>
      </c>
      <c r="M488" s="774" t="n">
        <v>42091</v>
      </c>
      <c r="O488" s="801" t="n">
        <v>3.2</v>
      </c>
      <c r="P488" s="749" t="s">
        <v>2606</v>
      </c>
      <c r="Q488" s="749" t="s">
        <v>2607</v>
      </c>
      <c r="R488" s="811" t="s">
        <v>2808</v>
      </c>
    </row>
    <row r="489" customFormat="false" ht="16.5" hidden="false" customHeight="true" outlineLevel="0" collapsed="false">
      <c r="A489" s="747" t="s">
        <v>2190</v>
      </c>
      <c r="B489" s="774" t="n">
        <v>41361</v>
      </c>
      <c r="D489" s="749" t="s">
        <v>103</v>
      </c>
      <c r="E489" s="749" t="s">
        <v>2739</v>
      </c>
      <c r="F489" s="749" t="s">
        <v>2807</v>
      </c>
      <c r="G489" s="798" t="s">
        <v>2136</v>
      </c>
      <c r="H489" s="776" t="n">
        <v>3000000</v>
      </c>
      <c r="I489" s="777" t="n">
        <v>94</v>
      </c>
      <c r="J489" s="778" t="n">
        <f aca="false">IF(I489="","",H489/I489)</f>
        <v>31914.8936170213</v>
      </c>
      <c r="K489" s="749" t="s">
        <v>2336</v>
      </c>
      <c r="L489" s="774" t="n">
        <v>41361</v>
      </c>
      <c r="M489" s="774" t="n">
        <v>41726</v>
      </c>
      <c r="O489" s="801" t="n">
        <v>3.2</v>
      </c>
      <c r="P489" s="749" t="s">
        <v>2606</v>
      </c>
      <c r="Q489" s="749" t="s">
        <v>2607</v>
      </c>
      <c r="R489" s="811" t="s">
        <v>2809</v>
      </c>
    </row>
    <row r="490" customFormat="false" ht="16.5" hidden="false" customHeight="true" outlineLevel="0" collapsed="false">
      <c r="A490" s="747" t="s">
        <v>2335</v>
      </c>
      <c r="B490" s="774" t="n">
        <v>41361</v>
      </c>
      <c r="D490" s="749" t="s">
        <v>2344</v>
      </c>
      <c r="E490" s="749" t="s">
        <v>2550</v>
      </c>
      <c r="F490" s="749" t="s">
        <v>2774</v>
      </c>
      <c r="G490" s="798" t="s">
        <v>1267</v>
      </c>
      <c r="H490" s="776" t="n">
        <v>45000000</v>
      </c>
      <c r="I490" s="777" t="n">
        <v>94.23</v>
      </c>
      <c r="J490" s="778" t="n">
        <f aca="false">IF(I490="","",H490/I490)</f>
        <v>477554.918815664</v>
      </c>
      <c r="K490" s="749" t="s">
        <v>2361</v>
      </c>
      <c r="L490" s="774" t="n">
        <v>41367</v>
      </c>
      <c r="M490" s="774" t="n">
        <v>41732</v>
      </c>
      <c r="O490" s="783" t="n">
        <v>3</v>
      </c>
      <c r="P490" s="749" t="s">
        <v>2606</v>
      </c>
      <c r="Q490" s="749" t="s">
        <v>2607</v>
      </c>
      <c r="R490" s="811"/>
    </row>
    <row r="491" customFormat="false" ht="16.5" hidden="false" customHeight="true" outlineLevel="0" collapsed="false">
      <c r="A491" s="747" t="s">
        <v>2335</v>
      </c>
      <c r="B491" s="774" t="n">
        <v>41361</v>
      </c>
      <c r="D491" s="749" t="s">
        <v>2810</v>
      </c>
      <c r="E491" s="749" t="s">
        <v>2379</v>
      </c>
      <c r="F491" s="798" t="s">
        <v>2811</v>
      </c>
      <c r="G491" s="798" t="s">
        <v>1267</v>
      </c>
      <c r="H491" s="776" t="n">
        <v>51000000</v>
      </c>
      <c r="I491" s="777" t="n">
        <v>94.23</v>
      </c>
      <c r="J491" s="778" t="n">
        <f aca="false">IF(I491="","",H491/I491)</f>
        <v>541228.907991086</v>
      </c>
      <c r="K491" s="749" t="s">
        <v>2336</v>
      </c>
      <c r="L491" s="774" t="n">
        <v>41363</v>
      </c>
      <c r="M491" s="774" t="n">
        <v>41728</v>
      </c>
      <c r="O491" s="783" t="n">
        <v>4</v>
      </c>
      <c r="P491" s="749" t="s">
        <v>2606</v>
      </c>
      <c r="Q491" s="749" t="s">
        <v>2607</v>
      </c>
      <c r="R491" s="811"/>
    </row>
    <row r="492" customFormat="false" ht="16.5" hidden="false" customHeight="true" outlineLevel="0" collapsed="false">
      <c r="A492" s="747" t="s">
        <v>2335</v>
      </c>
      <c r="B492" s="774" t="n">
        <v>41361</v>
      </c>
      <c r="D492" s="749" t="s">
        <v>2810</v>
      </c>
      <c r="E492" s="749" t="s">
        <v>2379</v>
      </c>
      <c r="F492" s="798" t="s">
        <v>2811</v>
      </c>
      <c r="G492" s="798" t="s">
        <v>1267</v>
      </c>
      <c r="H492" s="776" t="n">
        <v>130000000</v>
      </c>
      <c r="I492" s="777" t="n">
        <v>94.23</v>
      </c>
      <c r="J492" s="778" t="n">
        <f aca="false">IF(I492="","",H492/I492)</f>
        <v>1379603.09880081</v>
      </c>
      <c r="K492" s="749" t="s">
        <v>2361</v>
      </c>
      <c r="L492" s="774" t="n">
        <v>41363</v>
      </c>
      <c r="M492" s="774" t="n">
        <v>41728</v>
      </c>
      <c r="O492" s="783" t="n">
        <v>4</v>
      </c>
      <c r="P492" s="749" t="s">
        <v>2606</v>
      </c>
      <c r="Q492" s="749" t="s">
        <v>2607</v>
      </c>
      <c r="R492" s="811"/>
    </row>
    <row r="493" customFormat="false" ht="16.5" hidden="false" customHeight="true" outlineLevel="0" collapsed="false">
      <c r="A493" s="747" t="s">
        <v>2335</v>
      </c>
      <c r="B493" s="774" t="n">
        <v>41362</v>
      </c>
      <c r="D493" s="749" t="s">
        <v>96</v>
      </c>
      <c r="E493" s="749" t="s">
        <v>2390</v>
      </c>
      <c r="F493" s="749" t="s">
        <v>2812</v>
      </c>
      <c r="G493" s="798" t="s">
        <v>1267</v>
      </c>
      <c r="H493" s="776" t="n">
        <v>31800000</v>
      </c>
      <c r="I493" s="777" t="n">
        <v>94.23</v>
      </c>
      <c r="J493" s="778" t="n">
        <f aca="false">IF(I493="","",H493/I493)</f>
        <v>337472.142629736</v>
      </c>
      <c r="K493" s="749" t="s">
        <v>2336</v>
      </c>
      <c r="L493" s="774" t="n">
        <v>41376</v>
      </c>
      <c r="M493" s="774" t="n">
        <v>41741</v>
      </c>
      <c r="O493" s="783" t="n">
        <v>4.5</v>
      </c>
      <c r="P493" s="749" t="s">
        <v>2606</v>
      </c>
      <c r="Q493" s="749" t="s">
        <v>2607</v>
      </c>
      <c r="R493" s="811"/>
    </row>
    <row r="494" customFormat="false" ht="16.5" hidden="false" customHeight="true" outlineLevel="0" collapsed="false">
      <c r="A494" s="747" t="s">
        <v>2335</v>
      </c>
      <c r="B494" s="774" t="n">
        <v>41365</v>
      </c>
      <c r="D494" s="749" t="s">
        <v>103</v>
      </c>
      <c r="E494" s="749" t="s">
        <v>2813</v>
      </c>
      <c r="F494" s="749" t="s">
        <v>2672</v>
      </c>
      <c r="G494" s="798" t="s">
        <v>1267</v>
      </c>
      <c r="H494" s="776" t="n">
        <v>16000000</v>
      </c>
      <c r="I494" s="777" t="n">
        <v>97.88</v>
      </c>
      <c r="J494" s="778" t="n">
        <f aca="false">IF(I494="","",H494/I494)</f>
        <v>163465.467919902</v>
      </c>
      <c r="K494" s="749" t="s">
        <v>2336</v>
      </c>
      <c r="L494" s="774" t="n">
        <v>41365</v>
      </c>
      <c r="M494" s="774" t="n">
        <v>41729</v>
      </c>
      <c r="O494" s="783" t="n">
        <v>3.86</v>
      </c>
      <c r="P494" s="749" t="s">
        <v>2606</v>
      </c>
      <c r="Q494" s="749" t="s">
        <v>2607</v>
      </c>
      <c r="R494" s="811"/>
    </row>
    <row r="495" customFormat="false" ht="16.5" hidden="false" customHeight="true" outlineLevel="0" collapsed="false">
      <c r="A495" s="747" t="s">
        <v>2335</v>
      </c>
      <c r="B495" s="774" t="n">
        <v>41366</v>
      </c>
      <c r="D495" s="749" t="s">
        <v>2417</v>
      </c>
      <c r="E495" s="749" t="s">
        <v>2418</v>
      </c>
      <c r="F495" s="749" t="s">
        <v>2677</v>
      </c>
      <c r="G495" s="798" t="s">
        <v>1267</v>
      </c>
      <c r="H495" s="776" t="n">
        <v>8600000</v>
      </c>
      <c r="I495" s="777" t="n">
        <v>97.88</v>
      </c>
      <c r="J495" s="778" t="n">
        <f aca="false">IF(I495="","",H495/I495)</f>
        <v>87862.6890069473</v>
      </c>
      <c r="K495" s="749" t="s">
        <v>2336</v>
      </c>
      <c r="L495" s="774" t="n">
        <v>41387</v>
      </c>
      <c r="M495" s="774" t="n">
        <v>41752</v>
      </c>
      <c r="O495" s="783" t="n">
        <v>4.56</v>
      </c>
      <c r="P495" s="749" t="s">
        <v>2606</v>
      </c>
      <c r="Q495" s="749" t="s">
        <v>2607</v>
      </c>
      <c r="R495" s="811"/>
    </row>
    <row r="496" customFormat="false" ht="16.5" hidden="false" customHeight="true" outlineLevel="0" collapsed="false">
      <c r="A496" s="747" t="s">
        <v>2190</v>
      </c>
      <c r="B496" s="774" t="n">
        <v>41367</v>
      </c>
      <c r="D496" s="749" t="s">
        <v>2430</v>
      </c>
      <c r="E496" s="749" t="s">
        <v>2431</v>
      </c>
      <c r="F496" s="749" t="s">
        <v>2780</v>
      </c>
      <c r="G496" s="798" t="s">
        <v>2136</v>
      </c>
      <c r="H496" s="776" t="n">
        <v>72000</v>
      </c>
      <c r="I496" s="777" t="n">
        <v>97</v>
      </c>
      <c r="J496" s="778" t="n">
        <f aca="false">IF(I496="","",H496/I496)</f>
        <v>742.268041237113</v>
      </c>
      <c r="K496" s="749" t="s">
        <v>2336</v>
      </c>
      <c r="L496" s="774" t="n">
        <v>41367</v>
      </c>
      <c r="M496" s="774" t="n">
        <v>41732</v>
      </c>
      <c r="O496" s="801" t="n">
        <v>3</v>
      </c>
      <c r="P496" s="749" t="s">
        <v>2606</v>
      </c>
      <c r="Q496" s="749" t="s">
        <v>2607</v>
      </c>
      <c r="R496" s="811"/>
    </row>
    <row r="497" customFormat="false" ht="16.5" hidden="false" customHeight="true" outlineLevel="0" collapsed="false">
      <c r="A497" s="747" t="s">
        <v>2335</v>
      </c>
      <c r="B497" s="774" t="n">
        <v>41368</v>
      </c>
      <c r="D497" s="749" t="s">
        <v>103</v>
      </c>
      <c r="E497" s="749" t="s">
        <v>2813</v>
      </c>
      <c r="F497" s="749" t="s">
        <v>2678</v>
      </c>
      <c r="G497" s="798" t="s">
        <v>1267</v>
      </c>
      <c r="H497" s="776" t="n">
        <v>24930000</v>
      </c>
      <c r="I497" s="777" t="n">
        <v>97.88</v>
      </c>
      <c r="J497" s="778" t="n">
        <f aca="false">IF(I497="","",H497/I497)</f>
        <v>254699.632202697</v>
      </c>
      <c r="K497" s="749" t="s">
        <v>2336</v>
      </c>
      <c r="L497" s="774" t="n">
        <v>41372</v>
      </c>
      <c r="M497" s="774" t="n">
        <v>41750</v>
      </c>
      <c r="O497" s="783" t="n">
        <v>4.04</v>
      </c>
      <c r="P497" s="749" t="s">
        <v>2606</v>
      </c>
      <c r="Q497" s="749" t="s">
        <v>2607</v>
      </c>
      <c r="R497" s="811"/>
    </row>
    <row r="498" customFormat="false" ht="16.5" hidden="false" customHeight="true" outlineLevel="0" collapsed="false">
      <c r="A498" s="747" t="s">
        <v>2335</v>
      </c>
      <c r="B498" s="774" t="n">
        <v>41368</v>
      </c>
      <c r="D498" s="749" t="s">
        <v>103</v>
      </c>
      <c r="E498" s="749" t="s">
        <v>2813</v>
      </c>
      <c r="F498" s="749" t="s">
        <v>2678</v>
      </c>
      <c r="G498" s="798" t="s">
        <v>1267</v>
      </c>
      <c r="H498" s="776" t="n">
        <v>46100000</v>
      </c>
      <c r="I498" s="777" t="n">
        <v>97.88</v>
      </c>
      <c r="J498" s="778" t="n">
        <f aca="false">IF(I498="","",H498/I498)</f>
        <v>470984.879444217</v>
      </c>
      <c r="K498" s="749" t="s">
        <v>2336</v>
      </c>
      <c r="L498" s="774" t="n">
        <v>41372</v>
      </c>
      <c r="M498" s="774" t="n">
        <v>41735</v>
      </c>
      <c r="O498" s="783" t="n">
        <v>4.23</v>
      </c>
      <c r="P498" s="749" t="s">
        <v>2606</v>
      </c>
      <c r="Q498" s="749" t="s">
        <v>2607</v>
      </c>
      <c r="R498" s="811"/>
    </row>
    <row r="499" customFormat="false" ht="16.5" hidden="false" customHeight="true" outlineLevel="0" collapsed="false">
      <c r="A499" s="747" t="s">
        <v>2190</v>
      </c>
      <c r="B499" s="774" t="n">
        <v>41372</v>
      </c>
      <c r="D499" s="798" t="s">
        <v>2403</v>
      </c>
      <c r="E499" s="749" t="s">
        <v>2814</v>
      </c>
      <c r="F499" s="749" t="s">
        <v>2541</v>
      </c>
      <c r="G499" s="798" t="s">
        <v>2136</v>
      </c>
      <c r="H499" s="776" t="n">
        <v>221817</v>
      </c>
      <c r="I499" s="777" t="n">
        <v>97</v>
      </c>
      <c r="J499" s="778" t="n">
        <f aca="false">IF(I499="","",H499/I499)</f>
        <v>2286.77319587629</v>
      </c>
      <c r="K499" s="749" t="s">
        <v>2336</v>
      </c>
      <c r="L499" s="774" t="n">
        <v>41374</v>
      </c>
      <c r="M499" s="774" t="n">
        <v>41465</v>
      </c>
      <c r="O499" s="783" t="n">
        <v>3</v>
      </c>
      <c r="P499" s="749" t="s">
        <v>2606</v>
      </c>
      <c r="Q499" s="749" t="s">
        <v>2607</v>
      </c>
      <c r="R499" s="811"/>
    </row>
    <row r="500" customFormat="false" ht="16.5" hidden="false" customHeight="true" outlineLevel="0" collapsed="false">
      <c r="A500" s="747" t="s">
        <v>2335</v>
      </c>
      <c r="B500" s="774" t="n">
        <v>41373</v>
      </c>
      <c r="D500" s="749" t="s">
        <v>2697</v>
      </c>
      <c r="E500" s="749" t="s">
        <v>2698</v>
      </c>
      <c r="F500" s="749" t="s">
        <v>2699</v>
      </c>
      <c r="G500" s="798" t="s">
        <v>1267</v>
      </c>
      <c r="H500" s="776" t="n">
        <v>15000000</v>
      </c>
      <c r="I500" s="777" t="n">
        <v>97.88</v>
      </c>
      <c r="J500" s="778" t="n">
        <f aca="false">IF(I500="","",H500/I500)</f>
        <v>153248.876174908</v>
      </c>
      <c r="K500" s="749" t="s">
        <v>2336</v>
      </c>
      <c r="L500" s="774" t="n">
        <v>41388</v>
      </c>
      <c r="M500" s="774" t="n">
        <v>41753</v>
      </c>
      <c r="O500" s="783" t="n">
        <v>3.7</v>
      </c>
      <c r="P500" s="749" t="s">
        <v>2606</v>
      </c>
      <c r="Q500" s="749" t="s">
        <v>2607</v>
      </c>
      <c r="R500" s="811"/>
    </row>
    <row r="501" customFormat="false" ht="16.5" hidden="false" customHeight="true" outlineLevel="0" collapsed="false">
      <c r="A501" s="747" t="s">
        <v>2335</v>
      </c>
      <c r="B501" s="774" t="n">
        <v>41374</v>
      </c>
      <c r="D501" s="749" t="s">
        <v>597</v>
      </c>
      <c r="E501" s="749" t="s">
        <v>2624</v>
      </c>
      <c r="F501" s="749" t="s">
        <v>2523</v>
      </c>
      <c r="G501" s="798" t="s">
        <v>2136</v>
      </c>
      <c r="H501" s="776" t="n">
        <v>3000000</v>
      </c>
      <c r="I501" s="777" t="n">
        <v>1</v>
      </c>
      <c r="J501" s="778" t="n">
        <f aca="false">IF(I501="","",H501/I501)</f>
        <v>3000000</v>
      </c>
      <c r="K501" s="749" t="s">
        <v>2336</v>
      </c>
      <c r="L501" s="774" t="n">
        <v>41376</v>
      </c>
      <c r="M501" s="774" t="n">
        <v>41559</v>
      </c>
      <c r="O501" s="783" t="n">
        <v>2.3</v>
      </c>
      <c r="P501" s="749" t="s">
        <v>2606</v>
      </c>
      <c r="Q501" s="749" t="s">
        <v>2607</v>
      </c>
      <c r="R501" s="811"/>
    </row>
    <row r="502" customFormat="false" ht="16.5" hidden="false" customHeight="true" outlineLevel="0" collapsed="false">
      <c r="A502" s="747" t="s">
        <v>2335</v>
      </c>
      <c r="B502" s="774" t="n">
        <v>41376</v>
      </c>
      <c r="D502" s="749" t="s">
        <v>103</v>
      </c>
      <c r="E502" s="749" t="s">
        <v>2813</v>
      </c>
      <c r="F502" s="749" t="s">
        <v>2684</v>
      </c>
      <c r="G502" s="798" t="s">
        <v>1267</v>
      </c>
      <c r="H502" s="776" t="n">
        <v>37000000</v>
      </c>
      <c r="I502" s="777" t="n">
        <v>97.88</v>
      </c>
      <c r="J502" s="778" t="n">
        <f aca="false">IF(I502="","",H502/I502)</f>
        <v>378013.894564773</v>
      </c>
      <c r="K502" s="749" t="s">
        <v>2336</v>
      </c>
      <c r="L502" s="774" t="n">
        <v>41379</v>
      </c>
      <c r="M502" s="774" t="n">
        <v>41743</v>
      </c>
      <c r="O502" s="783" t="n">
        <v>4.61</v>
      </c>
      <c r="P502" s="749" t="s">
        <v>2606</v>
      </c>
      <c r="Q502" s="749" t="s">
        <v>2607</v>
      </c>
      <c r="R502" s="811"/>
    </row>
    <row r="503" customFormat="false" ht="16.5" hidden="false" customHeight="true" outlineLevel="0" collapsed="false">
      <c r="A503" s="747" t="s">
        <v>2190</v>
      </c>
      <c r="B503" s="774" t="n">
        <v>41376</v>
      </c>
      <c r="D503" s="749" t="s">
        <v>644</v>
      </c>
      <c r="E503" s="749" t="s">
        <v>2359</v>
      </c>
      <c r="F503" s="749" t="s">
        <v>2380</v>
      </c>
      <c r="G503" s="798" t="s">
        <v>2136</v>
      </c>
      <c r="H503" s="776" t="n">
        <v>200000</v>
      </c>
      <c r="I503" s="777" t="n">
        <v>97</v>
      </c>
      <c r="J503" s="778" t="n">
        <f aca="false">IF(I503="","",H503/I503)</f>
        <v>2061.85567010309</v>
      </c>
      <c r="K503" s="749" t="s">
        <v>2336</v>
      </c>
      <c r="L503" s="774" t="n">
        <v>41379</v>
      </c>
      <c r="M503" s="774" t="n">
        <v>41580</v>
      </c>
      <c r="O503" s="801" t="n">
        <v>3.1</v>
      </c>
      <c r="P503" s="749" t="s">
        <v>2606</v>
      </c>
      <c r="Q503" s="749" t="s">
        <v>2607</v>
      </c>
      <c r="R503" s="811"/>
    </row>
    <row r="504" customFormat="false" ht="16.5" hidden="false" customHeight="true" outlineLevel="0" collapsed="false">
      <c r="A504" s="747" t="s">
        <v>2335</v>
      </c>
      <c r="B504" s="774" t="n">
        <v>41379</v>
      </c>
      <c r="D504" s="749" t="s">
        <v>644</v>
      </c>
      <c r="E504" s="749" t="s">
        <v>2359</v>
      </c>
      <c r="F504" s="749" t="s">
        <v>2815</v>
      </c>
      <c r="G504" s="798" t="s">
        <v>2816</v>
      </c>
      <c r="H504" s="776" t="n">
        <v>28000000</v>
      </c>
      <c r="I504" s="777" t="n">
        <v>97.88</v>
      </c>
      <c r="J504" s="778" t="n">
        <f aca="false">IF(I504="","",H504/I504)</f>
        <v>286064.568859828</v>
      </c>
      <c r="K504" s="749" t="s">
        <v>2361</v>
      </c>
      <c r="L504" s="774" t="n">
        <v>41379</v>
      </c>
      <c r="M504" s="774" t="n">
        <v>41469</v>
      </c>
      <c r="O504" s="783" t="n">
        <v>3.88</v>
      </c>
      <c r="P504" s="749" t="s">
        <v>2606</v>
      </c>
      <c r="Q504" s="749" t="s">
        <v>2607</v>
      </c>
      <c r="R504" s="811"/>
    </row>
    <row r="505" customFormat="false" ht="16.5" hidden="false" customHeight="true" outlineLevel="0" collapsed="false">
      <c r="A505" s="747" t="s">
        <v>2335</v>
      </c>
      <c r="B505" s="774" t="n">
        <v>41379</v>
      </c>
      <c r="D505" s="749" t="s">
        <v>2817</v>
      </c>
      <c r="E505" s="749" t="s">
        <v>2695</v>
      </c>
      <c r="F505" s="749" t="s">
        <v>2696</v>
      </c>
      <c r="G505" s="798" t="s">
        <v>2136</v>
      </c>
      <c r="H505" s="814" t="n">
        <v>1150000</v>
      </c>
      <c r="I505" s="777" t="n">
        <v>1</v>
      </c>
      <c r="J505" s="778" t="n">
        <f aca="false">IF(I505="","",H505/I505)</f>
        <v>1150000</v>
      </c>
      <c r="K505" s="749" t="s">
        <v>2336</v>
      </c>
      <c r="L505" s="774" t="n">
        <v>41386</v>
      </c>
      <c r="M505" s="774" t="n">
        <v>41751</v>
      </c>
      <c r="O505" s="783" t="n">
        <v>4.58</v>
      </c>
      <c r="P505" s="749" t="s">
        <v>2606</v>
      </c>
      <c r="Q505" s="749" t="s">
        <v>2607</v>
      </c>
      <c r="R505" s="811"/>
    </row>
    <row r="506" customFormat="false" ht="16.5" hidden="false" customHeight="true" outlineLevel="0" collapsed="false">
      <c r="A506" s="747" t="s">
        <v>2335</v>
      </c>
      <c r="B506" s="774" t="n">
        <v>41379</v>
      </c>
      <c r="D506" s="749" t="s">
        <v>2520</v>
      </c>
      <c r="E506" s="749" t="s">
        <v>2776</v>
      </c>
      <c r="F506" s="749" t="s">
        <v>2521</v>
      </c>
      <c r="G506" s="798" t="s">
        <v>1267</v>
      </c>
      <c r="H506" s="776" t="n">
        <v>65000000</v>
      </c>
      <c r="I506" s="777" t="n">
        <v>97.88</v>
      </c>
      <c r="J506" s="778" t="n">
        <f aca="false">IF(I506="","",H506/I506)</f>
        <v>664078.463424602</v>
      </c>
      <c r="K506" s="749" t="s">
        <v>2361</v>
      </c>
      <c r="L506" s="774" t="n">
        <v>41379</v>
      </c>
      <c r="M506" s="774" t="n">
        <v>41562</v>
      </c>
      <c r="O506" s="783" t="n">
        <v>3.95</v>
      </c>
      <c r="P506" s="749" t="s">
        <v>2606</v>
      </c>
      <c r="Q506" s="749" t="s">
        <v>2607</v>
      </c>
      <c r="R506" s="811"/>
    </row>
    <row r="507" customFormat="false" ht="16.5" hidden="false" customHeight="true" outlineLevel="0" collapsed="false">
      <c r="A507" s="747" t="s">
        <v>2335</v>
      </c>
      <c r="B507" s="774" t="n">
        <v>41379</v>
      </c>
      <c r="D507" s="749" t="s">
        <v>2686</v>
      </c>
      <c r="E507" s="749" t="s">
        <v>2818</v>
      </c>
      <c r="F507" s="749" t="s">
        <v>2688</v>
      </c>
      <c r="G507" s="798" t="s">
        <v>1267</v>
      </c>
      <c r="H507" s="776" t="n">
        <v>18000000</v>
      </c>
      <c r="I507" s="777" t="n">
        <v>97.88</v>
      </c>
      <c r="J507" s="778" t="n">
        <f aca="false">IF(I507="","",H507/I507)</f>
        <v>183898.65140989</v>
      </c>
      <c r="K507" s="749" t="s">
        <v>2361</v>
      </c>
      <c r="L507" s="774" t="n">
        <v>41379</v>
      </c>
      <c r="M507" s="774" t="n">
        <v>41744</v>
      </c>
      <c r="O507" s="783" t="n">
        <v>4.58</v>
      </c>
      <c r="P507" s="749" t="s">
        <v>2606</v>
      </c>
      <c r="Q507" s="749" t="s">
        <v>2607</v>
      </c>
      <c r="R507" s="811"/>
    </row>
    <row r="508" customFormat="false" ht="16.5" hidden="false" customHeight="true" outlineLevel="0" collapsed="false">
      <c r="A508" s="747" t="s">
        <v>2335</v>
      </c>
      <c r="B508" s="774" t="n">
        <v>41379</v>
      </c>
      <c r="D508" s="749" t="s">
        <v>1366</v>
      </c>
      <c r="E508" s="749" t="s">
        <v>2778</v>
      </c>
      <c r="F508" s="749" t="s">
        <v>2691</v>
      </c>
      <c r="G508" s="798" t="s">
        <v>1267</v>
      </c>
      <c r="H508" s="776" t="n">
        <v>28700000</v>
      </c>
      <c r="I508" s="777" t="n">
        <v>97.88</v>
      </c>
      <c r="J508" s="778" t="n">
        <f aca="false">IF(I508="","",H508/I508)</f>
        <v>293216.183081324</v>
      </c>
      <c r="K508" s="749" t="s">
        <v>2361</v>
      </c>
      <c r="L508" s="774" t="n">
        <v>41382</v>
      </c>
      <c r="M508" s="774" t="n">
        <v>41747</v>
      </c>
      <c r="O508" s="783" t="n">
        <v>3.74</v>
      </c>
      <c r="P508" s="749" t="s">
        <v>2606</v>
      </c>
      <c r="Q508" s="749" t="s">
        <v>2607</v>
      </c>
      <c r="R508" s="811"/>
    </row>
    <row r="509" customFormat="false" ht="16.5" hidden="false" customHeight="true" outlineLevel="0" collapsed="false">
      <c r="A509" s="747" t="s">
        <v>2335</v>
      </c>
      <c r="B509" s="774" t="n">
        <v>41383</v>
      </c>
      <c r="D509" s="749" t="s">
        <v>103</v>
      </c>
      <c r="E509" s="749" t="s">
        <v>2813</v>
      </c>
      <c r="F509" s="749" t="s">
        <v>2703</v>
      </c>
      <c r="G509" s="798" t="s">
        <v>1267</v>
      </c>
      <c r="H509" s="776" t="n">
        <v>33900000</v>
      </c>
      <c r="I509" s="777" t="n">
        <v>97.88</v>
      </c>
      <c r="J509" s="778" t="n">
        <f aca="false">IF(I509="","",H509/I509)</f>
        <v>346342.460155292</v>
      </c>
      <c r="K509" s="749" t="s">
        <v>2336</v>
      </c>
      <c r="L509" s="774" t="n">
        <v>41393</v>
      </c>
      <c r="M509" s="774" t="n">
        <v>41756</v>
      </c>
      <c r="O509" s="783" t="n">
        <v>4.93</v>
      </c>
      <c r="P509" s="749" t="s">
        <v>2606</v>
      </c>
      <c r="Q509" s="749" t="s">
        <v>2607</v>
      </c>
      <c r="R509" s="811"/>
    </row>
    <row r="510" customFormat="false" ht="16.5" hidden="false" customHeight="true" outlineLevel="0" collapsed="false">
      <c r="A510" s="747" t="s">
        <v>2335</v>
      </c>
      <c r="B510" s="774" t="n">
        <v>41386</v>
      </c>
      <c r="D510" s="749" t="s">
        <v>2372</v>
      </c>
      <c r="E510" s="749" t="s">
        <v>2692</v>
      </c>
      <c r="F510" s="749" t="s">
        <v>2693</v>
      </c>
      <c r="G510" s="798" t="s">
        <v>1267</v>
      </c>
      <c r="H510" s="776" t="n">
        <v>110000000</v>
      </c>
      <c r="I510" s="777" t="n">
        <v>97.88</v>
      </c>
      <c r="J510" s="778" t="n">
        <f aca="false">IF(I510="","",H510/I510)</f>
        <v>1123825.09194933</v>
      </c>
      <c r="K510" s="749" t="s">
        <v>2336</v>
      </c>
      <c r="L510" s="774" t="n">
        <v>41388</v>
      </c>
      <c r="M510" s="774" t="n">
        <v>41753</v>
      </c>
      <c r="O510" s="783" t="n">
        <v>3.27</v>
      </c>
      <c r="P510" s="749" t="s">
        <v>2606</v>
      </c>
      <c r="Q510" s="749" t="s">
        <v>2607</v>
      </c>
      <c r="R510" s="811"/>
    </row>
    <row r="511" customFormat="false" ht="16.5" hidden="false" customHeight="true" outlineLevel="0" collapsed="false">
      <c r="A511" s="747" t="s">
        <v>2190</v>
      </c>
      <c r="B511" s="774" t="n">
        <v>41386</v>
      </c>
      <c r="D511" s="749" t="s">
        <v>597</v>
      </c>
      <c r="E511" s="749" t="s">
        <v>2589</v>
      </c>
      <c r="F511" s="749" t="s">
        <v>2590</v>
      </c>
      <c r="G511" s="798" t="s">
        <v>1267</v>
      </c>
      <c r="H511" s="776" t="n">
        <v>15000000</v>
      </c>
      <c r="I511" s="777" t="n">
        <v>97</v>
      </c>
      <c r="J511" s="778" t="n">
        <f aca="false">IF(I511="","",H511/I511)</f>
        <v>154639.175257732</v>
      </c>
      <c r="K511" s="749" t="s">
        <v>2819</v>
      </c>
      <c r="L511" s="774" t="n">
        <v>41387</v>
      </c>
      <c r="M511" s="774" t="n">
        <v>41752</v>
      </c>
      <c r="O511" s="801" t="n">
        <v>2.95</v>
      </c>
      <c r="P511" s="749" t="s">
        <v>2606</v>
      </c>
      <c r="Q511" s="749" t="s">
        <v>2607</v>
      </c>
      <c r="R511" s="811"/>
    </row>
    <row r="512" customFormat="false" ht="16.5" hidden="false" customHeight="true" outlineLevel="0" collapsed="false">
      <c r="A512" s="747" t="s">
        <v>2335</v>
      </c>
      <c r="B512" s="774" t="n">
        <v>41387</v>
      </c>
      <c r="D512" s="749" t="s">
        <v>2530</v>
      </c>
      <c r="E512" s="749" t="s">
        <v>2779</v>
      </c>
      <c r="F512" s="749" t="s">
        <v>2532</v>
      </c>
      <c r="G512" s="798" t="s">
        <v>1267</v>
      </c>
      <c r="H512" s="776" t="n">
        <v>210000000</v>
      </c>
      <c r="I512" s="777" t="n">
        <v>97.88</v>
      </c>
      <c r="J512" s="778" t="n">
        <f aca="false">IF(I512="","",H512/I512)</f>
        <v>2145484.26644871</v>
      </c>
      <c r="K512" s="749" t="s">
        <v>2361</v>
      </c>
      <c r="L512" s="774" t="n">
        <v>41389</v>
      </c>
      <c r="M512" s="774" t="n">
        <v>41754</v>
      </c>
      <c r="O512" s="783" t="n">
        <v>4</v>
      </c>
      <c r="P512" s="749" t="s">
        <v>2606</v>
      </c>
      <c r="Q512" s="749" t="s">
        <v>2607</v>
      </c>
      <c r="R512" s="811"/>
    </row>
    <row r="513" customFormat="false" ht="16.5" hidden="false" customHeight="true" outlineLevel="0" collapsed="false">
      <c r="A513" s="747" t="s">
        <v>2335</v>
      </c>
      <c r="B513" s="774" t="n">
        <v>41388</v>
      </c>
      <c r="D513" s="749" t="s">
        <v>597</v>
      </c>
      <c r="E513" s="749" t="s">
        <v>2700</v>
      </c>
      <c r="F513" s="749" t="s">
        <v>2701</v>
      </c>
      <c r="G513" s="798" t="s">
        <v>1267</v>
      </c>
      <c r="H513" s="776" t="n">
        <v>24000000</v>
      </c>
      <c r="I513" s="777" t="n">
        <v>97.88</v>
      </c>
      <c r="J513" s="778" t="n">
        <f aca="false">IF(I513="","",H513/I513)</f>
        <v>245198.201879853</v>
      </c>
      <c r="K513" s="749" t="s">
        <v>2336</v>
      </c>
      <c r="L513" s="774" t="n">
        <v>41390</v>
      </c>
      <c r="M513" s="774" t="n">
        <v>41755</v>
      </c>
      <c r="O513" s="783" t="n">
        <v>4.19</v>
      </c>
      <c r="P513" s="749" t="s">
        <v>2606</v>
      </c>
      <c r="Q513" s="749" t="s">
        <v>2607</v>
      </c>
      <c r="R513" s="811"/>
    </row>
    <row r="514" customFormat="false" ht="16.5" hidden="false" customHeight="true" outlineLevel="0" collapsed="false">
      <c r="A514" s="747" t="s">
        <v>2335</v>
      </c>
      <c r="B514" s="774" t="n">
        <v>41389</v>
      </c>
      <c r="D514" s="749" t="s">
        <v>2704</v>
      </c>
      <c r="E514" s="749" t="s">
        <v>2560</v>
      </c>
      <c r="F514" s="749" t="s">
        <v>2706</v>
      </c>
      <c r="G514" s="798" t="s">
        <v>1267</v>
      </c>
      <c r="H514" s="776" t="n">
        <v>118200000</v>
      </c>
      <c r="I514" s="777" t="n">
        <v>97.88</v>
      </c>
      <c r="J514" s="778" t="n">
        <f aca="false">IF(I514="","",H514/I514)</f>
        <v>1207601.14425828</v>
      </c>
      <c r="K514" s="749" t="s">
        <v>2336</v>
      </c>
      <c r="L514" s="774" t="n">
        <v>41389</v>
      </c>
      <c r="M514" s="774" t="n">
        <v>41754</v>
      </c>
      <c r="O514" s="783" t="n">
        <v>3.9</v>
      </c>
      <c r="P514" s="749" t="s">
        <v>2606</v>
      </c>
      <c r="Q514" s="749" t="s">
        <v>2607</v>
      </c>
      <c r="R514" s="811"/>
    </row>
    <row r="515" customFormat="false" ht="16.5" hidden="false" customHeight="true" outlineLevel="0" collapsed="false">
      <c r="A515" s="747" t="s">
        <v>2335</v>
      </c>
      <c r="B515" s="774" t="n">
        <v>41390</v>
      </c>
      <c r="D515" s="798" t="s">
        <v>2403</v>
      </c>
      <c r="E515" s="749" t="s">
        <v>2814</v>
      </c>
      <c r="F515" s="749" t="s">
        <v>2538</v>
      </c>
      <c r="G515" s="798" t="s">
        <v>2816</v>
      </c>
      <c r="H515" s="776" t="n">
        <v>20500000</v>
      </c>
      <c r="I515" s="777" t="n">
        <v>97.88</v>
      </c>
      <c r="J515" s="778" t="n">
        <f aca="false">IF(I515="","",H515/I515)</f>
        <v>209440.130772374</v>
      </c>
      <c r="K515" s="749" t="s">
        <v>2361</v>
      </c>
      <c r="L515" s="774" t="n">
        <v>41393</v>
      </c>
      <c r="M515" s="774" t="n">
        <v>41758</v>
      </c>
      <c r="O515" s="783" t="n">
        <v>4.5</v>
      </c>
      <c r="P515" s="749" t="s">
        <v>2606</v>
      </c>
      <c r="Q515" s="749" t="s">
        <v>2607</v>
      </c>
      <c r="R515" s="811"/>
    </row>
    <row r="516" customFormat="false" ht="16.5" hidden="false" customHeight="true" outlineLevel="0" collapsed="false">
      <c r="A516" s="747" t="s">
        <v>2335</v>
      </c>
      <c r="B516" s="774" t="n">
        <v>41390</v>
      </c>
      <c r="D516" s="798" t="s">
        <v>2403</v>
      </c>
      <c r="E516" s="749" t="s">
        <v>2814</v>
      </c>
      <c r="F516" s="749" t="s">
        <v>2540</v>
      </c>
      <c r="G516" s="798" t="s">
        <v>1267</v>
      </c>
      <c r="H516" s="776" t="n">
        <v>15800000</v>
      </c>
      <c r="I516" s="777" t="n">
        <v>97.88</v>
      </c>
      <c r="J516" s="778" t="n">
        <f aca="false">IF(I516="","",H516/I516)</f>
        <v>161422.149570903</v>
      </c>
      <c r="K516" s="749" t="s">
        <v>2361</v>
      </c>
      <c r="L516" s="774" t="n">
        <v>41393</v>
      </c>
      <c r="M516" s="774" t="n">
        <v>41758</v>
      </c>
      <c r="O516" s="783" t="n">
        <v>4.5</v>
      </c>
      <c r="P516" s="749" t="s">
        <v>2606</v>
      </c>
      <c r="Q516" s="749" t="s">
        <v>2607</v>
      </c>
      <c r="R516" s="811"/>
    </row>
    <row r="517" customFormat="false" ht="16.5" hidden="false" customHeight="true" outlineLevel="0" collapsed="false">
      <c r="A517" s="747" t="s">
        <v>2335</v>
      </c>
      <c r="B517" s="774" t="n">
        <v>41390</v>
      </c>
      <c r="D517" s="798" t="s">
        <v>2403</v>
      </c>
      <c r="E517" s="749" t="s">
        <v>2814</v>
      </c>
      <c r="F517" s="749" t="s">
        <v>2539</v>
      </c>
      <c r="G517" s="798" t="s">
        <v>1267</v>
      </c>
      <c r="H517" s="776" t="n">
        <v>24300000</v>
      </c>
      <c r="I517" s="777" t="n">
        <v>97.88</v>
      </c>
      <c r="J517" s="778" t="n">
        <f aca="false">IF(I517="","",H517/I517)</f>
        <v>248263.179403351</v>
      </c>
      <c r="K517" s="749" t="s">
        <v>2361</v>
      </c>
      <c r="L517" s="774" t="n">
        <v>41393</v>
      </c>
      <c r="M517" s="774" t="n">
        <v>41758</v>
      </c>
      <c r="O517" s="783" t="n">
        <v>4.5</v>
      </c>
      <c r="P517" s="749" t="s">
        <v>2606</v>
      </c>
      <c r="Q517" s="749" t="s">
        <v>2607</v>
      </c>
      <c r="R517" s="811"/>
    </row>
    <row r="518" customFormat="false" ht="16.5" hidden="false" customHeight="true" outlineLevel="0" collapsed="false">
      <c r="A518" s="747" t="s">
        <v>2335</v>
      </c>
      <c r="B518" s="774" t="n">
        <v>41390</v>
      </c>
      <c r="D518" s="749" t="s">
        <v>201</v>
      </c>
      <c r="E518" s="749" t="s">
        <v>2663</v>
      </c>
      <c r="F518" s="749" t="s">
        <v>2708</v>
      </c>
      <c r="G518" s="798" t="s">
        <v>1267</v>
      </c>
      <c r="H518" s="776" t="n">
        <v>83000000</v>
      </c>
      <c r="I518" s="777" t="n">
        <v>97.88</v>
      </c>
      <c r="J518" s="778" t="n">
        <f aca="false">IF(I518="","",H518/I518)</f>
        <v>847977.114834491</v>
      </c>
      <c r="K518" s="749" t="s">
        <v>2361</v>
      </c>
      <c r="L518" s="774" t="n">
        <v>41393</v>
      </c>
      <c r="M518" s="774" t="n">
        <v>41757</v>
      </c>
      <c r="O518" s="783" t="n">
        <v>4.5</v>
      </c>
      <c r="P518" s="749" t="s">
        <v>2606</v>
      </c>
      <c r="Q518" s="749" t="s">
        <v>2607</v>
      </c>
      <c r="R518" s="811"/>
    </row>
    <row r="519" customFormat="false" ht="16.5" hidden="false" customHeight="true" outlineLevel="0" collapsed="false">
      <c r="A519" s="747" t="s">
        <v>2335</v>
      </c>
      <c r="B519" s="774" t="n">
        <v>41397</v>
      </c>
      <c r="D519" s="749" t="s">
        <v>2430</v>
      </c>
      <c r="E519" s="749" t="s">
        <v>2431</v>
      </c>
      <c r="F519" s="749" t="s">
        <v>2432</v>
      </c>
      <c r="G519" s="798" t="s">
        <v>2136</v>
      </c>
      <c r="H519" s="776" t="n">
        <v>136405</v>
      </c>
      <c r="I519" s="777" t="n">
        <v>1</v>
      </c>
      <c r="J519" s="778" t="n">
        <f aca="false">IF(I519="","",H519/I519)</f>
        <v>136405</v>
      </c>
      <c r="K519" s="749" t="s">
        <v>2336</v>
      </c>
      <c r="L519" s="774" t="n">
        <v>41397</v>
      </c>
      <c r="M519" s="774" t="n">
        <v>41762</v>
      </c>
      <c r="O519" s="783" t="n">
        <v>3.06</v>
      </c>
      <c r="P519" s="749" t="s">
        <v>2606</v>
      </c>
      <c r="Q519" s="749" t="s">
        <v>2607</v>
      </c>
      <c r="R519" s="811"/>
    </row>
    <row r="520" customFormat="false" ht="16.5" hidden="false" customHeight="true" outlineLevel="0" collapsed="false">
      <c r="A520" s="747" t="s">
        <v>2335</v>
      </c>
      <c r="B520" s="774" t="n">
        <v>41401</v>
      </c>
      <c r="D520" s="749" t="s">
        <v>1172</v>
      </c>
      <c r="E520" s="749" t="s">
        <v>2709</v>
      </c>
      <c r="F520" s="749" t="s">
        <v>2710</v>
      </c>
      <c r="G520" s="798" t="s">
        <v>1267</v>
      </c>
      <c r="H520" s="776" t="n">
        <v>24000000</v>
      </c>
      <c r="I520" s="777" t="n">
        <v>101.05</v>
      </c>
      <c r="J520" s="778" t="n">
        <f aca="false">IF(I520="","",H520/I520)</f>
        <v>237506.185056903</v>
      </c>
      <c r="K520" s="749" t="s">
        <v>2336</v>
      </c>
      <c r="L520" s="774" t="n">
        <v>41407</v>
      </c>
      <c r="M520" s="774" t="n">
        <v>41771</v>
      </c>
      <c r="O520" s="783" t="n">
        <v>4</v>
      </c>
      <c r="P520" s="749" t="s">
        <v>2606</v>
      </c>
      <c r="Q520" s="749" t="s">
        <v>2607</v>
      </c>
      <c r="R520" s="811"/>
    </row>
    <row r="521" customFormat="false" ht="16.5" hidden="false" customHeight="true" outlineLevel="0" collapsed="false">
      <c r="A521" s="747" t="s">
        <v>2335</v>
      </c>
      <c r="B521" s="774" t="n">
        <v>41401</v>
      </c>
      <c r="D521" s="798" t="s">
        <v>2403</v>
      </c>
      <c r="E521" s="749" t="s">
        <v>2814</v>
      </c>
      <c r="F521" s="749" t="s">
        <v>2565</v>
      </c>
      <c r="G521" s="798" t="s">
        <v>1267</v>
      </c>
      <c r="H521" s="776" t="n">
        <v>3700000</v>
      </c>
      <c r="I521" s="777" t="n">
        <v>101.05</v>
      </c>
      <c r="J521" s="778" t="n">
        <f aca="false">IF(I521="","",H521/I521)</f>
        <v>36615.5368629391</v>
      </c>
      <c r="K521" s="749" t="s">
        <v>2460</v>
      </c>
      <c r="L521" s="774" t="n">
        <v>41401</v>
      </c>
      <c r="M521" s="774" t="n">
        <v>41774</v>
      </c>
      <c r="O521" s="783" t="n">
        <v>3.4</v>
      </c>
      <c r="P521" s="749" t="s">
        <v>2606</v>
      </c>
      <c r="Q521" s="749" t="s">
        <v>2607</v>
      </c>
      <c r="R521" s="811"/>
    </row>
    <row r="522" customFormat="false" ht="16.5" hidden="false" customHeight="true" outlineLevel="0" collapsed="false">
      <c r="A522" s="747" t="s">
        <v>2335</v>
      </c>
      <c r="B522" s="774" t="n">
        <v>41403</v>
      </c>
      <c r="D522" s="749" t="s">
        <v>2344</v>
      </c>
      <c r="E522" s="749" t="s">
        <v>2550</v>
      </c>
      <c r="F522" s="749" t="s">
        <v>2774</v>
      </c>
      <c r="G522" s="798" t="s">
        <v>1267</v>
      </c>
      <c r="H522" s="776" t="n">
        <v>92000000</v>
      </c>
      <c r="I522" s="777" t="n">
        <v>101.05</v>
      </c>
      <c r="J522" s="778" t="n">
        <f aca="false">IF(I522="","",H522/I522)</f>
        <v>910440.37605146</v>
      </c>
      <c r="K522" s="749" t="s">
        <v>2460</v>
      </c>
      <c r="L522" s="774" t="n">
        <v>41408</v>
      </c>
      <c r="M522" s="774" t="n">
        <v>41773</v>
      </c>
      <c r="O522" s="783" t="n">
        <v>3</v>
      </c>
      <c r="P522" s="749" t="s">
        <v>2606</v>
      </c>
      <c r="Q522" s="749" t="s">
        <v>2607</v>
      </c>
      <c r="R522" s="811"/>
    </row>
    <row r="523" customFormat="false" ht="16.5" hidden="false" customHeight="true" outlineLevel="0" collapsed="false">
      <c r="A523" s="747" t="s">
        <v>2335</v>
      </c>
      <c r="B523" s="774" t="n">
        <v>41403</v>
      </c>
      <c r="D523" s="749" t="s">
        <v>96</v>
      </c>
      <c r="E523" s="749" t="s">
        <v>2575</v>
      </c>
      <c r="F523" s="749" t="s">
        <v>2820</v>
      </c>
      <c r="G523" s="798" t="s">
        <v>2136</v>
      </c>
      <c r="H523" s="776" t="n">
        <v>3000000</v>
      </c>
      <c r="I523" s="777" t="n">
        <v>1</v>
      </c>
      <c r="J523" s="778" t="n">
        <f aca="false">IF(I523="","",H523/I523)</f>
        <v>3000000</v>
      </c>
      <c r="K523" s="749" t="s">
        <v>2460</v>
      </c>
      <c r="L523" s="774" t="n">
        <v>41403</v>
      </c>
      <c r="M523" s="774" t="n">
        <v>41768</v>
      </c>
      <c r="O523" s="783" t="n">
        <v>5.9</v>
      </c>
      <c r="P523" s="749" t="s">
        <v>2606</v>
      </c>
      <c r="Q523" s="749" t="s">
        <v>2607</v>
      </c>
      <c r="R523" s="811"/>
    </row>
    <row r="524" customFormat="false" ht="16.5" hidden="false" customHeight="true" outlineLevel="0" collapsed="false">
      <c r="A524" s="747" t="s">
        <v>2335</v>
      </c>
      <c r="B524" s="774" t="n">
        <v>41404</v>
      </c>
      <c r="D524" s="749" t="s">
        <v>2554</v>
      </c>
      <c r="E524" s="749" t="s">
        <v>2555</v>
      </c>
      <c r="F524" s="749" t="s">
        <v>2556</v>
      </c>
      <c r="G524" s="798" t="s">
        <v>1267</v>
      </c>
      <c r="H524" s="776" t="n">
        <v>36000000</v>
      </c>
      <c r="I524" s="777" t="n">
        <v>101.05</v>
      </c>
      <c r="J524" s="778" t="n">
        <f aca="false">IF(I524="","",H524/I524)</f>
        <v>356259.277585354</v>
      </c>
      <c r="K524" s="749" t="s">
        <v>2460</v>
      </c>
      <c r="L524" s="774" t="n">
        <v>41423</v>
      </c>
      <c r="M524" s="774" t="n">
        <v>41788</v>
      </c>
      <c r="O524" s="783" t="n">
        <v>3.96</v>
      </c>
      <c r="P524" s="749" t="s">
        <v>2606</v>
      </c>
      <c r="Q524" s="749" t="s">
        <v>2607</v>
      </c>
      <c r="R524" s="811"/>
    </row>
    <row r="525" customFormat="false" ht="16.5" hidden="false" customHeight="true" outlineLevel="0" collapsed="false">
      <c r="A525" s="747" t="s">
        <v>2190</v>
      </c>
      <c r="B525" s="774" t="n">
        <v>41407</v>
      </c>
      <c r="D525" s="749" t="s">
        <v>644</v>
      </c>
      <c r="E525" s="749" t="s">
        <v>2359</v>
      </c>
      <c r="F525" s="749" t="s">
        <v>2380</v>
      </c>
      <c r="G525" s="798" t="s">
        <v>2821</v>
      </c>
      <c r="H525" s="776" t="n">
        <v>200000</v>
      </c>
      <c r="I525" s="777" t="n">
        <v>1</v>
      </c>
      <c r="J525" s="778" t="n">
        <f aca="false">IF(I525="","",H525/I525)</f>
        <v>200000</v>
      </c>
      <c r="K525" s="749" t="s">
        <v>2336</v>
      </c>
      <c r="L525" s="774" t="n">
        <v>41408</v>
      </c>
      <c r="M525" s="774" t="n">
        <v>41500</v>
      </c>
      <c r="O525" s="801" t="n">
        <v>3.1</v>
      </c>
      <c r="P525" s="749" t="s">
        <v>2606</v>
      </c>
      <c r="Q525" s="749" t="s">
        <v>2607</v>
      </c>
      <c r="R525" s="811"/>
    </row>
    <row r="526" customFormat="false" ht="16.5" hidden="false" customHeight="true" outlineLevel="0" collapsed="false">
      <c r="A526" s="747" t="s">
        <v>2335</v>
      </c>
      <c r="B526" s="774" t="n">
        <v>41408</v>
      </c>
      <c r="D526" s="798" t="s">
        <v>2403</v>
      </c>
      <c r="E526" s="749" t="s">
        <v>2814</v>
      </c>
      <c r="F526" s="749" t="s">
        <v>2566</v>
      </c>
      <c r="G526" s="798" t="s">
        <v>1267</v>
      </c>
      <c r="H526" s="776" t="n">
        <v>45900000</v>
      </c>
      <c r="I526" s="777" t="n">
        <v>101.05</v>
      </c>
      <c r="J526" s="778" t="n">
        <f aca="false">IF(I526="","",H526/I526)</f>
        <v>454230.578921326</v>
      </c>
      <c r="K526" s="749" t="s">
        <v>2460</v>
      </c>
      <c r="L526" s="774" t="n">
        <v>41409</v>
      </c>
      <c r="M526" s="774" t="n">
        <v>41774</v>
      </c>
      <c r="O526" s="783" t="n">
        <v>4.1</v>
      </c>
      <c r="P526" s="749" t="s">
        <v>2606</v>
      </c>
      <c r="Q526" s="749" t="s">
        <v>2607</v>
      </c>
      <c r="R526" s="811"/>
    </row>
    <row r="527" customFormat="false" ht="16.5" hidden="false" customHeight="true" outlineLevel="0" collapsed="false">
      <c r="A527" s="747" t="s">
        <v>2335</v>
      </c>
      <c r="B527" s="774" t="n">
        <v>41409</v>
      </c>
      <c r="D527" s="749" t="s">
        <v>124</v>
      </c>
      <c r="E527" s="749" t="s">
        <v>2822</v>
      </c>
      <c r="F527" s="749" t="s">
        <v>2719</v>
      </c>
      <c r="G527" s="798" t="s">
        <v>1267</v>
      </c>
      <c r="H527" s="776" t="n">
        <v>26400000</v>
      </c>
      <c r="I527" s="777" t="n">
        <v>101.05</v>
      </c>
      <c r="J527" s="778" t="n">
        <f aca="false">IF(I527="","",H527/I527)</f>
        <v>261256.803562593</v>
      </c>
      <c r="K527" s="749" t="s">
        <v>2336</v>
      </c>
      <c r="L527" s="774" t="n">
        <v>41417</v>
      </c>
      <c r="M527" s="774" t="n">
        <v>41782</v>
      </c>
      <c r="O527" s="783" t="n">
        <v>4</v>
      </c>
      <c r="P527" s="749" t="s">
        <v>2606</v>
      </c>
      <c r="Q527" s="749" t="s">
        <v>2607</v>
      </c>
      <c r="R527" s="811"/>
    </row>
    <row r="528" customFormat="false" ht="16.5" hidden="false" customHeight="true" outlineLevel="0" collapsed="false">
      <c r="A528" s="747" t="s">
        <v>2335</v>
      </c>
      <c r="B528" s="774" t="n">
        <v>41410</v>
      </c>
      <c r="D528" s="749" t="s">
        <v>133</v>
      </c>
      <c r="E528" s="749" t="s">
        <v>2823</v>
      </c>
      <c r="F528" s="749" t="s">
        <v>2727</v>
      </c>
      <c r="G528" s="798" t="s">
        <v>1267</v>
      </c>
      <c r="H528" s="776" t="n">
        <v>41000000</v>
      </c>
      <c r="I528" s="777" t="n">
        <v>101.05</v>
      </c>
      <c r="J528" s="778" t="n">
        <f aca="false">IF(I528="","",H528/I528)</f>
        <v>405739.732805542</v>
      </c>
      <c r="K528" s="749" t="s">
        <v>2336</v>
      </c>
      <c r="L528" s="774" t="n">
        <v>41418</v>
      </c>
      <c r="M528" s="774" t="n">
        <v>41783</v>
      </c>
      <c r="O528" s="783" t="n">
        <v>2.95</v>
      </c>
      <c r="P528" s="749" t="s">
        <v>2606</v>
      </c>
      <c r="Q528" s="749" t="s">
        <v>2607</v>
      </c>
      <c r="R528" s="811"/>
    </row>
    <row r="529" customFormat="false" ht="16.5" hidden="false" customHeight="true" outlineLevel="0" collapsed="false">
      <c r="A529" s="747" t="s">
        <v>2335</v>
      </c>
      <c r="B529" s="774" t="n">
        <v>41410</v>
      </c>
      <c r="D529" s="749" t="s">
        <v>133</v>
      </c>
      <c r="E529" s="749" t="s">
        <v>2823</v>
      </c>
      <c r="F529" s="749" t="s">
        <v>2728</v>
      </c>
      <c r="G529" s="798" t="s">
        <v>1267</v>
      </c>
      <c r="H529" s="776" t="n">
        <v>180180000</v>
      </c>
      <c r="I529" s="777" t="n">
        <v>101.05</v>
      </c>
      <c r="J529" s="778" t="n">
        <f aca="false">IF(I529="","",H529/I529)</f>
        <v>1783077.6843147</v>
      </c>
      <c r="K529" s="749" t="s">
        <v>2336</v>
      </c>
      <c r="L529" s="774" t="n">
        <v>41418</v>
      </c>
      <c r="M529" s="774" t="n">
        <v>41783</v>
      </c>
      <c r="O529" s="783" t="n">
        <v>2.95</v>
      </c>
      <c r="P529" s="749" t="s">
        <v>2606</v>
      </c>
      <c r="Q529" s="749" t="s">
        <v>2607</v>
      </c>
      <c r="R529" s="811"/>
    </row>
    <row r="530" customFormat="false" ht="16.5" hidden="false" customHeight="true" outlineLevel="0" collapsed="false">
      <c r="A530" s="747" t="s">
        <v>2335</v>
      </c>
      <c r="B530" s="774" t="n">
        <v>41414</v>
      </c>
      <c r="D530" s="749" t="s">
        <v>2372</v>
      </c>
      <c r="E530" s="749" t="s">
        <v>2692</v>
      </c>
      <c r="F530" s="749" t="s">
        <v>2718</v>
      </c>
      <c r="G530" s="798" t="s">
        <v>1267</v>
      </c>
      <c r="H530" s="776" t="n">
        <v>98000000</v>
      </c>
      <c r="I530" s="777" t="n">
        <v>101.05</v>
      </c>
      <c r="J530" s="778" t="n">
        <f aca="false">IF(I530="","",H530/I530)</f>
        <v>969816.922315685</v>
      </c>
      <c r="K530" s="749" t="s">
        <v>2336</v>
      </c>
      <c r="L530" s="774" t="n">
        <v>41418</v>
      </c>
      <c r="M530" s="774" t="n">
        <v>41783</v>
      </c>
      <c r="O530" s="783" t="n">
        <v>3.5</v>
      </c>
      <c r="P530" s="749" t="s">
        <v>2606</v>
      </c>
      <c r="Q530" s="749" t="s">
        <v>2607</v>
      </c>
      <c r="R530" s="811"/>
    </row>
    <row r="531" customFormat="false" ht="16.5" hidden="false" customHeight="true" outlineLevel="0" collapsed="false">
      <c r="A531" s="747" t="s">
        <v>2335</v>
      </c>
      <c r="B531" s="774" t="n">
        <v>41414</v>
      </c>
      <c r="D531" s="749" t="s">
        <v>866</v>
      </c>
      <c r="E531" s="749" t="s">
        <v>2415</v>
      </c>
      <c r="F531" s="749" t="s">
        <v>2544</v>
      </c>
      <c r="G531" s="798" t="s">
        <v>1267</v>
      </c>
      <c r="H531" s="776" t="n">
        <v>40000000</v>
      </c>
      <c r="I531" s="777" t="n">
        <v>101.05</v>
      </c>
      <c r="J531" s="778" t="n">
        <f aca="false">IF(I531="","",H531/I531)</f>
        <v>395843.641761504</v>
      </c>
      <c r="K531" s="749" t="s">
        <v>2460</v>
      </c>
      <c r="L531" s="774" t="n">
        <v>41414</v>
      </c>
      <c r="M531" s="774" t="n">
        <v>41775</v>
      </c>
      <c r="O531" s="783" t="n">
        <v>3.8</v>
      </c>
      <c r="P531" s="749" t="s">
        <v>2606</v>
      </c>
      <c r="Q531" s="749" t="s">
        <v>2607</v>
      </c>
      <c r="R531" s="811"/>
    </row>
    <row r="532" customFormat="false" ht="16.5" hidden="false" customHeight="true" outlineLevel="0" collapsed="false">
      <c r="A532" s="747" t="s">
        <v>2190</v>
      </c>
      <c r="B532" s="774" t="n">
        <v>41415</v>
      </c>
      <c r="D532" s="749" t="s">
        <v>2358</v>
      </c>
      <c r="E532" s="749" t="s">
        <v>2636</v>
      </c>
      <c r="F532" s="749" t="s">
        <v>2824</v>
      </c>
      <c r="G532" s="798" t="s">
        <v>2816</v>
      </c>
      <c r="H532" s="776" t="n">
        <v>57000000</v>
      </c>
      <c r="I532" s="777" t="n">
        <v>101</v>
      </c>
      <c r="J532" s="778" t="n">
        <f aca="false">IF(I532="","",H532/I532)</f>
        <v>564356.435643564</v>
      </c>
      <c r="K532" s="749" t="s">
        <v>2460</v>
      </c>
      <c r="L532" s="774" t="n">
        <v>41417</v>
      </c>
      <c r="M532" s="774" t="n">
        <v>41782</v>
      </c>
      <c r="O532" s="801" t="n">
        <v>3.5</v>
      </c>
      <c r="P532" s="749" t="s">
        <v>2606</v>
      </c>
      <c r="Q532" s="749" t="s">
        <v>2607</v>
      </c>
      <c r="R532" s="811"/>
    </row>
    <row r="533" customFormat="false" ht="16.5" hidden="false" customHeight="true" outlineLevel="0" collapsed="false">
      <c r="A533" s="747" t="s">
        <v>2335</v>
      </c>
      <c r="B533" s="774" t="n">
        <v>41416</v>
      </c>
      <c r="D533" s="749" t="s">
        <v>2372</v>
      </c>
      <c r="E533" s="749" t="s">
        <v>2692</v>
      </c>
      <c r="F533" s="749" t="s">
        <v>2722</v>
      </c>
      <c r="G533" s="798" t="s">
        <v>1267</v>
      </c>
      <c r="H533" s="776" t="n">
        <v>60000000</v>
      </c>
      <c r="I533" s="777" t="n">
        <v>101.05</v>
      </c>
      <c r="J533" s="778" t="n">
        <f aca="false">IF(I533="","",H533/I533)</f>
        <v>593765.462642256</v>
      </c>
      <c r="K533" s="749" t="s">
        <v>2336</v>
      </c>
      <c r="L533" s="774" t="n">
        <v>41422</v>
      </c>
      <c r="M533" s="774" t="n">
        <v>41787</v>
      </c>
      <c r="O533" s="783" t="n">
        <v>3.18</v>
      </c>
      <c r="P533" s="749" t="s">
        <v>2606</v>
      </c>
      <c r="Q533" s="749" t="s">
        <v>2607</v>
      </c>
      <c r="R533" s="811"/>
    </row>
    <row r="534" customFormat="false" ht="16.5" hidden="false" customHeight="true" outlineLevel="0" collapsed="false">
      <c r="A534" s="747" t="s">
        <v>2335</v>
      </c>
      <c r="B534" s="774" t="n">
        <v>41417</v>
      </c>
      <c r="D534" s="749" t="s">
        <v>2375</v>
      </c>
      <c r="E534" s="749" t="s">
        <v>2599</v>
      </c>
      <c r="F534" s="749" t="s">
        <v>2723</v>
      </c>
      <c r="G534" s="798" t="s">
        <v>2816</v>
      </c>
      <c r="H534" s="776" t="n">
        <v>36000000</v>
      </c>
      <c r="I534" s="777" t="n">
        <v>101.05</v>
      </c>
      <c r="J534" s="778" t="n">
        <f aca="false">IF(I534="","",H534/I534)</f>
        <v>356259.277585354</v>
      </c>
      <c r="K534" s="749" t="s">
        <v>2336</v>
      </c>
      <c r="L534" s="774" t="n">
        <v>41424</v>
      </c>
      <c r="M534" s="774" t="n">
        <v>41789</v>
      </c>
      <c r="O534" s="783" t="n">
        <v>4.3</v>
      </c>
      <c r="P534" s="749" t="s">
        <v>2606</v>
      </c>
      <c r="Q534" s="749" t="s">
        <v>2607</v>
      </c>
      <c r="R534" s="811"/>
    </row>
    <row r="535" customFormat="false" ht="16.5" hidden="false" customHeight="true" outlineLevel="0" collapsed="false">
      <c r="A535" s="747" t="s">
        <v>2335</v>
      </c>
      <c r="B535" s="774" t="n">
        <v>41417</v>
      </c>
      <c r="D535" s="749" t="s">
        <v>124</v>
      </c>
      <c r="E535" s="749" t="s">
        <v>2733</v>
      </c>
      <c r="F535" s="749" t="s">
        <v>2383</v>
      </c>
      <c r="G535" s="798" t="s">
        <v>1267</v>
      </c>
      <c r="H535" s="776" t="n">
        <v>23700000</v>
      </c>
      <c r="I535" s="777" t="n">
        <v>101.05</v>
      </c>
      <c r="J535" s="778" t="n">
        <f aca="false">IF(I535="","",H535/I535)</f>
        <v>234537.357743691</v>
      </c>
      <c r="K535" s="749" t="s">
        <v>2336</v>
      </c>
      <c r="L535" s="774" t="n">
        <v>41417</v>
      </c>
      <c r="M535" s="774" t="n">
        <v>41445</v>
      </c>
      <c r="O535" s="783" t="n">
        <v>3.19</v>
      </c>
      <c r="P535" s="749" t="s">
        <v>2606</v>
      </c>
      <c r="Q535" s="749" t="s">
        <v>2607</v>
      </c>
      <c r="R535" s="811"/>
    </row>
    <row r="536" customFormat="false" ht="16.5" hidden="false" customHeight="true" outlineLevel="0" collapsed="false">
      <c r="A536" s="747" t="s">
        <v>2335</v>
      </c>
      <c r="B536" s="774" t="n">
        <v>41417</v>
      </c>
      <c r="D536" s="749" t="s">
        <v>2375</v>
      </c>
      <c r="E536" s="749" t="s">
        <v>2455</v>
      </c>
      <c r="F536" s="749" t="s">
        <v>2724</v>
      </c>
      <c r="G536" s="798" t="s">
        <v>1267</v>
      </c>
      <c r="H536" s="776" t="n">
        <v>90000000</v>
      </c>
      <c r="I536" s="777" t="n">
        <v>101.05</v>
      </c>
      <c r="J536" s="778" t="n">
        <f aca="false">IF(I536="","",H536/I536)</f>
        <v>890648.193963385</v>
      </c>
      <c r="K536" s="749" t="s">
        <v>2336</v>
      </c>
      <c r="L536" s="774" t="n">
        <v>41422</v>
      </c>
      <c r="M536" s="774" t="n">
        <v>41787</v>
      </c>
      <c r="O536" s="783" t="n">
        <v>3.1</v>
      </c>
      <c r="P536" s="749" t="s">
        <v>2606</v>
      </c>
      <c r="Q536" s="749" t="s">
        <v>2607</v>
      </c>
      <c r="R536" s="811"/>
    </row>
    <row r="537" customFormat="false" ht="16.5" hidden="false" customHeight="true" outlineLevel="0" collapsed="false">
      <c r="A537" s="747" t="s">
        <v>2335</v>
      </c>
      <c r="B537" s="774" t="n">
        <v>41422</v>
      </c>
      <c r="D537" s="749" t="s">
        <v>2559</v>
      </c>
      <c r="E537" s="749" t="s">
        <v>2806</v>
      </c>
      <c r="F537" s="749" t="s">
        <v>2561</v>
      </c>
      <c r="G537" s="798" t="s">
        <v>2136</v>
      </c>
      <c r="H537" s="776" t="n">
        <v>415000</v>
      </c>
      <c r="I537" s="777" t="n">
        <v>1</v>
      </c>
      <c r="J537" s="778" t="n">
        <f aca="false">IF(I537="","",H537/I537)</f>
        <v>415000</v>
      </c>
      <c r="K537" s="749" t="s">
        <v>2336</v>
      </c>
      <c r="L537" s="774" t="n">
        <v>41423</v>
      </c>
      <c r="M537" s="774" t="n">
        <v>41788</v>
      </c>
      <c r="O537" s="783" t="n">
        <v>4.75</v>
      </c>
      <c r="P537" s="749" t="s">
        <v>2606</v>
      </c>
      <c r="Q537" s="749" t="s">
        <v>2607</v>
      </c>
      <c r="R537" s="811"/>
    </row>
    <row r="538" customFormat="false" ht="16.5" hidden="false" customHeight="true" outlineLevel="0" collapsed="false">
      <c r="A538" s="747" t="s">
        <v>2335</v>
      </c>
      <c r="B538" s="774" t="n">
        <v>41422</v>
      </c>
      <c r="D538" s="749" t="s">
        <v>866</v>
      </c>
      <c r="E538" s="749" t="s">
        <v>2415</v>
      </c>
      <c r="F538" s="749" t="s">
        <v>2588</v>
      </c>
      <c r="G538" s="798" t="s">
        <v>2816</v>
      </c>
      <c r="H538" s="776" t="n">
        <v>100000000</v>
      </c>
      <c r="I538" s="777" t="n">
        <v>101.05</v>
      </c>
      <c r="J538" s="778" t="n">
        <f aca="false">IF(I538="","",H538/I538)</f>
        <v>989609.104403761</v>
      </c>
      <c r="K538" s="749" t="s">
        <v>2460</v>
      </c>
      <c r="L538" s="774" t="n">
        <v>41422</v>
      </c>
      <c r="M538" s="774" t="n">
        <v>41787</v>
      </c>
      <c r="O538" s="783" t="n">
        <v>3.85</v>
      </c>
      <c r="P538" s="749" t="s">
        <v>2606</v>
      </c>
      <c r="Q538" s="749" t="s">
        <v>2607</v>
      </c>
      <c r="R538" s="811"/>
    </row>
    <row r="539" customFormat="false" ht="16.5" hidden="false" customHeight="true" outlineLevel="0" collapsed="false">
      <c r="A539" s="747" t="s">
        <v>2335</v>
      </c>
      <c r="B539" s="774" t="n">
        <v>41423</v>
      </c>
      <c r="D539" s="749" t="s">
        <v>2714</v>
      </c>
      <c r="E539" s="749" t="s">
        <v>2792</v>
      </c>
      <c r="F539" s="749" t="s">
        <v>2716</v>
      </c>
      <c r="G539" s="798" t="s">
        <v>2816</v>
      </c>
      <c r="H539" s="776" t="n">
        <v>15750000</v>
      </c>
      <c r="I539" s="777" t="n">
        <v>101.05</v>
      </c>
      <c r="J539" s="778" t="n">
        <f aca="false">IF(I539="","",H539/I539)</f>
        <v>155863.433943592</v>
      </c>
      <c r="K539" s="749" t="s">
        <v>2460</v>
      </c>
      <c r="L539" s="774" t="n">
        <v>41425</v>
      </c>
      <c r="M539" s="774" t="n">
        <v>41790</v>
      </c>
      <c r="O539" s="783" t="n">
        <v>3.67</v>
      </c>
      <c r="P539" s="749" t="s">
        <v>2606</v>
      </c>
      <c r="Q539" s="749" t="s">
        <v>2607</v>
      </c>
      <c r="R539" s="811"/>
    </row>
    <row r="540" customFormat="false" ht="16.5" hidden="false" customHeight="true" outlineLevel="0" collapsed="false">
      <c r="A540" s="747" t="s">
        <v>2335</v>
      </c>
      <c r="B540" s="774" t="n">
        <v>41429</v>
      </c>
      <c r="D540" s="749" t="s">
        <v>2559</v>
      </c>
      <c r="E540" s="749" t="s">
        <v>2806</v>
      </c>
      <c r="F540" s="749" t="s">
        <v>2735</v>
      </c>
      <c r="G540" s="798" t="s">
        <v>1267</v>
      </c>
      <c r="H540" s="776" t="n">
        <v>176935000</v>
      </c>
      <c r="I540" s="777" t="n">
        <v>98.5</v>
      </c>
      <c r="J540" s="778" t="n">
        <f aca="false">IF(I540="","",H540/I540)</f>
        <v>1796294.41624366</v>
      </c>
      <c r="K540" s="749" t="s">
        <v>2460</v>
      </c>
      <c r="L540" s="774" t="n">
        <v>41430</v>
      </c>
      <c r="M540" s="774" t="n">
        <v>41795</v>
      </c>
      <c r="O540" s="783" t="n">
        <v>3.15</v>
      </c>
      <c r="P540" s="749" t="s">
        <v>2606</v>
      </c>
      <c r="Q540" s="749" t="s">
        <v>2607</v>
      </c>
      <c r="R540" s="811"/>
    </row>
    <row r="541" customFormat="false" ht="16.5" hidden="false" customHeight="true" outlineLevel="0" collapsed="false">
      <c r="A541" s="747" t="s">
        <v>2335</v>
      </c>
      <c r="B541" s="774" t="n">
        <v>41430</v>
      </c>
      <c r="D541" s="749" t="s">
        <v>866</v>
      </c>
      <c r="E541" s="749" t="s">
        <v>2825</v>
      </c>
      <c r="F541" s="749" t="s">
        <v>2581</v>
      </c>
      <c r="G541" s="798" t="s">
        <v>1267</v>
      </c>
      <c r="H541" s="776" t="n">
        <v>31500000</v>
      </c>
      <c r="I541" s="777" t="n">
        <v>98.5</v>
      </c>
      <c r="J541" s="778" t="n">
        <f aca="false">IF(I541="","",H541/I541)</f>
        <v>319796.954314721</v>
      </c>
      <c r="K541" s="749" t="s">
        <v>2460</v>
      </c>
      <c r="L541" s="774" t="n">
        <v>41430</v>
      </c>
      <c r="M541" s="774" t="n">
        <v>41795</v>
      </c>
      <c r="O541" s="783" t="n">
        <v>4</v>
      </c>
      <c r="P541" s="749" t="s">
        <v>2606</v>
      </c>
      <c r="Q541" s="749" t="s">
        <v>2607</v>
      </c>
      <c r="R541" s="811"/>
    </row>
    <row r="542" customFormat="false" ht="16.5" hidden="false" customHeight="true" outlineLevel="0" collapsed="false">
      <c r="A542" s="747" t="s">
        <v>2335</v>
      </c>
      <c r="B542" s="774" t="n">
        <v>41435</v>
      </c>
      <c r="D542" s="749" t="s">
        <v>2364</v>
      </c>
      <c r="E542" s="749" t="s">
        <v>2365</v>
      </c>
      <c r="F542" s="749" t="s">
        <v>2366</v>
      </c>
      <c r="G542" s="798" t="s">
        <v>1267</v>
      </c>
      <c r="H542" s="776" t="n">
        <v>20400000</v>
      </c>
      <c r="I542" s="777" t="n">
        <v>98.5</v>
      </c>
      <c r="J542" s="778" t="n">
        <f aca="false">IF(I542="","",H542/I542)</f>
        <v>207106.598984772</v>
      </c>
      <c r="K542" s="749" t="s">
        <v>2460</v>
      </c>
      <c r="L542" s="774" t="n">
        <v>41447</v>
      </c>
      <c r="M542" s="774" t="n">
        <v>41812</v>
      </c>
      <c r="O542" s="783" t="n">
        <v>4.5</v>
      </c>
      <c r="P542" s="749" t="s">
        <v>2606</v>
      </c>
      <c r="Q542" s="749" t="s">
        <v>2607</v>
      </c>
      <c r="R542" s="811"/>
    </row>
    <row r="543" customFormat="false" ht="16.5" hidden="false" customHeight="true" outlineLevel="0" collapsed="false">
      <c r="A543" s="747" t="s">
        <v>2190</v>
      </c>
      <c r="B543" s="774" t="n">
        <v>41435</v>
      </c>
      <c r="D543" s="749" t="s">
        <v>2430</v>
      </c>
      <c r="E543" s="749" t="s">
        <v>2431</v>
      </c>
      <c r="F543" s="749" t="s">
        <v>2638</v>
      </c>
      <c r="G543" s="798" t="s">
        <v>2136</v>
      </c>
      <c r="H543" s="776" t="n">
        <v>90000</v>
      </c>
      <c r="I543" s="777" t="n">
        <v>1</v>
      </c>
      <c r="J543" s="778" t="n">
        <f aca="false">IF(I543="","",H543/I543)</f>
        <v>90000</v>
      </c>
      <c r="K543" s="749" t="s">
        <v>2336</v>
      </c>
      <c r="L543" s="774" t="n">
        <v>41437</v>
      </c>
      <c r="M543" s="774" t="n">
        <v>41802</v>
      </c>
      <c r="O543" s="783" t="n">
        <v>2.85</v>
      </c>
      <c r="P543" s="749" t="s">
        <v>2606</v>
      </c>
      <c r="Q543" s="749" t="s">
        <v>2607</v>
      </c>
      <c r="R543" s="811"/>
    </row>
    <row r="544" customFormat="false" ht="16.5" hidden="false" customHeight="true" outlineLevel="0" collapsed="false">
      <c r="A544" s="747" t="s">
        <v>2335</v>
      </c>
      <c r="B544" s="774" t="n">
        <v>41437</v>
      </c>
      <c r="D544" s="749" t="s">
        <v>2430</v>
      </c>
      <c r="E544" s="749" t="s">
        <v>2431</v>
      </c>
      <c r="F544" s="749" t="s">
        <v>2432</v>
      </c>
      <c r="G544" s="798" t="s">
        <v>2136</v>
      </c>
      <c r="H544" s="776" t="n">
        <v>54880</v>
      </c>
      <c r="I544" s="777" t="n">
        <v>1</v>
      </c>
      <c r="J544" s="778" t="n">
        <f aca="false">IF(I544="","",H544/I544)</f>
        <v>54880</v>
      </c>
      <c r="K544" s="749" t="s">
        <v>2336</v>
      </c>
      <c r="L544" s="774" t="n">
        <v>41438</v>
      </c>
      <c r="M544" s="774" t="n">
        <v>41803</v>
      </c>
      <c r="O544" s="783" t="n">
        <v>2.85</v>
      </c>
      <c r="P544" s="749" t="s">
        <v>2606</v>
      </c>
      <c r="Q544" s="749" t="s">
        <v>2607</v>
      </c>
      <c r="R544" s="811"/>
    </row>
    <row r="545" customFormat="false" ht="16.5" hidden="false" customHeight="true" outlineLevel="0" collapsed="false">
      <c r="A545" s="747" t="s">
        <v>2335</v>
      </c>
      <c r="B545" s="774" t="n">
        <v>41437</v>
      </c>
      <c r="D545" s="749" t="s">
        <v>2372</v>
      </c>
      <c r="E545" s="749" t="s">
        <v>2826</v>
      </c>
      <c r="F545" s="749" t="s">
        <v>2734</v>
      </c>
      <c r="G545" s="798" t="s">
        <v>2816</v>
      </c>
      <c r="H545" s="776" t="n">
        <v>50000000</v>
      </c>
      <c r="I545" s="777" t="n">
        <v>98.5</v>
      </c>
      <c r="J545" s="778" t="n">
        <f aca="false">IF(I545="","",H545/I545)</f>
        <v>507614.21319797</v>
      </c>
      <c r="K545" s="749" t="s">
        <v>2336</v>
      </c>
      <c r="L545" s="774" t="n">
        <v>41432</v>
      </c>
      <c r="M545" s="774" t="n">
        <v>41797</v>
      </c>
      <c r="O545" s="783" t="n">
        <v>3.75</v>
      </c>
      <c r="P545" s="749" t="s">
        <v>2606</v>
      </c>
      <c r="Q545" s="749" t="s">
        <v>2607</v>
      </c>
      <c r="R545" s="811"/>
    </row>
    <row r="546" customFormat="false" ht="16.5" hidden="false" customHeight="true" outlineLevel="0" collapsed="false">
      <c r="A546" s="747" t="s">
        <v>2335</v>
      </c>
      <c r="B546" s="774" t="n">
        <v>41437</v>
      </c>
      <c r="D546" s="749" t="s">
        <v>2372</v>
      </c>
      <c r="E546" s="749" t="s">
        <v>2826</v>
      </c>
      <c r="F546" s="749" t="s">
        <v>2374</v>
      </c>
      <c r="G546" s="798" t="s">
        <v>1267</v>
      </c>
      <c r="H546" s="776" t="n">
        <v>15700000</v>
      </c>
      <c r="I546" s="777" t="n">
        <v>98.5</v>
      </c>
      <c r="J546" s="778" t="n">
        <f aca="false">IF(I546="","",H546/I546)</f>
        <v>159390.862944162</v>
      </c>
      <c r="K546" s="749" t="s">
        <v>2819</v>
      </c>
      <c r="L546" s="774" t="n">
        <v>41439</v>
      </c>
      <c r="M546" s="774" t="n">
        <v>41805</v>
      </c>
      <c r="O546" s="783" t="n">
        <v>3.4</v>
      </c>
      <c r="P546" s="749" t="s">
        <v>2606</v>
      </c>
      <c r="Q546" s="749" t="s">
        <v>2607</v>
      </c>
      <c r="R546" s="811"/>
    </row>
    <row r="547" customFormat="false" ht="16.5" hidden="false" customHeight="true" outlineLevel="0" collapsed="false">
      <c r="A547" s="747" t="s">
        <v>2190</v>
      </c>
      <c r="B547" s="774" t="n">
        <v>41437</v>
      </c>
      <c r="D547" s="749" t="s">
        <v>1366</v>
      </c>
      <c r="E547" s="749" t="s">
        <v>2413</v>
      </c>
      <c r="F547" s="749" t="s">
        <v>2791</v>
      </c>
      <c r="G547" s="798" t="s">
        <v>2136</v>
      </c>
      <c r="H547" s="776" t="n">
        <v>500000</v>
      </c>
      <c r="I547" s="777" t="n">
        <v>1</v>
      </c>
      <c r="J547" s="778" t="n">
        <f aca="false">IF(I547="","",H547/I547)</f>
        <v>500000</v>
      </c>
      <c r="K547" s="749" t="s">
        <v>2819</v>
      </c>
      <c r="L547" s="774" t="n">
        <v>41439</v>
      </c>
      <c r="M547" s="774" t="n">
        <v>42535</v>
      </c>
      <c r="O547" s="801" t="n">
        <v>4.2</v>
      </c>
      <c r="P547" s="749" t="s">
        <v>2606</v>
      </c>
      <c r="Q547" s="749" t="s">
        <v>2607</v>
      </c>
      <c r="R547" s="811"/>
    </row>
    <row r="548" customFormat="false" ht="16.5" hidden="false" customHeight="true" outlineLevel="0" collapsed="false">
      <c r="A548" s="747" t="s">
        <v>2190</v>
      </c>
      <c r="B548" s="774" t="n">
        <v>41437</v>
      </c>
      <c r="D548" s="749" t="s">
        <v>1366</v>
      </c>
      <c r="E548" s="749" t="s">
        <v>2413</v>
      </c>
      <c r="F548" s="749" t="s">
        <v>2791</v>
      </c>
      <c r="G548" s="798" t="s">
        <v>2821</v>
      </c>
      <c r="H548" s="776" t="n">
        <v>730000</v>
      </c>
      <c r="I548" s="777" t="n">
        <v>1</v>
      </c>
      <c r="J548" s="778" t="n">
        <f aca="false">IF(I548="","",H548/I548)</f>
        <v>730000</v>
      </c>
      <c r="K548" s="749" t="s">
        <v>2819</v>
      </c>
      <c r="L548" s="774" t="n">
        <v>41439</v>
      </c>
      <c r="M548" s="774" t="n">
        <v>41804</v>
      </c>
      <c r="O548" s="801" t="n">
        <v>3.5</v>
      </c>
      <c r="P548" s="749" t="s">
        <v>2606</v>
      </c>
      <c r="Q548" s="749" t="s">
        <v>2607</v>
      </c>
      <c r="R548" s="811"/>
    </row>
    <row r="549" customFormat="false" ht="16.5" hidden="false" customHeight="true" outlineLevel="0" collapsed="false">
      <c r="A549" s="747" t="s">
        <v>2335</v>
      </c>
      <c r="B549" s="774" t="n">
        <v>41438</v>
      </c>
      <c r="D549" s="749" t="s">
        <v>103</v>
      </c>
      <c r="E549" s="749" t="s">
        <v>2813</v>
      </c>
      <c r="F549" s="749" t="s">
        <v>2394</v>
      </c>
      <c r="G549" s="798" t="s">
        <v>1267</v>
      </c>
      <c r="H549" s="776" t="n">
        <v>28000000</v>
      </c>
      <c r="I549" s="777" t="n">
        <v>98.5</v>
      </c>
      <c r="J549" s="778" t="n">
        <f aca="false">IF(I549="","",H549/I549)</f>
        <v>284263.959390863</v>
      </c>
      <c r="K549" s="749" t="s">
        <v>2336</v>
      </c>
      <c r="L549" s="774" t="n">
        <v>41443</v>
      </c>
      <c r="M549" s="774" t="n">
        <v>41808</v>
      </c>
      <c r="O549" s="783" t="n">
        <v>4.15</v>
      </c>
      <c r="P549" s="749" t="s">
        <v>2606</v>
      </c>
      <c r="Q549" s="749" t="s">
        <v>2607</v>
      </c>
      <c r="R549" s="811"/>
    </row>
    <row r="550" customFormat="false" ht="16.5" hidden="false" customHeight="true" outlineLevel="0" collapsed="false">
      <c r="A550" s="747" t="s">
        <v>2827</v>
      </c>
      <c r="B550" s="774" t="n">
        <v>41439</v>
      </c>
      <c r="D550" s="749" t="s">
        <v>2358</v>
      </c>
      <c r="E550" s="749" t="s">
        <v>2636</v>
      </c>
      <c r="F550" s="749" t="s">
        <v>2828</v>
      </c>
      <c r="G550" s="798" t="s">
        <v>1267</v>
      </c>
      <c r="H550" s="776" t="n">
        <v>37500000</v>
      </c>
      <c r="I550" s="777" t="n">
        <v>98.5</v>
      </c>
      <c r="J550" s="778" t="n">
        <f aca="false">IF(I550="","",H550/I550)</f>
        <v>380710.659898477</v>
      </c>
      <c r="K550" s="749" t="s">
        <v>2460</v>
      </c>
      <c r="L550" s="774" t="n">
        <v>41442</v>
      </c>
      <c r="M550" s="774" t="n">
        <v>41807</v>
      </c>
      <c r="O550" s="783" t="n">
        <v>3.87</v>
      </c>
      <c r="P550" s="749" t="s">
        <v>2606</v>
      </c>
      <c r="Q550" s="749" t="s">
        <v>2607</v>
      </c>
      <c r="R550" s="811" t="s">
        <v>2829</v>
      </c>
    </row>
    <row r="551" customFormat="false" ht="16.5" hidden="false" customHeight="true" outlineLevel="0" collapsed="false">
      <c r="A551" s="747" t="s">
        <v>2335</v>
      </c>
      <c r="B551" s="774" t="n">
        <v>41439</v>
      </c>
      <c r="D551" s="798" t="s">
        <v>2403</v>
      </c>
      <c r="E551" s="749" t="s">
        <v>2814</v>
      </c>
      <c r="F551" s="749" t="s">
        <v>2541</v>
      </c>
      <c r="G551" s="798" t="s">
        <v>2136</v>
      </c>
      <c r="H551" s="776" t="n">
        <v>227036</v>
      </c>
      <c r="I551" s="777" t="n">
        <v>1</v>
      </c>
      <c r="J551" s="778" t="n">
        <f aca="false">IF(I551="","",H551/I551)</f>
        <v>227036</v>
      </c>
      <c r="K551" s="749" t="s">
        <v>2336</v>
      </c>
      <c r="L551" s="774" t="n">
        <v>41439</v>
      </c>
      <c r="M551" s="774" t="n">
        <v>41533</v>
      </c>
      <c r="O551" s="783" t="n">
        <v>3</v>
      </c>
      <c r="P551" s="749" t="s">
        <v>2606</v>
      </c>
      <c r="Q551" s="749" t="s">
        <v>2607</v>
      </c>
      <c r="R551" s="811"/>
    </row>
    <row r="552" customFormat="false" ht="16.5" hidden="false" customHeight="true" outlineLevel="0" collapsed="false">
      <c r="A552" s="747" t="s">
        <v>2335</v>
      </c>
      <c r="B552" s="774" t="n">
        <v>41442</v>
      </c>
      <c r="D552" s="749" t="s">
        <v>2375</v>
      </c>
      <c r="E552" s="749" t="s">
        <v>2599</v>
      </c>
      <c r="F552" s="749" t="s">
        <v>2340</v>
      </c>
      <c r="G552" s="798" t="s">
        <v>1267</v>
      </c>
      <c r="H552" s="776" t="n">
        <v>10600000</v>
      </c>
      <c r="I552" s="777" t="n">
        <v>98.5</v>
      </c>
      <c r="J552" s="778" t="n">
        <f aca="false">IF(I552="","",H552/I552)</f>
        <v>107614.21319797</v>
      </c>
      <c r="K552" s="749" t="s">
        <v>2336</v>
      </c>
      <c r="L552" s="774" t="n">
        <v>41444</v>
      </c>
      <c r="M552" s="774" t="n">
        <v>41809</v>
      </c>
      <c r="O552" s="783" t="n">
        <v>3.5</v>
      </c>
      <c r="P552" s="749" t="s">
        <v>2606</v>
      </c>
      <c r="Q552" s="749" t="s">
        <v>2607</v>
      </c>
      <c r="R552" s="811"/>
    </row>
    <row r="553" customFormat="false" ht="16.5" hidden="false" customHeight="true" outlineLevel="0" collapsed="false">
      <c r="A553" s="747" t="s">
        <v>2335</v>
      </c>
      <c r="B553" s="774" t="n">
        <v>41444</v>
      </c>
      <c r="D553" s="749" t="s">
        <v>2375</v>
      </c>
      <c r="E553" s="749" t="s">
        <v>2455</v>
      </c>
      <c r="F553" s="749" t="s">
        <v>2377</v>
      </c>
      <c r="G553" s="798" t="s">
        <v>1267</v>
      </c>
      <c r="H553" s="776" t="n">
        <v>59600000</v>
      </c>
      <c r="I553" s="777" t="n">
        <v>98.5</v>
      </c>
      <c r="J553" s="778" t="n">
        <f aca="false">IF(I553="","",H553/I553)</f>
        <v>605076.14213198</v>
      </c>
      <c r="K553" s="749" t="s">
        <v>2336</v>
      </c>
      <c r="L553" s="774" t="n">
        <v>41449</v>
      </c>
      <c r="M553" s="774" t="n">
        <v>41813</v>
      </c>
      <c r="O553" s="783" t="n">
        <v>3.4</v>
      </c>
      <c r="P553" s="749" t="s">
        <v>2606</v>
      </c>
      <c r="Q553" s="749" t="s">
        <v>2607</v>
      </c>
      <c r="R553" s="811"/>
    </row>
    <row r="554" customFormat="false" ht="16.5" hidden="false" customHeight="true" outlineLevel="0" collapsed="false">
      <c r="A554" s="747" t="s">
        <v>2335</v>
      </c>
      <c r="B554" s="774" t="n">
        <v>41444</v>
      </c>
      <c r="D554" s="749" t="s">
        <v>201</v>
      </c>
      <c r="E554" s="749" t="s">
        <v>2663</v>
      </c>
      <c r="F554" s="749" t="s">
        <v>2389</v>
      </c>
      <c r="G554" s="798" t="s">
        <v>1267</v>
      </c>
      <c r="H554" s="776" t="n">
        <v>200000000</v>
      </c>
      <c r="I554" s="777" t="n">
        <v>98.5</v>
      </c>
      <c r="J554" s="778" t="n">
        <f aca="false">IF(I554="","",H554/I554)</f>
        <v>2030456.85279188</v>
      </c>
      <c r="K554" s="749" t="s">
        <v>2460</v>
      </c>
      <c r="L554" s="774" t="n">
        <v>41444</v>
      </c>
      <c r="M554" s="774" t="n">
        <v>41809</v>
      </c>
      <c r="O554" s="783" t="n">
        <v>3.7</v>
      </c>
      <c r="P554" s="749" t="s">
        <v>2606</v>
      </c>
      <c r="Q554" s="749" t="s">
        <v>2607</v>
      </c>
      <c r="R554" s="811"/>
    </row>
    <row r="555" customFormat="false" ht="16.5" hidden="false" customHeight="true" outlineLevel="0" collapsed="false">
      <c r="A555" s="747" t="s">
        <v>2335</v>
      </c>
      <c r="B555" s="774" t="n">
        <v>41444</v>
      </c>
      <c r="D555" s="798" t="s">
        <v>2403</v>
      </c>
      <c r="E555" s="749" t="s">
        <v>2830</v>
      </c>
      <c r="F555" s="749" t="s">
        <v>2405</v>
      </c>
      <c r="G555" s="798" t="s">
        <v>1267</v>
      </c>
      <c r="H555" s="776" t="n">
        <v>35100000</v>
      </c>
      <c r="I555" s="777" t="n">
        <v>98.5</v>
      </c>
      <c r="J555" s="778" t="n">
        <f aca="false">IF(I555="","",H555/I555)</f>
        <v>356345.177664975</v>
      </c>
      <c r="K555" s="749" t="s">
        <v>2336</v>
      </c>
      <c r="L555" s="774" t="n">
        <v>41453</v>
      </c>
      <c r="M555" s="774" t="n">
        <v>41819</v>
      </c>
      <c r="O555" s="783" t="n">
        <v>2.9</v>
      </c>
      <c r="P555" s="749" t="s">
        <v>2606</v>
      </c>
      <c r="Q555" s="749" t="s">
        <v>2607</v>
      </c>
      <c r="R555" s="811"/>
    </row>
    <row r="556" customFormat="false" ht="16.5" hidden="false" customHeight="true" outlineLevel="0" collapsed="false">
      <c r="A556" s="747" t="s">
        <v>2335</v>
      </c>
      <c r="B556" s="774" t="n">
        <v>41444</v>
      </c>
      <c r="D556" s="798" t="s">
        <v>2403</v>
      </c>
      <c r="E556" s="749" t="s">
        <v>2830</v>
      </c>
      <c r="F556" s="749" t="s">
        <v>2405</v>
      </c>
      <c r="G556" s="798" t="s">
        <v>1267</v>
      </c>
      <c r="H556" s="776" t="n">
        <v>23000000</v>
      </c>
      <c r="I556" s="777" t="n">
        <v>98.5</v>
      </c>
      <c r="J556" s="778" t="n">
        <f aca="false">IF(I556="","",H556/I556)</f>
        <v>233502.538071066</v>
      </c>
      <c r="K556" s="749" t="s">
        <v>2460</v>
      </c>
      <c r="L556" s="774" t="n">
        <v>41453</v>
      </c>
      <c r="M556" s="774" t="n">
        <v>41819</v>
      </c>
      <c r="O556" s="783" t="n">
        <v>2.9</v>
      </c>
      <c r="P556" s="749" t="s">
        <v>2606</v>
      </c>
      <c r="Q556" s="749" t="s">
        <v>2607</v>
      </c>
      <c r="R556" s="811"/>
    </row>
    <row r="557" customFormat="false" ht="16.5" hidden="false" customHeight="true" outlineLevel="0" collapsed="false">
      <c r="A557" s="747" t="s">
        <v>2335</v>
      </c>
      <c r="B557" s="774" t="n">
        <v>41445</v>
      </c>
      <c r="D557" s="749" t="s">
        <v>2375</v>
      </c>
      <c r="E557" s="749" t="s">
        <v>2599</v>
      </c>
      <c r="F557" s="749" t="s">
        <v>2741</v>
      </c>
      <c r="G557" s="798" t="s">
        <v>1267</v>
      </c>
      <c r="H557" s="776" t="n">
        <v>30000000</v>
      </c>
      <c r="I557" s="777" t="n">
        <v>98.5</v>
      </c>
      <c r="J557" s="778" t="n">
        <f aca="false">IF(I557="","",H557/I557)</f>
        <v>304568.527918782</v>
      </c>
      <c r="K557" s="749" t="s">
        <v>2460</v>
      </c>
      <c r="L557" s="774" t="n">
        <v>41446</v>
      </c>
      <c r="M557" s="774" t="n">
        <v>41812</v>
      </c>
      <c r="O557" s="783" t="n">
        <v>5</v>
      </c>
      <c r="P557" s="749" t="s">
        <v>2606</v>
      </c>
      <c r="Q557" s="749" t="s">
        <v>2607</v>
      </c>
      <c r="R557" s="811"/>
    </row>
    <row r="558" customFormat="false" ht="16.5" hidden="false" customHeight="true" outlineLevel="0" collapsed="false">
      <c r="A558" s="747" t="s">
        <v>2335</v>
      </c>
      <c r="B558" s="774" t="n">
        <v>41446</v>
      </c>
      <c r="D558" s="749" t="s">
        <v>2395</v>
      </c>
      <c r="E558" s="749" t="s">
        <v>2831</v>
      </c>
      <c r="F558" s="749" t="s">
        <v>2397</v>
      </c>
      <c r="G558" s="798" t="s">
        <v>1267</v>
      </c>
      <c r="H558" s="776" t="n">
        <v>50000000</v>
      </c>
      <c r="I558" s="777" t="n">
        <v>98.5</v>
      </c>
      <c r="J558" s="778" t="n">
        <f aca="false">IF(I558="","",H558/I558)</f>
        <v>507614.21319797</v>
      </c>
      <c r="K558" s="749" t="s">
        <v>2336</v>
      </c>
      <c r="L558" s="774" t="n">
        <v>41446</v>
      </c>
      <c r="M558" s="774" t="n">
        <v>41811</v>
      </c>
      <c r="O558" s="783" t="s">
        <v>493</v>
      </c>
      <c r="P558" s="749" t="s">
        <v>2606</v>
      </c>
      <c r="Q558" s="749" t="s">
        <v>2607</v>
      </c>
      <c r="R558" s="811"/>
    </row>
    <row r="559" customFormat="false" ht="16.5" hidden="false" customHeight="true" outlineLevel="0" collapsed="false">
      <c r="A559" s="747" t="s">
        <v>2190</v>
      </c>
      <c r="B559" s="774" t="n">
        <v>41449</v>
      </c>
      <c r="D559" s="749" t="s">
        <v>124</v>
      </c>
      <c r="E559" s="749" t="s">
        <v>2822</v>
      </c>
      <c r="F559" s="749" t="s">
        <v>2832</v>
      </c>
      <c r="G559" s="798" t="s">
        <v>2136</v>
      </c>
      <c r="H559" s="776" t="n">
        <v>827932.35</v>
      </c>
      <c r="I559" s="777" t="n">
        <v>1</v>
      </c>
      <c r="J559" s="778" t="n">
        <f aca="false">IF(I559="","",H559/I559)</f>
        <v>827932.35</v>
      </c>
      <c r="K559" s="749" t="s">
        <v>2336</v>
      </c>
      <c r="L559" s="774" t="n">
        <v>41450</v>
      </c>
      <c r="M559" s="774" t="n">
        <v>41538</v>
      </c>
      <c r="O559" s="783" t="n">
        <v>4</v>
      </c>
      <c r="P559" s="749" t="s">
        <v>2606</v>
      </c>
      <c r="Q559" s="749" t="s">
        <v>2607</v>
      </c>
      <c r="R559" s="811"/>
    </row>
    <row r="560" customFormat="false" ht="16.5" hidden="false" customHeight="true" outlineLevel="0" collapsed="false">
      <c r="A560" s="747" t="s">
        <v>2335</v>
      </c>
      <c r="B560" s="774" t="n">
        <v>41452</v>
      </c>
      <c r="D560" s="749" t="s">
        <v>201</v>
      </c>
      <c r="E560" s="749" t="s">
        <v>2411</v>
      </c>
      <c r="F560" s="749" t="s">
        <v>2412</v>
      </c>
      <c r="G560" s="798" t="s">
        <v>2136</v>
      </c>
      <c r="H560" s="776" t="n">
        <v>425000</v>
      </c>
      <c r="I560" s="777" t="n">
        <v>1</v>
      </c>
      <c r="J560" s="778" t="n">
        <f aca="false">IF(I560="","",H560/I560)</f>
        <v>425000</v>
      </c>
      <c r="K560" s="749" t="s">
        <v>2460</v>
      </c>
      <c r="L560" s="774" t="n">
        <v>41457</v>
      </c>
      <c r="M560" s="774" t="n">
        <v>41822</v>
      </c>
      <c r="O560" s="783" t="n">
        <v>3.42</v>
      </c>
      <c r="P560" s="749" t="s">
        <v>2606</v>
      </c>
      <c r="Q560" s="749" t="s">
        <v>2607</v>
      </c>
      <c r="R560" s="811"/>
    </row>
    <row r="561" customFormat="false" ht="16.5" hidden="false" customHeight="true" outlineLevel="0" collapsed="false">
      <c r="A561" s="747" t="s">
        <v>2335</v>
      </c>
      <c r="B561" s="774" t="n">
        <v>41452</v>
      </c>
      <c r="D561" s="749" t="s">
        <v>866</v>
      </c>
      <c r="E561" s="749" t="s">
        <v>2742</v>
      </c>
      <c r="F561" s="749" t="s">
        <v>2604</v>
      </c>
      <c r="G561" s="798" t="s">
        <v>1267</v>
      </c>
      <c r="H561" s="776" t="n">
        <v>2054000000</v>
      </c>
      <c r="I561" s="777" t="n">
        <v>98.5</v>
      </c>
      <c r="J561" s="778" t="n">
        <f aca="false">IF(I561="","",H561/I561)</f>
        <v>20852791.8781726</v>
      </c>
      <c r="K561" s="749" t="s">
        <v>2460</v>
      </c>
      <c r="L561" s="774" t="n">
        <v>41452</v>
      </c>
      <c r="M561" s="774" t="n">
        <v>41817</v>
      </c>
      <c r="O561" s="783" t="n">
        <v>4.2</v>
      </c>
      <c r="P561" s="749" t="s">
        <v>2606</v>
      </c>
      <c r="Q561" s="749" t="s">
        <v>2607</v>
      </c>
      <c r="R561" s="811"/>
    </row>
    <row r="562" customFormat="false" ht="16.5" hidden="false" customHeight="true" outlineLevel="0" collapsed="false">
      <c r="A562" s="747" t="s">
        <v>2335</v>
      </c>
      <c r="B562" s="774" t="n">
        <v>41456</v>
      </c>
      <c r="D562" s="749" t="s">
        <v>2344</v>
      </c>
      <c r="E562" s="749" t="s">
        <v>2572</v>
      </c>
      <c r="F562" s="749" t="s">
        <v>2408</v>
      </c>
      <c r="G562" s="798" t="s">
        <v>1267</v>
      </c>
      <c r="H562" s="776" t="n">
        <v>60000000</v>
      </c>
      <c r="I562" s="777" t="n">
        <v>98.08</v>
      </c>
      <c r="J562" s="778" t="n">
        <f aca="false">IF(I562="","",H562/I562)</f>
        <v>611745.513866232</v>
      </c>
      <c r="K562" s="749" t="s">
        <v>2336</v>
      </c>
      <c r="L562" s="774" t="n">
        <v>41456</v>
      </c>
      <c r="M562" s="774" t="n">
        <v>41819</v>
      </c>
      <c r="O562" s="783" t="n">
        <v>2.73</v>
      </c>
      <c r="P562" s="749" t="s">
        <v>2606</v>
      </c>
      <c r="Q562" s="749" t="s">
        <v>2607</v>
      </c>
      <c r="R562" s="811"/>
    </row>
    <row r="563" customFormat="false" ht="16.5" hidden="false" customHeight="true" outlineLevel="0" collapsed="false">
      <c r="A563" s="747" t="s">
        <v>2335</v>
      </c>
      <c r="B563" s="774" t="n">
        <v>41459</v>
      </c>
      <c r="D563" s="798" t="s">
        <v>2403</v>
      </c>
      <c r="E563" s="749" t="s">
        <v>2833</v>
      </c>
      <c r="F563" s="749" t="s">
        <v>2410</v>
      </c>
      <c r="G563" s="798" t="s">
        <v>1267</v>
      </c>
      <c r="H563" s="776" t="n">
        <v>42000000</v>
      </c>
      <c r="I563" s="777" t="n">
        <v>98.08</v>
      </c>
      <c r="J563" s="778" t="n">
        <f aca="false">IF(I563="","",H563/I563)</f>
        <v>428221.859706362</v>
      </c>
      <c r="K563" s="749" t="s">
        <v>2460</v>
      </c>
      <c r="L563" s="774" t="n">
        <v>41460</v>
      </c>
      <c r="M563" s="774" t="n">
        <v>41826</v>
      </c>
      <c r="O563" s="783" t="n">
        <v>3.25</v>
      </c>
      <c r="P563" s="749" t="s">
        <v>2606</v>
      </c>
      <c r="Q563" s="749" t="s">
        <v>2607</v>
      </c>
      <c r="R563" s="811"/>
    </row>
    <row r="564" customFormat="false" ht="16.5" hidden="false" customHeight="true" outlineLevel="0" collapsed="false">
      <c r="A564" s="747" t="s">
        <v>2335</v>
      </c>
      <c r="B564" s="774" t="n">
        <v>41463</v>
      </c>
      <c r="D564" s="749" t="s">
        <v>770</v>
      </c>
      <c r="E564" s="749" t="s">
        <v>2421</v>
      </c>
      <c r="F564" s="749" t="s">
        <v>2422</v>
      </c>
      <c r="G564" s="798" t="s">
        <v>1267</v>
      </c>
      <c r="H564" s="776" t="n">
        <v>30000000</v>
      </c>
      <c r="I564" s="777" t="n">
        <v>98.08</v>
      </c>
      <c r="J564" s="778" t="n">
        <f aca="false">IF(I564="","",H564/I564)</f>
        <v>305872.756933116</v>
      </c>
      <c r="K564" s="749" t="s">
        <v>2336</v>
      </c>
      <c r="L564" s="774" t="n">
        <v>41464</v>
      </c>
      <c r="M564" s="774" t="n">
        <v>41830</v>
      </c>
      <c r="O564" s="783" t="n">
        <v>3.7</v>
      </c>
      <c r="P564" s="749" t="s">
        <v>2606</v>
      </c>
      <c r="Q564" s="749" t="s">
        <v>2607</v>
      </c>
      <c r="R564" s="811"/>
    </row>
    <row r="565" customFormat="false" ht="16.5" hidden="false" customHeight="true" outlineLevel="0" collapsed="false">
      <c r="A565" s="747" t="s">
        <v>2335</v>
      </c>
      <c r="B565" s="774" t="n">
        <v>41465</v>
      </c>
      <c r="D565" s="749" t="s">
        <v>866</v>
      </c>
      <c r="E565" s="749" t="s">
        <v>2415</v>
      </c>
      <c r="F565" s="749" t="s">
        <v>2427</v>
      </c>
      <c r="G565" s="798" t="s">
        <v>1267</v>
      </c>
      <c r="H565" s="776" t="n">
        <v>45800000</v>
      </c>
      <c r="I565" s="777" t="n">
        <v>98.08</v>
      </c>
      <c r="J565" s="778" t="n">
        <f aca="false">IF(I565="","",H565/I565)</f>
        <v>466965.742251224</v>
      </c>
      <c r="K565" s="749" t="s">
        <v>2460</v>
      </c>
      <c r="L565" s="774" t="n">
        <v>41465</v>
      </c>
      <c r="M565" s="774" t="n">
        <v>41830</v>
      </c>
      <c r="O565" s="783" t="n">
        <v>3.5</v>
      </c>
      <c r="P565" s="749" t="s">
        <v>2606</v>
      </c>
      <c r="Q565" s="749" t="s">
        <v>2607</v>
      </c>
      <c r="R565" s="811"/>
    </row>
    <row r="566" customFormat="false" ht="16.5" hidden="false" customHeight="true" outlineLevel="0" collapsed="false">
      <c r="A566" s="747" t="s">
        <v>2335</v>
      </c>
      <c r="B566" s="774" t="n">
        <v>41465</v>
      </c>
      <c r="D566" s="798" t="s">
        <v>2403</v>
      </c>
      <c r="E566" s="749" t="s">
        <v>2814</v>
      </c>
      <c r="F566" s="749" t="s">
        <v>2541</v>
      </c>
      <c r="G566" s="798" t="s">
        <v>2136</v>
      </c>
      <c r="H566" s="776" t="n">
        <v>221817</v>
      </c>
      <c r="I566" s="777" t="n">
        <v>1</v>
      </c>
      <c r="J566" s="778" t="n">
        <f aca="false">IF(I566="","",H566/I566)</f>
        <v>221817</v>
      </c>
      <c r="K566" s="749" t="s">
        <v>2336</v>
      </c>
      <c r="L566" s="774" t="n">
        <v>41465</v>
      </c>
      <c r="M566" s="774" t="n">
        <v>41557</v>
      </c>
      <c r="O566" s="783" t="n">
        <v>3</v>
      </c>
      <c r="P566" s="749" t="s">
        <v>2606</v>
      </c>
      <c r="Q566" s="749" t="s">
        <v>2607</v>
      </c>
      <c r="R566" s="811"/>
    </row>
    <row r="567" customFormat="false" ht="16.5" hidden="false" customHeight="true" outlineLevel="0" collapsed="false">
      <c r="A567" s="747" t="s">
        <v>2335</v>
      </c>
      <c r="B567" s="774" t="n">
        <v>41471</v>
      </c>
      <c r="D567" s="749" t="s">
        <v>162</v>
      </c>
      <c r="E567" s="749" t="s">
        <v>2834</v>
      </c>
      <c r="F567" s="749" t="s">
        <v>2437</v>
      </c>
      <c r="G567" s="798" t="s">
        <v>1267</v>
      </c>
      <c r="H567" s="776" t="n">
        <v>70000000</v>
      </c>
      <c r="I567" s="777" t="n">
        <v>98.08</v>
      </c>
      <c r="J567" s="778" t="n">
        <f aca="false">IF(I567="","",H567/I567)</f>
        <v>713703.099510604</v>
      </c>
      <c r="K567" s="749" t="s">
        <v>2460</v>
      </c>
      <c r="L567" s="774" t="n">
        <v>41473</v>
      </c>
      <c r="M567" s="774" t="n">
        <v>41838</v>
      </c>
      <c r="O567" s="783" t="n">
        <v>3.5</v>
      </c>
      <c r="P567" s="749" t="s">
        <v>2606</v>
      </c>
      <c r="Q567" s="749" t="s">
        <v>2607</v>
      </c>
      <c r="R567" s="811"/>
    </row>
    <row r="568" customFormat="false" ht="16.5" hidden="false" customHeight="true" outlineLevel="0" collapsed="false">
      <c r="A568" s="747" t="s">
        <v>2335</v>
      </c>
      <c r="B568" s="774" t="n">
        <v>41473</v>
      </c>
      <c r="D568" s="749" t="s">
        <v>2372</v>
      </c>
      <c r="E568" s="749" t="s">
        <v>2692</v>
      </c>
      <c r="F568" s="749" t="s">
        <v>2442</v>
      </c>
      <c r="G568" s="798" t="s">
        <v>1267</v>
      </c>
      <c r="H568" s="776" t="n">
        <v>104000000</v>
      </c>
      <c r="I568" s="777" t="n">
        <v>98.08</v>
      </c>
      <c r="J568" s="778" t="n">
        <f aca="false">IF(I568="","",H568/I568)</f>
        <v>1060358.89070147</v>
      </c>
      <c r="K568" s="749" t="s">
        <v>2336</v>
      </c>
      <c r="L568" s="774" t="n">
        <v>41480</v>
      </c>
      <c r="M568" s="774" t="n">
        <v>41845</v>
      </c>
      <c r="O568" s="783" t="n">
        <v>3.65</v>
      </c>
      <c r="P568" s="749" t="s">
        <v>2606</v>
      </c>
      <c r="Q568" s="749" t="s">
        <v>2607</v>
      </c>
      <c r="R568" s="811"/>
    </row>
    <row r="569" customFormat="false" ht="16.5" hidden="false" customHeight="true" outlineLevel="0" collapsed="false">
      <c r="A569" s="747" t="s">
        <v>2335</v>
      </c>
      <c r="B569" s="774" t="n">
        <v>41480</v>
      </c>
      <c r="D569" s="749" t="s">
        <v>644</v>
      </c>
      <c r="E569" s="749" t="s">
        <v>2835</v>
      </c>
      <c r="F569" s="749" t="s">
        <v>2359</v>
      </c>
      <c r="G569" s="798" t="s">
        <v>1267</v>
      </c>
      <c r="H569" s="776" t="n">
        <v>40000000</v>
      </c>
      <c r="I569" s="777" t="n">
        <v>98.08</v>
      </c>
      <c r="J569" s="778" t="n">
        <f aca="false">IF(I569="","",H569/I569)</f>
        <v>407830.342577488</v>
      </c>
      <c r="K569" s="749" t="s">
        <v>2460</v>
      </c>
      <c r="L569" s="774" t="n">
        <v>41481</v>
      </c>
      <c r="M569" s="774" t="n">
        <v>41846</v>
      </c>
      <c r="O569" s="783" t="n">
        <v>3.95</v>
      </c>
      <c r="P569" s="749" t="s">
        <v>2606</v>
      </c>
      <c r="Q569" s="749" t="s">
        <v>2607</v>
      </c>
      <c r="R569" s="811"/>
    </row>
    <row r="570" customFormat="false" ht="16.5" hidden="false" customHeight="true" outlineLevel="0" collapsed="false">
      <c r="A570" s="747" t="s">
        <v>2335</v>
      </c>
      <c r="B570" s="774" t="n">
        <v>41480</v>
      </c>
      <c r="D570" s="749" t="s">
        <v>96</v>
      </c>
      <c r="E570" s="749" t="s">
        <v>2836</v>
      </c>
      <c r="F570" s="749" t="s">
        <v>2837</v>
      </c>
      <c r="G570" s="798" t="s">
        <v>2136</v>
      </c>
      <c r="H570" s="776" t="n">
        <v>1500000</v>
      </c>
      <c r="I570" s="777" t="n">
        <v>1</v>
      </c>
      <c r="J570" s="778" t="n">
        <f aca="false">IF(I570="","",H570/I570)</f>
        <v>1500000</v>
      </c>
      <c r="K570" s="749" t="s">
        <v>2336</v>
      </c>
      <c r="L570" s="774" t="n">
        <v>41485</v>
      </c>
      <c r="M570" s="774" t="n">
        <v>41850</v>
      </c>
      <c r="O570" s="783" t="n">
        <v>3.49</v>
      </c>
      <c r="P570" s="749" t="s">
        <v>2606</v>
      </c>
      <c r="Q570" s="749" t="s">
        <v>2607</v>
      </c>
      <c r="R570" s="811"/>
    </row>
    <row r="571" customFormat="false" ht="16.5" hidden="false" customHeight="true" outlineLevel="0" collapsed="false">
      <c r="A571" s="747" t="s">
        <v>2190</v>
      </c>
      <c r="B571" s="774" t="n">
        <v>41480</v>
      </c>
      <c r="D571" s="749" t="s">
        <v>2430</v>
      </c>
      <c r="E571" s="749" t="s">
        <v>2431</v>
      </c>
      <c r="F571" s="749" t="s">
        <v>2638</v>
      </c>
      <c r="G571" s="798" t="s">
        <v>2136</v>
      </c>
      <c r="H571" s="776" t="n">
        <v>150000</v>
      </c>
      <c r="I571" s="777" t="n">
        <v>1</v>
      </c>
      <c r="J571" s="778" t="n">
        <f aca="false">IF(I571="","",H571/I571)</f>
        <v>150000</v>
      </c>
      <c r="K571" s="749" t="s">
        <v>2336</v>
      </c>
      <c r="L571" s="774" t="n">
        <v>41480</v>
      </c>
      <c r="M571" s="774" t="n">
        <v>41845</v>
      </c>
      <c r="O571" s="801" t="n">
        <v>2.6</v>
      </c>
      <c r="P571" s="749" t="s">
        <v>2606</v>
      </c>
      <c r="Q571" s="749" t="s">
        <v>2607</v>
      </c>
      <c r="R571" s="811"/>
    </row>
    <row r="572" customFormat="false" ht="16.5" hidden="false" customHeight="true" outlineLevel="0" collapsed="false">
      <c r="A572" s="747" t="s">
        <v>2335</v>
      </c>
      <c r="B572" s="774" t="n">
        <v>41484</v>
      </c>
      <c r="D572" s="749" t="s">
        <v>2697</v>
      </c>
      <c r="E572" s="749" t="s">
        <v>2838</v>
      </c>
      <c r="F572" s="749" t="s">
        <v>2756</v>
      </c>
      <c r="G572" s="798" t="s">
        <v>1267</v>
      </c>
      <c r="H572" s="776" t="n">
        <v>10000000</v>
      </c>
      <c r="I572" s="777" t="n">
        <v>98.08</v>
      </c>
      <c r="J572" s="778" t="n">
        <f aca="false">IF(I572="","",H572/I572)</f>
        <v>101957.585644372</v>
      </c>
      <c r="K572" s="749" t="s">
        <v>2336</v>
      </c>
      <c r="L572" s="774" t="n">
        <v>41489</v>
      </c>
      <c r="M572" s="774" t="n">
        <v>41854</v>
      </c>
      <c r="O572" s="783" t="n">
        <v>3.53</v>
      </c>
      <c r="P572" s="749" t="s">
        <v>2606</v>
      </c>
      <c r="Q572" s="749" t="s">
        <v>2607</v>
      </c>
      <c r="R572" s="811"/>
    </row>
    <row r="573" customFormat="false" ht="16.5" hidden="false" customHeight="true" outlineLevel="0" collapsed="false">
      <c r="A573" s="747" t="s">
        <v>2335</v>
      </c>
      <c r="B573" s="774" t="n">
        <v>41484</v>
      </c>
      <c r="D573" s="749" t="s">
        <v>2697</v>
      </c>
      <c r="E573" s="749" t="s">
        <v>2838</v>
      </c>
      <c r="F573" s="749" t="s">
        <v>2839</v>
      </c>
      <c r="G573" s="798" t="s">
        <v>1267</v>
      </c>
      <c r="H573" s="776" t="n">
        <v>19970000</v>
      </c>
      <c r="I573" s="777" t="n">
        <v>98.08</v>
      </c>
      <c r="J573" s="778" t="n">
        <f aca="false">IF(I573="","",H573/I573)</f>
        <v>203609.298531811</v>
      </c>
      <c r="K573" s="749" t="s">
        <v>2336</v>
      </c>
      <c r="L573" s="774" t="n">
        <v>41489</v>
      </c>
      <c r="M573" s="774" t="n">
        <v>41854</v>
      </c>
      <c r="O573" s="783" t="n">
        <v>3.53</v>
      </c>
      <c r="P573" s="749" t="s">
        <v>2606</v>
      </c>
      <c r="Q573" s="749" t="s">
        <v>2607</v>
      </c>
      <c r="R573" s="811"/>
    </row>
    <row r="574" customFormat="false" ht="16.5" hidden="false" customHeight="true" outlineLevel="0" collapsed="false">
      <c r="A574" s="747" t="s">
        <v>2335</v>
      </c>
      <c r="B574" s="774" t="n">
        <v>41485</v>
      </c>
      <c r="D574" s="749" t="s">
        <v>2367</v>
      </c>
      <c r="E574" s="749" t="s">
        <v>2443</v>
      </c>
      <c r="F574" s="749" t="s">
        <v>2755</v>
      </c>
      <c r="G574" s="798" t="s">
        <v>1267</v>
      </c>
      <c r="H574" s="776" t="n">
        <v>27330000</v>
      </c>
      <c r="I574" s="777" t="n">
        <v>98.08</v>
      </c>
      <c r="J574" s="778" t="n">
        <f aca="false">IF(I574="","",H574/I574)</f>
        <v>278650.081566069</v>
      </c>
      <c r="K574" s="749" t="s">
        <v>2336</v>
      </c>
      <c r="L574" s="774" t="n">
        <v>41491</v>
      </c>
      <c r="M574" s="774" t="n">
        <v>41855</v>
      </c>
      <c r="O574" s="783" t="n">
        <v>3.47</v>
      </c>
      <c r="P574" s="749" t="s">
        <v>2606</v>
      </c>
      <c r="Q574" s="749" t="s">
        <v>2607</v>
      </c>
      <c r="R574" s="811"/>
    </row>
    <row r="575" customFormat="false" ht="16.5" hidden="false" customHeight="true" outlineLevel="0" collapsed="false">
      <c r="A575" s="747" t="s">
        <v>2335</v>
      </c>
      <c r="B575" s="774" t="n">
        <v>41487</v>
      </c>
      <c r="D575" s="749" t="s">
        <v>1184</v>
      </c>
      <c r="E575" s="749" t="s">
        <v>2800</v>
      </c>
      <c r="F575" s="749" t="s">
        <v>2620</v>
      </c>
      <c r="G575" s="798" t="s">
        <v>2136</v>
      </c>
      <c r="H575" s="776" t="n">
        <v>2000000</v>
      </c>
      <c r="I575" s="777" t="n">
        <v>1</v>
      </c>
      <c r="J575" s="778" t="n">
        <f aca="false">IF(I575="","",H575/I575)</f>
        <v>2000000</v>
      </c>
      <c r="K575" s="749" t="s">
        <v>2336</v>
      </c>
      <c r="L575" s="774" t="n">
        <v>41488</v>
      </c>
      <c r="M575" s="774" t="n">
        <v>41672</v>
      </c>
      <c r="O575" s="783" t="n">
        <v>1.75</v>
      </c>
      <c r="P575" s="749" t="s">
        <v>2606</v>
      </c>
      <c r="Q575" s="749" t="s">
        <v>2607</v>
      </c>
      <c r="R575" s="811"/>
    </row>
    <row r="576" customFormat="false" ht="16.5" hidden="false" customHeight="true" outlineLevel="0" collapsed="false">
      <c r="A576" s="747" t="s">
        <v>2335</v>
      </c>
      <c r="B576" s="774" t="n">
        <v>41487</v>
      </c>
      <c r="D576" s="749" t="s">
        <v>1184</v>
      </c>
      <c r="E576" s="749" t="s">
        <v>2800</v>
      </c>
      <c r="F576" s="749" t="s">
        <v>2620</v>
      </c>
      <c r="G576" s="798" t="s">
        <v>2136</v>
      </c>
      <c r="H576" s="776" t="n">
        <v>1700000</v>
      </c>
      <c r="I576" s="777" t="n">
        <v>1</v>
      </c>
      <c r="J576" s="778" t="n">
        <f aca="false">IF(I576="","",H576/I576)</f>
        <v>1700000</v>
      </c>
      <c r="K576" s="749" t="s">
        <v>2336</v>
      </c>
      <c r="L576" s="774" t="n">
        <v>41488</v>
      </c>
      <c r="M576" s="774" t="n">
        <v>41700</v>
      </c>
      <c r="O576" s="783" t="n">
        <v>1.75</v>
      </c>
      <c r="P576" s="749" t="s">
        <v>2606</v>
      </c>
      <c r="Q576" s="749" t="s">
        <v>2607</v>
      </c>
      <c r="R576" s="811"/>
    </row>
    <row r="577" customFormat="false" ht="16.5" hidden="false" customHeight="true" outlineLevel="0" collapsed="false">
      <c r="A577" s="747" t="s">
        <v>2335</v>
      </c>
      <c r="B577" s="774" t="n">
        <v>41491</v>
      </c>
      <c r="D577" s="749" t="s">
        <v>2344</v>
      </c>
      <c r="E577" s="749" t="s">
        <v>2550</v>
      </c>
      <c r="F577" s="749" t="s">
        <v>2346</v>
      </c>
      <c r="G577" s="798" t="s">
        <v>1267</v>
      </c>
      <c r="H577" s="776" t="n">
        <v>49500000</v>
      </c>
      <c r="I577" s="777" t="n">
        <v>97.83</v>
      </c>
      <c r="J577" s="778" t="n">
        <f aca="false">IF(I577="","",H577/I577)</f>
        <v>505979.760809568</v>
      </c>
      <c r="K577" s="749" t="s">
        <v>2336</v>
      </c>
      <c r="L577" s="774" t="n">
        <v>41491</v>
      </c>
      <c r="M577" s="774" t="n">
        <v>41856</v>
      </c>
      <c r="O577" s="783" t="n">
        <v>4</v>
      </c>
      <c r="P577" s="749" t="s">
        <v>2606</v>
      </c>
      <c r="Q577" s="749" t="s">
        <v>2607</v>
      </c>
      <c r="R577" s="811"/>
    </row>
    <row r="578" customFormat="false" ht="16.5" hidden="false" customHeight="true" outlineLevel="0" collapsed="false">
      <c r="A578" s="747" t="s">
        <v>2335</v>
      </c>
      <c r="B578" s="774" t="n">
        <v>41491</v>
      </c>
      <c r="D578" s="749" t="s">
        <v>96</v>
      </c>
      <c r="E578" s="749" t="s">
        <v>2840</v>
      </c>
      <c r="F578" s="749" t="s">
        <v>2841</v>
      </c>
      <c r="G578" s="798" t="s">
        <v>1267</v>
      </c>
      <c r="H578" s="776" t="n">
        <v>50000000</v>
      </c>
      <c r="I578" s="777" t="n">
        <v>97.83</v>
      </c>
      <c r="J578" s="778" t="n">
        <f aca="false">IF(I578="","",H578/I578)</f>
        <v>511090.667484412</v>
      </c>
      <c r="K578" s="749" t="s">
        <v>2336</v>
      </c>
      <c r="L578" s="774" t="n">
        <v>41493</v>
      </c>
      <c r="M578" s="774" t="n">
        <v>41858</v>
      </c>
      <c r="O578" s="783" t="n">
        <v>4.1</v>
      </c>
      <c r="P578" s="749" t="s">
        <v>2606</v>
      </c>
      <c r="Q578" s="749" t="s">
        <v>2607</v>
      </c>
      <c r="R578" s="811"/>
    </row>
    <row r="579" customFormat="false" ht="16.5" hidden="false" customHeight="true" outlineLevel="0" collapsed="false">
      <c r="A579" s="747" t="s">
        <v>2335</v>
      </c>
      <c r="B579" s="774" t="n">
        <v>41505</v>
      </c>
      <c r="D579" s="749" t="s">
        <v>2372</v>
      </c>
      <c r="E579" s="749" t="s">
        <v>2826</v>
      </c>
      <c r="F579" s="749" t="s">
        <v>2765</v>
      </c>
      <c r="G579" s="798" t="s">
        <v>1267</v>
      </c>
      <c r="H579" s="776" t="n">
        <v>63700000</v>
      </c>
      <c r="I579" s="777" t="n">
        <v>97.83</v>
      </c>
      <c r="J579" s="778" t="n">
        <f aca="false">IF(I579="","",H579/I579)</f>
        <v>651129.510375141</v>
      </c>
      <c r="K579" s="749" t="s">
        <v>2460</v>
      </c>
      <c r="L579" s="774" t="n">
        <v>41506</v>
      </c>
      <c r="M579" s="774" t="n">
        <v>41871</v>
      </c>
      <c r="O579" s="783" t="n">
        <v>3.8</v>
      </c>
      <c r="P579" s="749" t="s">
        <v>2606</v>
      </c>
      <c r="Q579" s="749" t="s">
        <v>2607</v>
      </c>
      <c r="R579" s="811"/>
    </row>
    <row r="580" customFormat="false" ht="16.5" hidden="false" customHeight="true" outlineLevel="0" collapsed="false">
      <c r="A580" s="747" t="s">
        <v>2335</v>
      </c>
      <c r="B580" s="774" t="n">
        <v>41512</v>
      </c>
      <c r="D580" s="749" t="s">
        <v>2372</v>
      </c>
      <c r="E580" s="749" t="s">
        <v>2692</v>
      </c>
      <c r="F580" s="749" t="s">
        <v>2842</v>
      </c>
      <c r="G580" s="798" t="s">
        <v>1267</v>
      </c>
      <c r="H580" s="776" t="n">
        <v>31000000</v>
      </c>
      <c r="I580" s="777" t="n">
        <v>97.83</v>
      </c>
      <c r="J580" s="778" t="n">
        <f aca="false">IF(I580="","",H580/I580)</f>
        <v>316876.213840335</v>
      </c>
      <c r="K580" s="749" t="s">
        <v>2460</v>
      </c>
      <c r="L580" s="774" t="n">
        <v>41519</v>
      </c>
      <c r="M580" s="774" t="n">
        <v>41883</v>
      </c>
      <c r="O580" s="783" t="n">
        <v>3</v>
      </c>
      <c r="P580" s="749" t="s">
        <v>2606</v>
      </c>
      <c r="Q580" s="749" t="s">
        <v>2607</v>
      </c>
      <c r="R580" s="811"/>
    </row>
    <row r="581" customFormat="false" ht="16.5" hidden="false" customHeight="true" outlineLevel="0" collapsed="false">
      <c r="A581" s="747" t="s">
        <v>2335</v>
      </c>
      <c r="B581" s="774" t="n">
        <v>41519</v>
      </c>
      <c r="D581" s="749" t="s">
        <v>169</v>
      </c>
      <c r="E581" s="749" t="s">
        <v>2766</v>
      </c>
      <c r="F581" s="749" t="s">
        <v>2459</v>
      </c>
      <c r="G581" s="798" t="s">
        <v>1267</v>
      </c>
      <c r="H581" s="776" t="n">
        <v>120000000</v>
      </c>
      <c r="I581" s="777" t="n">
        <v>97.83</v>
      </c>
      <c r="J581" s="778" t="n">
        <f aca="false">IF(I581="","",H581/I581)</f>
        <v>1226617.60196259</v>
      </c>
      <c r="K581" s="749" t="s">
        <v>2460</v>
      </c>
      <c r="L581" s="774" t="n">
        <v>41519</v>
      </c>
      <c r="M581" s="774" t="n">
        <v>41577</v>
      </c>
      <c r="O581" s="783" t="n">
        <v>2.3</v>
      </c>
      <c r="P581" s="749" t="s">
        <v>2606</v>
      </c>
      <c r="Q581" s="749" t="s">
        <v>2607</v>
      </c>
      <c r="R581" s="811"/>
    </row>
    <row r="582" customFormat="false" ht="16.5" hidden="false" customHeight="true" outlineLevel="0" collapsed="false">
      <c r="A582" s="747" t="s">
        <v>2335</v>
      </c>
      <c r="B582" s="774" t="n">
        <v>41526</v>
      </c>
      <c r="D582" s="749" t="s">
        <v>1184</v>
      </c>
      <c r="E582" s="749" t="s">
        <v>2843</v>
      </c>
      <c r="F582" s="749" t="s">
        <v>2726</v>
      </c>
      <c r="G582" s="798" t="s">
        <v>1267</v>
      </c>
      <c r="H582" s="776" t="n">
        <v>29500000</v>
      </c>
      <c r="I582" s="777" t="n">
        <v>97.83</v>
      </c>
      <c r="J582" s="778" t="n">
        <f aca="false">IF(I582="","",H582/I582)</f>
        <v>301543.493815803</v>
      </c>
      <c r="K582" s="749" t="s">
        <v>2460</v>
      </c>
      <c r="L582" s="774" t="n">
        <v>41526</v>
      </c>
      <c r="M582" s="774" t="n">
        <v>41795</v>
      </c>
      <c r="O582" s="783" t="n">
        <v>3.6</v>
      </c>
      <c r="P582" s="749" t="s">
        <v>2606</v>
      </c>
      <c r="Q582" s="749" t="s">
        <v>2607</v>
      </c>
      <c r="R582" s="811"/>
    </row>
    <row r="583" customFormat="false" ht="16.5" hidden="false" customHeight="true" outlineLevel="0" collapsed="false">
      <c r="A583" s="747" t="s">
        <v>2335</v>
      </c>
      <c r="B583" s="774" t="n">
        <v>41542</v>
      </c>
      <c r="D583" s="749" t="s">
        <v>2375</v>
      </c>
      <c r="E583" s="749" t="s">
        <v>2601</v>
      </c>
      <c r="F583" s="749" t="s">
        <v>2514</v>
      </c>
      <c r="G583" s="798" t="s">
        <v>1267</v>
      </c>
      <c r="H583" s="776" t="n">
        <v>66000000</v>
      </c>
      <c r="I583" s="777" t="n">
        <v>97.83</v>
      </c>
      <c r="J583" s="778" t="n">
        <f aca="false">IF(I583="","",H583/I583)</f>
        <v>674639.681079424</v>
      </c>
      <c r="K583" s="749" t="s">
        <v>2460</v>
      </c>
      <c r="L583" s="774" t="n">
        <v>41549</v>
      </c>
      <c r="M583" s="774" t="n">
        <v>41914</v>
      </c>
      <c r="O583" s="783" t="n">
        <v>3.5</v>
      </c>
      <c r="P583" s="749" t="s">
        <v>2606</v>
      </c>
      <c r="Q583" s="749" t="s">
        <v>2607</v>
      </c>
      <c r="R583" s="811"/>
    </row>
    <row r="584" customFormat="false" ht="16.5" hidden="false" customHeight="true" outlineLevel="0" collapsed="false">
      <c r="A584" s="747" t="s">
        <v>2335</v>
      </c>
      <c r="B584" s="774" t="n">
        <v>41544</v>
      </c>
      <c r="D584" s="749" t="s">
        <v>96</v>
      </c>
      <c r="E584" s="749" t="s">
        <v>2840</v>
      </c>
      <c r="F584" s="749" t="s">
        <v>2844</v>
      </c>
      <c r="G584" s="798" t="s">
        <v>1267</v>
      </c>
      <c r="H584" s="776" t="n">
        <v>21000000</v>
      </c>
      <c r="I584" s="777" t="n">
        <v>97.83</v>
      </c>
      <c r="J584" s="778" t="n">
        <f aca="false">IF(I584="","",H584/I584)</f>
        <v>214658.080343453</v>
      </c>
      <c r="K584" s="749" t="s">
        <v>2460</v>
      </c>
      <c r="L584" s="774" t="n">
        <v>41545</v>
      </c>
      <c r="M584" s="774" t="n">
        <v>41910</v>
      </c>
      <c r="O584" s="783" t="n">
        <v>3.9</v>
      </c>
      <c r="P584" s="749" t="s">
        <v>2606</v>
      </c>
      <c r="Q584" s="749" t="s">
        <v>2607</v>
      </c>
      <c r="R584" s="811"/>
    </row>
    <row r="585" customFormat="false" ht="16.5" hidden="false" customHeight="true" outlineLevel="0" collapsed="false">
      <c r="A585" s="747" t="s">
        <v>2335</v>
      </c>
      <c r="B585" s="774" t="n">
        <v>41551</v>
      </c>
      <c r="D585" s="749" t="s">
        <v>597</v>
      </c>
      <c r="E585" s="749" t="s">
        <v>2624</v>
      </c>
      <c r="F585" s="749" t="s">
        <v>2523</v>
      </c>
      <c r="G585" s="798" t="s">
        <v>2136</v>
      </c>
      <c r="H585" s="776" t="n">
        <v>3000000</v>
      </c>
      <c r="I585" s="777" t="n">
        <v>97.83</v>
      </c>
      <c r="J585" s="778" t="n">
        <f aca="false">IF(I585="","",H585/I585)</f>
        <v>30665.4400490647</v>
      </c>
      <c r="K585" s="749" t="s">
        <v>2845</v>
      </c>
      <c r="L585" s="774" t="n">
        <v>41559</v>
      </c>
      <c r="M585" s="774" t="n">
        <v>41741</v>
      </c>
      <c r="O585" s="783" t="n">
        <v>2.1</v>
      </c>
      <c r="P585" s="749" t="s">
        <v>2606</v>
      </c>
      <c r="Q585" s="749" t="s">
        <v>2607</v>
      </c>
      <c r="R585" s="811"/>
    </row>
    <row r="586" customFormat="false" ht="16.5" hidden="false" customHeight="true" outlineLevel="0" collapsed="false">
      <c r="A586" s="747" t="s">
        <v>2335</v>
      </c>
      <c r="B586" s="774" t="n">
        <v>41557</v>
      </c>
      <c r="D586" s="749" t="s">
        <v>2430</v>
      </c>
      <c r="E586" s="749" t="s">
        <v>2431</v>
      </c>
      <c r="F586" s="749" t="s">
        <v>2780</v>
      </c>
      <c r="G586" s="798" t="s">
        <v>2136</v>
      </c>
      <c r="H586" s="776" t="n">
        <v>54180</v>
      </c>
      <c r="I586" s="777" t="n">
        <v>1</v>
      </c>
      <c r="J586" s="778" t="n">
        <f aca="false">IF(I586="","",H586/I586)</f>
        <v>54180</v>
      </c>
      <c r="K586" s="749" t="s">
        <v>2336</v>
      </c>
      <c r="L586" s="774" t="n">
        <v>41559</v>
      </c>
      <c r="M586" s="774" t="n">
        <v>41620</v>
      </c>
      <c r="O586" s="783" t="n">
        <v>3.02</v>
      </c>
      <c r="P586" s="749" t="s">
        <v>2606</v>
      </c>
      <c r="Q586" s="749" t="s">
        <v>2607</v>
      </c>
      <c r="R586" s="811"/>
    </row>
    <row r="587" customFormat="false" ht="16.5" hidden="false" customHeight="true" outlineLevel="0" collapsed="false">
      <c r="A587" s="747" t="s">
        <v>2335</v>
      </c>
      <c r="B587" s="774" t="n">
        <v>41557</v>
      </c>
      <c r="D587" s="749" t="s">
        <v>2430</v>
      </c>
      <c r="E587" s="749" t="s">
        <v>2431</v>
      </c>
      <c r="F587" s="749" t="s">
        <v>2780</v>
      </c>
      <c r="G587" s="798" t="s">
        <v>2136</v>
      </c>
      <c r="H587" s="776" t="n">
        <v>72900</v>
      </c>
      <c r="I587" s="777" t="n">
        <v>1</v>
      </c>
      <c r="J587" s="778" t="n">
        <f aca="false">IF(I587="","",H587/I587)</f>
        <v>72900</v>
      </c>
      <c r="K587" s="749" t="s">
        <v>2336</v>
      </c>
      <c r="L587" s="774" t="n">
        <v>41580</v>
      </c>
      <c r="M587" s="774" t="n">
        <v>41641</v>
      </c>
      <c r="O587" s="783" t="n">
        <v>3.02</v>
      </c>
      <c r="P587" s="749" t="s">
        <v>2606</v>
      </c>
      <c r="Q587" s="749" t="s">
        <v>2607</v>
      </c>
      <c r="R587" s="811"/>
    </row>
    <row r="588" customFormat="false" ht="16.5" hidden="false" customHeight="true" outlineLevel="0" collapsed="false">
      <c r="A588" s="747" t="s">
        <v>2335</v>
      </c>
      <c r="B588" s="774" t="n">
        <v>41561</v>
      </c>
      <c r="D588" s="749" t="s">
        <v>2372</v>
      </c>
      <c r="E588" s="749" t="s">
        <v>2826</v>
      </c>
      <c r="F588" s="749" t="s">
        <v>2526</v>
      </c>
      <c r="G588" s="798" t="s">
        <v>1267</v>
      </c>
      <c r="H588" s="776" t="n">
        <v>12900000</v>
      </c>
      <c r="I588" s="777" t="n">
        <v>97.83</v>
      </c>
      <c r="J588" s="778" t="n">
        <f aca="false">IF(I588="","",H588/I588)</f>
        <v>131861.392210978</v>
      </c>
      <c r="K588" s="749" t="s">
        <v>2819</v>
      </c>
      <c r="L588" s="774" t="n">
        <v>41561</v>
      </c>
      <c r="M588" s="774" t="n">
        <v>41926</v>
      </c>
      <c r="O588" s="783" t="n">
        <v>3.25</v>
      </c>
      <c r="P588" s="749" t="s">
        <v>2606</v>
      </c>
      <c r="Q588" s="749" t="s">
        <v>2607</v>
      </c>
      <c r="R588" s="811"/>
    </row>
    <row r="589" customFormat="false" ht="16.5" hidden="false" customHeight="true" outlineLevel="0" collapsed="false">
      <c r="A589" s="747" t="s">
        <v>2335</v>
      </c>
      <c r="B589" s="774" t="n">
        <v>41561</v>
      </c>
      <c r="D589" s="749" t="s">
        <v>2372</v>
      </c>
      <c r="E589" s="749" t="s">
        <v>2826</v>
      </c>
      <c r="F589" s="749" t="s">
        <v>2374</v>
      </c>
      <c r="G589" s="798" t="s">
        <v>1267</v>
      </c>
      <c r="H589" s="776" t="n">
        <v>75000000</v>
      </c>
      <c r="I589" s="777" t="n">
        <v>97.83</v>
      </c>
      <c r="J589" s="778" t="n">
        <f aca="false">IF(I589="","",H589/I589)</f>
        <v>766636.001226618</v>
      </c>
      <c r="K589" s="749" t="s">
        <v>2819</v>
      </c>
      <c r="L589" s="774" t="n">
        <v>41562</v>
      </c>
      <c r="M589" s="774" t="n">
        <v>41927</v>
      </c>
      <c r="O589" s="783" t="n">
        <v>3.45</v>
      </c>
      <c r="P589" s="749" t="s">
        <v>2606</v>
      </c>
      <c r="Q589" s="749" t="s">
        <v>2607</v>
      </c>
      <c r="R589" s="811"/>
    </row>
    <row r="590" customFormat="false" ht="16.5" hidden="false" customHeight="true" outlineLevel="0" collapsed="false">
      <c r="A590" s="747" t="s">
        <v>2335</v>
      </c>
      <c r="B590" s="774" t="n">
        <v>41562</v>
      </c>
      <c r="D590" s="749" t="s">
        <v>2520</v>
      </c>
      <c r="E590" s="749" t="s">
        <v>2776</v>
      </c>
      <c r="F590" s="749" t="s">
        <v>2521</v>
      </c>
      <c r="G590" s="798" t="s">
        <v>1267</v>
      </c>
      <c r="H590" s="776" t="n">
        <v>45000000</v>
      </c>
      <c r="I590" s="777" t="n">
        <v>97.83</v>
      </c>
      <c r="J590" s="778" t="n">
        <f aca="false">IF(I590="","",H590/I590)</f>
        <v>459981.600735971</v>
      </c>
      <c r="K590" s="749" t="s">
        <v>2460</v>
      </c>
      <c r="L590" s="774" t="n">
        <v>41562</v>
      </c>
      <c r="M590" s="774" t="n">
        <v>41744</v>
      </c>
      <c r="O590" s="783" t="n">
        <v>3.79</v>
      </c>
      <c r="P590" s="749" t="s">
        <v>2606</v>
      </c>
      <c r="Q590" s="749" t="s">
        <v>2607</v>
      </c>
      <c r="R590" s="811"/>
    </row>
    <row r="591" customFormat="false" ht="16.5" hidden="false" customHeight="true" outlineLevel="0" collapsed="false">
      <c r="A591" s="747" t="s">
        <v>2335</v>
      </c>
      <c r="B591" s="774" t="n">
        <v>41568</v>
      </c>
      <c r="D591" s="749" t="s">
        <v>2372</v>
      </c>
      <c r="E591" s="749" t="s">
        <v>2826</v>
      </c>
      <c r="F591" s="749" t="s">
        <v>2533</v>
      </c>
      <c r="G591" s="798" t="s">
        <v>1267</v>
      </c>
      <c r="H591" s="776" t="n">
        <v>61000000</v>
      </c>
      <c r="I591" s="777" t="n">
        <v>97.83</v>
      </c>
      <c r="J591" s="778" t="n">
        <f aca="false">IF(I591="","",H591/I591)</f>
        <v>623530.614330982</v>
      </c>
      <c r="K591" s="749" t="s">
        <v>2460</v>
      </c>
      <c r="L591" s="774" t="n">
        <v>41568</v>
      </c>
      <c r="M591" s="774" t="n">
        <v>41933</v>
      </c>
      <c r="O591" s="783" t="n">
        <v>2.9</v>
      </c>
      <c r="P591" s="749" t="s">
        <v>2606</v>
      </c>
      <c r="Q591" s="749" t="s">
        <v>2607</v>
      </c>
      <c r="R591" s="811"/>
    </row>
    <row r="592" customFormat="false" ht="16.5" hidden="false" customHeight="true" outlineLevel="0" collapsed="false">
      <c r="A592" s="747" t="s">
        <v>2335</v>
      </c>
      <c r="B592" s="774" t="n">
        <v>41571</v>
      </c>
      <c r="D592" s="749" t="s">
        <v>2372</v>
      </c>
      <c r="E592" s="749" t="s">
        <v>2692</v>
      </c>
      <c r="F592" s="749" t="s">
        <v>2545</v>
      </c>
      <c r="G592" s="798" t="s">
        <v>1267</v>
      </c>
      <c r="H592" s="776" t="n">
        <v>39870000</v>
      </c>
      <c r="I592" s="777" t="n">
        <v>97</v>
      </c>
      <c r="J592" s="778" t="n">
        <f aca="false">IF(I592="","",H592/I592)</f>
        <v>411030.927835052</v>
      </c>
      <c r="K592" s="749" t="s">
        <v>2460</v>
      </c>
      <c r="L592" s="774" t="n">
        <v>41577</v>
      </c>
      <c r="M592" s="774" t="n">
        <v>41942</v>
      </c>
      <c r="O592" s="783" t="n">
        <v>3.9</v>
      </c>
      <c r="P592" s="749" t="s">
        <v>2606</v>
      </c>
      <c r="Q592" s="749" t="s">
        <v>2607</v>
      </c>
      <c r="R592" s="811"/>
    </row>
    <row r="593" customFormat="false" ht="16.5" hidden="false" customHeight="true" outlineLevel="0" collapsed="false">
      <c r="A593" s="747" t="s">
        <v>2335</v>
      </c>
      <c r="B593" s="774" t="n">
        <v>41575</v>
      </c>
      <c r="D593" s="749" t="s">
        <v>866</v>
      </c>
      <c r="E593" s="749" t="s">
        <v>2825</v>
      </c>
      <c r="F593" s="749" t="s">
        <v>2543</v>
      </c>
      <c r="G593" s="798" t="s">
        <v>1267</v>
      </c>
      <c r="H593" s="776" t="n">
        <v>19400000</v>
      </c>
      <c r="I593" s="777" t="n">
        <v>97</v>
      </c>
      <c r="J593" s="778" t="n">
        <f aca="false">IF(I593="","",H593/I593)</f>
        <v>200000</v>
      </c>
      <c r="K593" s="749" t="s">
        <v>2460</v>
      </c>
      <c r="L593" s="774" t="n">
        <v>41578</v>
      </c>
      <c r="M593" s="774" t="n">
        <v>41943</v>
      </c>
      <c r="O593" s="783" t="n">
        <v>3.7</v>
      </c>
      <c r="P593" s="749" t="s">
        <v>2606</v>
      </c>
      <c r="Q593" s="749" t="s">
        <v>2607</v>
      </c>
      <c r="R593" s="811"/>
    </row>
    <row r="594" customFormat="false" ht="16.5" hidden="false" customHeight="true" outlineLevel="0" collapsed="false">
      <c r="A594" s="747" t="s">
        <v>2335</v>
      </c>
      <c r="B594" s="774" t="n">
        <v>41578</v>
      </c>
      <c r="D594" s="749" t="s">
        <v>169</v>
      </c>
      <c r="E594" s="749" t="s">
        <v>2766</v>
      </c>
      <c r="F594" s="749" t="s">
        <v>2459</v>
      </c>
      <c r="G594" s="798" t="s">
        <v>1267</v>
      </c>
      <c r="H594" s="776" t="n">
        <v>120000000</v>
      </c>
      <c r="I594" s="777" t="n">
        <v>97</v>
      </c>
      <c r="J594" s="778" t="n">
        <f aca="false">IF(I594="","",H594/I594)</f>
        <v>1237113.40206186</v>
      </c>
      <c r="K594" s="749" t="s">
        <v>2460</v>
      </c>
      <c r="L594" s="774" t="n">
        <v>41578</v>
      </c>
      <c r="M594" s="774" t="n">
        <v>41943</v>
      </c>
      <c r="O594" s="783" t="n">
        <v>2.3</v>
      </c>
      <c r="P594" s="749" t="s">
        <v>2606</v>
      </c>
      <c r="Q594" s="749" t="s">
        <v>2607</v>
      </c>
      <c r="R594" s="811"/>
    </row>
    <row r="595" customFormat="false" ht="16.5" hidden="false" customHeight="true" outlineLevel="0" collapsed="false">
      <c r="A595" s="747" t="s">
        <v>2335</v>
      </c>
      <c r="B595" s="774" t="n">
        <v>41589</v>
      </c>
      <c r="D595" s="749" t="s">
        <v>866</v>
      </c>
      <c r="E595" s="749" t="s">
        <v>2825</v>
      </c>
      <c r="F595" s="749" t="s">
        <v>2563</v>
      </c>
      <c r="G595" s="798" t="s">
        <v>1267</v>
      </c>
      <c r="H595" s="776" t="n">
        <v>53700000</v>
      </c>
      <c r="I595" s="777" t="n">
        <v>98</v>
      </c>
      <c r="J595" s="778" t="n">
        <f aca="false">IF(I595="","",H595/I595)</f>
        <v>547959.183673469</v>
      </c>
      <c r="K595" s="749" t="s">
        <v>2460</v>
      </c>
      <c r="L595" s="774" t="n">
        <v>41593</v>
      </c>
      <c r="M595" s="774" t="n">
        <v>41958</v>
      </c>
      <c r="O595" s="783" t="n">
        <v>3.7</v>
      </c>
      <c r="P595" s="749" t="s">
        <v>2606</v>
      </c>
      <c r="Q595" s="749" t="s">
        <v>2607</v>
      </c>
      <c r="R595" s="811"/>
    </row>
    <row r="596" customFormat="false" ht="16.5" hidden="false" customHeight="true" outlineLevel="0" collapsed="false">
      <c r="A596" s="747" t="s">
        <v>2335</v>
      </c>
      <c r="B596" s="774" t="n">
        <v>41591</v>
      </c>
      <c r="D596" s="749" t="s">
        <v>866</v>
      </c>
      <c r="E596" s="749" t="s">
        <v>2825</v>
      </c>
      <c r="F596" s="749" t="s">
        <v>2578</v>
      </c>
      <c r="G596" s="798" t="s">
        <v>1267</v>
      </c>
      <c r="H596" s="776" t="n">
        <v>54700000</v>
      </c>
      <c r="I596" s="777" t="n">
        <v>98</v>
      </c>
      <c r="J596" s="778" t="n">
        <f aca="false">IF(I596="","",H596/I596)</f>
        <v>558163.265306123</v>
      </c>
      <c r="K596" s="749" t="s">
        <v>2460</v>
      </c>
      <c r="L596" s="774" t="n">
        <v>41607</v>
      </c>
      <c r="M596" s="774" t="n">
        <v>41973</v>
      </c>
      <c r="O596" s="783" t="n">
        <v>3.1</v>
      </c>
      <c r="P596" s="749" t="s">
        <v>2606</v>
      </c>
      <c r="Q596" s="749" t="s">
        <v>2607</v>
      </c>
      <c r="R596" s="811"/>
    </row>
    <row r="597" customFormat="false" ht="16.5" hidden="false" customHeight="true" outlineLevel="0" collapsed="false">
      <c r="A597" s="747" t="s">
        <v>2335</v>
      </c>
      <c r="B597" s="774" t="n">
        <v>41598</v>
      </c>
      <c r="D597" s="749" t="s">
        <v>2344</v>
      </c>
      <c r="E597" s="749" t="s">
        <v>2572</v>
      </c>
      <c r="F597" s="749" t="s">
        <v>2573</v>
      </c>
      <c r="G597" s="798" t="s">
        <v>1267</v>
      </c>
      <c r="H597" s="776" t="n">
        <v>76900000</v>
      </c>
      <c r="I597" s="777" t="n">
        <v>98</v>
      </c>
      <c r="J597" s="778" t="n">
        <f aca="false">IF(I597="","",H597/I597)</f>
        <v>784693.87755102</v>
      </c>
      <c r="K597" s="749" t="s">
        <v>2460</v>
      </c>
      <c r="L597" s="774" t="n">
        <v>41601</v>
      </c>
      <c r="M597" s="774" t="n">
        <v>41966</v>
      </c>
      <c r="O597" s="783" t="n">
        <v>3</v>
      </c>
      <c r="P597" s="749" t="s">
        <v>2606</v>
      </c>
      <c r="Q597" s="749" t="s">
        <v>2607</v>
      </c>
      <c r="R597" s="811"/>
    </row>
    <row r="598" customFormat="false" ht="16.5" hidden="false" customHeight="true" outlineLevel="0" collapsed="false">
      <c r="A598" s="747" t="s">
        <v>2335</v>
      </c>
      <c r="B598" s="774" t="n">
        <v>41607</v>
      </c>
      <c r="D598" s="749" t="s">
        <v>201</v>
      </c>
      <c r="E598" s="749" t="s">
        <v>2663</v>
      </c>
      <c r="F598" s="749" t="s">
        <v>2582</v>
      </c>
      <c r="G598" s="798" t="s">
        <v>1267</v>
      </c>
      <c r="H598" s="776" t="n">
        <v>13300000</v>
      </c>
      <c r="I598" s="777" t="n">
        <v>98</v>
      </c>
      <c r="J598" s="778" t="n">
        <f aca="false">IF(I598="","",H598/I598)</f>
        <v>135714.285714286</v>
      </c>
      <c r="K598" s="749" t="s">
        <v>2460</v>
      </c>
      <c r="L598" s="774" t="n">
        <v>41607</v>
      </c>
      <c r="M598" s="774" t="n">
        <v>41973</v>
      </c>
      <c r="O598" s="783" t="n">
        <v>3.5</v>
      </c>
      <c r="P598" s="749" t="s">
        <v>2606</v>
      </c>
      <c r="Q598" s="749" t="s">
        <v>2607</v>
      </c>
      <c r="R598" s="811"/>
    </row>
    <row r="599" customFormat="false" ht="16.5" hidden="false" customHeight="true" outlineLevel="0" collapsed="false">
      <c r="A599" s="747" t="s">
        <v>2335</v>
      </c>
      <c r="B599" s="774" t="n">
        <v>41613</v>
      </c>
      <c r="D599" s="749" t="s">
        <v>103</v>
      </c>
      <c r="E599" s="749" t="s">
        <v>2846</v>
      </c>
      <c r="F599" s="749" t="s">
        <v>2847</v>
      </c>
      <c r="G599" s="798" t="s">
        <v>2136</v>
      </c>
      <c r="H599" s="776" t="n">
        <v>5000000</v>
      </c>
      <c r="I599" s="777" t="n">
        <v>1</v>
      </c>
      <c r="J599" s="778" t="n">
        <f aca="false">IF(I599="","",H599/I599)</f>
        <v>5000000</v>
      </c>
      <c r="K599" s="749" t="s">
        <v>2845</v>
      </c>
      <c r="L599" s="774" t="n">
        <v>41614</v>
      </c>
      <c r="M599" s="774" t="n">
        <v>42710</v>
      </c>
      <c r="O599" s="783" t="n">
        <v>2</v>
      </c>
      <c r="P599" s="749" t="s">
        <v>2606</v>
      </c>
      <c r="Q599" s="749" t="s">
        <v>2607</v>
      </c>
      <c r="R599" s="811"/>
    </row>
    <row r="600" customFormat="false" ht="16.5" hidden="false" customHeight="true" outlineLevel="0" collapsed="false">
      <c r="A600" s="747" t="s">
        <v>2335</v>
      </c>
      <c r="B600" s="774" t="n">
        <v>41617</v>
      </c>
      <c r="D600" s="749" t="s">
        <v>2375</v>
      </c>
      <c r="E600" s="749" t="s">
        <v>2601</v>
      </c>
      <c r="F600" s="749" t="s">
        <v>2602</v>
      </c>
      <c r="G600" s="798" t="s">
        <v>1267</v>
      </c>
      <c r="H600" s="776" t="n">
        <v>160000000</v>
      </c>
      <c r="I600" s="777" t="n">
        <v>103</v>
      </c>
      <c r="J600" s="778" t="n">
        <f aca="false">IF(I600="","",H600/I600)</f>
        <v>1553398.05825243</v>
      </c>
      <c r="K600" s="749" t="s">
        <v>2460</v>
      </c>
      <c r="L600" s="774" t="n">
        <v>41624</v>
      </c>
      <c r="M600" s="774" t="n">
        <v>41989</v>
      </c>
      <c r="O600" s="783" t="n">
        <v>3.1</v>
      </c>
      <c r="P600" s="749" t="s">
        <v>2606</v>
      </c>
      <c r="Q600" s="749" t="s">
        <v>2607</v>
      </c>
      <c r="R600" s="811"/>
    </row>
    <row r="601" customFormat="false" ht="16.5" hidden="false" customHeight="true" outlineLevel="0" collapsed="false">
      <c r="A601" s="747" t="s">
        <v>2335</v>
      </c>
      <c r="B601" s="774" t="n">
        <v>41631</v>
      </c>
      <c r="D601" s="749" t="s">
        <v>2664</v>
      </c>
      <c r="E601" s="749" t="s">
        <v>2792</v>
      </c>
      <c r="F601" s="749" t="s">
        <v>2716</v>
      </c>
      <c r="G601" s="798" t="s">
        <v>1267</v>
      </c>
      <c r="H601" s="776" t="n">
        <v>2500000</v>
      </c>
      <c r="I601" s="777" t="n">
        <v>104</v>
      </c>
      <c r="J601" s="778" t="n">
        <f aca="false">IF(I601="","",H601/I601)</f>
        <v>24038.4615384615</v>
      </c>
      <c r="K601" s="749" t="s">
        <v>2336</v>
      </c>
      <c r="L601" s="774" t="n">
        <v>41631</v>
      </c>
      <c r="M601" s="774" t="n">
        <v>41994</v>
      </c>
      <c r="O601" s="783" t="n">
        <v>5.65</v>
      </c>
      <c r="P601" s="749" t="s">
        <v>2606</v>
      </c>
      <c r="Q601" s="749" t="s">
        <v>2607</v>
      </c>
      <c r="R601" s="811"/>
    </row>
    <row r="602" customFormat="false" ht="16.5" hidden="false" customHeight="true" outlineLevel="0" collapsed="false">
      <c r="A602" s="747" t="s">
        <v>2335</v>
      </c>
      <c r="B602" s="774" t="n">
        <v>41641</v>
      </c>
      <c r="D602" s="749" t="s">
        <v>124</v>
      </c>
      <c r="E602" s="749" t="s">
        <v>2404</v>
      </c>
      <c r="F602" s="749" t="s">
        <v>2612</v>
      </c>
      <c r="G602" s="798" t="s">
        <v>1267</v>
      </c>
      <c r="H602" s="776" t="n">
        <v>72500000</v>
      </c>
      <c r="I602" s="777" t="n">
        <v>104</v>
      </c>
      <c r="J602" s="778" t="n">
        <f aca="false">IF(I602="","",H602/I602)</f>
        <v>697115.384615385</v>
      </c>
      <c r="K602" s="749" t="s">
        <v>2460</v>
      </c>
      <c r="L602" s="774" t="n">
        <v>41652</v>
      </c>
      <c r="M602" s="774" t="n">
        <v>42015</v>
      </c>
      <c r="O602" s="783" t="n">
        <v>3.5</v>
      </c>
      <c r="P602" s="749" t="s">
        <v>2606</v>
      </c>
      <c r="Q602" s="749" t="s">
        <v>2607</v>
      </c>
      <c r="R602" s="811"/>
    </row>
    <row r="603" customFormat="false" ht="16.5" hidden="false" customHeight="true" outlineLevel="0" collapsed="false">
      <c r="A603" s="747" t="s">
        <v>2335</v>
      </c>
      <c r="B603" s="774" t="n">
        <v>41652</v>
      </c>
      <c r="D603" s="749" t="s">
        <v>124</v>
      </c>
      <c r="E603" s="749" t="s">
        <v>2848</v>
      </c>
      <c r="F603" s="749" t="s">
        <v>2849</v>
      </c>
      <c r="G603" s="798" t="s">
        <v>2136</v>
      </c>
      <c r="H603" s="776" t="n">
        <v>895000</v>
      </c>
      <c r="I603" s="777" t="n">
        <v>1</v>
      </c>
      <c r="J603" s="778" t="n">
        <f aca="false">IF(I603="","",H603/I603)</f>
        <v>895000</v>
      </c>
      <c r="K603" s="749" t="s">
        <v>2460</v>
      </c>
      <c r="L603" s="774" t="n">
        <v>41664</v>
      </c>
      <c r="M603" s="774" t="n">
        <v>42029</v>
      </c>
      <c r="O603" s="783" t="n">
        <v>4.46</v>
      </c>
      <c r="P603" s="749" t="s">
        <v>2606</v>
      </c>
      <c r="Q603" s="749" t="s">
        <v>2607</v>
      </c>
      <c r="R603" s="811"/>
    </row>
    <row r="604" customFormat="false" ht="16.5" hidden="false" customHeight="true" outlineLevel="0" collapsed="false">
      <c r="A604" s="747" t="s">
        <v>2335</v>
      </c>
      <c r="B604" s="774" t="n">
        <v>41662</v>
      </c>
      <c r="D604" s="749" t="s">
        <v>1172</v>
      </c>
      <c r="E604" s="749" t="s">
        <v>2629</v>
      </c>
      <c r="F604" s="749" t="s">
        <v>2630</v>
      </c>
      <c r="G604" s="798" t="s">
        <v>1267</v>
      </c>
      <c r="H604" s="776" t="n">
        <v>120000000</v>
      </c>
      <c r="I604" s="777" t="n">
        <v>102</v>
      </c>
      <c r="J604" s="778" t="n">
        <f aca="false">IF(I604="","",H604/I604)</f>
        <v>1176470.58823529</v>
      </c>
      <c r="K604" s="749" t="s">
        <v>2794</v>
      </c>
      <c r="L604" s="774" t="n">
        <v>41673</v>
      </c>
      <c r="M604" s="774" t="n">
        <v>42038</v>
      </c>
      <c r="O604" s="783" t="n">
        <v>3.94</v>
      </c>
      <c r="P604" s="749" t="s">
        <v>2606</v>
      </c>
      <c r="Q604" s="749" t="s">
        <v>2607</v>
      </c>
      <c r="R604" s="811"/>
    </row>
    <row r="605" customFormat="false" ht="16.5" hidden="false" customHeight="true" outlineLevel="0" collapsed="false">
      <c r="A605" s="747" t="s">
        <v>2335</v>
      </c>
      <c r="B605" s="774" t="n">
        <v>41662</v>
      </c>
      <c r="D605" s="749" t="s">
        <v>1172</v>
      </c>
      <c r="E605" s="749" t="s">
        <v>2629</v>
      </c>
      <c r="F605" s="749" t="s">
        <v>2630</v>
      </c>
      <c r="G605" s="798" t="s">
        <v>1267</v>
      </c>
      <c r="H605" s="776" t="n">
        <v>700000000</v>
      </c>
      <c r="I605" s="777" t="n">
        <v>102</v>
      </c>
      <c r="J605" s="778" t="n">
        <f aca="false">IF(I605="","",H605/I605)</f>
        <v>6862745.09803922</v>
      </c>
      <c r="K605" s="749" t="s">
        <v>2794</v>
      </c>
      <c r="L605" s="774" t="n">
        <v>41673</v>
      </c>
      <c r="M605" s="774" t="n">
        <v>42038</v>
      </c>
      <c r="O605" s="783" t="n">
        <v>4.43</v>
      </c>
      <c r="P605" s="749" t="s">
        <v>2606</v>
      </c>
      <c r="Q605" s="749" t="s">
        <v>2607</v>
      </c>
      <c r="R605" s="811"/>
    </row>
    <row r="606" customFormat="false" ht="16.5" hidden="false" customHeight="true" outlineLevel="0" collapsed="false">
      <c r="A606" s="747" t="s">
        <v>2190</v>
      </c>
      <c r="B606" s="774" t="n">
        <v>41663</v>
      </c>
      <c r="D606" s="749" t="s">
        <v>644</v>
      </c>
      <c r="E606" s="749" t="s">
        <v>2850</v>
      </c>
      <c r="F606" s="749" t="s">
        <v>2380</v>
      </c>
      <c r="G606" s="798" t="s">
        <v>2136</v>
      </c>
      <c r="H606" s="776" t="n">
        <v>100000</v>
      </c>
      <c r="I606" s="777" t="n">
        <v>1</v>
      </c>
      <c r="J606" s="778" t="n">
        <f aca="false">IF(I606="","",H606/I606)</f>
        <v>100000</v>
      </c>
      <c r="K606" s="749" t="s">
        <v>2336</v>
      </c>
      <c r="L606" s="774" t="n">
        <v>41663</v>
      </c>
      <c r="M606" s="774" t="n">
        <v>41844</v>
      </c>
      <c r="O606" s="801" t="n">
        <v>3.3</v>
      </c>
      <c r="P606" s="749" t="s">
        <v>2606</v>
      </c>
      <c r="Q606" s="749" t="s">
        <v>2607</v>
      </c>
      <c r="R606" s="811"/>
    </row>
    <row r="607" customFormat="false" ht="16.5" hidden="false" customHeight="true" outlineLevel="0" collapsed="false">
      <c r="A607" s="747" t="s">
        <v>2335</v>
      </c>
      <c r="B607" s="774" t="n">
        <v>41673</v>
      </c>
      <c r="D607" s="749" t="s">
        <v>1184</v>
      </c>
      <c r="E607" s="749" t="s">
        <v>2800</v>
      </c>
      <c r="F607" s="749" t="s">
        <v>2620</v>
      </c>
      <c r="G607" s="798" t="s">
        <v>2136</v>
      </c>
      <c r="H607" s="776" t="n">
        <v>1700000</v>
      </c>
      <c r="I607" s="777" t="n">
        <v>1</v>
      </c>
      <c r="J607" s="778" t="n">
        <f aca="false">IF(I607="","",H607/I607)</f>
        <v>1700000</v>
      </c>
      <c r="K607" s="749" t="s">
        <v>2336</v>
      </c>
      <c r="L607" s="774" t="n">
        <v>41673</v>
      </c>
      <c r="M607" s="774" t="n">
        <v>41853</v>
      </c>
      <c r="O607" s="783" t="n">
        <v>1.73</v>
      </c>
      <c r="P607" s="749" t="s">
        <v>2606</v>
      </c>
      <c r="Q607" s="749" t="s">
        <v>2607</v>
      </c>
      <c r="R607" s="811"/>
    </row>
    <row r="608" customFormat="false" ht="16.5" hidden="false" customHeight="true" outlineLevel="0" collapsed="false">
      <c r="A608" s="747" t="s">
        <v>2335</v>
      </c>
      <c r="B608" s="774" t="n">
        <v>41673</v>
      </c>
      <c r="D608" s="749" t="s">
        <v>1184</v>
      </c>
      <c r="E608" s="749" t="s">
        <v>2800</v>
      </c>
      <c r="F608" s="749" t="s">
        <v>2620</v>
      </c>
      <c r="G608" s="798" t="s">
        <v>2136</v>
      </c>
      <c r="H608" s="776" t="n">
        <v>2000000</v>
      </c>
      <c r="I608" s="777" t="n">
        <v>1</v>
      </c>
      <c r="J608" s="778" t="n">
        <f aca="false">IF(I608="","",H608/I608)</f>
        <v>2000000</v>
      </c>
      <c r="K608" s="749" t="s">
        <v>2336</v>
      </c>
      <c r="L608" s="774" t="n">
        <v>41673</v>
      </c>
      <c r="M608" s="774" t="n">
        <v>41853</v>
      </c>
      <c r="O608" s="783" t="n">
        <v>1.73</v>
      </c>
      <c r="P608" s="749" t="s">
        <v>2606</v>
      </c>
      <c r="Q608" s="749" t="s">
        <v>2607</v>
      </c>
      <c r="R608" s="811"/>
    </row>
    <row r="609" customFormat="false" ht="16.5" hidden="false" customHeight="true" outlineLevel="0" collapsed="false">
      <c r="A609" s="747" t="s">
        <v>2190</v>
      </c>
      <c r="B609" s="774" t="n">
        <v>41683</v>
      </c>
      <c r="D609" s="749" t="s">
        <v>2430</v>
      </c>
      <c r="E609" s="749" t="s">
        <v>2851</v>
      </c>
      <c r="F609" s="749" t="s">
        <v>2638</v>
      </c>
      <c r="G609" s="798" t="s">
        <v>2136</v>
      </c>
      <c r="H609" s="776" t="n">
        <v>36000</v>
      </c>
      <c r="I609" s="777" t="n">
        <v>1</v>
      </c>
      <c r="J609" s="778" t="n">
        <f aca="false">IF(I609="","",H609/I609)</f>
        <v>36000</v>
      </c>
      <c r="K609" s="749" t="s">
        <v>2336</v>
      </c>
      <c r="L609" s="774" t="n">
        <v>41684</v>
      </c>
      <c r="M609" s="774" t="n">
        <v>42049</v>
      </c>
      <c r="O609" s="801" t="n">
        <v>3.1</v>
      </c>
      <c r="P609" s="749" t="s">
        <v>2606</v>
      </c>
      <c r="Q609" s="749" t="s">
        <v>2607</v>
      </c>
      <c r="R609" s="811"/>
    </row>
    <row r="610" customFormat="false" ht="16.5" hidden="false" customHeight="true" outlineLevel="0" collapsed="false">
      <c r="A610" s="747" t="s">
        <v>2335</v>
      </c>
      <c r="B610" s="774" t="n">
        <v>41691</v>
      </c>
      <c r="D610" s="749" t="s">
        <v>2344</v>
      </c>
      <c r="E610" s="749" t="s">
        <v>2550</v>
      </c>
      <c r="F610" s="749" t="s">
        <v>2852</v>
      </c>
      <c r="G610" s="798" t="s">
        <v>1267</v>
      </c>
      <c r="H610" s="776" t="n">
        <v>54000000</v>
      </c>
      <c r="I610" s="777" t="n">
        <v>101</v>
      </c>
      <c r="J610" s="778" t="n">
        <f aca="false">IF(I610="","",H610/I610)</f>
        <v>534653.465346535</v>
      </c>
      <c r="K610" s="749" t="s">
        <v>2361</v>
      </c>
      <c r="L610" s="774" t="n">
        <v>41697</v>
      </c>
      <c r="M610" s="774" t="n">
        <v>42062</v>
      </c>
      <c r="O610" s="783" t="n">
        <v>3</v>
      </c>
      <c r="P610" s="749" t="s">
        <v>2606</v>
      </c>
      <c r="Q610" s="749" t="s">
        <v>2607</v>
      </c>
      <c r="R610" s="811"/>
    </row>
    <row r="611" customFormat="false" ht="16.5" hidden="false" customHeight="true" outlineLevel="0" collapsed="false">
      <c r="A611" s="747" t="s">
        <v>2335</v>
      </c>
      <c r="B611" s="774" t="n">
        <v>41697</v>
      </c>
      <c r="D611" s="749" t="s">
        <v>2372</v>
      </c>
      <c r="E611" s="749" t="s">
        <v>2826</v>
      </c>
      <c r="F611" s="749" t="s">
        <v>2648</v>
      </c>
      <c r="G611" s="798" t="s">
        <v>1267</v>
      </c>
      <c r="H611" s="776" t="n">
        <v>70000000</v>
      </c>
      <c r="I611" s="777" t="n">
        <v>101</v>
      </c>
      <c r="J611" s="778" t="n">
        <f aca="false">IF(I611="","",H611/I611)</f>
        <v>693069.306930693</v>
      </c>
      <c r="K611" s="749" t="s">
        <v>2361</v>
      </c>
      <c r="L611" s="774" t="n">
        <v>41697</v>
      </c>
      <c r="M611" s="774" t="n">
        <v>42062</v>
      </c>
      <c r="O611" s="783" t="n">
        <v>5</v>
      </c>
      <c r="P611" s="749" t="s">
        <v>2606</v>
      </c>
      <c r="Q611" s="749" t="s">
        <v>2607</v>
      </c>
      <c r="R611" s="811"/>
    </row>
    <row r="612" customFormat="false" ht="16.5" hidden="false" customHeight="true" outlineLevel="0" collapsed="false">
      <c r="A612" s="747" t="s">
        <v>2335</v>
      </c>
      <c r="B612" s="774" t="n">
        <v>41708</v>
      </c>
      <c r="D612" s="749" t="s">
        <v>1184</v>
      </c>
      <c r="E612" s="749" t="s">
        <v>2800</v>
      </c>
      <c r="F612" s="749" t="s">
        <v>2653</v>
      </c>
      <c r="G612" s="798" t="s">
        <v>2136</v>
      </c>
      <c r="H612" s="776" t="n">
        <v>3000000</v>
      </c>
      <c r="I612" s="777" t="n">
        <v>1</v>
      </c>
      <c r="J612" s="778" t="n">
        <f aca="false">IF(I612="","",H612/I612)</f>
        <v>3000000</v>
      </c>
      <c r="K612" s="749" t="s">
        <v>2794</v>
      </c>
      <c r="L612" s="774" t="n">
        <v>41708</v>
      </c>
      <c r="M612" s="774" t="n">
        <v>42075</v>
      </c>
      <c r="O612" s="783" t="n">
        <v>3.02</v>
      </c>
      <c r="P612" s="749" t="s">
        <v>2606</v>
      </c>
      <c r="Q612" s="749" t="s">
        <v>2607</v>
      </c>
      <c r="R612" s="811"/>
    </row>
    <row r="613" customFormat="false" ht="16.5" hidden="false" customHeight="true" outlineLevel="0" collapsed="false">
      <c r="A613" s="747" t="s">
        <v>2335</v>
      </c>
      <c r="B613" s="774" t="n">
        <v>41709</v>
      </c>
      <c r="D613" s="749" t="s">
        <v>2375</v>
      </c>
      <c r="E613" s="749" t="s">
        <v>2599</v>
      </c>
      <c r="F613" s="749" t="s">
        <v>2340</v>
      </c>
      <c r="G613" s="798" t="s">
        <v>1267</v>
      </c>
      <c r="H613" s="776" t="n">
        <v>21240000</v>
      </c>
      <c r="I613" s="777" t="n">
        <v>101</v>
      </c>
      <c r="J613" s="778" t="n">
        <f aca="false">IF(I613="","",H613/I613)</f>
        <v>210297.02970297</v>
      </c>
      <c r="K613" s="749" t="s">
        <v>2336</v>
      </c>
      <c r="L613" s="774" t="n">
        <v>41715</v>
      </c>
      <c r="M613" s="774" t="n">
        <v>41809</v>
      </c>
      <c r="O613" s="783" t="n">
        <v>2.58</v>
      </c>
      <c r="P613" s="749" t="s">
        <v>2606</v>
      </c>
      <c r="Q613" s="749" t="s">
        <v>2607</v>
      </c>
      <c r="R613" s="811"/>
    </row>
    <row r="614" customFormat="false" ht="16.5" hidden="false" customHeight="true" outlineLevel="0" collapsed="false">
      <c r="A614" s="747" t="s">
        <v>2335</v>
      </c>
      <c r="B614" s="774" t="n">
        <v>41715</v>
      </c>
      <c r="D614" s="749" t="s">
        <v>124</v>
      </c>
      <c r="E614" s="749" t="s">
        <v>2803</v>
      </c>
      <c r="F614" s="749" t="s">
        <v>2804</v>
      </c>
      <c r="G614" s="798" t="s">
        <v>1267</v>
      </c>
      <c r="H614" s="776" t="n">
        <v>50000000</v>
      </c>
      <c r="I614" s="777" t="n">
        <v>101</v>
      </c>
      <c r="J614" s="778" t="n">
        <f aca="false">IF(I614="","",H614/I614)</f>
        <v>495049.504950495</v>
      </c>
      <c r="K614" s="749" t="s">
        <v>2336</v>
      </c>
      <c r="L614" s="774" t="n">
        <v>41723</v>
      </c>
      <c r="M614" s="774" t="n">
        <v>42088</v>
      </c>
      <c r="O614" s="783" t="n">
        <v>5.9</v>
      </c>
      <c r="P614" s="749" t="s">
        <v>2606</v>
      </c>
      <c r="Q614" s="749" t="s">
        <v>2607</v>
      </c>
      <c r="R614" s="811"/>
    </row>
    <row r="615" customFormat="false" ht="16.5" hidden="false" customHeight="true" outlineLevel="0" collapsed="false">
      <c r="A615" s="816" t="s">
        <v>2190</v>
      </c>
      <c r="B615" s="817" t="n">
        <v>41716</v>
      </c>
      <c r="C615" s="818"/>
      <c r="D615" s="811" t="s">
        <v>597</v>
      </c>
      <c r="E615" s="811" t="s">
        <v>2624</v>
      </c>
      <c r="F615" s="811" t="s">
        <v>2853</v>
      </c>
      <c r="G615" s="780" t="s">
        <v>1267</v>
      </c>
      <c r="H615" s="819" t="n">
        <v>186565000</v>
      </c>
      <c r="I615" s="820" t="n">
        <v>101</v>
      </c>
      <c r="J615" s="778" t="n">
        <f aca="false">IF(I615="","",H615/I615)</f>
        <v>1847178.21782178</v>
      </c>
      <c r="K615" s="811" t="s">
        <v>2460</v>
      </c>
      <c r="L615" s="817" t="n">
        <v>42083</v>
      </c>
      <c r="M615" s="817" t="n">
        <v>42083</v>
      </c>
      <c r="N615" s="817"/>
      <c r="O615" s="821" t="n">
        <v>1.75</v>
      </c>
      <c r="P615" s="749" t="s">
        <v>2606</v>
      </c>
      <c r="Q615" s="749" t="s">
        <v>2607</v>
      </c>
      <c r="R615" s="811"/>
    </row>
    <row r="616" customFormat="false" ht="16.5" hidden="false" customHeight="true" outlineLevel="0" collapsed="false">
      <c r="A616" s="747" t="s">
        <v>2335</v>
      </c>
      <c r="B616" s="774" t="n">
        <v>41719</v>
      </c>
      <c r="D616" s="749" t="s">
        <v>597</v>
      </c>
      <c r="E616" s="749" t="s">
        <v>2700</v>
      </c>
      <c r="F616" s="749" t="s">
        <v>2801</v>
      </c>
      <c r="G616" s="798" t="s">
        <v>1267</v>
      </c>
      <c r="H616" s="776" t="n">
        <v>91700000</v>
      </c>
      <c r="I616" s="777" t="n">
        <v>101</v>
      </c>
      <c r="J616" s="778" t="n">
        <f aca="false">IF(I616="","",H616/I616)</f>
        <v>907920.792079208</v>
      </c>
      <c r="K616" s="749" t="s">
        <v>2336</v>
      </c>
      <c r="L616" s="774" t="n">
        <v>41722</v>
      </c>
      <c r="M616" s="774" t="n">
        <v>42085</v>
      </c>
      <c r="O616" s="783" t="n">
        <v>3.88</v>
      </c>
      <c r="P616" s="749" t="s">
        <v>2606</v>
      </c>
      <c r="Q616" s="749" t="s">
        <v>2607</v>
      </c>
      <c r="R616" s="811"/>
    </row>
    <row r="617" customFormat="false" ht="16.5" hidden="false" customHeight="true" outlineLevel="0" collapsed="false">
      <c r="A617" s="747" t="s">
        <v>2335</v>
      </c>
      <c r="B617" s="774" t="n">
        <v>41719</v>
      </c>
      <c r="D617" s="749" t="s">
        <v>2375</v>
      </c>
      <c r="E617" s="749" t="s">
        <v>2599</v>
      </c>
      <c r="F617" s="749" t="s">
        <v>2499</v>
      </c>
      <c r="G617" s="798" t="s">
        <v>1267</v>
      </c>
      <c r="H617" s="776" t="n">
        <v>80000000</v>
      </c>
      <c r="I617" s="777" t="n">
        <v>101</v>
      </c>
      <c r="J617" s="778" t="n">
        <f aca="false">IF(I617="","",H617/I617)</f>
        <v>792079.207920792</v>
      </c>
      <c r="K617" s="749" t="s">
        <v>2460</v>
      </c>
      <c r="L617" s="774" t="n">
        <v>41723</v>
      </c>
      <c r="M617" s="774" t="n">
        <v>42088</v>
      </c>
      <c r="O617" s="783" t="n">
        <v>2.5</v>
      </c>
      <c r="P617" s="749" t="s">
        <v>2854</v>
      </c>
      <c r="Q617" s="749" t="s">
        <v>2607</v>
      </c>
      <c r="R617" s="811"/>
    </row>
    <row r="618" customFormat="false" ht="16.5" hidden="false" customHeight="true" outlineLevel="0" collapsed="false">
      <c r="A618" s="747" t="s">
        <v>2335</v>
      </c>
      <c r="B618" s="774" t="n">
        <v>41719</v>
      </c>
      <c r="D618" s="749" t="s">
        <v>103</v>
      </c>
      <c r="E618" s="749" t="s">
        <v>2855</v>
      </c>
      <c r="F618" s="749" t="s">
        <v>2672</v>
      </c>
      <c r="G618" s="798" t="s">
        <v>1267</v>
      </c>
      <c r="H618" s="776" t="n">
        <v>16000000</v>
      </c>
      <c r="I618" s="777" t="n">
        <v>101</v>
      </c>
      <c r="J618" s="778" t="n">
        <f aca="false">IF(I618="","",H618/I618)</f>
        <v>158415.841584158</v>
      </c>
      <c r="K618" s="749" t="s">
        <v>2336</v>
      </c>
      <c r="L618" s="774" t="n">
        <v>41729</v>
      </c>
      <c r="M618" s="774" t="n">
        <v>42094</v>
      </c>
      <c r="O618" s="783" t="n">
        <v>3.78</v>
      </c>
      <c r="P618" s="749" t="s">
        <v>2854</v>
      </c>
      <c r="Q618" s="749" t="s">
        <v>2607</v>
      </c>
      <c r="R618" s="811"/>
    </row>
    <row r="619" customFormat="false" ht="16.5" hidden="false" customHeight="true" outlineLevel="0" collapsed="false">
      <c r="A619" s="747" t="s">
        <v>2335</v>
      </c>
      <c r="B619" s="774" t="n">
        <v>41723</v>
      </c>
      <c r="D619" s="749" t="s">
        <v>2810</v>
      </c>
      <c r="E619" s="749" t="s">
        <v>2379</v>
      </c>
      <c r="F619" s="798" t="s">
        <v>2811</v>
      </c>
      <c r="G619" s="798" t="s">
        <v>1267</v>
      </c>
      <c r="H619" s="776" t="n">
        <v>51000000</v>
      </c>
      <c r="I619" s="777" t="n">
        <v>101</v>
      </c>
      <c r="J619" s="778" t="n">
        <f aca="false">IF(I619="","",H619/I619)</f>
        <v>504950.495049505</v>
      </c>
      <c r="K619" s="749" t="s">
        <v>2336</v>
      </c>
      <c r="L619" s="774" t="n">
        <v>41728</v>
      </c>
      <c r="M619" s="774" t="n">
        <v>42093</v>
      </c>
      <c r="O619" s="783" t="n">
        <v>3.98</v>
      </c>
      <c r="P619" s="749" t="s">
        <v>2854</v>
      </c>
      <c r="Q619" s="749" t="s">
        <v>2607</v>
      </c>
      <c r="R619" s="811"/>
    </row>
    <row r="620" customFormat="false" ht="16.5" hidden="false" customHeight="true" outlineLevel="0" collapsed="false">
      <c r="A620" s="747" t="s">
        <v>2335</v>
      </c>
      <c r="B620" s="774" t="n">
        <v>41723</v>
      </c>
      <c r="D620" s="749" t="s">
        <v>2810</v>
      </c>
      <c r="E620" s="749" t="s">
        <v>2379</v>
      </c>
      <c r="F620" s="798" t="s">
        <v>2811</v>
      </c>
      <c r="G620" s="798" t="s">
        <v>1267</v>
      </c>
      <c r="H620" s="776" t="n">
        <v>130000000</v>
      </c>
      <c r="I620" s="777" t="n">
        <v>101</v>
      </c>
      <c r="J620" s="778" t="n">
        <f aca="false">IF(I620="","",H620/I620)</f>
        <v>1287128.71287129</v>
      </c>
      <c r="K620" s="749" t="s">
        <v>2336</v>
      </c>
      <c r="L620" s="774" t="n">
        <v>41728</v>
      </c>
      <c r="M620" s="774" t="n">
        <v>42093</v>
      </c>
      <c r="O620" s="783" t="n">
        <v>3.4</v>
      </c>
      <c r="P620" s="749" t="s">
        <v>2854</v>
      </c>
      <c r="Q620" s="749" t="s">
        <v>2607</v>
      </c>
      <c r="R620" s="811"/>
    </row>
    <row r="621" customFormat="false" ht="16.5" hidden="false" customHeight="true" outlineLevel="0" collapsed="false">
      <c r="A621" s="747" t="s">
        <v>2335</v>
      </c>
      <c r="B621" s="774" t="n">
        <v>41725</v>
      </c>
      <c r="D621" s="749" t="s">
        <v>2375</v>
      </c>
      <c r="E621" s="749" t="s">
        <v>2599</v>
      </c>
      <c r="F621" s="749" t="s">
        <v>2667</v>
      </c>
      <c r="G621" s="798" t="s">
        <v>1267</v>
      </c>
      <c r="H621" s="776" t="n">
        <v>36600000</v>
      </c>
      <c r="I621" s="777" t="n">
        <v>101</v>
      </c>
      <c r="J621" s="778" t="n">
        <f aca="false">IF(I621="","",H621/I621)</f>
        <v>362376.237623762</v>
      </c>
      <c r="K621" s="749" t="s">
        <v>2336</v>
      </c>
      <c r="L621" s="774" t="n">
        <v>41729</v>
      </c>
      <c r="M621" s="774" t="n">
        <v>42094</v>
      </c>
      <c r="O621" s="783" t="n">
        <v>3</v>
      </c>
      <c r="P621" s="749" t="s">
        <v>2854</v>
      </c>
      <c r="Q621" s="749" t="s">
        <v>2607</v>
      </c>
      <c r="R621" s="811"/>
    </row>
    <row r="622" customFormat="false" ht="16.5" hidden="false" customHeight="true" outlineLevel="0" collapsed="false">
      <c r="A622" s="747" t="s">
        <v>2335</v>
      </c>
      <c r="B622" s="774" t="n">
        <v>41731</v>
      </c>
      <c r="D622" s="749" t="s">
        <v>96</v>
      </c>
      <c r="E622" s="749" t="s">
        <v>2840</v>
      </c>
      <c r="F622" s="749" t="s">
        <v>2670</v>
      </c>
      <c r="G622" s="798" t="s">
        <v>1267</v>
      </c>
      <c r="H622" s="776" t="n">
        <v>40500000</v>
      </c>
      <c r="I622" s="777" t="n">
        <v>103</v>
      </c>
      <c r="J622" s="778" t="n">
        <f aca="false">IF(I622="","",H622/I622)</f>
        <v>393203.883495146</v>
      </c>
      <c r="K622" s="749" t="s">
        <v>2336</v>
      </c>
      <c r="L622" s="774" t="n">
        <v>41733</v>
      </c>
      <c r="M622" s="774" t="n">
        <v>42098</v>
      </c>
      <c r="O622" s="783" t="n">
        <v>4.26</v>
      </c>
      <c r="P622" s="749" t="s">
        <v>2606</v>
      </c>
      <c r="Q622" s="749" t="s">
        <v>2607</v>
      </c>
      <c r="R622" s="811"/>
    </row>
    <row r="623" customFormat="false" ht="16.5" hidden="false" customHeight="true" outlineLevel="0" collapsed="false">
      <c r="A623" s="747" t="s">
        <v>2335</v>
      </c>
      <c r="B623" s="774" t="n">
        <v>41731</v>
      </c>
      <c r="D623" s="749" t="s">
        <v>96</v>
      </c>
      <c r="E623" s="749" t="s">
        <v>2840</v>
      </c>
      <c r="F623" s="749" t="s">
        <v>2812</v>
      </c>
      <c r="G623" s="798" t="s">
        <v>1267</v>
      </c>
      <c r="H623" s="776" t="n">
        <v>31800000</v>
      </c>
      <c r="I623" s="777" t="n">
        <v>103</v>
      </c>
      <c r="J623" s="778" t="n">
        <f aca="false">IF(I623="","",H623/I623)</f>
        <v>308737.86407767</v>
      </c>
      <c r="K623" s="749" t="s">
        <v>2336</v>
      </c>
      <c r="L623" s="774" t="n">
        <v>41741</v>
      </c>
      <c r="M623" s="774" t="n">
        <v>42106</v>
      </c>
      <c r="O623" s="783" t="n">
        <v>5.7</v>
      </c>
      <c r="P623" s="749" t="s">
        <v>2606</v>
      </c>
      <c r="Q623" s="749" t="s">
        <v>2607</v>
      </c>
      <c r="R623" s="811"/>
    </row>
    <row r="624" customFormat="false" ht="16.5" hidden="false" customHeight="true" outlineLevel="0" collapsed="false">
      <c r="A624" s="747" t="s">
        <v>2190</v>
      </c>
      <c r="B624" s="774" t="n">
        <v>41731</v>
      </c>
      <c r="D624" s="749" t="s">
        <v>2430</v>
      </c>
      <c r="E624" s="749" t="s">
        <v>2851</v>
      </c>
      <c r="F624" s="749" t="s">
        <v>2780</v>
      </c>
      <c r="G624" s="798" t="s">
        <v>2136</v>
      </c>
      <c r="H624" s="776" t="n">
        <v>285000</v>
      </c>
      <c r="I624" s="777" t="n">
        <v>1</v>
      </c>
      <c r="J624" s="778" t="n">
        <f aca="false">IF(I624="","",H624/I624)</f>
        <v>285000</v>
      </c>
      <c r="K624" s="749" t="s">
        <v>2336</v>
      </c>
      <c r="L624" s="774" t="n">
        <v>41733</v>
      </c>
      <c r="M624" s="774" t="n">
        <v>42098</v>
      </c>
      <c r="O624" s="801" t="n">
        <v>4.5</v>
      </c>
      <c r="P624" s="749" t="s">
        <v>2606</v>
      </c>
      <c r="Q624" s="749" t="s">
        <v>2607</v>
      </c>
      <c r="R624" s="811"/>
    </row>
    <row r="625" customFormat="false" ht="16.5" hidden="false" customHeight="true" outlineLevel="0" collapsed="false">
      <c r="A625" s="747" t="s">
        <v>2335</v>
      </c>
      <c r="B625" s="774" t="n">
        <v>41739</v>
      </c>
      <c r="D625" s="749" t="s">
        <v>597</v>
      </c>
      <c r="E625" s="749" t="s">
        <v>2624</v>
      </c>
      <c r="F625" s="749" t="s">
        <v>2523</v>
      </c>
      <c r="G625" s="798" t="s">
        <v>2136</v>
      </c>
      <c r="H625" s="776" t="n">
        <v>3000000</v>
      </c>
      <c r="I625" s="777" t="n">
        <v>1</v>
      </c>
      <c r="J625" s="778" t="n">
        <f aca="false">IF(I625="","",H625/I625)</f>
        <v>3000000</v>
      </c>
      <c r="K625" s="749" t="s">
        <v>2336</v>
      </c>
      <c r="L625" s="774" t="n">
        <v>41741</v>
      </c>
      <c r="M625" s="774" t="n">
        <v>42106</v>
      </c>
      <c r="O625" s="783" t="n">
        <v>2.17</v>
      </c>
      <c r="P625" s="749" t="s">
        <v>2606</v>
      </c>
      <c r="Q625" s="749" t="s">
        <v>2607</v>
      </c>
      <c r="R625" s="811"/>
    </row>
    <row r="626" customFormat="false" ht="16.5" hidden="false" customHeight="true" outlineLevel="0" collapsed="false">
      <c r="A626" s="747" t="s">
        <v>2335</v>
      </c>
      <c r="B626" s="774" t="n">
        <v>41743</v>
      </c>
      <c r="D626" s="749" t="s">
        <v>103</v>
      </c>
      <c r="E626" s="749" t="s">
        <v>2855</v>
      </c>
      <c r="F626" s="749" t="s">
        <v>2678</v>
      </c>
      <c r="G626" s="798" t="s">
        <v>1267</v>
      </c>
      <c r="H626" s="776" t="n">
        <v>24930000</v>
      </c>
      <c r="I626" s="777" t="n">
        <v>101</v>
      </c>
      <c r="J626" s="778" t="n">
        <f aca="false">IF(I626="","",H626/I626)</f>
        <v>246831.683168317</v>
      </c>
      <c r="K626" s="749" t="s">
        <v>2336</v>
      </c>
      <c r="L626" s="774" t="n">
        <v>41750</v>
      </c>
      <c r="M626" s="774" t="n">
        <v>42115</v>
      </c>
      <c r="O626" s="783" t="n">
        <v>4.4</v>
      </c>
      <c r="P626" s="749" t="s">
        <v>2606</v>
      </c>
      <c r="Q626" s="749" t="s">
        <v>2607</v>
      </c>
      <c r="R626" s="811"/>
    </row>
    <row r="627" customFormat="false" ht="16.5" hidden="false" customHeight="true" outlineLevel="0" collapsed="false">
      <c r="A627" s="747" t="s">
        <v>2335</v>
      </c>
      <c r="B627" s="774" t="n">
        <v>41743</v>
      </c>
      <c r="D627" s="749" t="s">
        <v>2856</v>
      </c>
      <c r="E627" s="749" t="s">
        <v>2857</v>
      </c>
      <c r="F627" s="749" t="s">
        <v>2521</v>
      </c>
      <c r="G627" s="798" t="s">
        <v>1267</v>
      </c>
      <c r="H627" s="776" t="n">
        <v>45000000</v>
      </c>
      <c r="I627" s="777" t="n">
        <v>101</v>
      </c>
      <c r="J627" s="778" t="n">
        <f aca="false">IF(I627="","",H627/I627)</f>
        <v>445544.554455446</v>
      </c>
      <c r="K627" s="749" t="s">
        <v>2460</v>
      </c>
      <c r="L627" s="774" t="n">
        <v>41744</v>
      </c>
      <c r="M627" s="774" t="n">
        <v>42109</v>
      </c>
      <c r="O627" s="783" t="n">
        <v>3.1</v>
      </c>
      <c r="P627" s="749" t="s">
        <v>2606</v>
      </c>
      <c r="Q627" s="749" t="s">
        <v>2607</v>
      </c>
      <c r="R627" s="811"/>
    </row>
    <row r="628" customFormat="false" ht="16.5" hidden="false" customHeight="true" outlineLevel="0" collapsed="false">
      <c r="A628" s="747" t="s">
        <v>2335</v>
      </c>
      <c r="B628" s="774" t="n">
        <v>41743</v>
      </c>
      <c r="D628" s="749" t="s">
        <v>103</v>
      </c>
      <c r="E628" s="749" t="s">
        <v>2855</v>
      </c>
      <c r="F628" s="749" t="s">
        <v>2684</v>
      </c>
      <c r="G628" s="798" t="s">
        <v>1267</v>
      </c>
      <c r="H628" s="776" t="n">
        <v>37000000</v>
      </c>
      <c r="I628" s="777" t="n">
        <v>101</v>
      </c>
      <c r="J628" s="778" t="n">
        <f aca="false">IF(I628="","",H628/I628)</f>
        <v>366336.633663366</v>
      </c>
      <c r="K628" s="749" t="s">
        <v>2336</v>
      </c>
      <c r="L628" s="774" t="n">
        <v>41743</v>
      </c>
      <c r="M628" s="774" t="n">
        <v>42108</v>
      </c>
      <c r="O628" s="783" t="n">
        <v>4.63</v>
      </c>
      <c r="P628" s="749" t="s">
        <v>2606</v>
      </c>
      <c r="Q628" s="749" t="s">
        <v>2607</v>
      </c>
      <c r="R628" s="811"/>
    </row>
    <row r="629" customFormat="false" ht="16.5" hidden="false" customHeight="true" outlineLevel="0" collapsed="false">
      <c r="A629" s="747" t="s">
        <v>2335</v>
      </c>
      <c r="B629" s="774" t="n">
        <v>41745</v>
      </c>
      <c r="D629" s="749" t="s">
        <v>597</v>
      </c>
      <c r="E629" s="749" t="s">
        <v>2687</v>
      </c>
      <c r="F629" s="749" t="s">
        <v>2590</v>
      </c>
      <c r="G629" s="798" t="s">
        <v>1267</v>
      </c>
      <c r="H629" s="776" t="n">
        <v>15000000</v>
      </c>
      <c r="I629" s="777" t="n">
        <v>101</v>
      </c>
      <c r="J629" s="778" t="n">
        <f aca="false">IF(I629="","",H629/I629)</f>
        <v>148514.851485149</v>
      </c>
      <c r="K629" s="749" t="s">
        <v>2460</v>
      </c>
      <c r="L629" s="774" t="n">
        <v>41752</v>
      </c>
      <c r="M629" s="774" t="n">
        <v>42117</v>
      </c>
      <c r="O629" s="783" t="n">
        <v>2.96</v>
      </c>
      <c r="P629" s="749" t="s">
        <v>2606</v>
      </c>
      <c r="Q629" s="749" t="s">
        <v>2607</v>
      </c>
      <c r="R629" s="811"/>
    </row>
    <row r="630" customFormat="false" ht="16.5" hidden="false" customHeight="true" outlineLevel="0" collapsed="false">
      <c r="A630" s="747" t="s">
        <v>2335</v>
      </c>
      <c r="B630" s="774" t="n">
        <v>41746</v>
      </c>
      <c r="D630" s="749" t="s">
        <v>103</v>
      </c>
      <c r="E630" s="749" t="s">
        <v>2855</v>
      </c>
      <c r="F630" s="749" t="s">
        <v>2703</v>
      </c>
      <c r="G630" s="798" t="s">
        <v>1267</v>
      </c>
      <c r="H630" s="776" t="n">
        <v>33900000</v>
      </c>
      <c r="I630" s="777" t="n">
        <v>101</v>
      </c>
      <c r="J630" s="778" t="n">
        <f aca="false">IF(I630="","",H630/I630)</f>
        <v>335643.564356436</v>
      </c>
      <c r="K630" s="749" t="s">
        <v>2336</v>
      </c>
      <c r="L630" s="774" t="n">
        <v>41757</v>
      </c>
      <c r="M630" s="774" t="n">
        <v>42121</v>
      </c>
      <c r="O630" s="783" t="n">
        <v>4.7</v>
      </c>
      <c r="P630" s="749" t="s">
        <v>2606</v>
      </c>
      <c r="Q630" s="749" t="s">
        <v>2607</v>
      </c>
      <c r="R630" s="811"/>
    </row>
    <row r="631" customFormat="false" ht="16.5" hidden="false" customHeight="true" outlineLevel="0" collapsed="false">
      <c r="A631" s="747" t="s">
        <v>2335</v>
      </c>
      <c r="B631" s="774" t="n">
        <v>41751</v>
      </c>
      <c r="D631" s="749" t="s">
        <v>2372</v>
      </c>
      <c r="E631" s="749" t="s">
        <v>2636</v>
      </c>
      <c r="F631" s="749" t="s">
        <v>2693</v>
      </c>
      <c r="G631" s="798" t="s">
        <v>1267</v>
      </c>
      <c r="H631" s="776" t="n">
        <v>110000000</v>
      </c>
      <c r="I631" s="777" t="n">
        <v>101</v>
      </c>
      <c r="J631" s="778" t="n">
        <f aca="false">IF(I631="","",H631/I631)</f>
        <v>1089108.91089109</v>
      </c>
      <c r="K631" s="749" t="s">
        <v>2336</v>
      </c>
      <c r="L631" s="774" t="n">
        <v>41753</v>
      </c>
      <c r="M631" s="774" t="n">
        <v>42118</v>
      </c>
      <c r="O631" s="783" t="n">
        <v>3</v>
      </c>
      <c r="P631" s="749" t="s">
        <v>2606</v>
      </c>
      <c r="Q631" s="749" t="s">
        <v>2607</v>
      </c>
      <c r="R631" s="811"/>
    </row>
    <row r="632" customFormat="false" ht="16.5" hidden="false" customHeight="true" outlineLevel="0" collapsed="false">
      <c r="A632" s="747" t="s">
        <v>2335</v>
      </c>
      <c r="B632" s="774" t="n">
        <v>41751</v>
      </c>
      <c r="D632" s="749" t="s">
        <v>2697</v>
      </c>
      <c r="E632" s="749" t="s">
        <v>2665</v>
      </c>
      <c r="F632" s="749" t="s">
        <v>2699</v>
      </c>
      <c r="G632" s="798" t="s">
        <v>1267</v>
      </c>
      <c r="H632" s="776" t="n">
        <v>15000000</v>
      </c>
      <c r="I632" s="777" t="n">
        <v>101</v>
      </c>
      <c r="J632" s="778" t="n">
        <f aca="false">IF(I632="","",H632/I632)</f>
        <v>148514.851485149</v>
      </c>
      <c r="K632" s="749" t="s">
        <v>2336</v>
      </c>
      <c r="L632" s="774" t="n">
        <v>41753</v>
      </c>
      <c r="M632" s="774" t="n">
        <v>42118</v>
      </c>
      <c r="O632" s="783" t="n">
        <v>3.8</v>
      </c>
      <c r="P632" s="749" t="s">
        <v>2606</v>
      </c>
      <c r="Q632" s="749" t="s">
        <v>2607</v>
      </c>
      <c r="R632" s="811"/>
    </row>
    <row r="633" customFormat="false" ht="16.5" hidden="false" customHeight="true" outlineLevel="0" collapsed="false">
      <c r="A633" s="747" t="s">
        <v>2335</v>
      </c>
      <c r="B633" s="774" t="n">
        <v>41752</v>
      </c>
      <c r="D633" s="749" t="s">
        <v>597</v>
      </c>
      <c r="E633" s="749" t="s">
        <v>2700</v>
      </c>
      <c r="F633" s="749" t="s">
        <v>2701</v>
      </c>
      <c r="G633" s="798" t="s">
        <v>1267</v>
      </c>
      <c r="H633" s="776" t="n">
        <v>24000000</v>
      </c>
      <c r="I633" s="777" t="n">
        <v>101</v>
      </c>
      <c r="J633" s="778" t="n">
        <f aca="false">IF(I633="","",H633/I633)</f>
        <v>237623.762376238</v>
      </c>
      <c r="K633" s="749" t="s">
        <v>2336</v>
      </c>
      <c r="L633" s="774" t="n">
        <v>41757</v>
      </c>
      <c r="M633" s="774" t="n">
        <v>42120</v>
      </c>
      <c r="O633" s="783" t="n">
        <v>4.02</v>
      </c>
      <c r="P633" s="749" t="s">
        <v>2606</v>
      </c>
      <c r="Q633" s="749" t="s">
        <v>2607</v>
      </c>
      <c r="R633" s="811"/>
    </row>
    <row r="634" customFormat="false" ht="16.5" hidden="false" customHeight="true" outlineLevel="0" collapsed="false">
      <c r="A634" s="747" t="s">
        <v>2335</v>
      </c>
      <c r="B634" s="774" t="n">
        <v>41752</v>
      </c>
      <c r="D634" s="749" t="s">
        <v>103</v>
      </c>
      <c r="E634" s="749" t="s">
        <v>2855</v>
      </c>
      <c r="F634" s="749" t="s">
        <v>2703</v>
      </c>
      <c r="G634" s="798" t="s">
        <v>1267</v>
      </c>
      <c r="H634" s="776" t="n">
        <v>33900000</v>
      </c>
      <c r="I634" s="777" t="n">
        <v>101</v>
      </c>
      <c r="J634" s="778" t="n">
        <f aca="false">IF(I634="","",H634/I634)</f>
        <v>335643.564356436</v>
      </c>
      <c r="K634" s="749" t="s">
        <v>2336</v>
      </c>
      <c r="L634" s="774" t="n">
        <v>41756</v>
      </c>
      <c r="M634" s="774" t="n">
        <v>42121</v>
      </c>
      <c r="O634" s="783" t="n">
        <v>4.5</v>
      </c>
      <c r="P634" s="749" t="s">
        <v>2606</v>
      </c>
      <c r="Q634" s="749" t="s">
        <v>2607</v>
      </c>
      <c r="R634" s="811"/>
    </row>
    <row r="635" customFormat="false" ht="16.5" hidden="false" customHeight="true" outlineLevel="0" collapsed="false">
      <c r="A635" s="747" t="s">
        <v>2335</v>
      </c>
      <c r="B635" s="774" t="n">
        <v>41754</v>
      </c>
      <c r="D635" s="749" t="s">
        <v>2704</v>
      </c>
      <c r="E635" s="749" t="s">
        <v>2560</v>
      </c>
      <c r="F635" s="749" t="s">
        <v>2706</v>
      </c>
      <c r="G635" s="798" t="s">
        <v>1267</v>
      </c>
      <c r="H635" s="814" t="n">
        <v>118200000</v>
      </c>
      <c r="I635" s="777" t="n">
        <v>101</v>
      </c>
      <c r="J635" s="778" t="n">
        <f aca="false">IF(I635="","",H635/I635)</f>
        <v>1170297.02970297</v>
      </c>
      <c r="K635" s="749" t="s">
        <v>2336</v>
      </c>
      <c r="L635" s="774" t="n">
        <v>41754</v>
      </c>
      <c r="M635" s="774" t="n">
        <v>42119</v>
      </c>
      <c r="O635" s="783" t="n">
        <v>3.88</v>
      </c>
      <c r="P635" s="749" t="s">
        <v>2606</v>
      </c>
      <c r="Q635" s="749" t="s">
        <v>2607</v>
      </c>
      <c r="R635" s="811"/>
    </row>
    <row r="636" customFormat="false" ht="16.5" hidden="false" customHeight="true" outlineLevel="0" collapsed="false">
      <c r="A636" s="747" t="s">
        <v>2335</v>
      </c>
      <c r="B636" s="774" t="n">
        <v>41754</v>
      </c>
      <c r="D636" s="749" t="s">
        <v>96</v>
      </c>
      <c r="E636" s="749" t="s">
        <v>2858</v>
      </c>
      <c r="F636" s="749" t="s">
        <v>2820</v>
      </c>
      <c r="G636" s="798" t="s">
        <v>2136</v>
      </c>
      <c r="H636" s="776" t="n">
        <v>3000000</v>
      </c>
      <c r="I636" s="777" t="n">
        <v>1</v>
      </c>
      <c r="J636" s="778" t="n">
        <f aca="false">IF(I636="","",H636/I636)</f>
        <v>3000000</v>
      </c>
      <c r="K636" s="749" t="s">
        <v>2460</v>
      </c>
      <c r="L636" s="774" t="n">
        <v>41768</v>
      </c>
      <c r="M636" s="774" t="n">
        <v>42133</v>
      </c>
      <c r="O636" s="783" t="n">
        <v>4.4</v>
      </c>
      <c r="P636" s="749" t="s">
        <v>2606</v>
      </c>
      <c r="Q636" s="749" t="s">
        <v>2607</v>
      </c>
      <c r="R636" s="811"/>
    </row>
    <row r="637" customFormat="false" ht="16.5" hidden="false" customHeight="true" outlineLevel="0" collapsed="false">
      <c r="A637" s="747" t="s">
        <v>2335</v>
      </c>
      <c r="B637" s="774" t="n">
        <v>41754</v>
      </c>
      <c r="D637" s="749" t="s">
        <v>2398</v>
      </c>
      <c r="E637" s="749" t="s">
        <v>2859</v>
      </c>
      <c r="F637" s="749" t="s">
        <v>2448</v>
      </c>
      <c r="G637" s="798" t="s">
        <v>2136</v>
      </c>
      <c r="H637" s="776" t="n">
        <v>150000</v>
      </c>
      <c r="I637" s="777" t="n">
        <v>1</v>
      </c>
      <c r="J637" s="778" t="n">
        <f aca="false">IF(I637="","",H637/I637)</f>
        <v>150000</v>
      </c>
      <c r="K637" s="749" t="s">
        <v>2460</v>
      </c>
      <c r="L637" s="774" t="n">
        <v>41754</v>
      </c>
      <c r="M637" s="774" t="n">
        <v>41784</v>
      </c>
      <c r="O637" s="783" t="n">
        <v>3.5</v>
      </c>
      <c r="P637" s="749" t="s">
        <v>2606</v>
      </c>
      <c r="Q637" s="749" t="s">
        <v>2607</v>
      </c>
      <c r="R637" s="811"/>
    </row>
    <row r="638" customFormat="false" ht="16.5" hidden="false" customHeight="true" outlineLevel="0" collapsed="false">
      <c r="A638" s="747" t="s">
        <v>2190</v>
      </c>
      <c r="B638" s="774" t="n">
        <v>41754</v>
      </c>
      <c r="D638" s="749" t="s">
        <v>103</v>
      </c>
      <c r="E638" s="749" t="s">
        <v>2739</v>
      </c>
      <c r="F638" s="749" t="s">
        <v>2860</v>
      </c>
      <c r="G638" s="798" t="s">
        <v>2136</v>
      </c>
      <c r="H638" s="776" t="n">
        <v>5000000</v>
      </c>
      <c r="I638" s="777" t="n">
        <v>1</v>
      </c>
      <c r="J638" s="778" t="n">
        <f aca="false">IF(I638="","",H638/I638)</f>
        <v>5000000</v>
      </c>
      <c r="K638" s="749" t="s">
        <v>2336</v>
      </c>
      <c r="L638" s="774" t="n">
        <v>41757</v>
      </c>
      <c r="M638" s="774" t="n">
        <v>42122</v>
      </c>
      <c r="O638" s="801" t="n">
        <v>3.42</v>
      </c>
      <c r="P638" s="749" t="s">
        <v>2606</v>
      </c>
      <c r="Q638" s="749" t="s">
        <v>2607</v>
      </c>
      <c r="R638" s="811"/>
    </row>
    <row r="639" customFormat="false" ht="16.5" hidden="false" customHeight="true" outlineLevel="0" collapsed="false">
      <c r="A639" s="747" t="s">
        <v>2335</v>
      </c>
      <c r="B639" s="774" t="n">
        <v>41767</v>
      </c>
      <c r="D639" s="749" t="s">
        <v>1172</v>
      </c>
      <c r="E639" s="749" t="s">
        <v>2861</v>
      </c>
      <c r="F639" s="749" t="s">
        <v>2710</v>
      </c>
      <c r="G639" s="798" t="s">
        <v>1267</v>
      </c>
      <c r="H639" s="776" t="n">
        <v>24000000</v>
      </c>
      <c r="I639" s="777" t="n">
        <v>101</v>
      </c>
      <c r="J639" s="778" t="n">
        <f aca="false">IF(I639="","",H639/I639)</f>
        <v>237623.762376238</v>
      </c>
      <c r="K639" s="749" t="s">
        <v>2336</v>
      </c>
      <c r="L639" s="774" t="n">
        <v>41771</v>
      </c>
      <c r="M639" s="774" t="n">
        <v>42136</v>
      </c>
      <c r="O639" s="783" t="n">
        <v>3.88</v>
      </c>
      <c r="P639" s="749" t="s">
        <v>2606</v>
      </c>
      <c r="Q639" s="749" t="s">
        <v>2607</v>
      </c>
      <c r="R639" s="811"/>
    </row>
    <row r="640" customFormat="false" ht="16.5" hidden="false" customHeight="true" outlineLevel="0" collapsed="false">
      <c r="A640" s="747" t="s">
        <v>2335</v>
      </c>
      <c r="B640" s="774" t="n">
        <v>41767</v>
      </c>
      <c r="D640" s="798" t="s">
        <v>2403</v>
      </c>
      <c r="E640" s="749" t="s">
        <v>2862</v>
      </c>
      <c r="F640" s="749" t="s">
        <v>2565</v>
      </c>
      <c r="G640" s="798" t="s">
        <v>1267</v>
      </c>
      <c r="H640" s="776" t="n">
        <v>3700000</v>
      </c>
      <c r="I640" s="777" t="n">
        <v>101</v>
      </c>
      <c r="J640" s="778" t="n">
        <f aca="false">IF(I640="","",H640/I640)</f>
        <v>36633.6633663366</v>
      </c>
      <c r="K640" s="749" t="s">
        <v>2460</v>
      </c>
      <c r="L640" s="774" t="n">
        <v>41767</v>
      </c>
      <c r="M640" s="774" t="n">
        <v>42132</v>
      </c>
      <c r="O640" s="783" t="n">
        <v>3.4</v>
      </c>
      <c r="P640" s="749" t="s">
        <v>2606</v>
      </c>
      <c r="Q640" s="749" t="s">
        <v>2607</v>
      </c>
      <c r="R640" s="811"/>
    </row>
    <row r="641" customFormat="false" ht="16.5" hidden="false" customHeight="true" outlineLevel="0" collapsed="false">
      <c r="A641" s="747" t="s">
        <v>2190</v>
      </c>
      <c r="B641" s="774" t="n">
        <v>41775</v>
      </c>
      <c r="D641" s="749" t="s">
        <v>103</v>
      </c>
      <c r="E641" s="749" t="s">
        <v>2739</v>
      </c>
      <c r="F641" s="749" t="s">
        <v>2618</v>
      </c>
      <c r="G641" s="798" t="s">
        <v>2136</v>
      </c>
      <c r="H641" s="776" t="n">
        <v>5000000</v>
      </c>
      <c r="I641" s="777" t="n">
        <v>1</v>
      </c>
      <c r="J641" s="778" t="n">
        <f aca="false">IF(I641="","",H641/I641)</f>
        <v>5000000</v>
      </c>
      <c r="K641" s="749" t="s">
        <v>2336</v>
      </c>
      <c r="L641" s="774" t="n">
        <v>41778</v>
      </c>
      <c r="M641" s="774" t="n">
        <v>42874</v>
      </c>
      <c r="O641" s="801" t="n">
        <v>3.6</v>
      </c>
      <c r="P641" s="749" t="s">
        <v>2606</v>
      </c>
      <c r="Q641" s="749" t="s">
        <v>2607</v>
      </c>
      <c r="R641" s="811"/>
    </row>
    <row r="642" customFormat="false" ht="16.5" hidden="false" customHeight="true" outlineLevel="0" collapsed="false">
      <c r="A642" s="747" t="s">
        <v>2190</v>
      </c>
      <c r="B642" s="774" t="n">
        <v>41778</v>
      </c>
      <c r="D642" s="749" t="s">
        <v>2430</v>
      </c>
      <c r="E642" s="749" t="s">
        <v>2851</v>
      </c>
      <c r="F642" s="749" t="s">
        <v>2780</v>
      </c>
      <c r="G642" s="798" t="s">
        <v>2136</v>
      </c>
      <c r="H642" s="776" t="n">
        <v>39600</v>
      </c>
      <c r="I642" s="777" t="n">
        <v>1</v>
      </c>
      <c r="J642" s="778" t="n">
        <f aca="false">IF(I642="","",H642/I642)</f>
        <v>39600</v>
      </c>
      <c r="K642" s="749" t="s">
        <v>2336</v>
      </c>
      <c r="L642" s="774" t="n">
        <v>41778</v>
      </c>
      <c r="M642" s="774" t="n">
        <v>42143</v>
      </c>
      <c r="O642" s="801" t="n">
        <v>4.5</v>
      </c>
      <c r="P642" s="749" t="s">
        <v>2606</v>
      </c>
      <c r="Q642" s="749" t="s">
        <v>2607</v>
      </c>
      <c r="R642" s="811"/>
    </row>
    <row r="643" customFormat="false" ht="16.5" hidden="false" customHeight="true" outlineLevel="0" collapsed="false">
      <c r="A643" s="747" t="s">
        <v>2335</v>
      </c>
      <c r="B643" s="774" t="n">
        <v>41780</v>
      </c>
      <c r="D643" s="749" t="s">
        <v>2375</v>
      </c>
      <c r="E643" s="749" t="s">
        <v>2599</v>
      </c>
      <c r="F643" s="749" t="s">
        <v>2723</v>
      </c>
      <c r="G643" s="798" t="s">
        <v>1267</v>
      </c>
      <c r="H643" s="776" t="n">
        <v>36000000</v>
      </c>
      <c r="I643" s="777" t="n">
        <v>101</v>
      </c>
      <c r="J643" s="778" t="n">
        <f aca="false">IF(I643="","",H643/I643)</f>
        <v>356435.643564356</v>
      </c>
      <c r="K643" s="749" t="s">
        <v>2336</v>
      </c>
      <c r="L643" s="774" t="n">
        <v>41789</v>
      </c>
      <c r="M643" s="774" t="n">
        <v>42154</v>
      </c>
      <c r="O643" s="783" t="n">
        <v>3.78</v>
      </c>
      <c r="P643" s="749" t="s">
        <v>2854</v>
      </c>
      <c r="Q643" s="749" t="s">
        <v>2607</v>
      </c>
      <c r="R643" s="811"/>
    </row>
    <row r="644" customFormat="false" ht="16.5" hidden="false" customHeight="true" outlineLevel="0" collapsed="false">
      <c r="A644" s="747" t="s">
        <v>2335</v>
      </c>
      <c r="B644" s="774" t="n">
        <v>41781</v>
      </c>
      <c r="D644" s="749" t="s">
        <v>2372</v>
      </c>
      <c r="E644" s="749" t="s">
        <v>2636</v>
      </c>
      <c r="F644" s="749" t="s">
        <v>2718</v>
      </c>
      <c r="G644" s="798" t="s">
        <v>1267</v>
      </c>
      <c r="H644" s="776" t="n">
        <v>98000000</v>
      </c>
      <c r="I644" s="777" t="n">
        <v>101</v>
      </c>
      <c r="J644" s="778" t="n">
        <f aca="false">IF(I644="","",H644/I644)</f>
        <v>970297.02970297</v>
      </c>
      <c r="K644" s="749" t="s">
        <v>2336</v>
      </c>
      <c r="L644" s="774" t="n">
        <v>41782</v>
      </c>
      <c r="M644" s="774" t="n">
        <v>42147</v>
      </c>
      <c r="O644" s="783" t="n">
        <v>3.6</v>
      </c>
      <c r="P644" s="749" t="s">
        <v>2854</v>
      </c>
      <c r="Q644" s="749" t="s">
        <v>2607</v>
      </c>
      <c r="R644" s="811"/>
    </row>
    <row r="645" customFormat="false" ht="16.5" hidden="false" customHeight="true" outlineLevel="0" collapsed="false">
      <c r="A645" s="747" t="s">
        <v>2335</v>
      </c>
      <c r="B645" s="774" t="n">
        <v>41782</v>
      </c>
      <c r="D645" s="749" t="s">
        <v>2398</v>
      </c>
      <c r="E645" s="749" t="s">
        <v>2859</v>
      </c>
      <c r="F645" s="749" t="s">
        <v>2448</v>
      </c>
      <c r="G645" s="798" t="s">
        <v>2136</v>
      </c>
      <c r="H645" s="776" t="n">
        <v>150000</v>
      </c>
      <c r="I645" s="777" t="n">
        <v>1</v>
      </c>
      <c r="J645" s="778" t="n">
        <f aca="false">IF(I645="","",H645/I645)</f>
        <v>150000</v>
      </c>
      <c r="K645" s="749" t="s">
        <v>2460</v>
      </c>
      <c r="L645" s="774" t="n">
        <v>41782</v>
      </c>
      <c r="M645" s="774" t="n">
        <v>42149</v>
      </c>
      <c r="O645" s="783" t="n">
        <v>3.5</v>
      </c>
      <c r="P645" s="749" t="s">
        <v>2606</v>
      </c>
      <c r="Q645" s="749" t="s">
        <v>2607</v>
      </c>
      <c r="R645" s="811"/>
    </row>
    <row r="646" customFormat="false" ht="16.5" hidden="false" customHeight="true" outlineLevel="0" collapsed="false">
      <c r="A646" s="747" t="s">
        <v>2335</v>
      </c>
      <c r="B646" s="774" t="n">
        <v>41785</v>
      </c>
      <c r="D646" s="749" t="s">
        <v>2375</v>
      </c>
      <c r="E646" s="749" t="s">
        <v>2863</v>
      </c>
      <c r="F646" s="749" t="s">
        <v>2724</v>
      </c>
      <c r="G646" s="798" t="s">
        <v>1267</v>
      </c>
      <c r="H646" s="776" t="n">
        <v>90000000</v>
      </c>
      <c r="I646" s="777" t="n">
        <v>101</v>
      </c>
      <c r="J646" s="778" t="n">
        <f aca="false">IF(I646="","",H646/I646)</f>
        <v>891089.108910891</v>
      </c>
      <c r="K646" s="749" t="s">
        <v>2336</v>
      </c>
      <c r="L646" s="774" t="n">
        <v>41787</v>
      </c>
      <c r="M646" s="774" t="n">
        <v>42152</v>
      </c>
      <c r="O646" s="783" t="n">
        <v>3.1</v>
      </c>
      <c r="P646" s="749" t="s">
        <v>2854</v>
      </c>
      <c r="Q646" s="749" t="s">
        <v>2607</v>
      </c>
      <c r="R646" s="811"/>
    </row>
    <row r="647" customFormat="false" ht="16.5" hidden="false" customHeight="true" outlineLevel="0" collapsed="false">
      <c r="A647" s="747" t="s">
        <v>2335</v>
      </c>
      <c r="B647" s="774" t="n">
        <v>41786</v>
      </c>
      <c r="D647" s="749" t="s">
        <v>2372</v>
      </c>
      <c r="E647" s="749" t="s">
        <v>2636</v>
      </c>
      <c r="F647" s="749" t="s">
        <v>2722</v>
      </c>
      <c r="G647" s="798" t="s">
        <v>1267</v>
      </c>
      <c r="H647" s="776" t="n">
        <v>60000000</v>
      </c>
      <c r="I647" s="777" t="n">
        <v>102</v>
      </c>
      <c r="J647" s="778" t="n">
        <f aca="false">IF(I647="","",H647/I647)</f>
        <v>588235.294117647</v>
      </c>
      <c r="K647" s="749" t="s">
        <v>2336</v>
      </c>
      <c r="L647" s="774" t="n">
        <v>41787</v>
      </c>
      <c r="M647" s="774" t="n">
        <v>42152</v>
      </c>
      <c r="O647" s="783" t="n">
        <v>3.16</v>
      </c>
      <c r="P647" s="749" t="s">
        <v>2606</v>
      </c>
      <c r="Q647" s="749" t="s">
        <v>2607</v>
      </c>
      <c r="R647" s="811"/>
    </row>
    <row r="648" customFormat="false" ht="16.5" hidden="false" customHeight="true" outlineLevel="0" collapsed="false">
      <c r="A648" s="747" t="s">
        <v>2335</v>
      </c>
      <c r="B648" s="774" t="n">
        <v>41788</v>
      </c>
      <c r="D648" s="749" t="s">
        <v>2430</v>
      </c>
      <c r="E648" s="749" t="s">
        <v>2851</v>
      </c>
      <c r="F648" s="749" t="s">
        <v>2556</v>
      </c>
      <c r="G648" s="798" t="s">
        <v>1267</v>
      </c>
      <c r="H648" s="776" t="n">
        <v>28800000</v>
      </c>
      <c r="I648" s="777" t="n">
        <v>102</v>
      </c>
      <c r="J648" s="778" t="n">
        <f aca="false">IF(I648="","",H648/I648)</f>
        <v>282352.941176471</v>
      </c>
      <c r="K648" s="749" t="s">
        <v>2336</v>
      </c>
      <c r="L648" s="774" t="n">
        <v>41788</v>
      </c>
      <c r="M648" s="774" t="n">
        <v>42153</v>
      </c>
      <c r="O648" s="783" t="n">
        <v>3.5</v>
      </c>
      <c r="P648" s="749" t="s">
        <v>2606</v>
      </c>
      <c r="Q648" s="749" t="s">
        <v>2607</v>
      </c>
      <c r="R648" s="811"/>
    </row>
    <row r="649" customFormat="false" ht="16.5" hidden="false" customHeight="true" outlineLevel="0" collapsed="false">
      <c r="A649" s="747" t="s">
        <v>2335</v>
      </c>
      <c r="B649" s="774" t="n">
        <v>41793</v>
      </c>
      <c r="D649" s="749" t="s">
        <v>866</v>
      </c>
      <c r="E649" s="749" t="s">
        <v>2415</v>
      </c>
      <c r="F649" s="749" t="s">
        <v>2588</v>
      </c>
      <c r="G649" s="798" t="s">
        <v>1267</v>
      </c>
      <c r="H649" s="776" t="n">
        <v>100000000</v>
      </c>
      <c r="I649" s="777" t="n">
        <v>101</v>
      </c>
      <c r="J649" s="778" t="n">
        <f aca="false">IF(I649="","",H649/I649)</f>
        <v>990099.00990099</v>
      </c>
      <c r="K649" s="749" t="s">
        <v>2460</v>
      </c>
      <c r="L649" s="774" t="n">
        <v>41787</v>
      </c>
      <c r="M649" s="774" t="n">
        <v>42152</v>
      </c>
      <c r="O649" s="783" t="n">
        <v>3.5</v>
      </c>
      <c r="P649" s="749" t="s">
        <v>2606</v>
      </c>
      <c r="Q649" s="749" t="s">
        <v>2607</v>
      </c>
      <c r="R649" s="811"/>
    </row>
    <row r="650" customFormat="false" ht="16.5" hidden="false" customHeight="true" outlineLevel="0" collapsed="false">
      <c r="A650" s="747" t="s">
        <v>2335</v>
      </c>
      <c r="B650" s="774" t="n">
        <v>41799</v>
      </c>
      <c r="D650" s="749" t="s">
        <v>2372</v>
      </c>
      <c r="E650" s="749" t="s">
        <v>2826</v>
      </c>
      <c r="F650" s="749" t="s">
        <v>2734</v>
      </c>
      <c r="G650" s="798" t="s">
        <v>1267</v>
      </c>
      <c r="H650" s="776" t="n">
        <v>50000000</v>
      </c>
      <c r="I650" s="777" t="n">
        <v>101</v>
      </c>
      <c r="J650" s="778" t="n">
        <f aca="false">IF(I650="","",H650/I650)</f>
        <v>495049.504950495</v>
      </c>
      <c r="K650" s="749" t="s">
        <v>2336</v>
      </c>
      <c r="L650" s="774" t="n">
        <v>41799</v>
      </c>
      <c r="M650" s="774" t="n">
        <v>42162</v>
      </c>
      <c r="O650" s="783" t="n">
        <v>3.7</v>
      </c>
      <c r="P650" s="749" t="s">
        <v>2606</v>
      </c>
      <c r="Q650" s="749" t="s">
        <v>2607</v>
      </c>
      <c r="R650" s="811"/>
    </row>
    <row r="651" customFormat="false" ht="16.5" hidden="false" customHeight="true" outlineLevel="0" collapsed="false">
      <c r="A651" s="747" t="s">
        <v>2335</v>
      </c>
      <c r="B651" s="774" t="n">
        <v>41801</v>
      </c>
      <c r="D651" s="749" t="s">
        <v>2375</v>
      </c>
      <c r="E651" s="749" t="s">
        <v>2599</v>
      </c>
      <c r="F651" s="749" t="s">
        <v>2340</v>
      </c>
      <c r="G651" s="798" t="s">
        <v>1267</v>
      </c>
      <c r="H651" s="776" t="n">
        <v>10600000</v>
      </c>
      <c r="I651" s="777" t="n">
        <v>101</v>
      </c>
      <c r="J651" s="778" t="n">
        <f aca="false">IF(I651="","",H651/I651)</f>
        <v>104950.495049505</v>
      </c>
      <c r="K651" s="749" t="s">
        <v>2336</v>
      </c>
      <c r="L651" s="774" t="n">
        <v>41806</v>
      </c>
      <c r="M651" s="774" t="n">
        <v>42171</v>
      </c>
      <c r="O651" s="783" t="n">
        <v>2.4</v>
      </c>
      <c r="P651" s="749" t="s">
        <v>2606</v>
      </c>
      <c r="Q651" s="749" t="s">
        <v>2607</v>
      </c>
      <c r="R651" s="811"/>
    </row>
    <row r="652" customFormat="false" ht="16.5" hidden="false" customHeight="true" outlineLevel="0" collapsed="false">
      <c r="A652" s="747" t="s">
        <v>2335</v>
      </c>
      <c r="B652" s="774" t="n">
        <v>41801</v>
      </c>
      <c r="D652" s="749" t="s">
        <v>2375</v>
      </c>
      <c r="E652" s="749" t="s">
        <v>2599</v>
      </c>
      <c r="F652" s="749" t="s">
        <v>2340</v>
      </c>
      <c r="G652" s="798" t="s">
        <v>1267</v>
      </c>
      <c r="H652" s="776" t="n">
        <v>21240000</v>
      </c>
      <c r="I652" s="777" t="n">
        <v>101</v>
      </c>
      <c r="J652" s="778" t="n">
        <f aca="false">IF(I652="","",H652/I652)</f>
        <v>210297.02970297</v>
      </c>
      <c r="K652" s="749" t="s">
        <v>2336</v>
      </c>
      <c r="L652" s="774" t="n">
        <v>41806</v>
      </c>
      <c r="M652" s="774" t="n">
        <v>42171</v>
      </c>
      <c r="O652" s="783" t="n">
        <v>2.4</v>
      </c>
      <c r="P652" s="749" t="s">
        <v>2606</v>
      </c>
      <c r="Q652" s="749" t="s">
        <v>2607</v>
      </c>
      <c r="R652" s="811"/>
    </row>
    <row r="653" customFormat="false" ht="16.5" hidden="false" customHeight="true" outlineLevel="0" collapsed="false">
      <c r="A653" s="747" t="s">
        <v>2335</v>
      </c>
      <c r="B653" s="774" t="n">
        <v>41806</v>
      </c>
      <c r="D653" s="749" t="s">
        <v>103</v>
      </c>
      <c r="E653" s="749" t="s">
        <v>2855</v>
      </c>
      <c r="F653" s="749" t="s">
        <v>2394</v>
      </c>
      <c r="G653" s="798" t="s">
        <v>1267</v>
      </c>
      <c r="H653" s="776" t="n">
        <v>28000000</v>
      </c>
      <c r="I653" s="777" t="n">
        <v>101</v>
      </c>
      <c r="J653" s="778" t="n">
        <f aca="false">IF(I653="","",H653/I653)</f>
        <v>277227.722772277</v>
      </c>
      <c r="K653" s="749" t="s">
        <v>2336</v>
      </c>
      <c r="L653" s="774" t="n">
        <v>41808</v>
      </c>
      <c r="M653" s="774" t="n">
        <v>42173</v>
      </c>
      <c r="O653" s="783" t="n">
        <v>4.13</v>
      </c>
      <c r="P653" s="749" t="s">
        <v>2606</v>
      </c>
      <c r="Q653" s="749" t="s">
        <v>2607</v>
      </c>
      <c r="R653" s="811"/>
    </row>
    <row r="654" customFormat="false" ht="16.5" hidden="false" customHeight="true" outlineLevel="0" collapsed="false">
      <c r="A654" s="747" t="s">
        <v>2335</v>
      </c>
      <c r="B654" s="774" t="n">
        <v>41808</v>
      </c>
      <c r="D654" s="749" t="s">
        <v>2375</v>
      </c>
      <c r="E654" s="749" t="s">
        <v>2599</v>
      </c>
      <c r="F654" s="749" t="s">
        <v>2741</v>
      </c>
      <c r="G654" s="798" t="s">
        <v>1267</v>
      </c>
      <c r="H654" s="776" t="n">
        <v>30000000</v>
      </c>
      <c r="I654" s="777" t="n">
        <v>101</v>
      </c>
      <c r="J654" s="778" t="n">
        <f aca="false">IF(I654="","",H654/I654)</f>
        <v>297029.702970297</v>
      </c>
      <c r="K654" s="749" t="s">
        <v>2460</v>
      </c>
      <c r="L654" s="774" t="n">
        <v>41809</v>
      </c>
      <c r="M654" s="774" t="n">
        <v>42177</v>
      </c>
      <c r="O654" s="783" t="n">
        <v>7</v>
      </c>
      <c r="P654" s="749" t="s">
        <v>2606</v>
      </c>
      <c r="Q654" s="749" t="s">
        <v>2607</v>
      </c>
      <c r="R654" s="811"/>
    </row>
    <row r="655" customFormat="false" ht="16.5" hidden="false" customHeight="true" outlineLevel="0" collapsed="false">
      <c r="A655" s="747" t="s">
        <v>2335</v>
      </c>
      <c r="B655" s="774" t="n">
        <v>41808</v>
      </c>
      <c r="D655" s="749" t="s">
        <v>162</v>
      </c>
      <c r="E655" s="749" t="s">
        <v>2864</v>
      </c>
      <c r="F655" s="749" t="s">
        <v>2865</v>
      </c>
      <c r="G655" s="798" t="s">
        <v>1267</v>
      </c>
      <c r="H655" s="776" t="n">
        <v>136700000</v>
      </c>
      <c r="I655" s="777" t="n">
        <v>101</v>
      </c>
      <c r="J655" s="778" t="n">
        <f aca="false">IF(I655="","",H655/I655)</f>
        <v>1353465.34653465</v>
      </c>
      <c r="K655" s="749" t="s">
        <v>2336</v>
      </c>
      <c r="L655" s="774" t="n">
        <v>41810</v>
      </c>
      <c r="M655" s="774" t="n">
        <v>42178</v>
      </c>
      <c r="O655" s="783" t="n">
        <v>3.48</v>
      </c>
      <c r="P655" s="749" t="s">
        <v>2606</v>
      </c>
      <c r="Q655" s="749" t="s">
        <v>2607</v>
      </c>
      <c r="R655" s="811"/>
    </row>
    <row r="656" customFormat="false" ht="16.5" hidden="false" customHeight="true" outlineLevel="0" collapsed="false">
      <c r="A656" s="747" t="s">
        <v>2335</v>
      </c>
      <c r="B656" s="774" t="n">
        <v>41808</v>
      </c>
      <c r="D656" s="749" t="s">
        <v>162</v>
      </c>
      <c r="E656" s="749" t="s">
        <v>2864</v>
      </c>
      <c r="F656" s="749" t="s">
        <v>2865</v>
      </c>
      <c r="G656" s="798" t="s">
        <v>1267</v>
      </c>
      <c r="H656" s="776" t="n">
        <v>33300000</v>
      </c>
      <c r="I656" s="777" t="n">
        <v>101</v>
      </c>
      <c r="J656" s="778" t="n">
        <f aca="false">IF(I656="","",H656/I656)</f>
        <v>329702.97029703</v>
      </c>
      <c r="K656" s="749" t="s">
        <v>2336</v>
      </c>
      <c r="L656" s="774" t="n">
        <v>41810</v>
      </c>
      <c r="M656" s="774" t="n">
        <v>42178</v>
      </c>
      <c r="O656" s="783" t="n">
        <v>3.48</v>
      </c>
      <c r="P656" s="749" t="s">
        <v>2606</v>
      </c>
      <c r="Q656" s="749" t="s">
        <v>2607</v>
      </c>
      <c r="R656" s="811"/>
    </row>
    <row r="657" customFormat="false" ht="16.5" hidden="false" customHeight="true" outlineLevel="0" collapsed="false">
      <c r="A657" s="747" t="s">
        <v>2335</v>
      </c>
      <c r="B657" s="774" t="n">
        <v>41809</v>
      </c>
      <c r="D657" s="749" t="s">
        <v>2344</v>
      </c>
      <c r="E657" s="749" t="s">
        <v>2866</v>
      </c>
      <c r="F657" s="749" t="s">
        <v>2408</v>
      </c>
      <c r="G657" s="798" t="s">
        <v>1267</v>
      </c>
      <c r="H657" s="776" t="n">
        <v>60000000</v>
      </c>
      <c r="I657" s="777" t="n">
        <v>101</v>
      </c>
      <c r="J657" s="778" t="n">
        <f aca="false">IF(I657="","",H657/I657)</f>
        <v>594059.405940594</v>
      </c>
      <c r="K657" s="749" t="s">
        <v>2336</v>
      </c>
      <c r="L657" s="774" t="n">
        <v>41820</v>
      </c>
      <c r="M657" s="774" t="n">
        <v>42184</v>
      </c>
      <c r="O657" s="783" t="n">
        <v>2.69</v>
      </c>
      <c r="P657" s="749" t="s">
        <v>2606</v>
      </c>
      <c r="Q657" s="749" t="s">
        <v>2607</v>
      </c>
      <c r="R657" s="811"/>
    </row>
    <row r="658" customFormat="false" ht="16.5" hidden="false" customHeight="true" outlineLevel="0" collapsed="false">
      <c r="A658" s="747" t="s">
        <v>2335</v>
      </c>
      <c r="B658" s="774" t="n">
        <v>41809</v>
      </c>
      <c r="D658" s="749" t="s">
        <v>2375</v>
      </c>
      <c r="E658" s="749" t="s">
        <v>2863</v>
      </c>
      <c r="F658" s="749" t="s">
        <v>2377</v>
      </c>
      <c r="G658" s="798" t="s">
        <v>1267</v>
      </c>
      <c r="H658" s="776" t="n">
        <v>59600000</v>
      </c>
      <c r="I658" s="777" t="n">
        <v>101</v>
      </c>
      <c r="J658" s="778" t="n">
        <f aca="false">IF(I658="","",H658/I658)</f>
        <v>590099.00990099</v>
      </c>
      <c r="K658" s="749" t="s">
        <v>2336</v>
      </c>
      <c r="L658" s="774" t="n">
        <v>41813</v>
      </c>
      <c r="M658" s="774" t="n">
        <v>42178</v>
      </c>
      <c r="O658" s="783" t="n">
        <v>3.4</v>
      </c>
      <c r="P658" s="749" t="s">
        <v>2606</v>
      </c>
      <c r="Q658" s="749" t="s">
        <v>2607</v>
      </c>
      <c r="R658" s="811"/>
    </row>
    <row r="659" customFormat="false" ht="16.5" hidden="false" customHeight="true" outlineLevel="0" collapsed="false">
      <c r="A659" s="747" t="s">
        <v>2335</v>
      </c>
      <c r="B659" s="774" t="n">
        <v>41813</v>
      </c>
      <c r="D659" s="749" t="s">
        <v>2364</v>
      </c>
      <c r="E659" s="749" t="s">
        <v>2867</v>
      </c>
      <c r="F659" s="749" t="s">
        <v>2366</v>
      </c>
      <c r="G659" s="798" t="s">
        <v>1267</v>
      </c>
      <c r="H659" s="776" t="n">
        <v>20400000</v>
      </c>
      <c r="I659" s="777" t="n">
        <v>101</v>
      </c>
      <c r="J659" s="778" t="n">
        <f aca="false">IF(I659="","",H659/I659)</f>
        <v>201980.198019802</v>
      </c>
      <c r="K659" s="749" t="s">
        <v>2460</v>
      </c>
      <c r="L659" s="774" t="n">
        <v>41813</v>
      </c>
      <c r="M659" s="774" t="n">
        <v>42178</v>
      </c>
      <c r="O659" s="783" t="n">
        <v>4.18</v>
      </c>
      <c r="P659" s="749" t="s">
        <v>2606</v>
      </c>
      <c r="Q659" s="749" t="s">
        <v>2607</v>
      </c>
      <c r="R659" s="811"/>
    </row>
    <row r="660" customFormat="false" ht="16.5" hidden="false" customHeight="true" outlineLevel="0" collapsed="false">
      <c r="A660" s="747" t="s">
        <v>2335</v>
      </c>
      <c r="B660" s="774" t="n">
        <v>41813</v>
      </c>
      <c r="D660" s="749" t="s">
        <v>2868</v>
      </c>
      <c r="E660" s="749" t="s">
        <v>2869</v>
      </c>
      <c r="F660" s="749" t="s">
        <v>2397</v>
      </c>
      <c r="G660" s="798" t="s">
        <v>1267</v>
      </c>
      <c r="H660" s="776" t="n">
        <v>50000000</v>
      </c>
      <c r="I660" s="777" t="n">
        <v>101</v>
      </c>
      <c r="J660" s="778" t="n">
        <f aca="false">IF(I660="","",H660/I660)</f>
        <v>495049.504950495</v>
      </c>
      <c r="K660" s="749" t="s">
        <v>2336</v>
      </c>
      <c r="L660" s="774" t="n">
        <v>41813</v>
      </c>
      <c r="M660" s="774" t="n">
        <v>42176</v>
      </c>
      <c r="O660" s="783" t="n">
        <v>4.9</v>
      </c>
      <c r="P660" s="749" t="s">
        <v>2606</v>
      </c>
      <c r="Q660" s="749" t="s">
        <v>2607</v>
      </c>
      <c r="R660" s="811"/>
    </row>
    <row r="661" customFormat="false" ht="16.5" hidden="false" customHeight="true" outlineLevel="0" collapsed="false">
      <c r="A661" s="747" t="s">
        <v>2335</v>
      </c>
      <c r="B661" s="774" t="n">
        <v>41814</v>
      </c>
      <c r="D661" s="798" t="s">
        <v>2403</v>
      </c>
      <c r="E661" s="749" t="s">
        <v>2830</v>
      </c>
      <c r="F661" s="749" t="s">
        <v>2405</v>
      </c>
      <c r="G661" s="798" t="s">
        <v>1267</v>
      </c>
      <c r="H661" s="776" t="n">
        <v>35100000</v>
      </c>
      <c r="I661" s="777" t="n">
        <v>101</v>
      </c>
      <c r="J661" s="778" t="n">
        <f aca="false">IF(I661="","",H661/I661)</f>
        <v>347524.752475248</v>
      </c>
      <c r="K661" s="749" t="s">
        <v>2336</v>
      </c>
      <c r="L661" s="774" t="n">
        <v>41817</v>
      </c>
      <c r="M661" s="774" t="n">
        <v>42184</v>
      </c>
      <c r="O661" s="783" t="n">
        <v>2.8</v>
      </c>
      <c r="P661" s="749" t="s">
        <v>2606</v>
      </c>
      <c r="Q661" s="749" t="s">
        <v>2607</v>
      </c>
      <c r="R661" s="811"/>
    </row>
    <row r="662" customFormat="false" ht="16.5" hidden="false" customHeight="true" outlineLevel="0" collapsed="false">
      <c r="A662" s="747" t="s">
        <v>2335</v>
      </c>
      <c r="B662" s="774" t="n">
        <v>41814</v>
      </c>
      <c r="D662" s="798" t="s">
        <v>2403</v>
      </c>
      <c r="E662" s="749" t="s">
        <v>2830</v>
      </c>
      <c r="F662" s="749" t="s">
        <v>2405</v>
      </c>
      <c r="G662" s="798" t="s">
        <v>1267</v>
      </c>
      <c r="H662" s="776" t="n">
        <v>23000000</v>
      </c>
      <c r="I662" s="777" t="n">
        <v>101</v>
      </c>
      <c r="J662" s="778" t="n">
        <f aca="false">IF(I662="","",H662/I662)</f>
        <v>227722.772277228</v>
      </c>
      <c r="K662" s="749" t="s">
        <v>2460</v>
      </c>
      <c r="L662" s="774" t="n">
        <v>41817</v>
      </c>
      <c r="M662" s="774" t="n">
        <v>42184</v>
      </c>
      <c r="O662" s="783" t="n">
        <v>2.8</v>
      </c>
      <c r="P662" s="749" t="s">
        <v>2606</v>
      </c>
      <c r="Q662" s="749" t="s">
        <v>2607</v>
      </c>
      <c r="R662" s="811"/>
    </row>
    <row r="663" customFormat="false" ht="16.5" hidden="false" customHeight="true" outlineLevel="0" collapsed="false">
      <c r="A663" s="747" t="s">
        <v>2335</v>
      </c>
      <c r="B663" s="774" t="n">
        <v>41814</v>
      </c>
      <c r="D663" s="749" t="s">
        <v>866</v>
      </c>
      <c r="E663" s="749" t="s">
        <v>2359</v>
      </c>
      <c r="F663" s="749" t="s">
        <v>2870</v>
      </c>
      <c r="G663" s="798" t="s">
        <v>1267</v>
      </c>
      <c r="H663" s="776" t="n">
        <v>1555000000</v>
      </c>
      <c r="I663" s="777" t="n">
        <v>101</v>
      </c>
      <c r="J663" s="778" t="n">
        <f aca="false">IF(I663="","",H663/I663)</f>
        <v>15396039.6039604</v>
      </c>
      <c r="K663" s="749" t="s">
        <v>2460</v>
      </c>
      <c r="L663" s="774" t="n">
        <v>41817</v>
      </c>
      <c r="M663" s="774" t="n">
        <v>42182</v>
      </c>
      <c r="O663" s="783" t="n">
        <v>3.8</v>
      </c>
      <c r="P663" s="749" t="s">
        <v>2606</v>
      </c>
      <c r="Q663" s="749" t="s">
        <v>2607</v>
      </c>
      <c r="R663" s="811"/>
    </row>
    <row r="664" customFormat="false" ht="16.5" hidden="false" customHeight="true" outlineLevel="0" collapsed="false">
      <c r="A664" s="747" t="s">
        <v>2335</v>
      </c>
      <c r="B664" s="774" t="n">
        <v>41821</v>
      </c>
      <c r="D664" s="749" t="s">
        <v>201</v>
      </c>
      <c r="E664" s="749" t="s">
        <v>2871</v>
      </c>
      <c r="F664" s="749" t="s">
        <v>2412</v>
      </c>
      <c r="G664" s="798" t="s">
        <v>2136</v>
      </c>
      <c r="H664" s="776" t="n">
        <v>384000</v>
      </c>
      <c r="I664" s="777" t="n">
        <v>1</v>
      </c>
      <c r="J664" s="778" t="n">
        <f aca="false">IF(I664="","",H664/I664)</f>
        <v>384000</v>
      </c>
      <c r="K664" s="749" t="s">
        <v>2460</v>
      </c>
      <c r="L664" s="774" t="n">
        <v>41822</v>
      </c>
      <c r="M664" s="774" t="n">
        <v>42187</v>
      </c>
      <c r="O664" s="783" t="n">
        <v>3</v>
      </c>
      <c r="P664" s="749" t="s">
        <v>2606</v>
      </c>
      <c r="Q664" s="749" t="s">
        <v>2607</v>
      </c>
      <c r="R664" s="811"/>
    </row>
    <row r="665" customFormat="false" ht="16.5" hidden="false" customHeight="true" outlineLevel="0" collapsed="false">
      <c r="A665" s="747" t="s">
        <v>2335</v>
      </c>
      <c r="B665" s="774" t="n">
        <v>41827</v>
      </c>
      <c r="D665" s="798" t="s">
        <v>2403</v>
      </c>
      <c r="E665" s="749" t="s">
        <v>2833</v>
      </c>
      <c r="F665" s="749" t="s">
        <v>2410</v>
      </c>
      <c r="G665" s="798" t="s">
        <v>2816</v>
      </c>
      <c r="H665" s="776" t="n">
        <v>42000000</v>
      </c>
      <c r="I665" s="777" t="n">
        <v>101</v>
      </c>
      <c r="J665" s="778" t="n">
        <f aca="false">IF(I665="","",H665/I665)</f>
        <v>415841.584158416</v>
      </c>
      <c r="K665" s="749" t="s">
        <v>2460</v>
      </c>
      <c r="L665" s="774" t="n">
        <v>41827</v>
      </c>
      <c r="M665" s="774" t="n">
        <v>42192</v>
      </c>
      <c r="O665" s="783" t="n">
        <v>2.9</v>
      </c>
      <c r="P665" s="749" t="s">
        <v>2606</v>
      </c>
      <c r="Q665" s="749" t="s">
        <v>2607</v>
      </c>
      <c r="R665" s="811"/>
    </row>
    <row r="666" customFormat="false" ht="16.5" hidden="false" customHeight="true" outlineLevel="0" collapsed="false">
      <c r="A666" s="747" t="s">
        <v>2335</v>
      </c>
      <c r="B666" s="774" t="n">
        <v>41836</v>
      </c>
      <c r="D666" s="749" t="s">
        <v>162</v>
      </c>
      <c r="E666" s="749" t="s">
        <v>2834</v>
      </c>
      <c r="F666" s="749" t="s">
        <v>2437</v>
      </c>
      <c r="G666" s="798" t="s">
        <v>1267</v>
      </c>
      <c r="H666" s="776" t="n">
        <v>70000000</v>
      </c>
      <c r="I666" s="777" t="n">
        <v>101</v>
      </c>
      <c r="J666" s="778" t="n">
        <f aca="false">IF(I666="","",H666/I666)</f>
        <v>693069.306930693</v>
      </c>
      <c r="K666" s="749" t="s">
        <v>2460</v>
      </c>
      <c r="L666" s="774" t="n">
        <v>41838</v>
      </c>
      <c r="M666" s="774" t="n">
        <v>42203</v>
      </c>
      <c r="O666" s="783" t="n">
        <v>3.3</v>
      </c>
      <c r="P666" s="749" t="s">
        <v>2606</v>
      </c>
      <c r="Q666" s="749" t="s">
        <v>2607</v>
      </c>
      <c r="R666" s="811"/>
    </row>
    <row r="667" customFormat="false" ht="16.5" hidden="false" customHeight="true" outlineLevel="0" collapsed="false">
      <c r="A667" s="747" t="s">
        <v>2190</v>
      </c>
      <c r="B667" s="774" t="n">
        <v>41838</v>
      </c>
      <c r="D667" s="749" t="s">
        <v>103</v>
      </c>
      <c r="E667" s="749" t="s">
        <v>2739</v>
      </c>
      <c r="F667" s="749" t="s">
        <v>2872</v>
      </c>
      <c r="G667" s="798" t="s">
        <v>2136</v>
      </c>
      <c r="H667" s="776" t="n">
        <v>1000000</v>
      </c>
      <c r="I667" s="777" t="n">
        <v>1</v>
      </c>
      <c r="J667" s="778" t="n">
        <f aca="false">IF(I667="","",H667/I667)</f>
        <v>1000000</v>
      </c>
      <c r="K667" s="749" t="s">
        <v>2336</v>
      </c>
      <c r="L667" s="774" t="n">
        <v>41838</v>
      </c>
      <c r="M667" s="774" t="n">
        <v>42203</v>
      </c>
      <c r="O667" s="801" t="n">
        <v>3.91</v>
      </c>
      <c r="P667" s="749" t="s">
        <v>2606</v>
      </c>
      <c r="Q667" s="749" t="s">
        <v>2607</v>
      </c>
      <c r="R667" s="811"/>
    </row>
    <row r="668" customFormat="false" ht="16.5" hidden="false" customHeight="true" outlineLevel="0" collapsed="false">
      <c r="A668" s="747" t="s">
        <v>2335</v>
      </c>
      <c r="B668" s="774" t="n">
        <v>41842</v>
      </c>
      <c r="D668" s="749" t="s">
        <v>866</v>
      </c>
      <c r="E668" s="749" t="s">
        <v>2415</v>
      </c>
      <c r="F668" s="749" t="s">
        <v>2429</v>
      </c>
      <c r="G668" s="798" t="s">
        <v>1267</v>
      </c>
      <c r="H668" s="776" t="n">
        <v>80500000</v>
      </c>
      <c r="I668" s="777" t="n">
        <v>101</v>
      </c>
      <c r="J668" s="778" t="n">
        <f aca="false">IF(I668="","",H668/I668)</f>
        <v>797029.702970297</v>
      </c>
      <c r="K668" s="749" t="s">
        <v>2460</v>
      </c>
      <c r="L668" s="774" t="n">
        <v>41835</v>
      </c>
      <c r="M668" s="774" t="n">
        <v>42200</v>
      </c>
      <c r="O668" s="783" t="n">
        <v>3.7</v>
      </c>
      <c r="P668" s="749" t="s">
        <v>2606</v>
      </c>
      <c r="Q668" s="749" t="s">
        <v>2607</v>
      </c>
      <c r="R668" s="811"/>
    </row>
    <row r="669" customFormat="false" ht="16.5" hidden="false" customHeight="true" outlineLevel="0" collapsed="false">
      <c r="A669" s="747" t="s">
        <v>2335</v>
      </c>
      <c r="B669" s="774" t="n">
        <v>41844</v>
      </c>
      <c r="D669" s="749" t="s">
        <v>2367</v>
      </c>
      <c r="E669" s="749" t="s">
        <v>2443</v>
      </c>
      <c r="F669" s="749" t="s">
        <v>2755</v>
      </c>
      <c r="G669" s="798" t="s">
        <v>1267</v>
      </c>
      <c r="H669" s="776" t="n">
        <v>27330000</v>
      </c>
      <c r="I669" s="777" t="n">
        <v>101</v>
      </c>
      <c r="J669" s="778" t="n">
        <f aca="false">IF(I669="","",H669/I669)</f>
        <v>270594.059405941</v>
      </c>
      <c r="K669" s="749" t="s">
        <v>2336</v>
      </c>
      <c r="L669" s="774" t="n">
        <v>41855</v>
      </c>
      <c r="M669" s="774" t="n">
        <v>42220</v>
      </c>
      <c r="O669" s="783" t="n">
        <v>3.46</v>
      </c>
      <c r="P669" s="749" t="s">
        <v>2854</v>
      </c>
      <c r="Q669" s="749" t="s">
        <v>2607</v>
      </c>
      <c r="R669" s="811"/>
    </row>
    <row r="670" customFormat="false" ht="16.5" hidden="false" customHeight="true" outlineLevel="0" collapsed="false">
      <c r="A670" s="747" t="s">
        <v>2335</v>
      </c>
      <c r="B670" s="774" t="n">
        <v>41845</v>
      </c>
      <c r="D670" s="749" t="s">
        <v>2398</v>
      </c>
      <c r="E670" s="749" t="s">
        <v>2873</v>
      </c>
      <c r="F670" s="749" t="s">
        <v>2448</v>
      </c>
      <c r="G670" s="798" t="s">
        <v>2136</v>
      </c>
      <c r="H670" s="776" t="n">
        <v>150000</v>
      </c>
      <c r="I670" s="777" t="n">
        <v>1</v>
      </c>
      <c r="J670" s="778" t="n">
        <f aca="false">IF(I670="","",H670/I670)</f>
        <v>150000</v>
      </c>
      <c r="K670" s="749" t="s">
        <v>2460</v>
      </c>
      <c r="L670" s="774" t="n">
        <v>41845</v>
      </c>
      <c r="M670" s="774" t="n">
        <v>42241</v>
      </c>
      <c r="O670" s="783" t="n">
        <v>3.5</v>
      </c>
      <c r="P670" s="749" t="s">
        <v>2854</v>
      </c>
      <c r="Q670" s="749" t="s">
        <v>2607</v>
      </c>
      <c r="R670" s="811"/>
    </row>
    <row r="671" customFormat="false" ht="16.5" hidden="false" customHeight="true" outlineLevel="0" collapsed="false">
      <c r="A671" s="747" t="s">
        <v>2335</v>
      </c>
      <c r="B671" s="774" t="n">
        <v>41852</v>
      </c>
      <c r="D671" s="749" t="s">
        <v>2697</v>
      </c>
      <c r="E671" s="749" t="s">
        <v>2665</v>
      </c>
      <c r="F671" s="749" t="s">
        <v>2756</v>
      </c>
      <c r="G671" s="798" t="s">
        <v>1267</v>
      </c>
      <c r="H671" s="776" t="n">
        <v>19970000</v>
      </c>
      <c r="I671" s="777" t="n">
        <v>101</v>
      </c>
      <c r="J671" s="778" t="n">
        <f aca="false">IF(I671="","",H671/I671)</f>
        <v>197722.772277228</v>
      </c>
      <c r="K671" s="749" t="s">
        <v>2336</v>
      </c>
      <c r="L671" s="774" t="n">
        <v>41854</v>
      </c>
      <c r="M671" s="774" t="n">
        <v>42219</v>
      </c>
      <c r="O671" s="783" t="n">
        <v>3.5</v>
      </c>
      <c r="P671" s="749" t="s">
        <v>2606</v>
      </c>
      <c r="Q671" s="749" t="s">
        <v>2607</v>
      </c>
      <c r="R671" s="811"/>
    </row>
    <row r="672" customFormat="false" ht="16.5" hidden="false" customHeight="true" outlineLevel="0" collapsed="false">
      <c r="A672" s="747" t="s">
        <v>2335</v>
      </c>
      <c r="B672" s="774" t="n">
        <v>41855</v>
      </c>
      <c r="D672" s="749" t="s">
        <v>1184</v>
      </c>
      <c r="E672" s="749" t="s">
        <v>2800</v>
      </c>
      <c r="F672" s="749" t="s">
        <v>2620</v>
      </c>
      <c r="G672" s="798" t="s">
        <v>2136</v>
      </c>
      <c r="H672" s="776" t="n">
        <v>1700000</v>
      </c>
      <c r="I672" s="777" t="n">
        <v>1</v>
      </c>
      <c r="J672" s="778" t="n">
        <f aca="false">IF(I672="","",H672/I672)</f>
        <v>1700000</v>
      </c>
      <c r="K672" s="749" t="s">
        <v>2336</v>
      </c>
      <c r="L672" s="774" t="n">
        <v>41855</v>
      </c>
      <c r="M672" s="774" t="n">
        <v>42039</v>
      </c>
      <c r="O672" s="783" t="n">
        <v>1.72</v>
      </c>
      <c r="P672" s="749" t="s">
        <v>2606</v>
      </c>
      <c r="Q672" s="749" t="s">
        <v>2607</v>
      </c>
      <c r="R672" s="811"/>
    </row>
    <row r="673" customFormat="false" ht="16.5" hidden="false" customHeight="true" outlineLevel="0" collapsed="false">
      <c r="A673" s="747" t="s">
        <v>2335</v>
      </c>
      <c r="B673" s="774" t="n">
        <v>41855</v>
      </c>
      <c r="D673" s="749" t="s">
        <v>1184</v>
      </c>
      <c r="E673" s="749" t="s">
        <v>2800</v>
      </c>
      <c r="F673" s="749" t="s">
        <v>2620</v>
      </c>
      <c r="G673" s="798" t="s">
        <v>2136</v>
      </c>
      <c r="H673" s="776" t="n">
        <v>2000000</v>
      </c>
      <c r="I673" s="777" t="n">
        <v>1</v>
      </c>
      <c r="J673" s="778" t="n">
        <f aca="false">IF(I673="","",H673/I673)</f>
        <v>2000000</v>
      </c>
      <c r="K673" s="749" t="s">
        <v>2336</v>
      </c>
      <c r="L673" s="774" t="n">
        <v>41855</v>
      </c>
      <c r="M673" s="774" t="n">
        <v>42037</v>
      </c>
      <c r="O673" s="783" t="n">
        <v>1.72</v>
      </c>
      <c r="P673" s="749" t="s">
        <v>2606</v>
      </c>
      <c r="Q673" s="749" t="s">
        <v>2607</v>
      </c>
      <c r="R673" s="811"/>
    </row>
    <row r="674" customFormat="false" ht="16.5" hidden="false" customHeight="true" outlineLevel="0" collapsed="false">
      <c r="A674" s="747" t="s">
        <v>2335</v>
      </c>
      <c r="B674" s="774" t="n">
        <v>41856</v>
      </c>
      <c r="D674" s="749" t="s">
        <v>96</v>
      </c>
      <c r="E674" s="749" t="s">
        <v>2874</v>
      </c>
      <c r="F674" s="749" t="s">
        <v>2841</v>
      </c>
      <c r="G674" s="798" t="s">
        <v>1267</v>
      </c>
      <c r="H674" s="776" t="n">
        <v>20000000</v>
      </c>
      <c r="I674" s="777" t="n">
        <v>102</v>
      </c>
      <c r="J674" s="778" t="n">
        <f aca="false">IF(I674="","",H674/I674)</f>
        <v>196078.431372549</v>
      </c>
      <c r="K674" s="749" t="s">
        <v>2336</v>
      </c>
      <c r="L674" s="774" t="n">
        <v>41858</v>
      </c>
      <c r="M674" s="774" t="n">
        <v>42223</v>
      </c>
      <c r="O674" s="783" t="n">
        <v>3.48</v>
      </c>
      <c r="P674" s="749" t="s">
        <v>2606</v>
      </c>
      <c r="Q674" s="749" t="s">
        <v>2607</v>
      </c>
      <c r="R674" s="811"/>
    </row>
    <row r="675" customFormat="false" ht="16.5" hidden="false" customHeight="true" outlineLevel="0" collapsed="false">
      <c r="A675" s="747" t="s">
        <v>2335</v>
      </c>
      <c r="B675" s="774" t="n">
        <v>41856</v>
      </c>
      <c r="D675" s="749" t="s">
        <v>2344</v>
      </c>
      <c r="E675" s="749" t="s">
        <v>2875</v>
      </c>
      <c r="F675" s="749" t="s">
        <v>2346</v>
      </c>
      <c r="G675" s="798" t="s">
        <v>1267</v>
      </c>
      <c r="H675" s="776" t="n">
        <v>49500000</v>
      </c>
      <c r="I675" s="777" t="n">
        <v>102</v>
      </c>
      <c r="J675" s="778" t="n">
        <f aca="false">IF(I675="","",H675/I675)</f>
        <v>485294.117647059</v>
      </c>
      <c r="K675" s="749" t="s">
        <v>2336</v>
      </c>
      <c r="L675" s="774" t="n">
        <v>41856</v>
      </c>
      <c r="M675" s="774" t="n">
        <v>42221</v>
      </c>
      <c r="O675" s="783" t="n">
        <v>4</v>
      </c>
      <c r="P675" s="749" t="s">
        <v>2606</v>
      </c>
      <c r="Q675" s="749" t="s">
        <v>2607</v>
      </c>
      <c r="R675" s="811"/>
    </row>
    <row r="676" customFormat="false" ht="16.5" hidden="false" customHeight="true" outlineLevel="0" collapsed="false">
      <c r="A676" s="747" t="s">
        <v>2335</v>
      </c>
      <c r="B676" s="774" t="n">
        <v>41869</v>
      </c>
      <c r="D676" s="749" t="s">
        <v>2372</v>
      </c>
      <c r="E676" s="749" t="s">
        <v>2826</v>
      </c>
      <c r="F676" s="749" t="s">
        <v>2765</v>
      </c>
      <c r="G676" s="798" t="s">
        <v>1267</v>
      </c>
      <c r="H676" s="776" t="n">
        <v>63700000</v>
      </c>
      <c r="I676" s="777" t="n">
        <v>102</v>
      </c>
      <c r="J676" s="778" t="n">
        <f aca="false">IF(I676="","",H676/I676)</f>
        <v>624509.803921569</v>
      </c>
      <c r="K676" s="749" t="s">
        <v>2460</v>
      </c>
      <c r="L676" s="774" t="n">
        <v>41871</v>
      </c>
      <c r="M676" s="774" t="n">
        <v>42236</v>
      </c>
      <c r="O676" s="783" t="n">
        <v>3.35</v>
      </c>
      <c r="P676" s="749" t="s">
        <v>2606</v>
      </c>
      <c r="Q676" s="749" t="s">
        <v>2607</v>
      </c>
      <c r="R676" s="811"/>
    </row>
    <row r="677" customFormat="false" ht="16.5" hidden="false" customHeight="true" outlineLevel="0" collapsed="false">
      <c r="A677" s="747" t="s">
        <v>2335</v>
      </c>
      <c r="B677" s="774" t="n">
        <v>41883</v>
      </c>
      <c r="D677" s="749" t="s">
        <v>2372</v>
      </c>
      <c r="E677" s="749" t="s">
        <v>2636</v>
      </c>
      <c r="F677" s="749" t="s">
        <v>2842</v>
      </c>
      <c r="G677" s="798" t="s">
        <v>1267</v>
      </c>
      <c r="H677" s="776" t="n">
        <v>31000000</v>
      </c>
      <c r="I677" s="777" t="n">
        <v>105</v>
      </c>
      <c r="J677" s="778" t="n">
        <f aca="false">IF(I677="","",H677/I677)</f>
        <v>295238.095238095</v>
      </c>
      <c r="K677" s="749" t="s">
        <v>2460</v>
      </c>
      <c r="L677" s="774" t="n">
        <v>41883</v>
      </c>
      <c r="M677" s="774" t="n">
        <v>42248</v>
      </c>
      <c r="O677" s="783" t="n">
        <v>2.97</v>
      </c>
      <c r="P677" s="749" t="s">
        <v>2606</v>
      </c>
      <c r="Q677" s="749" t="s">
        <v>2607</v>
      </c>
      <c r="R677" s="811"/>
    </row>
    <row r="678" customFormat="false" ht="16.5" hidden="false" customHeight="true" outlineLevel="0" collapsed="false">
      <c r="A678" s="747" t="s">
        <v>2335</v>
      </c>
      <c r="B678" s="774" t="n">
        <v>41884</v>
      </c>
      <c r="D678" s="749" t="s">
        <v>866</v>
      </c>
      <c r="E678" s="749" t="s">
        <v>2415</v>
      </c>
      <c r="F678" s="749" t="s">
        <v>2457</v>
      </c>
      <c r="G678" s="798" t="s">
        <v>1267</v>
      </c>
      <c r="H678" s="776" t="n">
        <v>25000000</v>
      </c>
      <c r="I678" s="777" t="n">
        <v>105</v>
      </c>
      <c r="J678" s="778" t="n">
        <f aca="false">IF(I678="","",H678/I678)</f>
        <v>238095.238095238</v>
      </c>
      <c r="K678" s="749" t="s">
        <v>2460</v>
      </c>
      <c r="L678" s="774" t="n">
        <v>41880</v>
      </c>
      <c r="M678" s="774" t="n">
        <v>42245</v>
      </c>
      <c r="O678" s="783" t="n">
        <v>3.17</v>
      </c>
      <c r="P678" s="749" t="s">
        <v>2606</v>
      </c>
      <c r="Q678" s="749" t="s">
        <v>2607</v>
      </c>
      <c r="R678" s="811"/>
    </row>
    <row r="679" customFormat="false" ht="16.5" hidden="false" customHeight="true" outlineLevel="0" collapsed="false">
      <c r="A679" s="747" t="s">
        <v>2335</v>
      </c>
      <c r="B679" s="774" t="n">
        <v>41905</v>
      </c>
      <c r="D679" s="749" t="s">
        <v>2398</v>
      </c>
      <c r="E679" s="749" t="s">
        <v>2873</v>
      </c>
      <c r="F679" s="749" t="s">
        <v>2448</v>
      </c>
      <c r="G679" s="798" t="s">
        <v>2136</v>
      </c>
      <c r="H679" s="776" t="n">
        <v>150000</v>
      </c>
      <c r="I679" s="777" t="n">
        <v>1</v>
      </c>
      <c r="J679" s="778" t="n">
        <f aca="false">IF(I679="","",H679/I679)</f>
        <v>150000</v>
      </c>
      <c r="K679" s="749" t="s">
        <v>2460</v>
      </c>
      <c r="L679" s="774" t="n">
        <v>41907</v>
      </c>
      <c r="M679" s="774" t="n">
        <v>42274</v>
      </c>
      <c r="O679" s="783" t="n">
        <v>3.5</v>
      </c>
      <c r="P679" s="749" t="s">
        <v>2606</v>
      </c>
      <c r="Q679" s="749" t="s">
        <v>2607</v>
      </c>
      <c r="R679" s="811"/>
    </row>
    <row r="680" customFormat="false" ht="16.5" hidden="false" customHeight="true" outlineLevel="0" collapsed="false">
      <c r="A680" s="747" t="s">
        <v>2335</v>
      </c>
      <c r="B680" s="774" t="n">
        <v>41911</v>
      </c>
      <c r="D680" s="749" t="s">
        <v>2375</v>
      </c>
      <c r="E680" s="749" t="s">
        <v>2876</v>
      </c>
      <c r="F680" s="749" t="s">
        <v>2514</v>
      </c>
      <c r="G680" s="798" t="s">
        <v>1267</v>
      </c>
      <c r="H680" s="776" t="n">
        <v>66000000</v>
      </c>
      <c r="I680" s="777" t="n">
        <v>109</v>
      </c>
      <c r="J680" s="778" t="n">
        <f aca="false">IF(I680="","",H680/I680)</f>
        <v>605504.587155963</v>
      </c>
      <c r="K680" s="749" t="s">
        <v>2460</v>
      </c>
      <c r="L680" s="774" t="n">
        <v>41914</v>
      </c>
      <c r="M680" s="774" t="n">
        <v>42279</v>
      </c>
      <c r="O680" s="783" t="n">
        <v>3</v>
      </c>
      <c r="P680" s="749" t="s">
        <v>2606</v>
      </c>
      <c r="Q680" s="749" t="s">
        <v>2607</v>
      </c>
      <c r="R680" s="811"/>
    </row>
    <row r="681" customFormat="false" ht="16.5" hidden="false" customHeight="true" outlineLevel="0" collapsed="false">
      <c r="A681" s="747" t="s">
        <v>2190</v>
      </c>
      <c r="B681" s="774" t="n">
        <v>41919</v>
      </c>
      <c r="D681" s="749" t="s">
        <v>2398</v>
      </c>
      <c r="E681" s="749" t="s">
        <v>2873</v>
      </c>
      <c r="F681" s="749" t="s">
        <v>2448</v>
      </c>
      <c r="G681" s="798" t="s">
        <v>2136</v>
      </c>
      <c r="H681" s="776" t="n">
        <v>150000</v>
      </c>
      <c r="I681" s="777" t="n">
        <v>1</v>
      </c>
      <c r="J681" s="778" t="n">
        <f aca="false">IF(I681="","",H681/I681)</f>
        <v>150000</v>
      </c>
      <c r="K681" s="749" t="s">
        <v>2460</v>
      </c>
      <c r="L681" s="774" t="n">
        <v>41919</v>
      </c>
      <c r="M681" s="774" t="n">
        <v>41950</v>
      </c>
      <c r="O681" s="783" t="n">
        <v>3.5</v>
      </c>
      <c r="P681" s="749" t="s">
        <v>2606</v>
      </c>
      <c r="Q681" s="749" t="s">
        <v>2607</v>
      </c>
      <c r="R681" s="811"/>
    </row>
    <row r="682" customFormat="false" ht="16.5" hidden="false" customHeight="true" outlineLevel="0" collapsed="false">
      <c r="A682" s="747" t="s">
        <v>2335</v>
      </c>
      <c r="B682" s="774" t="n">
        <v>41927</v>
      </c>
      <c r="D682" s="749" t="s">
        <v>2372</v>
      </c>
      <c r="E682" s="749" t="s">
        <v>2826</v>
      </c>
      <c r="F682" s="749" t="s">
        <v>2533</v>
      </c>
      <c r="G682" s="798" t="s">
        <v>1267</v>
      </c>
      <c r="H682" s="776" t="n">
        <v>61000000</v>
      </c>
      <c r="I682" s="777" t="n">
        <v>107</v>
      </c>
      <c r="J682" s="778" t="n">
        <f aca="false">IF(I682="","",H682/I682)</f>
        <v>570093.457943925</v>
      </c>
      <c r="K682" s="749" t="s">
        <v>2460</v>
      </c>
      <c r="L682" s="774" t="n">
        <v>41933</v>
      </c>
      <c r="M682" s="774" t="n">
        <v>42298</v>
      </c>
      <c r="O682" s="783" t="n">
        <v>2.87</v>
      </c>
      <c r="P682" s="749" t="s">
        <v>2606</v>
      </c>
      <c r="Q682" s="749" t="s">
        <v>2607</v>
      </c>
      <c r="R682" s="811"/>
    </row>
    <row r="683" customFormat="false" ht="16.5" hidden="false" customHeight="true" outlineLevel="0" collapsed="false">
      <c r="A683" s="747" t="s">
        <v>2190</v>
      </c>
      <c r="B683" s="774" t="n">
        <v>41932</v>
      </c>
      <c r="D683" s="749" t="s">
        <v>644</v>
      </c>
      <c r="E683" s="749" t="s">
        <v>2806</v>
      </c>
      <c r="F683" s="749" t="s">
        <v>2380</v>
      </c>
      <c r="G683" s="798" t="s">
        <v>2136</v>
      </c>
      <c r="H683" s="776" t="n">
        <v>200000</v>
      </c>
      <c r="I683" s="777" t="n">
        <v>1</v>
      </c>
      <c r="J683" s="778" t="n">
        <f aca="false">IF(I683="","",H683/I683)</f>
        <v>200000</v>
      </c>
      <c r="K683" s="749" t="s">
        <v>2336</v>
      </c>
      <c r="L683" s="774" t="n">
        <v>41934</v>
      </c>
      <c r="M683" s="774" t="n">
        <v>41995</v>
      </c>
      <c r="O683" s="801" t="n">
        <v>3</v>
      </c>
      <c r="P683" s="749" t="s">
        <v>2606</v>
      </c>
      <c r="Q683" s="749" t="s">
        <v>2607</v>
      </c>
      <c r="R683" s="811"/>
    </row>
    <row r="684" customFormat="false" ht="16.5" hidden="false" customHeight="true" outlineLevel="0" collapsed="false">
      <c r="A684" s="747" t="s">
        <v>2335</v>
      </c>
      <c r="B684" s="774" t="n">
        <v>41939</v>
      </c>
      <c r="D684" s="749" t="s">
        <v>2398</v>
      </c>
      <c r="E684" s="749" t="s">
        <v>2873</v>
      </c>
      <c r="F684" s="749" t="s">
        <v>2448</v>
      </c>
      <c r="G684" s="798" t="s">
        <v>2136</v>
      </c>
      <c r="H684" s="776" t="n">
        <v>150000</v>
      </c>
      <c r="I684" s="777" t="n">
        <v>1</v>
      </c>
      <c r="J684" s="778" t="n">
        <f aca="false">IF(I684="","",H684/I684)</f>
        <v>150000</v>
      </c>
      <c r="K684" s="749" t="s">
        <v>2819</v>
      </c>
      <c r="L684" s="774" t="n">
        <v>41937</v>
      </c>
      <c r="M684" s="774" t="n">
        <v>41968</v>
      </c>
      <c r="O684" s="783" t="n">
        <v>3.5</v>
      </c>
      <c r="P684" s="749" t="s">
        <v>2606</v>
      </c>
      <c r="Q684" s="749" t="s">
        <v>2607</v>
      </c>
      <c r="R684" s="811"/>
    </row>
    <row r="685" customFormat="false" ht="16.5" hidden="false" customHeight="true" outlineLevel="0" collapsed="false">
      <c r="A685" s="747" t="s">
        <v>2335</v>
      </c>
      <c r="B685" s="774" t="n">
        <v>41940</v>
      </c>
      <c r="D685" s="749" t="s">
        <v>2372</v>
      </c>
      <c r="E685" s="749" t="s">
        <v>2636</v>
      </c>
      <c r="F685" s="749" t="s">
        <v>2545</v>
      </c>
      <c r="G685" s="798" t="s">
        <v>1267</v>
      </c>
      <c r="H685" s="776" t="n">
        <v>39870000</v>
      </c>
      <c r="I685" s="777" t="n">
        <v>1</v>
      </c>
      <c r="J685" s="778" t="n">
        <f aca="false">IF(I685="","",H685/I685)</f>
        <v>39870000</v>
      </c>
      <c r="K685" s="749" t="s">
        <v>2460</v>
      </c>
      <c r="L685" s="774" t="n">
        <v>41942</v>
      </c>
      <c r="M685" s="774" t="n">
        <v>42307</v>
      </c>
      <c r="O685" s="783" t="n">
        <v>3</v>
      </c>
      <c r="P685" s="749" t="s">
        <v>2606</v>
      </c>
      <c r="Q685" s="749" t="s">
        <v>2607</v>
      </c>
      <c r="R685" s="811"/>
    </row>
    <row r="686" customFormat="false" ht="16.5" hidden="false" customHeight="true" outlineLevel="0" collapsed="false">
      <c r="A686" s="747" t="s">
        <v>2335</v>
      </c>
      <c r="B686" s="774" t="n">
        <v>41942</v>
      </c>
      <c r="D686" s="749" t="s">
        <v>169</v>
      </c>
      <c r="E686" s="749" t="s">
        <v>2766</v>
      </c>
      <c r="F686" s="749" t="s">
        <v>2459</v>
      </c>
      <c r="G686" s="798" t="s">
        <v>2877</v>
      </c>
      <c r="H686" s="776" t="n">
        <v>120000000</v>
      </c>
      <c r="I686" s="777" t="n">
        <v>109</v>
      </c>
      <c r="J686" s="778" t="n">
        <f aca="false">IF(I686="","",H686/I686)</f>
        <v>1100917.43119266</v>
      </c>
      <c r="K686" s="749" t="s">
        <v>2460</v>
      </c>
      <c r="L686" s="774" t="n">
        <v>41942</v>
      </c>
      <c r="M686" s="774" t="n">
        <v>42308</v>
      </c>
      <c r="O686" s="783" t="n">
        <v>2.09</v>
      </c>
      <c r="P686" s="749" t="s">
        <v>2606</v>
      </c>
      <c r="Q686" s="749" t="s">
        <v>2607</v>
      </c>
      <c r="R686" s="811"/>
    </row>
    <row r="687" customFormat="false" ht="16.5" hidden="false" customHeight="true" outlineLevel="0" collapsed="false">
      <c r="A687" s="747" t="s">
        <v>2335</v>
      </c>
      <c r="B687" s="774" t="n">
        <v>41950</v>
      </c>
      <c r="D687" s="749" t="s">
        <v>2398</v>
      </c>
      <c r="E687" s="749" t="s">
        <v>2873</v>
      </c>
      <c r="F687" s="749" t="s">
        <v>2448</v>
      </c>
      <c r="G687" s="798" t="s">
        <v>2136</v>
      </c>
      <c r="H687" s="776" t="n">
        <v>150000</v>
      </c>
      <c r="I687" s="777" t="n">
        <v>1</v>
      </c>
      <c r="J687" s="778" t="n">
        <f aca="false">IF(I687="","",H687/I687)</f>
        <v>150000</v>
      </c>
      <c r="K687" s="749" t="s">
        <v>2819</v>
      </c>
      <c r="L687" s="774" t="n">
        <v>41950</v>
      </c>
      <c r="M687" s="774" t="n">
        <v>41980</v>
      </c>
      <c r="O687" s="783" t="n">
        <v>3.5</v>
      </c>
      <c r="P687" s="749" t="s">
        <v>2606</v>
      </c>
      <c r="Q687" s="749" t="s">
        <v>2607</v>
      </c>
      <c r="R687" s="811"/>
    </row>
    <row r="688" customFormat="false" ht="16.5" hidden="false" customHeight="true" outlineLevel="0" collapsed="false">
      <c r="A688" s="747" t="s">
        <v>2335</v>
      </c>
      <c r="B688" s="774" t="n">
        <v>41968</v>
      </c>
      <c r="D688" s="749" t="s">
        <v>2398</v>
      </c>
      <c r="E688" s="749" t="s">
        <v>2873</v>
      </c>
      <c r="F688" s="749" t="s">
        <v>2448</v>
      </c>
      <c r="G688" s="798" t="s">
        <v>2136</v>
      </c>
      <c r="H688" s="776" t="n">
        <v>150000</v>
      </c>
      <c r="I688" s="777" t="n">
        <v>1</v>
      </c>
      <c r="J688" s="778" t="n">
        <f aca="false">IF(I688="","",H688/I688)</f>
        <v>150000</v>
      </c>
      <c r="K688" s="749" t="s">
        <v>2819</v>
      </c>
      <c r="L688" s="774" t="n">
        <v>41968</v>
      </c>
      <c r="M688" s="774" t="n">
        <v>41998</v>
      </c>
      <c r="O688" s="783" t="n">
        <v>3.5</v>
      </c>
      <c r="P688" s="749" t="s">
        <v>2606</v>
      </c>
      <c r="Q688" s="749" t="s">
        <v>2607</v>
      </c>
      <c r="R688" s="811"/>
    </row>
    <row r="689" customFormat="false" ht="16.5" hidden="false" customHeight="true" outlineLevel="0" collapsed="false">
      <c r="A689" s="747" t="s">
        <v>2335</v>
      </c>
      <c r="B689" s="774" t="n">
        <v>41978</v>
      </c>
      <c r="D689" s="749" t="s">
        <v>2375</v>
      </c>
      <c r="E689" s="749" t="s">
        <v>2876</v>
      </c>
      <c r="F689" s="749" t="s">
        <v>2602</v>
      </c>
      <c r="G689" s="798" t="s">
        <v>1267</v>
      </c>
      <c r="H689" s="776" t="n">
        <v>160000000</v>
      </c>
      <c r="I689" s="777" t="n">
        <v>112</v>
      </c>
      <c r="J689" s="778" t="n">
        <f aca="false">IF(I689="","",H689/I689)</f>
        <v>1428571.42857143</v>
      </c>
      <c r="K689" s="749" t="s">
        <v>2460</v>
      </c>
      <c r="L689" s="774" t="n">
        <v>41989</v>
      </c>
      <c r="M689" s="774" t="n">
        <v>42354</v>
      </c>
      <c r="O689" s="783" t="n">
        <v>2.95</v>
      </c>
      <c r="P689" s="749" t="s">
        <v>2606</v>
      </c>
      <c r="Q689" s="749" t="s">
        <v>2607</v>
      </c>
      <c r="R689" s="811"/>
    </row>
    <row r="690" customFormat="false" ht="16.5" hidden="false" customHeight="true" outlineLevel="0" collapsed="false">
      <c r="A690" s="747" t="s">
        <v>2335</v>
      </c>
      <c r="B690" s="774" t="n">
        <v>41981</v>
      </c>
      <c r="D690" s="749" t="s">
        <v>2398</v>
      </c>
      <c r="E690" s="749" t="s">
        <v>2873</v>
      </c>
      <c r="F690" s="749" t="s">
        <v>2448</v>
      </c>
      <c r="G690" s="798" t="s">
        <v>2136</v>
      </c>
      <c r="H690" s="776" t="n">
        <v>150000</v>
      </c>
      <c r="I690" s="777" t="n">
        <v>1</v>
      </c>
      <c r="J690" s="778" t="n">
        <f aca="false">IF(I690="","",H690/I690)</f>
        <v>150000</v>
      </c>
      <c r="K690" s="749" t="s">
        <v>2819</v>
      </c>
      <c r="L690" s="774" t="n">
        <v>41981</v>
      </c>
      <c r="M690" s="774" t="n">
        <v>42012</v>
      </c>
      <c r="O690" s="783" t="n">
        <v>3.5</v>
      </c>
      <c r="P690" s="749" t="s">
        <v>2606</v>
      </c>
      <c r="Q690" s="749" t="s">
        <v>2607</v>
      </c>
      <c r="R690" s="811"/>
    </row>
    <row r="691" customFormat="false" ht="16.5" hidden="false" customHeight="true" outlineLevel="0" collapsed="false">
      <c r="A691" s="747" t="s">
        <v>2335</v>
      </c>
      <c r="B691" s="774" t="n">
        <v>41983</v>
      </c>
      <c r="D691" s="749" t="s">
        <v>2398</v>
      </c>
      <c r="E691" s="749" t="s">
        <v>2873</v>
      </c>
      <c r="F691" s="749" t="s">
        <v>2448</v>
      </c>
      <c r="G691" s="798" t="s">
        <v>2821</v>
      </c>
      <c r="H691" s="776" t="n">
        <v>150000</v>
      </c>
      <c r="I691" s="777" t="n">
        <v>1</v>
      </c>
      <c r="J691" s="778" t="n">
        <f aca="false">IF(I691="","",H691/I691)</f>
        <v>150000</v>
      </c>
      <c r="K691" s="749" t="s">
        <v>2819</v>
      </c>
      <c r="L691" s="774" t="n">
        <v>41998</v>
      </c>
      <c r="M691" s="774" t="n">
        <v>42029</v>
      </c>
      <c r="O691" s="783" t="n">
        <v>3.5</v>
      </c>
      <c r="P691" s="749" t="s">
        <v>2606</v>
      </c>
      <c r="Q691" s="749" t="s">
        <v>2607</v>
      </c>
      <c r="R691" s="811"/>
    </row>
    <row r="692" customFormat="false" ht="16.5" hidden="false" customHeight="true" outlineLevel="0" collapsed="false">
      <c r="A692" s="747" t="s">
        <v>2190</v>
      </c>
      <c r="B692" s="774" t="n">
        <v>42004</v>
      </c>
      <c r="D692" s="749" t="s">
        <v>133</v>
      </c>
      <c r="E692" s="749" t="s">
        <v>2878</v>
      </c>
      <c r="F692" s="802" t="s">
        <v>2685</v>
      </c>
      <c r="G692" s="798" t="s">
        <v>2136</v>
      </c>
      <c r="H692" s="776" t="n">
        <v>1000000</v>
      </c>
      <c r="I692" s="777" t="n">
        <v>1</v>
      </c>
      <c r="J692" s="778" t="n">
        <f aca="false">IF(I692="","",H692/I692)</f>
        <v>1000000</v>
      </c>
      <c r="K692" s="749" t="s">
        <v>2336</v>
      </c>
      <c r="L692" s="774" t="n">
        <v>42006</v>
      </c>
      <c r="M692" s="774" t="n">
        <v>42371</v>
      </c>
      <c r="O692" s="801" t="n">
        <v>2.51</v>
      </c>
      <c r="P692" s="749" t="s">
        <v>2606</v>
      </c>
      <c r="Q692" s="749" t="s">
        <v>2607</v>
      </c>
      <c r="R692" s="811"/>
    </row>
    <row r="693" customFormat="false" ht="16.5" hidden="false" customHeight="true" outlineLevel="0" collapsed="false">
      <c r="A693" s="747" t="s">
        <v>2190</v>
      </c>
      <c r="B693" s="774" t="n">
        <v>42006</v>
      </c>
      <c r="D693" s="749" t="s">
        <v>2475</v>
      </c>
      <c r="E693" s="749" t="s">
        <v>2624</v>
      </c>
      <c r="F693" s="749" t="s">
        <v>2879</v>
      </c>
      <c r="G693" s="798" t="s">
        <v>2136</v>
      </c>
      <c r="H693" s="776" t="n">
        <v>5000000</v>
      </c>
      <c r="I693" s="777" t="n">
        <v>1</v>
      </c>
      <c r="J693" s="778" t="n">
        <f aca="false">IF(I693="","",H693/I693)</f>
        <v>5000000</v>
      </c>
      <c r="K693" s="749" t="s">
        <v>2336</v>
      </c>
      <c r="L693" s="774" t="n">
        <v>42010</v>
      </c>
      <c r="M693" s="774" t="n">
        <v>42191</v>
      </c>
      <c r="O693" s="801" t="n">
        <v>1.62</v>
      </c>
      <c r="P693" s="749" t="s">
        <v>2606</v>
      </c>
      <c r="Q693" s="749" t="s">
        <v>2607</v>
      </c>
      <c r="R693" s="811"/>
    </row>
    <row r="694" customFormat="false" ht="16.5" hidden="false" customHeight="true" outlineLevel="0" collapsed="false">
      <c r="A694" s="747" t="s">
        <v>2335</v>
      </c>
      <c r="B694" s="774" t="n">
        <v>42011</v>
      </c>
      <c r="D694" s="749" t="s">
        <v>2817</v>
      </c>
      <c r="E694" s="749" t="s">
        <v>2404</v>
      </c>
      <c r="F694" s="749" t="s">
        <v>2612</v>
      </c>
      <c r="G694" s="798" t="s">
        <v>2816</v>
      </c>
      <c r="H694" s="776" t="n">
        <v>72500000</v>
      </c>
      <c r="I694" s="777" t="n">
        <v>118</v>
      </c>
      <c r="J694" s="778" t="n">
        <f aca="false">IF(I694="","",H694/I694)</f>
        <v>614406.779661017</v>
      </c>
      <c r="K694" s="749" t="s">
        <v>2460</v>
      </c>
      <c r="L694" s="774" t="n">
        <v>42016</v>
      </c>
      <c r="M694" s="774" t="n">
        <v>42380</v>
      </c>
      <c r="O694" s="783" t="n">
        <v>2.9</v>
      </c>
      <c r="P694" s="749" t="s">
        <v>2606</v>
      </c>
      <c r="Q694" s="749" t="s">
        <v>2607</v>
      </c>
      <c r="R694" s="811"/>
    </row>
    <row r="695" customFormat="false" ht="16.5" hidden="false" customHeight="true" outlineLevel="0" collapsed="false">
      <c r="A695" s="747" t="s">
        <v>2190</v>
      </c>
      <c r="B695" s="774" t="n">
        <v>42013</v>
      </c>
      <c r="D695" s="749" t="s">
        <v>107</v>
      </c>
      <c r="E695" s="749" t="s">
        <v>2687</v>
      </c>
      <c r="F695" s="749" t="s">
        <v>2590</v>
      </c>
      <c r="G695" s="798" t="s">
        <v>1267</v>
      </c>
      <c r="H695" s="776" t="n">
        <v>20000000</v>
      </c>
      <c r="I695" s="777" t="n">
        <v>118</v>
      </c>
      <c r="J695" s="778" t="n">
        <f aca="false">IF(I695="","",H695/I695)</f>
        <v>169491.525423729</v>
      </c>
      <c r="K695" s="749" t="s">
        <v>2819</v>
      </c>
      <c r="L695" s="774" t="n">
        <v>42017</v>
      </c>
      <c r="M695" s="774" t="n">
        <v>42382</v>
      </c>
      <c r="O695" s="801" t="n">
        <v>2.92</v>
      </c>
      <c r="P695" s="749" t="s">
        <v>2606</v>
      </c>
      <c r="Q695" s="749" t="s">
        <v>2607</v>
      </c>
      <c r="R695" s="811"/>
    </row>
    <row r="696" customFormat="false" ht="16.5" hidden="false" customHeight="true" outlineLevel="0" collapsed="false">
      <c r="A696" s="747" t="s">
        <v>2335</v>
      </c>
      <c r="B696" s="774" t="n">
        <v>42016</v>
      </c>
      <c r="D696" s="749" t="s">
        <v>1366</v>
      </c>
      <c r="E696" s="749" t="s">
        <v>2413</v>
      </c>
      <c r="F696" s="749" t="s">
        <v>2793</v>
      </c>
      <c r="G696" s="798" t="s">
        <v>1267</v>
      </c>
      <c r="H696" s="776" t="n">
        <v>44000000</v>
      </c>
      <c r="I696" s="777" t="n">
        <v>118</v>
      </c>
      <c r="J696" s="778" t="n">
        <f aca="false">IF(I696="","",H696/I696)</f>
        <v>372881.355932203</v>
      </c>
      <c r="K696" s="749" t="s">
        <v>2460</v>
      </c>
      <c r="L696" s="774" t="n">
        <v>42018</v>
      </c>
      <c r="M696" s="774" t="n">
        <v>42383</v>
      </c>
      <c r="O696" s="783" t="n">
        <v>2.94</v>
      </c>
      <c r="P696" s="749" t="s">
        <v>2606</v>
      </c>
      <c r="Q696" s="749" t="s">
        <v>2607</v>
      </c>
      <c r="R696" s="811"/>
    </row>
    <row r="697" customFormat="false" ht="16.5" hidden="false" customHeight="true" outlineLevel="0" collapsed="false">
      <c r="A697" s="747" t="s">
        <v>2335</v>
      </c>
      <c r="B697" s="774" t="n">
        <v>42016</v>
      </c>
      <c r="D697" s="749" t="s">
        <v>1366</v>
      </c>
      <c r="E697" s="749" t="s">
        <v>2413</v>
      </c>
      <c r="F697" s="749" t="s">
        <v>2614</v>
      </c>
      <c r="G697" s="798" t="s">
        <v>1267</v>
      </c>
      <c r="H697" s="776" t="n">
        <v>40500000</v>
      </c>
      <c r="I697" s="777" t="n">
        <v>118</v>
      </c>
      <c r="J697" s="778" t="n">
        <f aca="false">IF(I697="","",H697/I697)</f>
        <v>343220.338983051</v>
      </c>
      <c r="K697" s="749" t="s">
        <v>2819</v>
      </c>
      <c r="L697" s="774" t="n">
        <v>42018</v>
      </c>
      <c r="M697" s="774" t="n">
        <v>42383</v>
      </c>
      <c r="O697" s="783" t="n">
        <v>5.2</v>
      </c>
      <c r="P697" s="749" t="s">
        <v>2606</v>
      </c>
      <c r="Q697" s="749" t="s">
        <v>2607</v>
      </c>
      <c r="R697" s="811"/>
    </row>
    <row r="698" customFormat="false" ht="16.5" hidden="false" customHeight="true" outlineLevel="0" collapsed="false">
      <c r="A698" s="773" t="s">
        <v>2335</v>
      </c>
      <c r="B698" s="774" t="n">
        <v>42030</v>
      </c>
      <c r="D698" s="749" t="s">
        <v>2398</v>
      </c>
      <c r="E698" s="749" t="s">
        <v>2873</v>
      </c>
      <c r="F698" s="749" t="s">
        <v>2448</v>
      </c>
      <c r="G698" s="822" t="s">
        <v>2136</v>
      </c>
      <c r="H698" s="776" t="n">
        <v>150000</v>
      </c>
      <c r="I698" s="777" t="n">
        <v>1</v>
      </c>
      <c r="J698" s="778" t="n">
        <f aca="false">IF(I698="","",H698/I698)</f>
        <v>150000</v>
      </c>
      <c r="K698" s="749" t="s">
        <v>2819</v>
      </c>
      <c r="L698" s="774" t="n">
        <v>42011</v>
      </c>
      <c r="M698" s="774" t="n">
        <v>42042</v>
      </c>
      <c r="O698" s="801" t="n">
        <v>3.5</v>
      </c>
      <c r="P698" s="749" t="s">
        <v>2606</v>
      </c>
      <c r="Q698" s="749" t="s">
        <v>2607</v>
      </c>
      <c r="R698" s="811"/>
    </row>
    <row r="699" customFormat="false" ht="16.5" hidden="false" customHeight="true" outlineLevel="0" collapsed="false">
      <c r="A699" s="773" t="s">
        <v>2335</v>
      </c>
      <c r="B699" s="774" t="n">
        <v>42030</v>
      </c>
      <c r="D699" s="749" t="s">
        <v>2398</v>
      </c>
      <c r="E699" s="749" t="s">
        <v>2873</v>
      </c>
      <c r="F699" s="749" t="s">
        <v>2448</v>
      </c>
      <c r="G699" s="822" t="s">
        <v>2136</v>
      </c>
      <c r="H699" s="776" t="n">
        <v>150000</v>
      </c>
      <c r="I699" s="777" t="n">
        <v>1</v>
      </c>
      <c r="J699" s="778" t="n">
        <f aca="false">IF(I699="","",H699/I699)</f>
        <v>150000</v>
      </c>
      <c r="K699" s="749" t="s">
        <v>2819</v>
      </c>
      <c r="L699" s="774" t="n">
        <v>42011</v>
      </c>
      <c r="M699" s="774" t="n">
        <v>42042</v>
      </c>
      <c r="O699" s="801" t="n">
        <v>3.5</v>
      </c>
      <c r="P699" s="749" t="s">
        <v>2606</v>
      </c>
      <c r="Q699" s="749" t="s">
        <v>2607</v>
      </c>
      <c r="R699" s="811"/>
    </row>
    <row r="700" customFormat="false" ht="16.5" hidden="false" customHeight="true" outlineLevel="0" collapsed="false">
      <c r="A700" s="773" t="s">
        <v>2335</v>
      </c>
      <c r="B700" s="774" t="n">
        <v>42032</v>
      </c>
      <c r="D700" s="749" t="s">
        <v>1184</v>
      </c>
      <c r="E700" s="749" t="s">
        <v>2800</v>
      </c>
      <c r="F700" s="749" t="s">
        <v>2620</v>
      </c>
      <c r="G700" s="776" t="s">
        <v>2136</v>
      </c>
      <c r="H700" s="776" t="n">
        <v>2000000</v>
      </c>
      <c r="I700" s="777" t="n">
        <v>1</v>
      </c>
      <c r="J700" s="778" t="n">
        <f aca="false">IF(I700="","",H700/I700)</f>
        <v>2000000</v>
      </c>
      <c r="K700" s="749" t="s">
        <v>2336</v>
      </c>
      <c r="L700" s="774" t="n">
        <v>42037</v>
      </c>
      <c r="M700" s="774" t="n">
        <v>42218</v>
      </c>
      <c r="O700" s="801" t="n">
        <v>1.73</v>
      </c>
      <c r="P700" s="749" t="s">
        <v>2880</v>
      </c>
      <c r="Q700" s="749" t="s">
        <v>2607</v>
      </c>
      <c r="R700" s="811"/>
    </row>
    <row r="701" customFormat="false" ht="16.5" hidden="false" customHeight="true" outlineLevel="0" collapsed="false">
      <c r="A701" s="773" t="s">
        <v>2335</v>
      </c>
      <c r="B701" s="774" t="n">
        <v>42033</v>
      </c>
      <c r="D701" s="749" t="s">
        <v>1184</v>
      </c>
      <c r="E701" s="749" t="s">
        <v>2800</v>
      </c>
      <c r="F701" s="749" t="s">
        <v>2620</v>
      </c>
      <c r="G701" s="776" t="s">
        <v>2821</v>
      </c>
      <c r="H701" s="776" t="n">
        <v>1700000</v>
      </c>
      <c r="I701" s="777" t="n">
        <v>1</v>
      </c>
      <c r="J701" s="778" t="n">
        <f aca="false">IF(I701="","",H701/I701)</f>
        <v>1700000</v>
      </c>
      <c r="K701" s="749" t="s">
        <v>2336</v>
      </c>
      <c r="L701" s="774" t="n">
        <v>42037</v>
      </c>
      <c r="M701" s="774" t="n">
        <v>42218</v>
      </c>
      <c r="O701" s="801" t="n">
        <v>1.73</v>
      </c>
      <c r="P701" s="749" t="s">
        <v>2880</v>
      </c>
      <c r="Q701" s="749" t="s">
        <v>2607</v>
      </c>
      <c r="R701" s="811"/>
    </row>
    <row r="702" customFormat="false" ht="16.5" hidden="false" customHeight="true" outlineLevel="0" collapsed="false">
      <c r="A702" s="773" t="s">
        <v>2335</v>
      </c>
      <c r="B702" s="774" t="n">
        <v>42060</v>
      </c>
      <c r="D702" s="749" t="s">
        <v>597</v>
      </c>
      <c r="E702" s="749" t="s">
        <v>2537</v>
      </c>
      <c r="F702" s="749" t="s">
        <v>2853</v>
      </c>
      <c r="G702" s="776" t="s">
        <v>1267</v>
      </c>
      <c r="H702" s="776" t="n">
        <v>186565000</v>
      </c>
      <c r="I702" s="777" t="n">
        <v>121</v>
      </c>
      <c r="J702" s="778" t="n">
        <f aca="false">IF(I702="","",H702/I702)</f>
        <v>1541859.50413223</v>
      </c>
      <c r="K702" s="749" t="s">
        <v>2460</v>
      </c>
      <c r="L702" s="774" t="n">
        <v>42062</v>
      </c>
      <c r="M702" s="774" t="n">
        <v>42454</v>
      </c>
      <c r="O702" s="801" t="n">
        <v>2.24</v>
      </c>
      <c r="P702" s="749" t="s">
        <v>2880</v>
      </c>
      <c r="Q702" s="749" t="s">
        <v>2607</v>
      </c>
      <c r="R702" s="811"/>
    </row>
    <row r="703" customFormat="false" ht="16.5" hidden="false" customHeight="true" outlineLevel="0" collapsed="false">
      <c r="A703" s="773" t="s">
        <v>2335</v>
      </c>
      <c r="B703" s="774" t="n">
        <v>42061</v>
      </c>
      <c r="D703" s="749" t="s">
        <v>124</v>
      </c>
      <c r="E703" s="749" t="s">
        <v>2881</v>
      </c>
      <c r="F703" s="749" t="s">
        <v>2797</v>
      </c>
      <c r="G703" s="776" t="s">
        <v>1267</v>
      </c>
      <c r="H703" s="776" t="n">
        <v>54000000</v>
      </c>
      <c r="I703" s="777" t="n">
        <v>121</v>
      </c>
      <c r="J703" s="778" t="n">
        <f aca="false">IF(I703="","",H703/I703)</f>
        <v>446280.991735537</v>
      </c>
      <c r="K703" s="749" t="s">
        <v>2460</v>
      </c>
      <c r="L703" s="774" t="n">
        <v>42062</v>
      </c>
      <c r="M703" s="774" t="n">
        <v>42427</v>
      </c>
      <c r="O703" s="801" t="n">
        <v>3.5</v>
      </c>
      <c r="P703" s="749" t="s">
        <v>2880</v>
      </c>
      <c r="Q703" s="749" t="s">
        <v>2607</v>
      </c>
      <c r="R703" s="811"/>
    </row>
    <row r="704" customFormat="false" ht="16.5" hidden="false" customHeight="true" outlineLevel="0" collapsed="false">
      <c r="A704" s="773" t="s">
        <v>2190</v>
      </c>
      <c r="B704" s="774" t="n">
        <v>42062</v>
      </c>
      <c r="D704" s="749" t="s">
        <v>107</v>
      </c>
      <c r="E704" s="749" t="s">
        <v>2687</v>
      </c>
      <c r="F704" s="749" t="s">
        <v>2882</v>
      </c>
      <c r="G704" s="776" t="s">
        <v>1267</v>
      </c>
      <c r="H704" s="776" t="n">
        <v>19000000</v>
      </c>
      <c r="I704" s="777" t="n">
        <v>121</v>
      </c>
      <c r="J704" s="778" t="n">
        <f aca="false">IF(I704="","",H704/I704)</f>
        <v>157024.79338843</v>
      </c>
      <c r="K704" s="749" t="s">
        <v>2819</v>
      </c>
      <c r="L704" s="774" t="n">
        <v>42065</v>
      </c>
      <c r="M704" s="774" t="n">
        <v>42431</v>
      </c>
      <c r="O704" s="801" t="n">
        <v>2.53</v>
      </c>
      <c r="P704" s="749" t="s">
        <v>2880</v>
      </c>
      <c r="Q704" s="749" t="s">
        <v>2607</v>
      </c>
      <c r="R704" s="811"/>
    </row>
    <row r="705" customFormat="false" ht="16.5" hidden="false" customHeight="true" outlineLevel="0" collapsed="false">
      <c r="A705" s="773" t="s">
        <v>2335</v>
      </c>
      <c r="B705" s="774" t="n">
        <v>42073</v>
      </c>
      <c r="D705" s="749" t="s">
        <v>1184</v>
      </c>
      <c r="E705" s="749" t="s">
        <v>2800</v>
      </c>
      <c r="F705" s="749" t="s">
        <v>2653</v>
      </c>
      <c r="G705" s="776" t="s">
        <v>2136</v>
      </c>
      <c r="H705" s="776" t="n">
        <v>3000000</v>
      </c>
      <c r="I705" s="777" t="n">
        <v>1</v>
      </c>
      <c r="J705" s="778" t="n">
        <f aca="false">IF(I705="","",H705/I705)</f>
        <v>3000000</v>
      </c>
      <c r="K705" s="749" t="s">
        <v>2336</v>
      </c>
      <c r="L705" s="774" t="n">
        <v>42075</v>
      </c>
      <c r="M705" s="774" t="n">
        <v>42441</v>
      </c>
      <c r="O705" s="801" t="n">
        <v>3.02</v>
      </c>
      <c r="P705" s="749" t="s">
        <v>2880</v>
      </c>
      <c r="Q705" s="749" t="s">
        <v>2607</v>
      </c>
      <c r="R705" s="811"/>
    </row>
    <row r="706" customFormat="false" ht="16.5" hidden="false" customHeight="true" outlineLevel="0" collapsed="false">
      <c r="A706" s="773" t="s">
        <v>2883</v>
      </c>
      <c r="B706" s="774" t="n">
        <v>42083</v>
      </c>
      <c r="D706" s="749" t="s">
        <v>107</v>
      </c>
      <c r="E706" s="749" t="s">
        <v>2687</v>
      </c>
      <c r="F706" s="749" t="s">
        <v>2884</v>
      </c>
      <c r="G706" s="776" t="s">
        <v>1267</v>
      </c>
      <c r="H706" s="776" t="n">
        <v>91700000</v>
      </c>
      <c r="I706" s="777" t="n">
        <v>119</v>
      </c>
      <c r="J706" s="778" t="n">
        <f aca="false">IF(I706="","",H706/I706)</f>
        <v>770588.235294118</v>
      </c>
      <c r="K706" s="749" t="s">
        <v>2336</v>
      </c>
      <c r="L706" s="774" t="n">
        <v>42083</v>
      </c>
      <c r="M706" s="774" t="n">
        <v>42086</v>
      </c>
      <c r="O706" s="801" t="n">
        <v>3.36</v>
      </c>
      <c r="P706" s="749" t="s">
        <v>2880</v>
      </c>
      <c r="Q706" s="749" t="s">
        <v>2607</v>
      </c>
      <c r="R706" s="811"/>
    </row>
    <row r="707" customFormat="false" ht="16.5" hidden="false" customHeight="true" outlineLevel="0" collapsed="false">
      <c r="A707" s="773" t="s">
        <v>2335</v>
      </c>
      <c r="B707" s="774" t="n">
        <v>42086</v>
      </c>
      <c r="D707" s="749" t="s">
        <v>107</v>
      </c>
      <c r="E707" s="749" t="s">
        <v>2687</v>
      </c>
      <c r="F707" s="749" t="s">
        <v>2884</v>
      </c>
      <c r="G707" s="776" t="s">
        <v>1267</v>
      </c>
      <c r="H707" s="776" t="n">
        <v>91700000</v>
      </c>
      <c r="I707" s="777" t="n">
        <v>119</v>
      </c>
      <c r="J707" s="778" t="n">
        <f aca="false">IF(I707="","",H707/I707)</f>
        <v>770588.235294118</v>
      </c>
      <c r="K707" s="749" t="s">
        <v>2336</v>
      </c>
      <c r="L707" s="774" t="n">
        <v>42086</v>
      </c>
      <c r="M707" s="774" t="n">
        <v>42452</v>
      </c>
      <c r="O707" s="801" t="n">
        <v>3.36</v>
      </c>
      <c r="P707" s="749" t="s">
        <v>2880</v>
      </c>
      <c r="Q707" s="749" t="s">
        <v>2607</v>
      </c>
      <c r="R707" s="811"/>
    </row>
    <row r="708" customFormat="false" ht="16.5" hidden="false" customHeight="true" outlineLevel="0" collapsed="false">
      <c r="A708" s="773" t="s">
        <v>2335</v>
      </c>
      <c r="B708" s="774" t="n">
        <v>42088</v>
      </c>
      <c r="D708" s="749" t="s">
        <v>187</v>
      </c>
      <c r="E708" s="749" t="s">
        <v>2764</v>
      </c>
      <c r="F708" s="749" t="s">
        <v>2804</v>
      </c>
      <c r="G708" s="776" t="s">
        <v>1267</v>
      </c>
      <c r="H708" s="776" t="n">
        <v>50000000</v>
      </c>
      <c r="I708" s="777" t="n">
        <v>119</v>
      </c>
      <c r="J708" s="778" t="n">
        <f aca="false">IF(I708="","",H708/I708)</f>
        <v>420168.067226891</v>
      </c>
      <c r="K708" s="749" t="s">
        <v>2336</v>
      </c>
      <c r="L708" s="774" t="n">
        <v>42088</v>
      </c>
      <c r="M708" s="774" t="n">
        <v>42454</v>
      </c>
      <c r="O708" s="801" t="n">
        <v>4.9</v>
      </c>
      <c r="P708" s="749" t="s">
        <v>2880</v>
      </c>
      <c r="Q708" s="749" t="s">
        <v>2607</v>
      </c>
      <c r="R708" s="811"/>
    </row>
    <row r="709" customFormat="false" ht="16.5" hidden="false" customHeight="true" outlineLevel="0" collapsed="false">
      <c r="A709" s="773" t="s">
        <v>2335</v>
      </c>
      <c r="B709" s="774" t="n">
        <v>42088</v>
      </c>
      <c r="D709" s="749" t="s">
        <v>2338</v>
      </c>
      <c r="E709" s="749" t="s">
        <v>2885</v>
      </c>
      <c r="F709" s="749" t="s">
        <v>2499</v>
      </c>
      <c r="G709" s="776" t="s">
        <v>1267</v>
      </c>
      <c r="H709" s="776" t="n">
        <v>80000000</v>
      </c>
      <c r="I709" s="777" t="n">
        <v>119</v>
      </c>
      <c r="J709" s="778" t="n">
        <f aca="false">IF(I709="","",H709/I709)</f>
        <v>672268.907563025</v>
      </c>
      <c r="K709" s="749" t="s">
        <v>2460</v>
      </c>
      <c r="L709" s="774" t="n">
        <v>42088</v>
      </c>
      <c r="M709" s="774" t="n">
        <v>42454</v>
      </c>
      <c r="O709" s="801" t="n">
        <v>2.67</v>
      </c>
      <c r="P709" s="749" t="s">
        <v>2880</v>
      </c>
      <c r="Q709" s="749" t="s">
        <v>2607</v>
      </c>
      <c r="R709" s="811"/>
    </row>
    <row r="710" customFormat="false" ht="16.5" hidden="false" customHeight="true" outlineLevel="0" collapsed="false">
      <c r="A710" s="773" t="s">
        <v>2190</v>
      </c>
      <c r="B710" s="774" t="n">
        <v>42090</v>
      </c>
      <c r="D710" s="749" t="s">
        <v>866</v>
      </c>
      <c r="E710" s="749" t="s">
        <v>2779</v>
      </c>
      <c r="F710" s="749" t="s">
        <v>2886</v>
      </c>
      <c r="G710" s="776" t="s">
        <v>1267</v>
      </c>
      <c r="H710" s="776" t="n">
        <v>138150000</v>
      </c>
      <c r="I710" s="777" t="n">
        <v>119</v>
      </c>
      <c r="J710" s="778" t="n">
        <f aca="false">IF(I710="","",H710/I710)</f>
        <v>1160924.3697479</v>
      </c>
      <c r="K710" s="749" t="s">
        <v>2460</v>
      </c>
      <c r="L710" s="774" t="n">
        <v>42090</v>
      </c>
      <c r="M710" s="774" t="n">
        <v>43186</v>
      </c>
      <c r="O710" s="801" t="n">
        <v>2.5</v>
      </c>
      <c r="P710" s="749" t="s">
        <v>2880</v>
      </c>
      <c r="Q710" s="749" t="s">
        <v>2607</v>
      </c>
      <c r="R710" s="811"/>
    </row>
    <row r="711" customFormat="false" ht="16.5" hidden="false" customHeight="true" outlineLevel="0" collapsed="false">
      <c r="A711" s="773" t="s">
        <v>2335</v>
      </c>
      <c r="B711" s="774" t="n">
        <v>42093</v>
      </c>
      <c r="D711" s="749" t="s">
        <v>103</v>
      </c>
      <c r="E711" s="749" t="s">
        <v>2840</v>
      </c>
      <c r="F711" s="749" t="s">
        <v>2672</v>
      </c>
      <c r="G711" s="776" t="s">
        <v>1267</v>
      </c>
      <c r="H711" s="776" t="n">
        <v>16000000</v>
      </c>
      <c r="I711" s="777" t="n">
        <v>119</v>
      </c>
      <c r="J711" s="778" t="n">
        <f aca="false">IF(I711="","",H711/I711)</f>
        <v>134453.781512605</v>
      </c>
      <c r="K711" s="749" t="s">
        <v>2336</v>
      </c>
      <c r="L711" s="774" t="n">
        <v>42093</v>
      </c>
      <c r="M711" s="774" t="n">
        <v>42460</v>
      </c>
      <c r="O711" s="801" t="n">
        <v>3.2</v>
      </c>
      <c r="P711" s="749" t="s">
        <v>2880</v>
      </c>
      <c r="Q711" s="749" t="s">
        <v>2607</v>
      </c>
      <c r="R711" s="811"/>
    </row>
    <row r="712" customFormat="false" ht="16.5" hidden="false" customHeight="true" outlineLevel="0" collapsed="false">
      <c r="A712" s="773" t="s">
        <v>2335</v>
      </c>
      <c r="B712" s="774" t="n">
        <v>42094</v>
      </c>
      <c r="D712" s="749" t="s">
        <v>597</v>
      </c>
      <c r="E712" s="749" t="s">
        <v>2537</v>
      </c>
      <c r="F712" s="749" t="s">
        <v>2523</v>
      </c>
      <c r="G712" s="776" t="s">
        <v>2136</v>
      </c>
      <c r="H712" s="776" t="n">
        <v>3000000</v>
      </c>
      <c r="I712" s="777" t="n">
        <v>1</v>
      </c>
      <c r="J712" s="778" t="n">
        <f aca="false">IF(I712="","",H712/I712)</f>
        <v>3000000</v>
      </c>
      <c r="K712" s="749" t="s">
        <v>2336</v>
      </c>
      <c r="L712" s="774" t="n">
        <v>42106</v>
      </c>
      <c r="M712" s="774" t="n">
        <v>42289</v>
      </c>
      <c r="O712" s="801" t="n">
        <v>2.18</v>
      </c>
      <c r="P712" s="749" t="s">
        <v>2880</v>
      </c>
      <c r="Q712" s="749" t="s">
        <v>2607</v>
      </c>
      <c r="R712" s="811"/>
    </row>
    <row r="713" customFormat="false" ht="16.5" hidden="false" customHeight="true" outlineLevel="0" collapsed="false">
      <c r="A713" s="773" t="s">
        <v>2335</v>
      </c>
      <c r="B713" s="774" t="n">
        <v>42096</v>
      </c>
      <c r="D713" s="749" t="s">
        <v>2338</v>
      </c>
      <c r="E713" s="749" t="s">
        <v>2885</v>
      </c>
      <c r="F713" s="749" t="s">
        <v>2667</v>
      </c>
      <c r="G713" s="776" t="s">
        <v>1267</v>
      </c>
      <c r="H713" s="776" t="n">
        <v>24000000</v>
      </c>
      <c r="I713" s="777" t="n">
        <v>119</v>
      </c>
      <c r="J713" s="778" t="n">
        <f aca="false">IF(I713="","",H713/I713)</f>
        <v>201680.672268908</v>
      </c>
      <c r="K713" s="749" t="s">
        <v>2336</v>
      </c>
      <c r="L713" s="774" t="n">
        <v>42094</v>
      </c>
      <c r="M713" s="774" t="n">
        <v>42460</v>
      </c>
      <c r="O713" s="801" t="n">
        <v>2.87</v>
      </c>
      <c r="P713" s="749" t="s">
        <v>2880</v>
      </c>
      <c r="Q713" s="749" t="s">
        <v>2607</v>
      </c>
      <c r="R713" s="811"/>
    </row>
    <row r="714" customFormat="false" ht="16.5" hidden="false" customHeight="true" outlineLevel="0" collapsed="false">
      <c r="A714" s="773" t="s">
        <v>2335</v>
      </c>
      <c r="B714" s="774" t="n">
        <v>42100</v>
      </c>
      <c r="D714" s="749" t="s">
        <v>96</v>
      </c>
      <c r="E714" s="749" t="s">
        <v>2874</v>
      </c>
      <c r="F714" s="749" t="s">
        <v>2670</v>
      </c>
      <c r="G714" s="776" t="s">
        <v>1267</v>
      </c>
      <c r="H714" s="776" t="n">
        <v>37500000</v>
      </c>
      <c r="I714" s="777" t="n">
        <v>120</v>
      </c>
      <c r="J714" s="778" t="n">
        <f aca="false">IF(I714="","",H714/I714)</f>
        <v>312500</v>
      </c>
      <c r="K714" s="749" t="s">
        <v>2336</v>
      </c>
      <c r="L714" s="774" t="n">
        <v>42100</v>
      </c>
      <c r="M714" s="774" t="n">
        <v>42464</v>
      </c>
      <c r="O714" s="801" t="n">
        <v>4.17</v>
      </c>
      <c r="P714" s="749" t="s">
        <v>2880</v>
      </c>
      <c r="Q714" s="749" t="s">
        <v>2607</v>
      </c>
      <c r="R714" s="811"/>
    </row>
    <row r="715" customFormat="false" ht="16.5" hidden="false" customHeight="true" outlineLevel="0" collapsed="false">
      <c r="A715" s="773" t="s">
        <v>2335</v>
      </c>
      <c r="B715" s="774" t="n">
        <v>42103</v>
      </c>
      <c r="D715" s="749" t="s">
        <v>103</v>
      </c>
      <c r="E715" s="749" t="s">
        <v>2840</v>
      </c>
      <c r="F715" s="749" t="s">
        <v>2684</v>
      </c>
      <c r="G715" s="776" t="s">
        <v>1267</v>
      </c>
      <c r="H715" s="776" t="n">
        <v>37000000</v>
      </c>
      <c r="I715" s="777" t="n">
        <v>120</v>
      </c>
      <c r="J715" s="778" t="n">
        <f aca="false">IF(I715="","",H715/I715)</f>
        <v>308333.333333333</v>
      </c>
      <c r="K715" s="749" t="s">
        <v>2336</v>
      </c>
      <c r="L715" s="774" t="n">
        <v>42108</v>
      </c>
      <c r="M715" s="774" t="s">
        <v>2887</v>
      </c>
      <c r="O715" s="801" t="n">
        <v>4.6</v>
      </c>
      <c r="P715" s="749" t="s">
        <v>2880</v>
      </c>
      <c r="Q715" s="749" t="s">
        <v>2607</v>
      </c>
      <c r="R715" s="811"/>
    </row>
    <row r="716" customFormat="false" ht="16.5" hidden="false" customHeight="true" outlineLevel="0" collapsed="false">
      <c r="A716" s="773" t="s">
        <v>2190</v>
      </c>
      <c r="B716" s="774" t="n">
        <v>42107</v>
      </c>
      <c r="D716" s="749" t="s">
        <v>96</v>
      </c>
      <c r="E716" s="749" t="s">
        <v>2888</v>
      </c>
      <c r="F716" s="749" t="s">
        <v>2889</v>
      </c>
      <c r="G716" s="776" t="s">
        <v>2136</v>
      </c>
      <c r="H716" s="776" t="n">
        <v>3000000</v>
      </c>
      <c r="I716" s="777" t="n">
        <v>1</v>
      </c>
      <c r="J716" s="778" t="n">
        <f aca="false">IF(I716="","",H716/I716)</f>
        <v>3000000</v>
      </c>
      <c r="K716" s="749" t="s">
        <v>2336</v>
      </c>
      <c r="L716" s="774" t="n">
        <v>42111</v>
      </c>
      <c r="M716" s="774" t="n">
        <v>43207</v>
      </c>
      <c r="O716" s="801" t="n">
        <v>2.97</v>
      </c>
      <c r="P716" s="749" t="s">
        <v>2880</v>
      </c>
      <c r="Q716" s="749" t="s">
        <v>2607</v>
      </c>
      <c r="R716" s="811"/>
    </row>
    <row r="717" customFormat="false" ht="16.5" hidden="false" customHeight="true" outlineLevel="0" collapsed="false">
      <c r="A717" s="773" t="s">
        <v>2190</v>
      </c>
      <c r="B717" s="774" t="n">
        <v>42110</v>
      </c>
      <c r="D717" s="749" t="s">
        <v>103</v>
      </c>
      <c r="E717" s="749" t="s">
        <v>2890</v>
      </c>
      <c r="F717" s="749" t="s">
        <v>2618</v>
      </c>
      <c r="G717" s="776" t="s">
        <v>2136</v>
      </c>
      <c r="H717" s="776" t="n">
        <v>5000000</v>
      </c>
      <c r="I717" s="777" t="n">
        <v>1</v>
      </c>
      <c r="J717" s="778" t="n">
        <f aca="false">IF(I717="","",H717/I717)</f>
        <v>5000000</v>
      </c>
      <c r="K717" s="749" t="s">
        <v>2336</v>
      </c>
      <c r="L717" s="774" t="n">
        <v>42115</v>
      </c>
      <c r="M717" s="774" t="n">
        <v>43211</v>
      </c>
      <c r="O717" s="801" t="n">
        <v>3.4</v>
      </c>
      <c r="P717" s="749" t="s">
        <v>2880</v>
      </c>
      <c r="Q717" s="749" t="s">
        <v>2607</v>
      </c>
      <c r="R717" s="811"/>
    </row>
    <row r="718" customFormat="false" ht="16.5" hidden="false" customHeight="true" outlineLevel="0" collapsed="false">
      <c r="A718" s="773" t="s">
        <v>2335</v>
      </c>
      <c r="B718" s="774" t="n">
        <v>42109</v>
      </c>
      <c r="D718" s="749" t="s">
        <v>103</v>
      </c>
      <c r="E718" s="749" t="s">
        <v>2621</v>
      </c>
      <c r="F718" s="749" t="s">
        <v>2690</v>
      </c>
      <c r="G718" s="776" t="s">
        <v>1267</v>
      </c>
      <c r="H718" s="776" t="n">
        <v>188000000</v>
      </c>
      <c r="I718" s="777" t="n">
        <v>119</v>
      </c>
      <c r="J718" s="778" t="n">
        <f aca="false">IF(I718="","",H718/I718)</f>
        <v>1579831.93277311</v>
      </c>
      <c r="K718" s="749" t="s">
        <v>2460</v>
      </c>
      <c r="L718" s="774" t="n">
        <v>42115</v>
      </c>
      <c r="M718" s="774" t="n">
        <v>42481</v>
      </c>
      <c r="O718" s="801" t="n">
        <v>3.13</v>
      </c>
      <c r="P718" s="749" t="s">
        <v>2880</v>
      </c>
      <c r="Q718" s="749" t="s">
        <v>2607</v>
      </c>
      <c r="R718" s="811"/>
    </row>
    <row r="719" customFormat="false" ht="16.5" hidden="false" customHeight="true" outlineLevel="0" collapsed="false">
      <c r="A719" s="773" t="s">
        <v>2335</v>
      </c>
      <c r="B719" s="774" t="n">
        <v>42109</v>
      </c>
      <c r="D719" s="749" t="s">
        <v>103</v>
      </c>
      <c r="E719" s="749" t="s">
        <v>2621</v>
      </c>
      <c r="F719" s="749" t="s">
        <v>2702</v>
      </c>
      <c r="G719" s="776" t="s">
        <v>1267</v>
      </c>
      <c r="H719" s="776" t="n">
        <v>120000000</v>
      </c>
      <c r="I719" s="777" t="n">
        <v>119</v>
      </c>
      <c r="J719" s="778" t="n">
        <f aca="false">IF(I719="","",H719/I719)</f>
        <v>1008403.36134454</v>
      </c>
      <c r="K719" s="749" t="s">
        <v>2336</v>
      </c>
      <c r="L719" s="774" t="n">
        <v>42127</v>
      </c>
      <c r="M719" s="774" t="n">
        <v>42493</v>
      </c>
      <c r="O719" s="801" t="n">
        <v>3.13</v>
      </c>
      <c r="P719" s="749" t="s">
        <v>2880</v>
      </c>
      <c r="Q719" s="749" t="s">
        <v>2607</v>
      </c>
      <c r="R719" s="811"/>
    </row>
    <row r="720" customFormat="false" ht="16.5" hidden="false" customHeight="true" outlineLevel="0" collapsed="false">
      <c r="A720" s="773" t="s">
        <v>2335</v>
      </c>
      <c r="B720" s="774" t="n">
        <v>42118</v>
      </c>
      <c r="D720" s="749" t="s">
        <v>2704</v>
      </c>
      <c r="E720" s="749" t="s">
        <v>2891</v>
      </c>
      <c r="F720" s="749" t="s">
        <v>2706</v>
      </c>
      <c r="G720" s="776" t="s">
        <v>1267</v>
      </c>
      <c r="H720" s="776" t="n">
        <v>118200000</v>
      </c>
      <c r="I720" s="777" t="n">
        <v>119</v>
      </c>
      <c r="J720" s="778" t="n">
        <f aca="false">IF(I720="","",H720/I720)</f>
        <v>993277.31092437</v>
      </c>
      <c r="K720" s="749" t="s">
        <v>2336</v>
      </c>
      <c r="L720" s="774" t="n">
        <v>42118</v>
      </c>
      <c r="M720" s="774" t="n">
        <v>42485</v>
      </c>
      <c r="O720" s="801" t="n">
        <v>3.8</v>
      </c>
      <c r="P720" s="749" t="s">
        <v>2880</v>
      </c>
      <c r="Q720" s="749" t="s">
        <v>2607</v>
      </c>
      <c r="R720" s="811"/>
    </row>
    <row r="721" customFormat="false" ht="16.5" hidden="false" customHeight="true" outlineLevel="0" collapsed="false">
      <c r="A721" s="773" t="s">
        <v>2335</v>
      </c>
      <c r="B721" s="774" t="n">
        <v>42115</v>
      </c>
      <c r="D721" s="749" t="s">
        <v>107</v>
      </c>
      <c r="E721" s="749" t="s">
        <v>2892</v>
      </c>
      <c r="F721" s="749" t="s">
        <v>2701</v>
      </c>
      <c r="G721" s="776" t="s">
        <v>1267</v>
      </c>
      <c r="H721" s="776" t="n">
        <v>24000000</v>
      </c>
      <c r="I721" s="777" t="n">
        <v>119</v>
      </c>
      <c r="J721" s="778" t="n">
        <f aca="false">IF(I721="","",H721/I721)</f>
        <v>201680.672268908</v>
      </c>
      <c r="K721" s="749" t="s">
        <v>2336</v>
      </c>
      <c r="L721" s="774" t="n">
        <v>42120</v>
      </c>
      <c r="M721" s="774" t="n">
        <v>42486</v>
      </c>
      <c r="O721" s="801" t="n">
        <v>3.87</v>
      </c>
      <c r="P721" s="749" t="s">
        <v>2880</v>
      </c>
      <c r="Q721" s="749" t="s">
        <v>2607</v>
      </c>
      <c r="R721" s="811"/>
    </row>
    <row r="722" customFormat="false" ht="16.5" hidden="false" customHeight="true" outlineLevel="0" collapsed="false">
      <c r="A722" s="773" t="s">
        <v>2335</v>
      </c>
      <c r="B722" s="774" t="n">
        <v>42115</v>
      </c>
      <c r="D722" s="749" t="s">
        <v>96</v>
      </c>
      <c r="E722" s="749" t="s">
        <v>2836</v>
      </c>
      <c r="F722" s="749" t="s">
        <v>2820</v>
      </c>
      <c r="G722" s="776" t="s">
        <v>2136</v>
      </c>
      <c r="H722" s="776" t="n">
        <v>3000000</v>
      </c>
      <c r="I722" s="777" t="n">
        <v>1</v>
      </c>
      <c r="J722" s="778" t="n">
        <f aca="false">IF(I722="","",H722/I722)</f>
        <v>3000000</v>
      </c>
      <c r="K722" s="749" t="s">
        <v>2460</v>
      </c>
      <c r="L722" s="774" t="n">
        <v>42133</v>
      </c>
      <c r="M722" s="774" t="n">
        <v>42499</v>
      </c>
      <c r="O722" s="801" t="n">
        <v>4.43</v>
      </c>
      <c r="P722" s="749" t="s">
        <v>2880</v>
      </c>
      <c r="Q722" s="749" t="s">
        <v>2607</v>
      </c>
      <c r="R722" s="811"/>
    </row>
    <row r="723" customFormat="false" ht="16.5" hidden="false" customHeight="true" outlineLevel="0" collapsed="false">
      <c r="A723" s="773" t="s">
        <v>2190</v>
      </c>
      <c r="B723" s="774" t="n">
        <v>42123</v>
      </c>
      <c r="D723" s="749" t="s">
        <v>103</v>
      </c>
      <c r="E723" s="749" t="s">
        <v>2893</v>
      </c>
      <c r="F723" s="798" t="s">
        <v>2894</v>
      </c>
      <c r="G723" s="776" t="s">
        <v>2156</v>
      </c>
      <c r="H723" s="776" t="n">
        <v>5000000</v>
      </c>
      <c r="I723" s="777" t="n">
        <v>1.0985</v>
      </c>
      <c r="J723" s="778" t="n">
        <f aca="false">IF(I723="","",H723/I723)</f>
        <v>4551661.35639508</v>
      </c>
      <c r="K723" s="749" t="s">
        <v>2336</v>
      </c>
      <c r="L723" s="774" t="n">
        <v>42124</v>
      </c>
      <c r="M723" s="774" t="n">
        <v>43220</v>
      </c>
      <c r="O723" s="801" t="n">
        <v>2.15</v>
      </c>
      <c r="P723" s="749" t="s">
        <v>2880</v>
      </c>
      <c r="Q723" s="749" t="s">
        <v>2607</v>
      </c>
      <c r="R723" s="811"/>
    </row>
    <row r="724" customFormat="false" ht="16.5" hidden="false" customHeight="true" outlineLevel="0" collapsed="false">
      <c r="A724" s="773" t="s">
        <v>2335</v>
      </c>
      <c r="B724" s="774" t="n">
        <v>42128</v>
      </c>
      <c r="D724" s="749" t="s">
        <v>1172</v>
      </c>
      <c r="E724" s="749" t="s">
        <v>2861</v>
      </c>
      <c r="F724" s="749" t="s">
        <v>2710</v>
      </c>
      <c r="G724" s="776" t="s">
        <v>1267</v>
      </c>
      <c r="H724" s="776" t="n">
        <v>24000000</v>
      </c>
      <c r="I724" s="777" t="n">
        <v>119</v>
      </c>
      <c r="J724" s="778" t="n">
        <f aca="false">IF(I724="","",H724/I724)</f>
        <v>201680.672268908</v>
      </c>
      <c r="K724" s="749" t="s">
        <v>2336</v>
      </c>
      <c r="L724" s="774" t="n">
        <v>42136</v>
      </c>
      <c r="M724" s="774" t="n">
        <v>42502</v>
      </c>
      <c r="O724" s="801" t="n">
        <v>3.83</v>
      </c>
      <c r="P724" s="749" t="s">
        <v>2880</v>
      </c>
      <c r="Q724" s="749" t="s">
        <v>2607</v>
      </c>
      <c r="R724" s="811"/>
    </row>
    <row r="725" customFormat="false" ht="16.5" hidden="false" customHeight="true" outlineLevel="0" collapsed="false">
      <c r="A725" s="773" t="s">
        <v>2335</v>
      </c>
      <c r="B725" s="774" t="n">
        <v>42139</v>
      </c>
      <c r="D725" s="749" t="s">
        <v>103</v>
      </c>
      <c r="E725" s="749" t="s">
        <v>2621</v>
      </c>
      <c r="F725" s="749" t="s">
        <v>2707</v>
      </c>
      <c r="G725" s="776" t="s">
        <v>1267</v>
      </c>
      <c r="H725" s="776" t="n">
        <v>64300000</v>
      </c>
      <c r="I725" s="777" t="n">
        <v>119.66</v>
      </c>
      <c r="J725" s="778" t="n">
        <f aca="false">IF(I725="","",H725/I725)</f>
        <v>537355.841551061</v>
      </c>
      <c r="K725" s="749" t="s">
        <v>2336</v>
      </c>
      <c r="L725" s="774" t="n">
        <v>42144</v>
      </c>
      <c r="M725" s="774" t="n">
        <v>42510</v>
      </c>
      <c r="O725" s="801" t="n">
        <v>3.51</v>
      </c>
      <c r="P725" s="749" t="s">
        <v>2880</v>
      </c>
      <c r="Q725" s="749" t="s">
        <v>2607</v>
      </c>
      <c r="R725" s="811"/>
    </row>
    <row r="726" customFormat="false" ht="16.5" hidden="false" customHeight="true" outlineLevel="0" collapsed="false">
      <c r="A726" s="773" t="s">
        <v>2190</v>
      </c>
      <c r="B726" s="774" t="n">
        <v>42146</v>
      </c>
      <c r="D726" s="749" t="s">
        <v>2378</v>
      </c>
      <c r="E726" s="749" t="s">
        <v>2895</v>
      </c>
      <c r="F726" s="749" t="s">
        <v>2380</v>
      </c>
      <c r="G726" s="776" t="s">
        <v>2136</v>
      </c>
      <c r="H726" s="776" t="n">
        <v>150000</v>
      </c>
      <c r="I726" s="777" t="n">
        <v>1</v>
      </c>
      <c r="J726" s="778" t="n">
        <f aca="false">IF(I726="","",H726/I726)</f>
        <v>150000</v>
      </c>
      <c r="K726" s="749" t="s">
        <v>2819</v>
      </c>
      <c r="L726" s="774" t="n">
        <v>42146</v>
      </c>
      <c r="M726" s="774" t="n">
        <v>42238</v>
      </c>
      <c r="O726" s="801" t="n">
        <v>4.69</v>
      </c>
      <c r="P726" s="749" t="s">
        <v>2880</v>
      </c>
      <c r="Q726" s="749" t="s">
        <v>2607</v>
      </c>
      <c r="R726" s="811"/>
    </row>
    <row r="727" customFormat="false" ht="16.5" hidden="false" customHeight="true" outlineLevel="0" collapsed="false">
      <c r="A727" s="773" t="s">
        <v>2190</v>
      </c>
      <c r="B727" s="774" t="n">
        <v>42145</v>
      </c>
      <c r="D727" s="749" t="s">
        <v>866</v>
      </c>
      <c r="E727" s="749" t="s">
        <v>2779</v>
      </c>
      <c r="F727" s="749" t="s">
        <v>2896</v>
      </c>
      <c r="G727" s="776" t="s">
        <v>1267</v>
      </c>
      <c r="H727" s="776" t="n">
        <v>195000000</v>
      </c>
      <c r="I727" s="777" t="n">
        <v>121</v>
      </c>
      <c r="J727" s="778" t="n">
        <f aca="false">IF(I727="","",H727/I727)</f>
        <v>1611570.24793388</v>
      </c>
      <c r="K727" s="749" t="s">
        <v>2460</v>
      </c>
      <c r="L727" s="774" t="n">
        <v>42150</v>
      </c>
      <c r="M727" s="774" t="n">
        <v>43246</v>
      </c>
      <c r="O727" s="801" t="n">
        <v>2.65</v>
      </c>
      <c r="P727" s="749" t="s">
        <v>2880</v>
      </c>
      <c r="Q727" s="749" t="s">
        <v>2607</v>
      </c>
      <c r="R727" s="811"/>
    </row>
    <row r="728" customFormat="false" ht="16.5" hidden="false" customHeight="true" outlineLevel="0" collapsed="false">
      <c r="A728" s="773" t="s">
        <v>2190</v>
      </c>
      <c r="B728" s="774" t="n">
        <v>42146</v>
      </c>
      <c r="D728" s="749" t="s">
        <v>2378</v>
      </c>
      <c r="E728" s="749" t="s">
        <v>2895</v>
      </c>
      <c r="F728" s="749" t="s">
        <v>2380</v>
      </c>
      <c r="G728" s="776" t="s">
        <v>2136</v>
      </c>
      <c r="H728" s="776" t="n">
        <v>150000</v>
      </c>
      <c r="I728" s="777" t="n">
        <v>1</v>
      </c>
      <c r="J728" s="778" t="n">
        <f aca="false">IF(I728="","",H728/I728)</f>
        <v>150000</v>
      </c>
      <c r="K728" s="749" t="s">
        <v>2819</v>
      </c>
      <c r="L728" s="774" t="n">
        <v>42146</v>
      </c>
      <c r="M728" s="774" t="n">
        <v>42238</v>
      </c>
      <c r="O728" s="801" t="n">
        <v>4.69</v>
      </c>
      <c r="P728" s="749" t="s">
        <v>2880</v>
      </c>
      <c r="Q728" s="749" t="s">
        <v>2607</v>
      </c>
      <c r="R728" s="811"/>
    </row>
    <row r="729" customFormat="false" ht="16.5" hidden="false" customHeight="true" outlineLevel="0" collapsed="false">
      <c r="A729" s="773" t="s">
        <v>2335</v>
      </c>
      <c r="B729" s="774" t="n">
        <v>42139</v>
      </c>
      <c r="D729" s="749" t="s">
        <v>2338</v>
      </c>
      <c r="E729" s="749" t="s">
        <v>2897</v>
      </c>
      <c r="F729" s="749" t="s">
        <v>2724</v>
      </c>
      <c r="G729" s="776" t="s">
        <v>1267</v>
      </c>
      <c r="H729" s="776" t="n">
        <v>90000000</v>
      </c>
      <c r="I729" s="777" t="n">
        <v>124</v>
      </c>
      <c r="J729" s="778" t="n">
        <f aca="false">IF(I729="","",H729/I729)</f>
        <v>725806.451612903</v>
      </c>
      <c r="K729" s="749" t="s">
        <v>2336</v>
      </c>
      <c r="L729" s="774" t="n">
        <v>42152</v>
      </c>
      <c r="M729" s="774" t="n">
        <v>42518</v>
      </c>
      <c r="O729" s="801" t="n">
        <v>3</v>
      </c>
      <c r="P729" s="749" t="s">
        <v>2880</v>
      </c>
      <c r="Q729" s="749" t="s">
        <v>2607</v>
      </c>
      <c r="R729" s="811"/>
    </row>
    <row r="730" customFormat="false" ht="16.5" hidden="false" customHeight="true" outlineLevel="0" collapsed="false">
      <c r="A730" s="773" t="s">
        <v>2335</v>
      </c>
      <c r="B730" s="774" t="n">
        <v>42150</v>
      </c>
      <c r="D730" s="749" t="s">
        <v>2398</v>
      </c>
      <c r="E730" s="749" t="s">
        <v>2873</v>
      </c>
      <c r="F730" s="749" t="s">
        <v>2448</v>
      </c>
      <c r="G730" s="776" t="s">
        <v>2136</v>
      </c>
      <c r="H730" s="776" t="n">
        <v>150000</v>
      </c>
      <c r="I730" s="777" t="n">
        <v>1</v>
      </c>
      <c r="J730" s="778" t="n">
        <f aca="false">IF(I730="","",H730/I730)</f>
        <v>150000</v>
      </c>
      <c r="K730" s="749" t="s">
        <v>2819</v>
      </c>
      <c r="L730" s="774" t="n">
        <v>42131</v>
      </c>
      <c r="M730" s="774" t="n">
        <v>42223</v>
      </c>
      <c r="O730" s="801" t="n">
        <v>3.5</v>
      </c>
      <c r="P730" s="749" t="s">
        <v>2880</v>
      </c>
      <c r="Q730" s="749" t="s">
        <v>2607</v>
      </c>
      <c r="R730" s="811"/>
    </row>
    <row r="731" customFormat="false" ht="16.5" hidden="false" customHeight="true" outlineLevel="0" collapsed="false">
      <c r="A731" s="773" t="s">
        <v>2335</v>
      </c>
      <c r="B731" s="774" t="n">
        <v>42150</v>
      </c>
      <c r="D731" s="749" t="s">
        <v>2398</v>
      </c>
      <c r="E731" s="749" t="s">
        <v>2873</v>
      </c>
      <c r="F731" s="749" t="s">
        <v>2448</v>
      </c>
      <c r="G731" s="776" t="s">
        <v>2136</v>
      </c>
      <c r="H731" s="776" t="n">
        <v>150000</v>
      </c>
      <c r="I731" s="777" t="n">
        <v>1</v>
      </c>
      <c r="J731" s="778" t="n">
        <f aca="false">IF(I731="","",H731/I731)</f>
        <v>150000</v>
      </c>
      <c r="K731" s="749" t="s">
        <v>2819</v>
      </c>
      <c r="L731" s="774" t="n">
        <v>42131</v>
      </c>
      <c r="M731" s="774" t="n">
        <v>42223</v>
      </c>
      <c r="O731" s="801" t="n">
        <v>3.5</v>
      </c>
      <c r="P731" s="749" t="s">
        <v>2880</v>
      </c>
      <c r="Q731" s="749" t="s">
        <v>2607</v>
      </c>
      <c r="R731" s="811"/>
    </row>
    <row r="732" customFormat="false" ht="16.5" hidden="false" customHeight="true" outlineLevel="0" collapsed="false">
      <c r="A732" s="773" t="s">
        <v>2335</v>
      </c>
      <c r="B732" s="774" t="n">
        <v>42156</v>
      </c>
      <c r="D732" s="749" t="s">
        <v>2338</v>
      </c>
      <c r="E732" s="749" t="s">
        <v>2885</v>
      </c>
      <c r="F732" s="749" t="s">
        <v>2723</v>
      </c>
      <c r="G732" s="776" t="s">
        <v>1267</v>
      </c>
      <c r="H732" s="776" t="n">
        <v>25000000</v>
      </c>
      <c r="I732" s="777" t="n">
        <v>124</v>
      </c>
      <c r="J732" s="778" t="n">
        <f aca="false">IF(I732="","",H732/I732)</f>
        <v>201612.903225806</v>
      </c>
      <c r="K732" s="749" t="s">
        <v>2336</v>
      </c>
      <c r="L732" s="774" t="n">
        <v>42156</v>
      </c>
      <c r="M732" s="774" t="n">
        <v>42520</v>
      </c>
      <c r="O732" s="801" t="n">
        <v>2.95</v>
      </c>
      <c r="P732" s="749" t="s">
        <v>2880</v>
      </c>
      <c r="Q732" s="749" t="s">
        <v>2607</v>
      </c>
      <c r="R732" s="811"/>
    </row>
    <row r="733" customFormat="false" ht="16.5" hidden="false" customHeight="true" outlineLevel="0" collapsed="false">
      <c r="A733" s="773" t="s">
        <v>2335</v>
      </c>
      <c r="B733" s="774" t="n">
        <v>42153</v>
      </c>
      <c r="D733" s="749" t="s">
        <v>2430</v>
      </c>
      <c r="E733" s="749" t="s">
        <v>2851</v>
      </c>
      <c r="F733" s="749" t="s">
        <v>2556</v>
      </c>
      <c r="G733" s="776" t="s">
        <v>1267</v>
      </c>
      <c r="H733" s="776" t="n">
        <v>28800000</v>
      </c>
      <c r="I733" s="777" t="n">
        <v>124</v>
      </c>
      <c r="J733" s="778" t="n">
        <f aca="false">IF(I733="","",H733/I733)</f>
        <v>232258.064516129</v>
      </c>
      <c r="K733" s="749" t="s">
        <v>2460</v>
      </c>
      <c r="L733" s="774" t="n">
        <v>42153</v>
      </c>
      <c r="M733" s="774" t="n">
        <v>42519</v>
      </c>
      <c r="O733" s="801" t="n">
        <v>3.47</v>
      </c>
      <c r="P733" s="749" t="s">
        <v>2880</v>
      </c>
      <c r="Q733" s="749" t="s">
        <v>2607</v>
      </c>
      <c r="R733" s="811"/>
    </row>
    <row r="734" customFormat="false" ht="16.5" hidden="false" customHeight="true" outlineLevel="0" collapsed="false">
      <c r="A734" s="773" t="s">
        <v>2335</v>
      </c>
      <c r="B734" s="774" t="n">
        <v>42156</v>
      </c>
      <c r="D734" s="749" t="s">
        <v>103</v>
      </c>
      <c r="E734" s="749" t="s">
        <v>2621</v>
      </c>
      <c r="F734" s="749" t="s">
        <v>2721</v>
      </c>
      <c r="G734" s="776" t="s">
        <v>1267</v>
      </c>
      <c r="H734" s="776" t="n">
        <v>85900000</v>
      </c>
      <c r="I734" s="777" t="n">
        <v>122</v>
      </c>
      <c r="J734" s="778" t="n">
        <f aca="false">IF(I734="","",H734/I734)</f>
        <v>704098.360655738</v>
      </c>
      <c r="K734" s="749" t="s">
        <v>2336</v>
      </c>
      <c r="L734" s="774" t="n">
        <v>42163</v>
      </c>
      <c r="M734" s="774" t="n">
        <v>42529</v>
      </c>
      <c r="O734" s="801" t="n">
        <v>3.46</v>
      </c>
      <c r="P734" s="749" t="s">
        <v>2880</v>
      </c>
      <c r="Q734" s="749" t="s">
        <v>2607</v>
      </c>
      <c r="R734" s="811"/>
    </row>
    <row r="735" customFormat="false" ht="16.5" hidden="false" customHeight="true" outlineLevel="0" collapsed="false">
      <c r="A735" s="773" t="s">
        <v>2190</v>
      </c>
      <c r="B735" s="774" t="n">
        <v>42165</v>
      </c>
      <c r="D735" s="749" t="s">
        <v>2378</v>
      </c>
      <c r="E735" s="749" t="s">
        <v>2895</v>
      </c>
      <c r="F735" s="749" t="s">
        <v>2380</v>
      </c>
      <c r="G735" s="776" t="s">
        <v>2136</v>
      </c>
      <c r="H735" s="776" t="n">
        <v>250000</v>
      </c>
      <c r="I735" s="777" t="n">
        <v>1</v>
      </c>
      <c r="J735" s="778" t="n">
        <f aca="false">IF(I735="","",H735/I735)</f>
        <v>250000</v>
      </c>
      <c r="K735" s="749" t="s">
        <v>2819</v>
      </c>
      <c r="L735" s="774" t="n">
        <v>42165</v>
      </c>
      <c r="M735" s="774" t="n">
        <v>42348</v>
      </c>
      <c r="O735" s="801" t="n">
        <v>3</v>
      </c>
      <c r="P735" s="749" t="s">
        <v>2880</v>
      </c>
      <c r="Q735" s="749" t="s">
        <v>2607</v>
      </c>
      <c r="R735" s="811"/>
    </row>
    <row r="736" customFormat="false" ht="16.5" hidden="false" customHeight="true" outlineLevel="0" collapsed="false">
      <c r="A736" s="773" t="s">
        <v>2335</v>
      </c>
      <c r="B736" s="774" t="n">
        <v>42171</v>
      </c>
      <c r="D736" s="749" t="s">
        <v>2338</v>
      </c>
      <c r="E736" s="749" t="s">
        <v>2885</v>
      </c>
      <c r="F736" s="749" t="s">
        <v>2340</v>
      </c>
      <c r="G736" s="776" t="s">
        <v>1267</v>
      </c>
      <c r="H736" s="776" t="n">
        <v>21240000</v>
      </c>
      <c r="I736" s="777" t="n">
        <v>123</v>
      </c>
      <c r="J736" s="778" t="n">
        <f aca="false">IF(I736="","",H736/I736)</f>
        <v>172682.926829268</v>
      </c>
      <c r="K736" s="749" t="s">
        <v>2336</v>
      </c>
      <c r="L736" s="774" t="n">
        <v>42171</v>
      </c>
      <c r="M736" s="774" t="n">
        <v>42537</v>
      </c>
      <c r="O736" s="801" t="n">
        <v>2.46</v>
      </c>
      <c r="P736" s="749" t="s">
        <v>2880</v>
      </c>
      <c r="Q736" s="749" t="s">
        <v>2607</v>
      </c>
      <c r="R736" s="811"/>
    </row>
    <row r="737" customFormat="false" ht="16.5" hidden="false" customHeight="true" outlineLevel="0" collapsed="false">
      <c r="A737" s="773" t="s">
        <v>2335</v>
      </c>
      <c r="B737" s="774" t="n">
        <v>42171</v>
      </c>
      <c r="D737" s="749" t="s">
        <v>2338</v>
      </c>
      <c r="E737" s="749" t="s">
        <v>2885</v>
      </c>
      <c r="F737" s="749" t="s">
        <v>2340</v>
      </c>
      <c r="G737" s="776" t="s">
        <v>1267</v>
      </c>
      <c r="H737" s="776" t="n">
        <v>10600000</v>
      </c>
      <c r="I737" s="777" t="n">
        <v>123</v>
      </c>
      <c r="J737" s="778" t="n">
        <f aca="false">IF(I737="","",H737/I737)</f>
        <v>86178.8617886179</v>
      </c>
      <c r="K737" s="749" t="s">
        <v>2336</v>
      </c>
      <c r="L737" s="774" t="n">
        <v>42171</v>
      </c>
      <c r="M737" s="774" t="n">
        <v>42537</v>
      </c>
      <c r="O737" s="801" t="n">
        <v>2.46</v>
      </c>
      <c r="P737" s="749" t="s">
        <v>2880</v>
      </c>
      <c r="Q737" s="749" t="s">
        <v>2607</v>
      </c>
      <c r="R737" s="811"/>
    </row>
    <row r="738" customFormat="false" ht="16.5" hidden="false" customHeight="true" outlineLevel="0" collapsed="false">
      <c r="A738" s="773" t="s">
        <v>2335</v>
      </c>
      <c r="B738" s="774" t="n">
        <v>42171</v>
      </c>
      <c r="D738" s="749" t="s">
        <v>103</v>
      </c>
      <c r="E738" s="749" t="s">
        <v>2840</v>
      </c>
      <c r="F738" s="749" t="s">
        <v>2394</v>
      </c>
      <c r="G738" s="776" t="s">
        <v>1267</v>
      </c>
      <c r="H738" s="776" t="n">
        <v>28000000</v>
      </c>
      <c r="I738" s="777" t="n">
        <v>123</v>
      </c>
      <c r="J738" s="778" t="n">
        <f aca="false">IF(I738="","",H738/I738)</f>
        <v>227642.276422764</v>
      </c>
      <c r="K738" s="749" t="s">
        <v>2336</v>
      </c>
      <c r="L738" s="774" t="n">
        <v>42173</v>
      </c>
      <c r="M738" s="774" t="n">
        <v>42539</v>
      </c>
      <c r="O738" s="801" t="n">
        <v>3.9</v>
      </c>
      <c r="P738" s="749" t="s">
        <v>2880</v>
      </c>
      <c r="Q738" s="749" t="s">
        <v>2607</v>
      </c>
      <c r="R738" s="811"/>
    </row>
    <row r="739" customFormat="false" ht="16.5" hidden="false" customHeight="true" outlineLevel="0" collapsed="false">
      <c r="A739" s="773" t="s">
        <v>2335</v>
      </c>
      <c r="B739" s="774" t="n">
        <v>42173</v>
      </c>
      <c r="D739" s="749" t="s">
        <v>2364</v>
      </c>
      <c r="E739" s="749" t="s">
        <v>2867</v>
      </c>
      <c r="F739" s="749" t="s">
        <v>2366</v>
      </c>
      <c r="G739" s="776" t="s">
        <v>1267</v>
      </c>
      <c r="H739" s="776" t="n">
        <v>20400000</v>
      </c>
      <c r="I739" s="777" t="n">
        <v>122</v>
      </c>
      <c r="J739" s="778" t="n">
        <f aca="false">IF(I739="","",H739/I739)</f>
        <v>167213.114754098</v>
      </c>
      <c r="K739" s="749" t="s">
        <v>2460</v>
      </c>
      <c r="L739" s="774" t="n">
        <v>42173</v>
      </c>
      <c r="M739" s="774" t="n">
        <v>42543</v>
      </c>
      <c r="O739" s="801" t="n">
        <v>3.35</v>
      </c>
      <c r="P739" s="749" t="s">
        <v>2880</v>
      </c>
      <c r="Q739" s="749" t="s">
        <v>2607</v>
      </c>
      <c r="R739" s="811"/>
    </row>
    <row r="740" customFormat="false" ht="16.5" hidden="false" customHeight="true" outlineLevel="0" collapsed="false">
      <c r="A740" s="773" t="s">
        <v>2190</v>
      </c>
      <c r="B740" s="774" t="n">
        <v>42172</v>
      </c>
      <c r="D740" s="749" t="s">
        <v>103</v>
      </c>
      <c r="E740" s="749" t="s">
        <v>2890</v>
      </c>
      <c r="F740" s="749" t="s">
        <v>2618</v>
      </c>
      <c r="G740" s="776" t="s">
        <v>2136</v>
      </c>
      <c r="H740" s="776" t="n">
        <v>7650000</v>
      </c>
      <c r="I740" s="777" t="n">
        <v>1</v>
      </c>
      <c r="J740" s="778" t="n">
        <f aca="false">IF(I740="","",H740/I740)</f>
        <v>7650000</v>
      </c>
      <c r="K740" s="749" t="s">
        <v>2819</v>
      </c>
      <c r="L740" s="774" t="n">
        <v>42178</v>
      </c>
      <c r="M740" s="774" t="n">
        <v>46561</v>
      </c>
      <c r="O740" s="801" t="n">
        <v>2.68</v>
      </c>
      <c r="P740" s="749" t="s">
        <v>2880</v>
      </c>
      <c r="Q740" s="749" t="s">
        <v>2607</v>
      </c>
      <c r="R740" s="811"/>
    </row>
    <row r="741" customFormat="false" ht="16.5" hidden="false" customHeight="true" outlineLevel="0" collapsed="false">
      <c r="A741" s="773" t="s">
        <v>2335</v>
      </c>
      <c r="B741" s="774" t="n">
        <v>42177</v>
      </c>
      <c r="D741" s="749" t="s">
        <v>2898</v>
      </c>
      <c r="E741" s="749" t="s">
        <v>2899</v>
      </c>
      <c r="F741" s="749" t="s">
        <v>2412</v>
      </c>
      <c r="G741" s="776" t="s">
        <v>2136</v>
      </c>
      <c r="H741" s="776" t="n">
        <v>325000</v>
      </c>
      <c r="I741" s="777" t="n">
        <v>1</v>
      </c>
      <c r="J741" s="778" t="n">
        <f aca="false">IF(I741="","",H741/I741)</f>
        <v>325000</v>
      </c>
      <c r="K741" s="749" t="s">
        <v>2460</v>
      </c>
      <c r="L741" s="774" t="n">
        <v>42187</v>
      </c>
      <c r="M741" s="774" t="n">
        <v>42553</v>
      </c>
      <c r="O741" s="801" t="n">
        <v>3</v>
      </c>
      <c r="P741" s="749" t="s">
        <v>2880</v>
      </c>
      <c r="Q741" s="749" t="s">
        <v>2607</v>
      </c>
      <c r="R741" s="811"/>
    </row>
    <row r="742" customFormat="false" ht="16.5" hidden="false" customHeight="true" outlineLevel="0" collapsed="false">
      <c r="A742" s="773" t="s">
        <v>2335</v>
      </c>
      <c r="B742" s="774" t="n">
        <v>42177</v>
      </c>
      <c r="D742" s="749" t="s">
        <v>2900</v>
      </c>
      <c r="E742" s="749" t="s">
        <v>2901</v>
      </c>
      <c r="F742" s="749" t="s">
        <v>2865</v>
      </c>
      <c r="G742" s="776" t="s">
        <v>1267</v>
      </c>
      <c r="H742" s="776" t="n">
        <v>136700000</v>
      </c>
      <c r="I742" s="777" t="n">
        <v>123</v>
      </c>
      <c r="J742" s="778" t="n">
        <f aca="false">IF(I742="","",H742/I742)</f>
        <v>1111382.11382114</v>
      </c>
      <c r="K742" s="749" t="s">
        <v>2336</v>
      </c>
      <c r="L742" s="774" t="n">
        <v>42178</v>
      </c>
      <c r="M742" s="774" t="n">
        <v>42544</v>
      </c>
      <c r="O742" s="801" t="n">
        <v>3.39</v>
      </c>
      <c r="P742" s="749" t="s">
        <v>2880</v>
      </c>
      <c r="Q742" s="749" t="s">
        <v>2607</v>
      </c>
      <c r="R742" s="811"/>
    </row>
    <row r="743" customFormat="false" ht="16.5" hidden="false" customHeight="true" outlineLevel="0" collapsed="false">
      <c r="A743" s="773" t="s">
        <v>2335</v>
      </c>
      <c r="B743" s="774" t="n">
        <v>42177</v>
      </c>
      <c r="D743" s="749" t="s">
        <v>2900</v>
      </c>
      <c r="E743" s="749" t="s">
        <v>2901</v>
      </c>
      <c r="F743" s="749" t="s">
        <v>2865</v>
      </c>
      <c r="G743" s="776" t="s">
        <v>1267</v>
      </c>
      <c r="H743" s="776" t="n">
        <v>33300000</v>
      </c>
      <c r="I743" s="777" t="n">
        <v>123</v>
      </c>
      <c r="J743" s="778" t="n">
        <f aca="false">IF(I743="","",H743/I743)</f>
        <v>270731.707317073</v>
      </c>
      <c r="K743" s="749" t="s">
        <v>2336</v>
      </c>
      <c r="L743" s="774" t="n">
        <v>42178</v>
      </c>
      <c r="M743" s="774" t="n">
        <v>42544</v>
      </c>
      <c r="O743" s="801" t="n">
        <v>3.39</v>
      </c>
      <c r="P743" s="749" t="s">
        <v>2880</v>
      </c>
      <c r="Q743" s="749" t="s">
        <v>2607</v>
      </c>
      <c r="R743" s="811"/>
    </row>
    <row r="744" customFormat="false" ht="16.5" hidden="false" customHeight="true" outlineLevel="0" collapsed="false">
      <c r="A744" s="773" t="s">
        <v>2335</v>
      </c>
      <c r="B744" s="774" t="n">
        <v>42180</v>
      </c>
      <c r="D744" s="749" t="s">
        <v>2902</v>
      </c>
      <c r="E744" s="749" t="s">
        <v>2866</v>
      </c>
      <c r="F744" s="749" t="s">
        <v>2408</v>
      </c>
      <c r="G744" s="776" t="s">
        <v>1267</v>
      </c>
      <c r="H744" s="776" t="n">
        <v>60000000</v>
      </c>
      <c r="I744" s="777" t="n">
        <v>122</v>
      </c>
      <c r="J744" s="778" t="n">
        <f aca="false">IF(I744="","",H744/I744)</f>
        <v>491803.278688525</v>
      </c>
      <c r="K744" s="749" t="s">
        <v>2336</v>
      </c>
      <c r="L744" s="774" t="n">
        <v>42184</v>
      </c>
      <c r="M744" s="774" t="n">
        <v>42550</v>
      </c>
      <c r="O744" s="801" t="n">
        <v>2.66</v>
      </c>
      <c r="P744" s="749" t="s">
        <v>2880</v>
      </c>
      <c r="Q744" s="749" t="s">
        <v>2607</v>
      </c>
      <c r="R744" s="811"/>
    </row>
    <row r="745" customFormat="false" ht="16.5" hidden="false" customHeight="true" outlineLevel="0" collapsed="false">
      <c r="A745" s="773" t="s">
        <v>2190</v>
      </c>
      <c r="B745" s="774" t="n">
        <v>42199</v>
      </c>
      <c r="D745" s="749" t="s">
        <v>2430</v>
      </c>
      <c r="E745" s="749" t="s">
        <v>2851</v>
      </c>
      <c r="F745" s="749" t="s">
        <v>2780</v>
      </c>
      <c r="G745" s="776" t="s">
        <v>2136</v>
      </c>
      <c r="H745" s="776" t="n">
        <v>154400</v>
      </c>
      <c r="I745" s="777" t="n">
        <v>1</v>
      </c>
      <c r="J745" s="778" t="n">
        <f aca="false">IF(I745="","",H745/I745)</f>
        <v>154400</v>
      </c>
      <c r="K745" s="749" t="s">
        <v>2336</v>
      </c>
      <c r="L745" s="774" t="n">
        <v>42200</v>
      </c>
      <c r="M745" s="774" t="n">
        <v>42566</v>
      </c>
      <c r="O745" s="801" t="n">
        <v>4.2</v>
      </c>
      <c r="P745" s="749" t="s">
        <v>2880</v>
      </c>
      <c r="Q745" s="749" t="s">
        <v>2607</v>
      </c>
      <c r="R745" s="811"/>
    </row>
    <row r="746" customFormat="false" ht="16.5" hidden="false" customHeight="true" outlineLevel="0" collapsed="false">
      <c r="A746" s="773" t="s">
        <v>2335</v>
      </c>
      <c r="B746" s="774" t="n">
        <v>42215</v>
      </c>
      <c r="D746" s="749" t="s">
        <v>2902</v>
      </c>
      <c r="E746" s="749" t="s">
        <v>2875</v>
      </c>
      <c r="F746" s="749" t="s">
        <v>2346</v>
      </c>
      <c r="G746" s="776" t="s">
        <v>1267</v>
      </c>
      <c r="H746" s="776" t="n">
        <v>49500000</v>
      </c>
      <c r="I746" s="777" t="n">
        <v>124</v>
      </c>
      <c r="J746" s="778" t="n">
        <f aca="false">IF(I746="","",H746/I746)</f>
        <v>399193.548387097</v>
      </c>
      <c r="K746" s="749" t="s">
        <v>2336</v>
      </c>
      <c r="L746" s="774" t="n">
        <v>42221</v>
      </c>
      <c r="M746" s="774" t="n">
        <v>42587</v>
      </c>
      <c r="O746" s="801" t="n">
        <v>2.49</v>
      </c>
      <c r="P746" s="749" t="s">
        <v>2903</v>
      </c>
      <c r="Q746" s="749" t="s">
        <v>2904</v>
      </c>
      <c r="R746" s="811"/>
    </row>
    <row r="747" customFormat="false" ht="16.5" hidden="false" customHeight="true" outlineLevel="0" collapsed="false">
      <c r="A747" s="773" t="s">
        <v>2335</v>
      </c>
      <c r="B747" s="774" t="n">
        <v>42215</v>
      </c>
      <c r="D747" s="749" t="s">
        <v>2697</v>
      </c>
      <c r="E747" s="749" t="s">
        <v>2905</v>
      </c>
      <c r="F747" s="749" t="s">
        <v>2756</v>
      </c>
      <c r="G747" s="776" t="s">
        <v>1267</v>
      </c>
      <c r="H747" s="776" t="n">
        <v>19970000</v>
      </c>
      <c r="I747" s="777" t="n">
        <v>124</v>
      </c>
      <c r="J747" s="778" t="n">
        <f aca="false">IF(I747="","",H747/I747)</f>
        <v>161048.387096774</v>
      </c>
      <c r="K747" s="749" t="s">
        <v>2336</v>
      </c>
      <c r="L747" s="774" t="n">
        <v>42219</v>
      </c>
      <c r="M747" s="774" t="n">
        <v>42585</v>
      </c>
      <c r="O747" s="801" t="n">
        <v>3.5</v>
      </c>
      <c r="P747" s="749" t="s">
        <v>2903</v>
      </c>
      <c r="Q747" s="749" t="s">
        <v>2904</v>
      </c>
      <c r="R747" s="811"/>
    </row>
    <row r="748" customFormat="false" ht="16.5" hidden="false" customHeight="true" outlineLevel="0" collapsed="false">
      <c r="A748" s="773" t="s">
        <v>2335</v>
      </c>
      <c r="B748" s="774" t="n">
        <v>42249</v>
      </c>
      <c r="D748" s="749" t="s">
        <v>866</v>
      </c>
      <c r="E748" s="749" t="s">
        <v>2359</v>
      </c>
      <c r="F748" s="749" t="s">
        <v>2464</v>
      </c>
      <c r="G748" s="776" t="s">
        <v>1267</v>
      </c>
      <c r="H748" s="776" t="n">
        <v>150700000</v>
      </c>
      <c r="I748" s="777" t="n">
        <v>120.03</v>
      </c>
      <c r="J748" s="778" t="n">
        <f aca="false">IF(I748="","",H748/I748)</f>
        <v>1255519.45346997</v>
      </c>
      <c r="K748" s="749" t="s">
        <v>2460</v>
      </c>
      <c r="L748" s="774" t="n">
        <v>42247</v>
      </c>
      <c r="M748" s="774" t="n">
        <v>42613</v>
      </c>
      <c r="O748" s="801" t="n">
        <v>2.95</v>
      </c>
      <c r="P748" s="749" t="s">
        <v>2903</v>
      </c>
      <c r="Q748" s="749" t="s">
        <v>2904</v>
      </c>
      <c r="R748" s="811"/>
    </row>
    <row r="749" customFormat="false" ht="16.5" hidden="false" customHeight="true" outlineLevel="0" collapsed="false">
      <c r="A749" s="773" t="s">
        <v>2335</v>
      </c>
      <c r="B749" s="774" t="n">
        <v>42269</v>
      </c>
      <c r="D749" s="749" t="s">
        <v>2657</v>
      </c>
      <c r="E749" s="749" t="s">
        <v>2906</v>
      </c>
      <c r="F749" s="749" t="s">
        <v>2514</v>
      </c>
      <c r="G749" s="776" t="s">
        <v>1267</v>
      </c>
      <c r="H749" s="776" t="n">
        <v>66000000</v>
      </c>
      <c r="I749" s="777" t="n">
        <v>120.01</v>
      </c>
      <c r="J749" s="778" t="n">
        <f aca="false">IF(I749="","",H749/I749)</f>
        <v>549954.170485793</v>
      </c>
      <c r="K749" s="749" t="s">
        <v>2460</v>
      </c>
      <c r="L749" s="774" t="n">
        <v>42279</v>
      </c>
      <c r="M749" s="774" t="n">
        <v>42645</v>
      </c>
      <c r="O749" s="801" t="n">
        <v>2.65</v>
      </c>
      <c r="P749" s="749" t="s">
        <v>2903</v>
      </c>
      <c r="Q749" s="749" t="s">
        <v>2904</v>
      </c>
      <c r="R749" s="811"/>
    </row>
    <row r="750" customFormat="false" ht="16.5" hidden="false" customHeight="true" outlineLevel="0" collapsed="false">
      <c r="A750" s="773" t="s">
        <v>2335</v>
      </c>
      <c r="B750" s="774" t="n">
        <v>42341</v>
      </c>
      <c r="D750" s="749" t="s">
        <v>107</v>
      </c>
      <c r="E750" s="749" t="s">
        <v>2907</v>
      </c>
      <c r="F750" s="749" t="s">
        <v>2590</v>
      </c>
      <c r="G750" s="776" t="s">
        <v>1267</v>
      </c>
      <c r="H750" s="776" t="n">
        <v>15000000</v>
      </c>
      <c r="I750" s="777" t="n">
        <v>122.64</v>
      </c>
      <c r="J750" s="778" t="n">
        <f aca="false">IF(I750="","",H750/I750)</f>
        <v>122309.197651663</v>
      </c>
      <c r="K750" s="749" t="s">
        <v>2460</v>
      </c>
      <c r="L750" s="774" t="n">
        <v>42341</v>
      </c>
      <c r="M750" s="774" t="n">
        <v>42467</v>
      </c>
      <c r="O750" s="801" t="n">
        <v>2.5</v>
      </c>
      <c r="P750" s="749" t="s">
        <v>2903</v>
      </c>
      <c r="Q750" s="749" t="s">
        <v>2904</v>
      </c>
      <c r="R750" s="811"/>
    </row>
    <row r="751" customFormat="false" ht="16.5" hidden="false" customHeight="true" outlineLevel="0" collapsed="false">
      <c r="A751" s="773" t="s">
        <v>2335</v>
      </c>
      <c r="B751" s="774" t="n">
        <v>42353</v>
      </c>
      <c r="D751" s="749" t="s">
        <v>2657</v>
      </c>
      <c r="E751" s="749" t="s">
        <v>2906</v>
      </c>
      <c r="F751" s="749" t="s">
        <v>2602</v>
      </c>
      <c r="G751" s="776" t="s">
        <v>1267</v>
      </c>
      <c r="H751" s="776" t="n">
        <v>150000000</v>
      </c>
      <c r="I751" s="777" t="n">
        <v>121.88</v>
      </c>
      <c r="J751" s="778" t="n">
        <f aca="false">IF(I751="","",H751/I751)</f>
        <v>1230718.73974401</v>
      </c>
      <c r="K751" s="749" t="s">
        <v>2460</v>
      </c>
      <c r="L751" s="774" t="n">
        <v>42353</v>
      </c>
      <c r="M751" s="774" t="n">
        <v>42720</v>
      </c>
      <c r="O751" s="801" t="n">
        <v>2.6</v>
      </c>
      <c r="P751" s="749" t="s">
        <v>2903</v>
      </c>
      <c r="Q751" s="749" t="s">
        <v>2904</v>
      </c>
      <c r="R751" s="811"/>
    </row>
    <row r="752" customFormat="false" ht="16.5" hidden="false" customHeight="true" outlineLevel="0" collapsed="false">
      <c r="A752" s="773" t="s">
        <v>2335</v>
      </c>
      <c r="B752" s="774" t="n">
        <v>42006</v>
      </c>
      <c r="D752" s="749" t="s">
        <v>2475</v>
      </c>
      <c r="E752" s="749" t="s">
        <v>2624</v>
      </c>
      <c r="F752" s="749" t="s">
        <v>2879</v>
      </c>
      <c r="G752" s="776" t="s">
        <v>2136</v>
      </c>
      <c r="H752" s="776" t="n">
        <v>2000000</v>
      </c>
      <c r="I752" s="777" t="n">
        <v>1</v>
      </c>
      <c r="J752" s="778" t="n">
        <f aca="false">IF(I752="","",H752/I752)</f>
        <v>2000000</v>
      </c>
      <c r="K752" s="749" t="s">
        <v>2336</v>
      </c>
      <c r="L752" s="774" t="n">
        <v>42377</v>
      </c>
      <c r="M752" s="774" t="n">
        <v>42559</v>
      </c>
      <c r="O752" s="801" t="n">
        <v>1.62</v>
      </c>
      <c r="P752" s="749" t="s">
        <v>2903</v>
      </c>
      <c r="Q752" s="749" t="s">
        <v>2904</v>
      </c>
      <c r="R752" s="811"/>
    </row>
    <row r="753" customFormat="false" ht="16.5" hidden="false" customHeight="true" outlineLevel="0" collapsed="false">
      <c r="A753" s="773" t="s">
        <v>2335</v>
      </c>
      <c r="B753" s="774" t="n">
        <v>42402</v>
      </c>
      <c r="D753" s="749" t="s">
        <v>1172</v>
      </c>
      <c r="E753" s="749" t="s">
        <v>2908</v>
      </c>
      <c r="F753" s="749" t="s">
        <v>2909</v>
      </c>
      <c r="G753" s="776" t="s">
        <v>1267</v>
      </c>
      <c r="H753" s="776" t="n">
        <v>120000000</v>
      </c>
      <c r="I753" s="777" t="n">
        <v>119.57</v>
      </c>
      <c r="J753" s="778" t="n">
        <f aca="false">IF(I753="","",H753/I753)</f>
        <v>1003596.21978757</v>
      </c>
      <c r="K753" s="749" t="s">
        <v>2336</v>
      </c>
      <c r="L753" s="774" t="n">
        <v>42402</v>
      </c>
      <c r="M753" s="774" t="n">
        <v>42769</v>
      </c>
      <c r="O753" s="801" t="n">
        <v>3.63</v>
      </c>
      <c r="P753" s="749" t="s">
        <v>2903</v>
      </c>
      <c r="Q753" s="749" t="s">
        <v>2904</v>
      </c>
      <c r="R753" s="811"/>
    </row>
    <row r="754" customFormat="false" ht="16.5" hidden="false" customHeight="true" outlineLevel="0" collapsed="false">
      <c r="A754" s="773" t="s">
        <v>2335</v>
      </c>
      <c r="B754" s="774" t="n">
        <v>42402</v>
      </c>
      <c r="D754" s="749" t="s">
        <v>1172</v>
      </c>
      <c r="E754" s="749" t="s">
        <v>2908</v>
      </c>
      <c r="F754" s="749" t="s">
        <v>2910</v>
      </c>
      <c r="G754" s="776" t="s">
        <v>1267</v>
      </c>
      <c r="H754" s="776" t="n">
        <v>700000000</v>
      </c>
      <c r="I754" s="777" t="n">
        <v>119.57</v>
      </c>
      <c r="J754" s="778" t="n">
        <f aca="false">IF(I754="","",H754/I754)</f>
        <v>5854311.28209417</v>
      </c>
      <c r="K754" s="749" t="s">
        <v>2336</v>
      </c>
      <c r="L754" s="774" t="n">
        <v>42402</v>
      </c>
      <c r="M754" s="774" t="n">
        <v>42769</v>
      </c>
      <c r="O754" s="801" t="n">
        <v>3.63</v>
      </c>
      <c r="P754" s="749" t="s">
        <v>2903</v>
      </c>
      <c r="Q754" s="749" t="s">
        <v>2904</v>
      </c>
      <c r="R754" s="811"/>
    </row>
    <row r="755" customFormat="false" ht="16.5" hidden="false" customHeight="true" outlineLevel="0" collapsed="false">
      <c r="A755" s="773" t="s">
        <v>2335</v>
      </c>
      <c r="B755" s="774" t="n">
        <v>42432</v>
      </c>
      <c r="D755" s="749" t="s">
        <v>107</v>
      </c>
      <c r="E755" s="749" t="s">
        <v>2907</v>
      </c>
      <c r="F755" s="749" t="s">
        <v>2590</v>
      </c>
      <c r="G755" s="776" t="s">
        <v>1267</v>
      </c>
      <c r="H755" s="776" t="n">
        <v>19000000</v>
      </c>
      <c r="I755" s="777" t="n">
        <v>112.57</v>
      </c>
      <c r="J755" s="778" t="n">
        <f aca="false">IF(I755="","",H755/I755)</f>
        <v>168783.867815581</v>
      </c>
      <c r="K755" s="749" t="s">
        <v>2460</v>
      </c>
      <c r="L755" s="774" t="n">
        <v>42432</v>
      </c>
      <c r="M755" s="774" t="n">
        <v>42463</v>
      </c>
      <c r="O755" s="801" t="n">
        <v>2.48</v>
      </c>
      <c r="P755" s="749" t="s">
        <v>2903</v>
      </c>
      <c r="Q755" s="749" t="s">
        <v>2904</v>
      </c>
      <c r="R755" s="811"/>
    </row>
    <row r="756" customFormat="false" ht="16.5" hidden="false" customHeight="true" outlineLevel="0" collapsed="false">
      <c r="A756" s="773" t="s">
        <v>2190</v>
      </c>
      <c r="B756" s="774" t="n">
        <v>42438</v>
      </c>
      <c r="D756" s="749" t="s">
        <v>2657</v>
      </c>
      <c r="E756" s="749" t="s">
        <v>2906</v>
      </c>
      <c r="F756" s="749" t="s">
        <v>2911</v>
      </c>
      <c r="G756" s="776" t="s">
        <v>2136</v>
      </c>
      <c r="H756" s="776" t="n">
        <v>800000</v>
      </c>
      <c r="I756" s="777" t="n">
        <v>1</v>
      </c>
      <c r="J756" s="778" t="n">
        <f aca="false">IF(I756="","",H756/I756)</f>
        <v>800000</v>
      </c>
      <c r="K756" s="749" t="s">
        <v>2336</v>
      </c>
      <c r="L756" s="774" t="n">
        <v>42438</v>
      </c>
      <c r="M756" s="774" t="n">
        <v>42803</v>
      </c>
      <c r="O756" s="801" t="n">
        <v>2.6</v>
      </c>
      <c r="P756" s="749" t="s">
        <v>2903</v>
      </c>
      <c r="Q756" s="749" t="s">
        <v>2904</v>
      </c>
      <c r="R756" s="811"/>
    </row>
    <row r="757" customFormat="false" ht="16.5" hidden="false" customHeight="true" outlineLevel="0" collapsed="false">
      <c r="A757" s="773" t="s">
        <v>2335</v>
      </c>
      <c r="B757" s="774" t="n">
        <v>42460</v>
      </c>
      <c r="D757" s="749" t="s">
        <v>2338</v>
      </c>
      <c r="E757" s="749" t="s">
        <v>2878</v>
      </c>
      <c r="F757" s="749" t="s">
        <v>2667</v>
      </c>
      <c r="G757" s="776" t="s">
        <v>1267</v>
      </c>
      <c r="H757" s="776" t="n">
        <v>24000000</v>
      </c>
      <c r="I757" s="777" t="n">
        <v>112.24</v>
      </c>
      <c r="J757" s="778" t="n">
        <f aca="false">IF(I757="","",H757/I757)</f>
        <v>213827.512473272</v>
      </c>
      <c r="K757" s="749" t="s">
        <v>2336</v>
      </c>
      <c r="L757" s="774" t="n">
        <v>42460</v>
      </c>
      <c r="M757" s="774" t="n">
        <v>42825</v>
      </c>
      <c r="O757" s="801" t="n">
        <v>2.58</v>
      </c>
      <c r="P757" s="749" t="s">
        <v>2903</v>
      </c>
      <c r="Q757" s="749" t="s">
        <v>2904</v>
      </c>
      <c r="R757" s="811"/>
    </row>
    <row r="758" customFormat="false" ht="16.5" hidden="false" customHeight="true" outlineLevel="0" collapsed="false">
      <c r="A758" s="773" t="s">
        <v>2335</v>
      </c>
      <c r="B758" s="774" t="n">
        <v>42474</v>
      </c>
      <c r="D758" s="749" t="s">
        <v>770</v>
      </c>
      <c r="E758" s="749" t="s">
        <v>2687</v>
      </c>
      <c r="F758" s="749" t="s">
        <v>2701</v>
      </c>
      <c r="G758" s="776" t="s">
        <v>1267</v>
      </c>
      <c r="H758" s="776" t="n">
        <v>24000000</v>
      </c>
      <c r="I758" s="777" t="n">
        <v>110.58</v>
      </c>
      <c r="J758" s="778" t="n">
        <f aca="false">IF(I758="","",H758/I758)</f>
        <v>217037.43895822</v>
      </c>
      <c r="K758" s="749" t="s">
        <v>2336</v>
      </c>
      <c r="L758" s="774" t="n">
        <v>42486</v>
      </c>
      <c r="M758" s="774" t="n">
        <v>42851</v>
      </c>
      <c r="O758" s="801" t="n">
        <v>2.96</v>
      </c>
      <c r="P758" s="749" t="s">
        <v>2903</v>
      </c>
      <c r="Q758" s="749" t="s">
        <v>2904</v>
      </c>
      <c r="R758" s="811"/>
    </row>
    <row r="759" customFormat="false" ht="16.5" hidden="false" customHeight="true" outlineLevel="0" collapsed="false">
      <c r="A759" s="773" t="s">
        <v>2335</v>
      </c>
      <c r="B759" s="774" t="n">
        <v>42481</v>
      </c>
      <c r="D759" s="749" t="s">
        <v>2704</v>
      </c>
      <c r="E759" s="749" t="s">
        <v>2709</v>
      </c>
      <c r="F759" s="749" t="s">
        <v>2706</v>
      </c>
      <c r="G759" s="776" t="s">
        <v>1267</v>
      </c>
      <c r="H759" s="776" t="n">
        <v>118200000</v>
      </c>
      <c r="I759" s="777" t="n">
        <v>111.29</v>
      </c>
      <c r="J759" s="778" t="n">
        <f aca="false">IF(I759="","",H759/I759)</f>
        <v>1062090.03504358</v>
      </c>
      <c r="K759" s="749" t="s">
        <v>2336</v>
      </c>
      <c r="L759" s="774" t="n">
        <v>42485</v>
      </c>
      <c r="M759" s="774" t="n">
        <v>42850</v>
      </c>
      <c r="O759" s="801" t="n">
        <v>3.6</v>
      </c>
      <c r="P759" s="749" t="s">
        <v>2903</v>
      </c>
      <c r="Q759" s="749" t="s">
        <v>2904</v>
      </c>
      <c r="R759" s="811"/>
    </row>
    <row r="760" customFormat="false" ht="16.5" hidden="false" customHeight="true" outlineLevel="0" collapsed="false">
      <c r="A760" s="773" t="s">
        <v>2190</v>
      </c>
      <c r="B760" s="774" t="n">
        <v>42493</v>
      </c>
      <c r="D760" s="749" t="s">
        <v>103</v>
      </c>
      <c r="E760" s="749" t="s">
        <v>2890</v>
      </c>
      <c r="F760" s="749" t="s">
        <v>2912</v>
      </c>
      <c r="G760" s="776" t="s">
        <v>2136</v>
      </c>
      <c r="H760" s="776" t="n">
        <v>5000000</v>
      </c>
      <c r="I760" s="777" t="n">
        <v>1</v>
      </c>
      <c r="J760" s="778" t="n">
        <f aca="false">IF(I760="","",H760/I760)</f>
        <v>5000000</v>
      </c>
      <c r="K760" s="749" t="s">
        <v>2336</v>
      </c>
      <c r="L760" s="774" t="n">
        <v>42493</v>
      </c>
      <c r="M760" s="774" t="n">
        <v>43588</v>
      </c>
      <c r="O760" s="801" t="n">
        <v>3.74</v>
      </c>
      <c r="P760" s="749" t="s">
        <v>2903</v>
      </c>
      <c r="Q760" s="749" t="s">
        <v>2904</v>
      </c>
      <c r="R760" s="811"/>
    </row>
    <row r="761" customFormat="false" ht="16.5" hidden="false" customHeight="true" outlineLevel="0" collapsed="false">
      <c r="A761" s="773" t="s">
        <v>2335</v>
      </c>
      <c r="B761" s="774" t="n">
        <v>42494</v>
      </c>
      <c r="D761" s="749" t="s">
        <v>2423</v>
      </c>
      <c r="E761" s="749" t="s">
        <v>2753</v>
      </c>
      <c r="F761" s="749" t="s">
        <v>2710</v>
      </c>
      <c r="G761" s="776" t="s">
        <v>1267</v>
      </c>
      <c r="H761" s="776" t="n">
        <v>24000000</v>
      </c>
      <c r="I761" s="777" t="n">
        <v>106.89</v>
      </c>
      <c r="J761" s="778" t="n">
        <f aca="false">IF(I761="","",H761/I761)</f>
        <v>224529.890541678</v>
      </c>
      <c r="K761" s="749" t="s">
        <v>2336</v>
      </c>
      <c r="L761" s="774" t="n">
        <v>42502</v>
      </c>
      <c r="M761" s="774" t="n">
        <v>39214</v>
      </c>
      <c r="O761" s="801" t="n">
        <v>3.4</v>
      </c>
      <c r="P761" s="749" t="s">
        <v>2903</v>
      </c>
      <c r="Q761" s="749" t="s">
        <v>2904</v>
      </c>
      <c r="R761" s="811"/>
    </row>
    <row r="762" customFormat="false" ht="16.5" hidden="false" customHeight="true" outlineLevel="0" collapsed="false">
      <c r="A762" s="773" t="s">
        <v>2190</v>
      </c>
      <c r="B762" s="774" t="n">
        <v>42502</v>
      </c>
      <c r="D762" s="749" t="s">
        <v>2475</v>
      </c>
      <c r="E762" s="749" t="s">
        <v>2462</v>
      </c>
      <c r="F762" s="749" t="s">
        <v>2913</v>
      </c>
      <c r="G762" s="776" t="s">
        <v>2156</v>
      </c>
      <c r="H762" s="776" t="n">
        <v>8140376</v>
      </c>
      <c r="I762" s="777" t="n">
        <v>1.23</v>
      </c>
      <c r="J762" s="778" t="n">
        <f aca="false">H762*I762</f>
        <v>10012662.48</v>
      </c>
      <c r="K762" s="749" t="s">
        <v>2336</v>
      </c>
      <c r="L762" s="774" t="n">
        <v>42506</v>
      </c>
      <c r="M762" s="774" t="n">
        <v>42871</v>
      </c>
      <c r="O762" s="801" t="n">
        <v>1.6</v>
      </c>
      <c r="P762" s="749" t="s">
        <v>2903</v>
      </c>
      <c r="Q762" s="749" t="s">
        <v>2904</v>
      </c>
      <c r="R762" s="811"/>
    </row>
    <row r="763" customFormat="false" ht="16.5" hidden="false" customHeight="true" outlineLevel="0" collapsed="false">
      <c r="A763" s="773" t="s">
        <v>2335</v>
      </c>
      <c r="B763" s="774" t="n">
        <v>42518</v>
      </c>
      <c r="D763" s="749" t="s">
        <v>2338</v>
      </c>
      <c r="E763" s="749" t="s">
        <v>2586</v>
      </c>
      <c r="F763" s="749" t="s">
        <v>2724</v>
      </c>
      <c r="G763" s="776" t="s">
        <v>1267</v>
      </c>
      <c r="H763" s="776" t="n">
        <v>90000000</v>
      </c>
      <c r="I763" s="777" t="n">
        <v>110.72</v>
      </c>
      <c r="J763" s="778" t="n">
        <f aca="false">IF(I763="","",H763/I763)</f>
        <v>812861.271676301</v>
      </c>
      <c r="K763" s="749" t="s">
        <v>2336</v>
      </c>
      <c r="L763" s="774" t="n">
        <v>42520</v>
      </c>
      <c r="M763" s="774" t="n">
        <v>42883</v>
      </c>
      <c r="O763" s="801" t="n">
        <v>3</v>
      </c>
      <c r="P763" s="749" t="s">
        <v>2903</v>
      </c>
      <c r="Q763" s="749" t="s">
        <v>2904</v>
      </c>
      <c r="R763" s="811"/>
    </row>
    <row r="764" customFormat="false" ht="16.5" hidden="false" customHeight="true" outlineLevel="0" collapsed="false">
      <c r="A764" s="773" t="s">
        <v>2335</v>
      </c>
      <c r="B764" s="774" t="n">
        <v>42551</v>
      </c>
      <c r="D764" s="749" t="s">
        <v>2898</v>
      </c>
      <c r="E764" s="749" t="s">
        <v>2899</v>
      </c>
      <c r="F764" s="749" t="s">
        <v>2412</v>
      </c>
      <c r="G764" s="776" t="s">
        <v>2136</v>
      </c>
      <c r="H764" s="776" t="n">
        <v>200000</v>
      </c>
      <c r="I764" s="777" t="n">
        <v>1</v>
      </c>
      <c r="J764" s="778" t="n">
        <f aca="false">IF(I764="","",H764/I764)</f>
        <v>200000</v>
      </c>
      <c r="K764" s="749" t="s">
        <v>2500</v>
      </c>
      <c r="L764" s="774" t="n">
        <v>42555</v>
      </c>
      <c r="M764" s="774" t="n">
        <v>42918</v>
      </c>
      <c r="O764" s="801" t="n">
        <v>3.3</v>
      </c>
      <c r="P764" s="749" t="s">
        <v>2903</v>
      </c>
      <c r="Q764" s="749" t="s">
        <v>2904</v>
      </c>
      <c r="R764" s="811"/>
    </row>
    <row r="765" customFormat="false" ht="16.5" hidden="false" customHeight="true" outlineLevel="0" collapsed="false">
      <c r="A765" s="773" t="s">
        <v>2335</v>
      </c>
      <c r="B765" s="774" t="n">
        <v>42557</v>
      </c>
      <c r="D765" s="749" t="s">
        <v>2475</v>
      </c>
      <c r="E765" s="749" t="s">
        <v>2624</v>
      </c>
      <c r="F765" s="749" t="s">
        <v>2879</v>
      </c>
      <c r="G765" s="776" t="s">
        <v>2136</v>
      </c>
      <c r="H765" s="776" t="n">
        <v>2000000</v>
      </c>
      <c r="I765" s="777" t="n">
        <v>1</v>
      </c>
      <c r="J765" s="778" t="n">
        <f aca="false">IF(I765="","",H765/I765)</f>
        <v>2000000</v>
      </c>
      <c r="K765" s="749" t="s">
        <v>2336</v>
      </c>
      <c r="L765" s="774" t="n">
        <v>42559</v>
      </c>
      <c r="M765" s="774" t="n">
        <v>42743</v>
      </c>
      <c r="O765" s="801" t="n">
        <v>1.98</v>
      </c>
      <c r="P765" s="749" t="s">
        <v>2903</v>
      </c>
      <c r="Q765" s="749" t="s">
        <v>2904</v>
      </c>
      <c r="R765" s="811"/>
    </row>
    <row r="766" customFormat="false" ht="16.5" hidden="false" customHeight="true" outlineLevel="0" collapsed="false">
      <c r="A766" s="773" t="s">
        <v>2190</v>
      </c>
      <c r="B766" s="774" t="n">
        <v>42564</v>
      </c>
      <c r="D766" s="749" t="s">
        <v>2475</v>
      </c>
      <c r="E766" s="749" t="s">
        <v>2462</v>
      </c>
      <c r="F766" s="749" t="s">
        <v>2913</v>
      </c>
      <c r="G766" s="776" t="s">
        <v>2156</v>
      </c>
      <c r="H766" s="776" t="n">
        <v>1767000</v>
      </c>
      <c r="I766" s="777" t="n">
        <v>1.1106</v>
      </c>
      <c r="J766" s="778" t="n">
        <f aca="false">IF(I766="","",H766/I766)</f>
        <v>1591031.87466234</v>
      </c>
      <c r="K766" s="749" t="s">
        <v>2336</v>
      </c>
      <c r="L766" s="774" t="n">
        <v>42564</v>
      </c>
      <c r="M766" s="774" t="n">
        <v>42916</v>
      </c>
      <c r="O766" s="801" t="n">
        <v>1.5</v>
      </c>
      <c r="P766" s="749" t="s">
        <v>2903</v>
      </c>
      <c r="Q766" s="749" t="s">
        <v>2904</v>
      </c>
      <c r="R766" s="811"/>
    </row>
    <row r="767" customFormat="false" ht="16.5" hidden="false" customHeight="true" outlineLevel="0" collapsed="false">
      <c r="A767" s="773" t="s">
        <v>2335</v>
      </c>
      <c r="B767" s="774" t="n">
        <v>42573</v>
      </c>
      <c r="D767" s="749" t="s">
        <v>2367</v>
      </c>
      <c r="E767" s="749" t="s">
        <v>2914</v>
      </c>
      <c r="F767" s="749" t="s">
        <v>2755</v>
      </c>
      <c r="G767" s="776" t="s">
        <v>1267</v>
      </c>
      <c r="H767" s="776" t="n">
        <v>27330000</v>
      </c>
      <c r="I767" s="777" t="n">
        <v>101.28633647321</v>
      </c>
      <c r="J767" s="778" t="n">
        <f aca="false">IF(I767="","",H767/I767)</f>
        <v>269829.089999999</v>
      </c>
      <c r="K767" s="749" t="s">
        <v>2336</v>
      </c>
      <c r="L767" s="774" t="n">
        <v>42586</v>
      </c>
      <c r="M767" s="774" t="n">
        <v>42951</v>
      </c>
      <c r="O767" s="801" t="n">
        <v>3.2</v>
      </c>
      <c r="P767" s="749" t="s">
        <v>2915</v>
      </c>
      <c r="Q767" s="749" t="s">
        <v>2904</v>
      </c>
      <c r="R767" s="811"/>
    </row>
    <row r="768" customFormat="false" ht="16.5" hidden="false" customHeight="true" outlineLevel="0" collapsed="false">
      <c r="A768" s="773" t="s">
        <v>2335</v>
      </c>
      <c r="B768" s="774" t="n">
        <v>42583</v>
      </c>
      <c r="D768" s="749" t="s">
        <v>2697</v>
      </c>
      <c r="E768" s="749" t="s">
        <v>2665</v>
      </c>
      <c r="F768" s="749" t="s">
        <v>2756</v>
      </c>
      <c r="G768" s="776" t="s">
        <v>1267</v>
      </c>
      <c r="H768" s="776" t="n">
        <v>19970000</v>
      </c>
      <c r="I768" s="777" t="n">
        <v>101.010101010101</v>
      </c>
      <c r="J768" s="778" t="n">
        <f aca="false">IF(I768="","",H768/I768)</f>
        <v>197703</v>
      </c>
      <c r="K768" s="749" t="s">
        <v>2336</v>
      </c>
      <c r="L768" s="774" t="n">
        <v>42585</v>
      </c>
      <c r="M768" s="774" t="n">
        <v>42950</v>
      </c>
      <c r="O768" s="801" t="n">
        <v>3.5</v>
      </c>
      <c r="P768" s="749" t="s">
        <v>2915</v>
      </c>
      <c r="Q768" s="749" t="s">
        <v>2904</v>
      </c>
      <c r="R768" s="811"/>
    </row>
    <row r="769" customFormat="false" ht="16.5" hidden="false" customHeight="true" outlineLevel="0" collapsed="false">
      <c r="A769" s="773"/>
      <c r="B769" s="774"/>
      <c r="D769" s="798"/>
      <c r="E769" s="798"/>
      <c r="F769" s="798"/>
      <c r="G769" s="776"/>
      <c r="J769" s="778" t="str">
        <f aca="false">IF(I769="","",H769/I769)</f>
        <v/>
      </c>
      <c r="K769" s="798"/>
      <c r="O769" s="801"/>
      <c r="P769" s="798"/>
      <c r="Q769" s="798"/>
      <c r="R769" s="811"/>
    </row>
    <row r="770" customFormat="false" ht="16.5" hidden="false" customHeight="true" outlineLevel="0" collapsed="false">
      <c r="A770" s="773"/>
      <c r="B770" s="774"/>
      <c r="D770" s="798"/>
      <c r="E770" s="798"/>
      <c r="F770" s="798"/>
      <c r="G770" s="776"/>
      <c r="J770" s="778" t="str">
        <f aca="false">IF(I770="","",H770/I770)</f>
        <v/>
      </c>
      <c r="K770" s="798"/>
      <c r="O770" s="801"/>
      <c r="P770" s="798"/>
      <c r="Q770" s="798"/>
      <c r="R770" s="811"/>
    </row>
    <row r="771" customFormat="false" ht="16.5" hidden="false" customHeight="true" outlineLevel="0" collapsed="false">
      <c r="A771" s="773"/>
      <c r="B771" s="774"/>
      <c r="D771" s="798"/>
      <c r="E771" s="798"/>
      <c r="F771" s="798"/>
      <c r="G771" s="776"/>
      <c r="J771" s="778" t="str">
        <f aca="false">IF(I771="","",H771/I771)</f>
        <v/>
      </c>
      <c r="K771" s="798"/>
      <c r="O771" s="801"/>
      <c r="P771" s="798"/>
      <c r="Q771" s="798"/>
      <c r="R771" s="811"/>
    </row>
    <row r="772" customFormat="false" ht="16.5" hidden="false" customHeight="true" outlineLevel="0" collapsed="false">
      <c r="A772" s="773"/>
      <c r="B772" s="774"/>
      <c r="D772" s="798"/>
      <c r="E772" s="798"/>
      <c r="F772" s="798"/>
      <c r="G772" s="776"/>
      <c r="J772" s="778" t="str">
        <f aca="false">IF(I772="","",H772/I772)</f>
        <v/>
      </c>
      <c r="K772" s="798"/>
      <c r="O772" s="801"/>
      <c r="P772" s="798"/>
      <c r="Q772" s="798"/>
      <c r="R772" s="811"/>
    </row>
    <row r="773" customFormat="false" ht="16.5" hidden="false" customHeight="true" outlineLevel="0" collapsed="false">
      <c r="A773" s="773"/>
      <c r="B773" s="774"/>
      <c r="D773" s="798"/>
      <c r="E773" s="798"/>
      <c r="F773" s="798"/>
      <c r="G773" s="776"/>
      <c r="J773" s="778" t="str">
        <f aca="false">IF(I773="","",H773/I773)</f>
        <v/>
      </c>
      <c r="K773" s="798"/>
      <c r="O773" s="801"/>
      <c r="P773" s="798"/>
      <c r="Q773" s="798"/>
      <c r="R773" s="811"/>
    </row>
    <row r="774" customFormat="false" ht="16.5" hidden="false" customHeight="true" outlineLevel="0" collapsed="false">
      <c r="A774" s="773" t="s">
        <v>2190</v>
      </c>
      <c r="B774" s="774" t="n">
        <v>43207</v>
      </c>
      <c r="D774" s="749" t="s">
        <v>1937</v>
      </c>
      <c r="E774" s="749" t="s">
        <v>2739</v>
      </c>
      <c r="F774" s="749" t="s">
        <v>2916</v>
      </c>
      <c r="G774" s="776" t="s">
        <v>2156</v>
      </c>
      <c r="H774" s="776" t="n">
        <v>7000000</v>
      </c>
      <c r="I774" s="777" t="n">
        <v>1.2384</v>
      </c>
      <c r="J774" s="778" t="n">
        <f aca="false">H774*I774</f>
        <v>8668800</v>
      </c>
      <c r="K774" s="798"/>
      <c r="L774" s="774" t="n">
        <v>43252</v>
      </c>
      <c r="M774" s="774" t="n">
        <v>44348</v>
      </c>
      <c r="O774" s="801"/>
      <c r="P774" s="749" t="s">
        <v>2606</v>
      </c>
      <c r="Q774" s="749" t="s">
        <v>2917</v>
      </c>
      <c r="R774" s="823" t="s">
        <v>2918</v>
      </c>
    </row>
    <row r="775" customFormat="false" ht="16.5" hidden="false" customHeight="true" outlineLevel="0" collapsed="false">
      <c r="A775" s="773" t="s">
        <v>2190</v>
      </c>
      <c r="B775" s="774" t="n">
        <v>43207</v>
      </c>
      <c r="D775" s="749" t="s">
        <v>1937</v>
      </c>
      <c r="E775" s="749" t="s">
        <v>2739</v>
      </c>
      <c r="F775" s="749" t="s">
        <v>2916</v>
      </c>
      <c r="G775" s="776" t="s">
        <v>2156</v>
      </c>
      <c r="H775" s="776" t="n">
        <v>7000000</v>
      </c>
      <c r="I775" s="777" t="n">
        <v>1.2384</v>
      </c>
      <c r="J775" s="778" t="n">
        <f aca="false">H775*I775</f>
        <v>8668800</v>
      </c>
      <c r="K775" s="798"/>
      <c r="L775" s="774" t="n">
        <v>43374</v>
      </c>
      <c r="M775" s="774" t="n">
        <v>44470</v>
      </c>
      <c r="O775" s="801"/>
      <c r="P775" s="749" t="s">
        <v>2606</v>
      </c>
      <c r="Q775" s="749" t="s">
        <v>2917</v>
      </c>
      <c r="R775" s="823"/>
    </row>
    <row r="776" customFormat="false" ht="16.5" hidden="false" customHeight="true" outlineLevel="0" collapsed="false">
      <c r="A776" s="773"/>
      <c r="B776" s="774"/>
      <c r="D776" s="798"/>
      <c r="E776" s="798"/>
      <c r="F776" s="798"/>
      <c r="G776" s="776"/>
      <c r="J776" s="778" t="str">
        <f aca="false">IF(I776="","",H776/I776)</f>
        <v/>
      </c>
      <c r="K776" s="798"/>
      <c r="O776" s="801"/>
      <c r="P776" s="798"/>
      <c r="Q776" s="798"/>
      <c r="R776" s="823" t="s">
        <v>2919</v>
      </c>
    </row>
    <row r="777" customFormat="false" ht="16.5" hidden="false" customHeight="true" outlineLevel="0" collapsed="false">
      <c r="A777" s="773" t="s">
        <v>2335</v>
      </c>
      <c r="B777" s="774" t="n">
        <v>43213</v>
      </c>
      <c r="D777" s="749" t="s">
        <v>1172</v>
      </c>
      <c r="E777" s="749" t="s">
        <v>2920</v>
      </c>
      <c r="F777" s="749" t="s">
        <v>2710</v>
      </c>
      <c r="G777" s="776" t="s">
        <v>1267</v>
      </c>
      <c r="H777" s="776" t="n">
        <v>24000000</v>
      </c>
      <c r="I777" s="777" t="n">
        <v>107.81</v>
      </c>
      <c r="J777" s="778" t="n">
        <f aca="false">IF(I777="","",H777/I777)</f>
        <v>222613.857712643</v>
      </c>
      <c r="K777" s="749" t="s">
        <v>2336</v>
      </c>
      <c r="L777" s="774" t="n">
        <v>43232</v>
      </c>
      <c r="M777" s="774" t="n">
        <v>43597</v>
      </c>
      <c r="O777" s="801" t="n">
        <v>3.45</v>
      </c>
      <c r="P777" s="749" t="s">
        <v>2606</v>
      </c>
      <c r="Q777" s="749" t="s">
        <v>2917</v>
      </c>
      <c r="R777" s="811"/>
    </row>
    <row r="778" customFormat="false" ht="16.5" hidden="false" customHeight="true" outlineLevel="0" collapsed="false">
      <c r="A778" s="773"/>
      <c r="B778" s="774"/>
      <c r="D778" s="798"/>
      <c r="E778" s="798"/>
      <c r="F778" s="798"/>
      <c r="G778" s="776"/>
      <c r="J778" s="778" t="str">
        <f aca="false">IF(I778="","",H778/I778)</f>
        <v/>
      </c>
      <c r="K778" s="798"/>
      <c r="O778" s="801"/>
      <c r="P778" s="798"/>
      <c r="Q778" s="798"/>
      <c r="R778" s="823" t="s">
        <v>2921</v>
      </c>
    </row>
    <row r="779" customFormat="false" ht="16.5" hidden="false" customHeight="true" outlineLevel="0" collapsed="false">
      <c r="A779" s="773"/>
      <c r="B779" s="774"/>
      <c r="D779" s="798"/>
      <c r="E779" s="798"/>
      <c r="F779" s="798"/>
      <c r="G779" s="776"/>
      <c r="J779" s="778" t="str">
        <f aca="false">IF(I779="","",H779/I779)</f>
        <v/>
      </c>
      <c r="K779" s="798"/>
      <c r="O779" s="801"/>
      <c r="P779" s="798"/>
      <c r="Q779" s="798"/>
      <c r="R779" s="823" t="s">
        <v>2922</v>
      </c>
    </row>
    <row r="780" customFormat="false" ht="16.5" hidden="false" customHeight="true" outlineLevel="0" collapsed="false">
      <c r="A780" s="773"/>
      <c r="B780" s="774"/>
      <c r="D780" s="798"/>
      <c r="E780" s="798"/>
      <c r="F780" s="798"/>
      <c r="G780" s="776"/>
      <c r="J780" s="778" t="str">
        <f aca="false">IF(I780="","",H780/I780)</f>
        <v/>
      </c>
      <c r="K780" s="798"/>
      <c r="O780" s="801"/>
      <c r="P780" s="798"/>
      <c r="Q780" s="824"/>
      <c r="R780" s="825"/>
    </row>
    <row r="781" customFormat="false" ht="16.5" hidden="false" customHeight="true" outlineLevel="0" collapsed="false">
      <c r="A781" s="773"/>
      <c r="B781" s="774"/>
      <c r="D781" s="798"/>
      <c r="E781" s="798"/>
      <c r="F781" s="798"/>
      <c r="G781" s="776"/>
      <c r="J781" s="778" t="str">
        <f aca="false">IF(I781="","",H781/I781)</f>
        <v/>
      </c>
      <c r="K781" s="798"/>
      <c r="O781" s="801"/>
      <c r="P781" s="826"/>
      <c r="Q781" s="827" t="s">
        <v>2923</v>
      </c>
      <c r="R781" s="827"/>
      <c r="S781" s="828" t="s">
        <v>300</v>
      </c>
      <c r="T781" s="828" t="s">
        <v>337</v>
      </c>
      <c r="U781" s="828" t="s">
        <v>396</v>
      </c>
      <c r="V781" s="828" t="s">
        <v>2924</v>
      </c>
      <c r="W781" s="829" t="s">
        <v>2925</v>
      </c>
    </row>
    <row r="782" customFormat="false" ht="16.5" hidden="false" customHeight="true" outlineLevel="0" collapsed="false">
      <c r="A782" s="773"/>
      <c r="B782" s="774"/>
      <c r="D782" s="798"/>
      <c r="E782" s="798"/>
      <c r="F782" s="798"/>
      <c r="G782" s="776"/>
      <c r="J782" s="778" t="str">
        <f aca="false">IF(I782="","",H782/I782)</f>
        <v/>
      </c>
      <c r="K782" s="798"/>
      <c r="O782" s="801"/>
      <c r="P782" s="826"/>
      <c r="Q782" s="830" t="s">
        <v>2926</v>
      </c>
      <c r="R782" s="831" t="s">
        <v>2927</v>
      </c>
      <c r="S782" s="832" t="n">
        <v>-2.48</v>
      </c>
      <c r="T782" s="832" t="n">
        <v>-2.65</v>
      </c>
      <c r="U782" s="832" t="n">
        <v>-2.95</v>
      </c>
      <c r="V782" s="832" t="n">
        <v>-3.05</v>
      </c>
      <c r="W782" s="833" t="n">
        <v>-3.25</v>
      </c>
      <c r="Y782" s="834" t="s">
        <v>2928</v>
      </c>
    </row>
    <row r="783" customFormat="false" ht="16.5" hidden="false" customHeight="true" outlineLevel="0" collapsed="false">
      <c r="A783" s="773"/>
      <c r="B783" s="774"/>
      <c r="D783" s="798"/>
      <c r="E783" s="798"/>
      <c r="F783" s="798"/>
      <c r="G783" s="776"/>
      <c r="J783" s="778" t="str">
        <f aca="false">IF(I783="","",H783/I783)</f>
        <v/>
      </c>
      <c r="K783" s="798"/>
      <c r="O783" s="801"/>
      <c r="P783" s="826"/>
      <c r="Q783" s="830"/>
      <c r="R783" s="798" t="s">
        <v>2929</v>
      </c>
      <c r="S783" s="835" t="n">
        <f aca="false">S782-0.1</f>
        <v>-2.58</v>
      </c>
      <c r="T783" s="835" t="n">
        <f aca="false">T782-0.1</f>
        <v>-2.75</v>
      </c>
      <c r="U783" s="835" t="n">
        <f aca="false">U782-0.1</f>
        <v>-3.05</v>
      </c>
      <c r="V783" s="835" t="n">
        <f aca="false">V782-0.1</f>
        <v>-3.15</v>
      </c>
      <c r="W783" s="836" t="n">
        <f aca="false">W782-0.1</f>
        <v>-3.35</v>
      </c>
    </row>
    <row r="784" customFormat="false" ht="16.5" hidden="false" customHeight="true" outlineLevel="0" collapsed="false">
      <c r="A784" s="773"/>
      <c r="B784" s="774"/>
      <c r="D784" s="798"/>
      <c r="E784" s="798"/>
      <c r="F784" s="798"/>
      <c r="G784" s="776"/>
      <c r="K784" s="798"/>
      <c r="O784" s="801"/>
      <c r="P784" s="826"/>
      <c r="Q784" s="830"/>
      <c r="R784" s="749" t="s">
        <v>2930</v>
      </c>
      <c r="S784" s="835" t="n">
        <v>-2.35509</v>
      </c>
      <c r="T784" s="835" t="n">
        <v>-2.50313</v>
      </c>
      <c r="U784" s="835" t="n">
        <v>-2.74406</v>
      </c>
      <c r="V784" s="837"/>
      <c r="W784" s="838"/>
    </row>
    <row r="785" customFormat="false" ht="16.5" hidden="false" customHeight="true" outlineLevel="0" collapsed="false">
      <c r="A785" s="773"/>
      <c r="B785" s="774"/>
      <c r="D785" s="798"/>
      <c r="E785" s="798"/>
      <c r="F785" s="798"/>
      <c r="G785" s="776"/>
      <c r="K785" s="798"/>
      <c r="O785" s="801"/>
      <c r="P785" s="826"/>
      <c r="Q785" s="830"/>
      <c r="R785" s="749" t="s">
        <v>2931</v>
      </c>
      <c r="S785" s="835" t="n">
        <f aca="false">S784-S782</f>
        <v>0.12491</v>
      </c>
      <c r="T785" s="835" t="n">
        <f aca="false">T784-T782</f>
        <v>0.14687</v>
      </c>
      <c r="U785" s="835" t="n">
        <f aca="false">U784-U782</f>
        <v>0.20594</v>
      </c>
      <c r="V785" s="835"/>
      <c r="W785" s="836"/>
    </row>
    <row r="786" customFormat="false" ht="16.5" hidden="false" customHeight="true" outlineLevel="0" collapsed="false">
      <c r="A786" s="773"/>
      <c r="B786" s="774"/>
      <c r="D786" s="798"/>
      <c r="E786" s="798"/>
      <c r="F786" s="798"/>
      <c r="G786" s="776"/>
      <c r="J786" s="778" t="str">
        <f aca="false">IF(I786="","",H786/I786)</f>
        <v/>
      </c>
      <c r="K786" s="798"/>
      <c r="O786" s="801"/>
      <c r="P786" s="826"/>
      <c r="Q786" s="830"/>
      <c r="R786" s="798" t="s">
        <v>2932</v>
      </c>
      <c r="S786" s="835" t="n">
        <v>2.7539</v>
      </c>
      <c r="T786" s="835" t="n">
        <v>2.8394</v>
      </c>
      <c r="U786" s="835" t="n">
        <v>3.0597</v>
      </c>
      <c r="V786" s="835" t="n">
        <f aca="false">U786+(U786-T786)</f>
        <v>3.28</v>
      </c>
      <c r="W786" s="836" t="n">
        <f aca="false">V786+(U786-T786)</f>
        <v>3.5003</v>
      </c>
    </row>
    <row r="787" customFormat="false" ht="16.5" hidden="false" customHeight="true" outlineLevel="0" collapsed="false">
      <c r="A787" s="773"/>
      <c r="B787" s="774"/>
      <c r="D787" s="798"/>
      <c r="E787" s="798"/>
      <c r="F787" s="798"/>
      <c r="G787" s="776"/>
      <c r="J787" s="778" t="str">
        <f aca="false">IF(I787="","",H787/I787)</f>
        <v/>
      </c>
      <c r="K787" s="798"/>
      <c r="O787" s="801"/>
      <c r="P787" s="826"/>
      <c r="Q787" s="830"/>
      <c r="R787" s="839" t="s">
        <v>2933</v>
      </c>
      <c r="S787" s="840" t="n">
        <f aca="false">(S786+S783)</f>
        <v>0.1739</v>
      </c>
      <c r="T787" s="840" t="n">
        <f aca="false">(T786+T783)</f>
        <v>0.0893999999999999</v>
      </c>
      <c r="U787" s="840" t="n">
        <f aca="false">(U786+U783)</f>
        <v>0.0096999999999996</v>
      </c>
      <c r="V787" s="840" t="n">
        <f aca="false">(V786+V783)</f>
        <v>0.13</v>
      </c>
      <c r="W787" s="841" t="n">
        <f aca="false">(W786+W783)</f>
        <v>0.1503</v>
      </c>
      <c r="X787" s="834"/>
    </row>
    <row r="788" customFormat="false" ht="16.5" hidden="false" customHeight="true" outlineLevel="0" collapsed="false">
      <c r="A788" s="773"/>
      <c r="B788" s="774"/>
      <c r="D788" s="798"/>
      <c r="E788" s="798"/>
      <c r="F788" s="798"/>
      <c r="G788" s="776"/>
      <c r="J788" s="778" t="str">
        <f aca="false">IF(I788="","",H788/I788)</f>
        <v/>
      </c>
      <c r="K788" s="798"/>
      <c r="O788" s="801"/>
      <c r="P788" s="798"/>
      <c r="Q788" s="842" t="s">
        <v>2934</v>
      </c>
      <c r="R788" s="842"/>
      <c r="S788" s="843"/>
      <c r="T788" s="843"/>
      <c r="U788" s="843"/>
      <c r="V788" s="843"/>
      <c r="W788" s="844" t="n">
        <v>-0.65</v>
      </c>
    </row>
    <row r="789" customFormat="false" ht="16.5" hidden="false" customHeight="true" outlineLevel="0" collapsed="false">
      <c r="A789" s="773"/>
      <c r="B789" s="774"/>
      <c r="D789" s="798"/>
      <c r="E789" s="798"/>
      <c r="F789" s="798"/>
      <c r="G789" s="776"/>
      <c r="K789" s="798"/>
      <c r="O789" s="801"/>
      <c r="P789" s="826"/>
      <c r="Q789" s="845" t="s">
        <v>2935</v>
      </c>
      <c r="R789" s="845"/>
      <c r="S789" s="846" t="n">
        <v>-0.365</v>
      </c>
      <c r="T789" s="846" t="n">
        <v>-0.32371</v>
      </c>
      <c r="U789" s="846" t="n">
        <v>-0.24629</v>
      </c>
      <c r="V789" s="846"/>
      <c r="W789" s="847"/>
    </row>
    <row r="790" customFormat="false" ht="16.5" hidden="false" customHeight="true" outlineLevel="0" collapsed="false">
      <c r="A790" s="773"/>
      <c r="B790" s="774"/>
      <c r="D790" s="798"/>
      <c r="E790" s="798"/>
      <c r="F790" s="798"/>
      <c r="G790" s="776"/>
      <c r="J790" s="778" t="str">
        <f aca="false">IF(I790="","",H790/I790)</f>
        <v/>
      </c>
      <c r="K790" s="798"/>
      <c r="O790" s="801"/>
      <c r="P790" s="826"/>
      <c r="Q790" s="848" t="s">
        <v>2936</v>
      </c>
      <c r="R790" s="848"/>
      <c r="S790" s="849"/>
      <c r="T790" s="849"/>
      <c r="U790" s="849"/>
      <c r="V790" s="849"/>
      <c r="W790" s="850"/>
    </row>
    <row r="791" customFormat="false" ht="16.5" hidden="false" customHeight="true" outlineLevel="0" collapsed="false">
      <c r="A791" s="773"/>
      <c r="B791" s="774"/>
      <c r="D791" s="798"/>
      <c r="E791" s="798"/>
      <c r="F791" s="798"/>
      <c r="G791" s="776"/>
      <c r="J791" s="778" t="str">
        <f aca="false">IF(I791="","",H791/I791)</f>
        <v/>
      </c>
      <c r="K791" s="798"/>
      <c r="O791" s="801"/>
      <c r="P791" s="798"/>
      <c r="Q791" s="851" t="s">
        <v>2937</v>
      </c>
      <c r="R791" s="851"/>
      <c r="S791" s="852" t="n">
        <v>0.25</v>
      </c>
      <c r="T791" s="852" t="n">
        <v>0.35</v>
      </c>
      <c r="U791" s="852" t="n">
        <v>0.7</v>
      </c>
      <c r="V791" s="852" t="n">
        <v>0.95</v>
      </c>
      <c r="W791" s="853" t="n">
        <v>1.15</v>
      </c>
    </row>
    <row r="792" customFormat="false" ht="16.5" hidden="false" customHeight="true" outlineLevel="0" collapsed="false">
      <c r="A792" s="773"/>
      <c r="B792" s="774"/>
      <c r="D792" s="798"/>
      <c r="E792" s="798"/>
      <c r="F792" s="798"/>
      <c r="G792" s="776"/>
      <c r="J792" s="778" t="str">
        <f aca="false">IF(I792="","",H792/I792)</f>
        <v/>
      </c>
      <c r="K792" s="798"/>
      <c r="O792" s="801"/>
      <c r="P792" s="798"/>
      <c r="Q792" s="845"/>
      <c r="R792" s="845"/>
      <c r="S792" s="852"/>
      <c r="T792" s="852"/>
      <c r="U792" s="852"/>
      <c r="V792" s="852"/>
      <c r="W792" s="853"/>
    </row>
    <row r="793" customFormat="false" ht="16.5" hidden="false" customHeight="true" outlineLevel="0" collapsed="false">
      <c r="A793" s="773"/>
      <c r="B793" s="774"/>
      <c r="D793" s="798"/>
      <c r="E793" s="798"/>
      <c r="F793" s="798"/>
      <c r="G793" s="776"/>
      <c r="J793" s="778" t="str">
        <f aca="false">IF(I793="","",H793/I793)</f>
        <v/>
      </c>
      <c r="K793" s="798"/>
      <c r="O793" s="801"/>
      <c r="P793" s="798"/>
      <c r="Q793" s="854"/>
      <c r="R793" s="855"/>
    </row>
    <row r="794" customFormat="false" ht="16.5" hidden="false" customHeight="true" outlineLevel="0" collapsed="false">
      <c r="A794" s="773"/>
      <c r="B794" s="774"/>
      <c r="D794" s="798"/>
      <c r="E794" s="798"/>
      <c r="F794" s="798"/>
      <c r="G794" s="776"/>
      <c r="J794" s="778" t="str">
        <f aca="false">IF(I794="","",H794/I794)</f>
        <v/>
      </c>
      <c r="K794" s="798"/>
      <c r="O794" s="801"/>
      <c r="P794" s="798"/>
      <c r="Q794" s="798"/>
      <c r="R794" s="811"/>
    </row>
    <row r="795" customFormat="false" ht="16.5" hidden="false" customHeight="true" outlineLevel="0" collapsed="false">
      <c r="A795" s="773"/>
      <c r="B795" s="774"/>
      <c r="D795" s="798"/>
      <c r="E795" s="798"/>
      <c r="F795" s="798"/>
      <c r="G795" s="776"/>
      <c r="J795" s="778" t="str">
        <f aca="false">IF(I795="","",H795/I795)</f>
        <v/>
      </c>
      <c r="K795" s="798"/>
      <c r="O795" s="801"/>
      <c r="P795" s="798"/>
      <c r="Q795" s="798"/>
      <c r="R795" s="811"/>
    </row>
    <row r="796" customFormat="false" ht="16.5" hidden="false" customHeight="true" outlineLevel="0" collapsed="false">
      <c r="A796" s="773"/>
      <c r="B796" s="774"/>
      <c r="D796" s="798"/>
      <c r="E796" s="798"/>
      <c r="F796" s="798"/>
      <c r="G796" s="776"/>
      <c r="J796" s="778" t="str">
        <f aca="false">IF(I796="","",H796/I796)</f>
        <v/>
      </c>
      <c r="K796" s="798"/>
      <c r="O796" s="801"/>
      <c r="P796" s="798"/>
      <c r="Q796" s="798"/>
      <c r="R796" s="811"/>
    </row>
    <row r="797" customFormat="false" ht="16.5" hidden="false" customHeight="true" outlineLevel="0" collapsed="false">
      <c r="A797" s="773"/>
      <c r="B797" s="774"/>
      <c r="D797" s="798"/>
      <c r="E797" s="798"/>
      <c r="F797" s="798"/>
      <c r="G797" s="776"/>
      <c r="J797" s="778" t="str">
        <f aca="false">IF(I797="","",H797/I797)</f>
        <v/>
      </c>
      <c r="K797" s="798"/>
      <c r="O797" s="801"/>
      <c r="P797" s="798"/>
      <c r="Q797" s="798"/>
      <c r="R797" s="811"/>
    </row>
    <row r="798" customFormat="false" ht="16.5" hidden="false" customHeight="true" outlineLevel="0" collapsed="false">
      <c r="A798" s="773" t="s">
        <v>2335</v>
      </c>
      <c r="B798" s="774" t="n">
        <v>43214</v>
      </c>
      <c r="D798" s="749" t="s">
        <v>103</v>
      </c>
      <c r="E798" s="749" t="s">
        <v>2836</v>
      </c>
      <c r="F798" s="798" t="s">
        <v>2894</v>
      </c>
      <c r="G798" s="776" t="s">
        <v>2156</v>
      </c>
      <c r="H798" s="776" t="n">
        <v>5000000</v>
      </c>
      <c r="I798" s="777" t="n">
        <v>1.23</v>
      </c>
      <c r="J798" s="778" t="n">
        <f aca="false">H798*I798</f>
        <v>6150000</v>
      </c>
      <c r="K798" s="749" t="s">
        <v>2336</v>
      </c>
      <c r="L798" s="774" t="n">
        <v>43220</v>
      </c>
      <c r="M798" s="774" t="n">
        <v>44316</v>
      </c>
      <c r="O798" s="801" t="n">
        <v>2.1</v>
      </c>
      <c r="P798" s="749" t="s">
        <v>2606</v>
      </c>
      <c r="Q798" s="749" t="s">
        <v>2917</v>
      </c>
      <c r="R798" s="811"/>
    </row>
    <row r="799" customFormat="false" ht="16.5" hidden="false" customHeight="true" outlineLevel="0" collapsed="false">
      <c r="A799" s="773" t="s">
        <v>2335</v>
      </c>
      <c r="B799" s="774" t="n">
        <v>43213</v>
      </c>
      <c r="D799" s="749" t="s">
        <v>2704</v>
      </c>
      <c r="E799" s="749" t="s">
        <v>2938</v>
      </c>
      <c r="F799" s="749" t="s">
        <v>2706</v>
      </c>
      <c r="G799" s="776" t="s">
        <v>1267</v>
      </c>
      <c r="H799" s="776" t="n">
        <v>118200000</v>
      </c>
      <c r="I799" s="777" t="n">
        <v>108</v>
      </c>
      <c r="J799" s="778" t="n">
        <f aca="false">H799/I799</f>
        <v>1094444.44444444</v>
      </c>
      <c r="K799" s="749" t="s">
        <v>2336</v>
      </c>
      <c r="L799" s="774" t="n">
        <v>43215</v>
      </c>
      <c r="M799" s="774" t="n">
        <v>43580</v>
      </c>
      <c r="O799" s="801" t="n">
        <v>3.4</v>
      </c>
      <c r="P799" s="749" t="s">
        <v>2606</v>
      </c>
      <c r="Q799" s="749" t="s">
        <v>2917</v>
      </c>
      <c r="R799" s="811"/>
    </row>
    <row r="800" customFormat="false" ht="16.5" hidden="false" customHeight="true" outlineLevel="0" collapsed="false">
      <c r="A800" s="773" t="s">
        <v>2335</v>
      </c>
      <c r="B800" s="774" t="n">
        <v>43222</v>
      </c>
      <c r="D800" s="749" t="s">
        <v>103</v>
      </c>
      <c r="E800" s="749" t="s">
        <v>2939</v>
      </c>
      <c r="F800" s="749" t="s">
        <v>2702</v>
      </c>
      <c r="G800" s="776" t="s">
        <v>1267</v>
      </c>
      <c r="H800" s="776" t="n">
        <v>120000000</v>
      </c>
      <c r="I800" s="777" t="n">
        <v>108</v>
      </c>
      <c r="J800" s="778" t="n">
        <f aca="false">H800/I800</f>
        <v>1111111.11111111</v>
      </c>
      <c r="K800" s="749" t="s">
        <v>2336</v>
      </c>
      <c r="L800" s="774" t="n">
        <v>43223</v>
      </c>
      <c r="M800" s="774" t="n">
        <v>43588</v>
      </c>
      <c r="O800" s="801" t="n">
        <v>2.73</v>
      </c>
      <c r="P800" s="749" t="s">
        <v>2606</v>
      </c>
      <c r="Q800" s="749" t="s">
        <v>2917</v>
      </c>
      <c r="R800" s="811"/>
    </row>
    <row r="801" customFormat="false" ht="16.5" hidden="false" customHeight="true" outlineLevel="0" collapsed="false">
      <c r="A801" s="773" t="s">
        <v>2335</v>
      </c>
      <c r="B801" s="774" t="n">
        <v>43236</v>
      </c>
      <c r="D801" s="749" t="s">
        <v>103</v>
      </c>
      <c r="E801" s="749" t="s">
        <v>2939</v>
      </c>
      <c r="F801" s="749" t="s">
        <v>2940</v>
      </c>
      <c r="G801" s="776" t="s">
        <v>1267</v>
      </c>
      <c r="H801" s="776" t="n">
        <v>64300000</v>
      </c>
      <c r="I801" s="777" t="n">
        <v>111.27</v>
      </c>
      <c r="J801" s="778" t="n">
        <f aca="false">H801/I801</f>
        <v>577873.640693808</v>
      </c>
      <c r="K801" s="749" t="s">
        <v>2336</v>
      </c>
      <c r="L801" s="774" t="n">
        <v>43240</v>
      </c>
      <c r="M801" s="774" t="n">
        <v>43605</v>
      </c>
      <c r="O801" s="801" t="n">
        <v>3.18</v>
      </c>
      <c r="P801" s="749" t="s">
        <v>2606</v>
      </c>
      <c r="Q801" s="749" t="s">
        <v>2917</v>
      </c>
      <c r="R801" s="811"/>
    </row>
    <row r="802" customFormat="false" ht="16.5" hidden="false" customHeight="true" outlineLevel="0" collapsed="false">
      <c r="A802" s="773" t="s">
        <v>2335</v>
      </c>
      <c r="B802" s="774" t="n">
        <v>43252</v>
      </c>
      <c r="C802" s="775" t="n">
        <v>25</v>
      </c>
      <c r="D802" s="749" t="s">
        <v>354</v>
      </c>
      <c r="E802" s="749" t="s">
        <v>2753</v>
      </c>
      <c r="F802" s="749" t="s">
        <v>2587</v>
      </c>
      <c r="G802" s="776" t="s">
        <v>1267</v>
      </c>
      <c r="H802" s="776" t="n">
        <v>25000000</v>
      </c>
      <c r="I802" s="777" t="n">
        <v>109.18</v>
      </c>
      <c r="J802" s="778" t="n">
        <f aca="false">H802/I802</f>
        <v>228979.666605605</v>
      </c>
      <c r="K802" s="749" t="s">
        <v>2460</v>
      </c>
      <c r="L802" s="774" t="n">
        <v>43255</v>
      </c>
      <c r="M802" s="774" t="n">
        <v>43618</v>
      </c>
      <c r="O802" s="801" t="n">
        <v>3.8</v>
      </c>
      <c r="P802" s="749" t="s">
        <v>2606</v>
      </c>
      <c r="Q802" s="749" t="s">
        <v>2917</v>
      </c>
      <c r="R802" s="811"/>
    </row>
    <row r="803" customFormat="false" ht="16.5" hidden="false" customHeight="true" outlineLevel="0" collapsed="false">
      <c r="A803" s="773" t="s">
        <v>2335</v>
      </c>
      <c r="B803" s="774" t="n">
        <v>43270</v>
      </c>
      <c r="C803" s="775" t="n">
        <v>51</v>
      </c>
      <c r="D803" s="749" t="s">
        <v>2868</v>
      </c>
      <c r="E803" s="749" t="s">
        <v>2941</v>
      </c>
      <c r="F803" s="749" t="s">
        <v>2397</v>
      </c>
      <c r="G803" s="776" t="s">
        <v>1267</v>
      </c>
      <c r="H803" s="776" t="n">
        <v>50000000</v>
      </c>
      <c r="I803" s="777" t="n">
        <v>110.72</v>
      </c>
      <c r="J803" s="778" t="n">
        <f aca="false">H803/I803</f>
        <v>451589.595375723</v>
      </c>
      <c r="K803" s="749" t="s">
        <v>2336</v>
      </c>
      <c r="L803" s="774" t="n">
        <v>43272</v>
      </c>
      <c r="M803" s="774" t="n">
        <v>43637</v>
      </c>
      <c r="N803" s="774" t="s">
        <v>2341</v>
      </c>
      <c r="O803" s="801" t="n">
        <v>4.16</v>
      </c>
      <c r="P803" s="749" t="s">
        <v>2606</v>
      </c>
      <c r="Q803" s="749" t="s">
        <v>2917</v>
      </c>
      <c r="R803" s="811"/>
    </row>
    <row r="804" customFormat="false" ht="16.5" hidden="false" customHeight="true" outlineLevel="0" collapsed="false">
      <c r="A804" s="747" t="s">
        <v>2335</v>
      </c>
      <c r="B804" s="774" t="n">
        <v>43299</v>
      </c>
      <c r="C804" s="775" t="n">
        <v>4</v>
      </c>
      <c r="D804" s="749" t="s">
        <v>103</v>
      </c>
      <c r="E804" s="749" t="s">
        <v>2939</v>
      </c>
      <c r="F804" s="749" t="s">
        <v>2872</v>
      </c>
      <c r="G804" s="798" t="s">
        <v>2136</v>
      </c>
      <c r="H804" s="776" t="n">
        <v>1000000</v>
      </c>
      <c r="I804" s="777" t="n">
        <v>1</v>
      </c>
      <c r="J804" s="778" t="n">
        <f aca="false">IF(I804="","",H804/I804)</f>
        <v>1000000</v>
      </c>
      <c r="K804" s="749" t="s">
        <v>2336</v>
      </c>
      <c r="L804" s="774" t="n">
        <v>43299</v>
      </c>
      <c r="M804" s="774" t="n">
        <v>43664</v>
      </c>
      <c r="N804" s="774" t="s">
        <v>2341</v>
      </c>
      <c r="O804" s="801" t="n">
        <v>5.38</v>
      </c>
      <c r="P804" s="749" t="s">
        <v>2606</v>
      </c>
      <c r="Q804" s="749" t="s">
        <v>2917</v>
      </c>
      <c r="R804" s="811"/>
    </row>
    <row r="805" customFormat="false" ht="16.5" hidden="false" customHeight="true" outlineLevel="0" collapsed="false">
      <c r="A805" s="773" t="s">
        <v>2335</v>
      </c>
      <c r="B805" s="774" t="n">
        <v>43313</v>
      </c>
      <c r="C805" s="775" t="n">
        <v>63</v>
      </c>
      <c r="D805" s="749" t="s">
        <v>2902</v>
      </c>
      <c r="E805" s="749" t="s">
        <v>2942</v>
      </c>
      <c r="F805" s="749" t="s">
        <v>2346</v>
      </c>
      <c r="G805" s="776" t="s">
        <v>1267</v>
      </c>
      <c r="H805" s="776" t="n">
        <v>49500000</v>
      </c>
      <c r="I805" s="777" t="n">
        <v>110</v>
      </c>
      <c r="J805" s="778" t="n">
        <f aca="false">IF(I805="","",H805/I805)</f>
        <v>450000</v>
      </c>
      <c r="K805" s="749" t="s">
        <v>2336</v>
      </c>
      <c r="L805" s="774" t="n">
        <v>43321</v>
      </c>
      <c r="M805" s="774" t="n">
        <v>43686</v>
      </c>
      <c r="N805" s="774" t="s">
        <v>2341</v>
      </c>
      <c r="O805" s="801" t="n">
        <v>2.65</v>
      </c>
      <c r="P805" s="749" t="s">
        <v>2347</v>
      </c>
      <c r="Q805" s="749" t="s">
        <v>2917</v>
      </c>
      <c r="R805" s="811"/>
    </row>
    <row r="806" customFormat="false" ht="16.5" hidden="false" customHeight="true" outlineLevel="0" collapsed="false">
      <c r="A806" s="773" t="s">
        <v>2190</v>
      </c>
      <c r="B806" s="774" t="n">
        <v>43332</v>
      </c>
      <c r="C806" s="775" t="n">
        <v>97</v>
      </c>
      <c r="D806" s="749" t="s">
        <v>133</v>
      </c>
      <c r="E806" s="749" t="s">
        <v>2943</v>
      </c>
      <c r="F806" s="802" t="s">
        <v>2685</v>
      </c>
      <c r="G806" s="776" t="s">
        <v>2136</v>
      </c>
      <c r="H806" s="776" t="n">
        <v>1500000</v>
      </c>
      <c r="I806" s="777" t="n">
        <v>1</v>
      </c>
      <c r="J806" s="778" t="n">
        <f aca="false">IF(I806="","",H806/I806)</f>
        <v>1500000</v>
      </c>
      <c r="K806" s="749" t="s">
        <v>2336</v>
      </c>
      <c r="L806" s="774" t="n">
        <v>43334</v>
      </c>
      <c r="M806" s="774" t="n">
        <v>44430</v>
      </c>
      <c r="N806" s="774" t="s">
        <v>2341</v>
      </c>
      <c r="O806" s="801" t="n">
        <v>4.9</v>
      </c>
      <c r="P806" s="749" t="s">
        <v>2347</v>
      </c>
      <c r="Q806" s="749" t="s">
        <v>2917</v>
      </c>
      <c r="R806" s="811"/>
    </row>
    <row r="807" s="865" customFormat="true" ht="16.5" hidden="false" customHeight="true" outlineLevel="0" collapsed="false">
      <c r="A807" s="856" t="s">
        <v>2335</v>
      </c>
      <c r="B807" s="857" t="n">
        <v>43551</v>
      </c>
      <c r="C807" s="858"/>
      <c r="D807" s="859" t="s">
        <v>2704</v>
      </c>
      <c r="E807" s="859" t="s">
        <v>2938</v>
      </c>
      <c r="F807" s="859" t="s">
        <v>2706</v>
      </c>
      <c r="G807" s="860" t="s">
        <v>1267</v>
      </c>
      <c r="H807" s="860" t="n">
        <v>118200000</v>
      </c>
      <c r="I807" s="861" t="n">
        <v>110.55</v>
      </c>
      <c r="J807" s="860" t="n">
        <f aca="false">H807/I807</f>
        <v>1069199.45725916</v>
      </c>
      <c r="K807" s="859" t="s">
        <v>2336</v>
      </c>
      <c r="L807" s="862"/>
      <c r="M807" s="862"/>
      <c r="N807" s="862" t="s">
        <v>2341</v>
      </c>
      <c r="O807" s="863" t="n">
        <v>3.35</v>
      </c>
      <c r="P807" s="859" t="s">
        <v>2347</v>
      </c>
      <c r="Q807" s="859" t="s">
        <v>2944</v>
      </c>
      <c r="R807" s="864" t="s">
        <v>2945</v>
      </c>
    </row>
    <row r="808" customFormat="false" ht="16.5" hidden="false" customHeight="true" outlineLevel="0" collapsed="false">
      <c r="A808" s="773" t="s">
        <v>2335</v>
      </c>
      <c r="B808" s="774" t="n">
        <v>43570</v>
      </c>
      <c r="D808" s="749" t="s">
        <v>103</v>
      </c>
      <c r="E808" s="749" t="s">
        <v>2836</v>
      </c>
      <c r="F808" s="749" t="s">
        <v>2684</v>
      </c>
      <c r="G808" s="776" t="s">
        <v>1267</v>
      </c>
      <c r="H808" s="776" t="n">
        <v>37000000</v>
      </c>
      <c r="I808" s="777" t="n">
        <v>112</v>
      </c>
      <c r="J808" s="778" t="n">
        <f aca="false">IF(I808="","",H808/I808)</f>
        <v>330357.142857143</v>
      </c>
      <c r="K808" s="749" t="s">
        <v>2336</v>
      </c>
      <c r="L808" s="774" t="n">
        <v>43570</v>
      </c>
      <c r="M808" s="774" t="n">
        <v>43935</v>
      </c>
      <c r="N808" s="774" t="s">
        <v>2341</v>
      </c>
      <c r="O808" s="801" t="n">
        <v>3.73</v>
      </c>
      <c r="P808" s="749" t="s">
        <v>2347</v>
      </c>
      <c r="Q808" s="749" t="s">
        <v>2944</v>
      </c>
      <c r="R808" s="811"/>
    </row>
    <row r="809" customFormat="false" ht="16.5" hidden="false" customHeight="true" outlineLevel="0" collapsed="false">
      <c r="A809" s="773" t="s">
        <v>2190</v>
      </c>
      <c r="B809" s="774" t="n">
        <v>43581</v>
      </c>
      <c r="D809" s="749" t="s">
        <v>1366</v>
      </c>
      <c r="E809" s="749" t="s">
        <v>2946</v>
      </c>
      <c r="F809" s="749" t="s">
        <v>2947</v>
      </c>
      <c r="G809" s="776" t="s">
        <v>2136</v>
      </c>
      <c r="H809" s="776" t="n">
        <v>380000</v>
      </c>
      <c r="I809" s="777" t="n">
        <v>1</v>
      </c>
      <c r="J809" s="778" t="n">
        <f aca="false">IF(I809="","",H809/I809)</f>
        <v>380000</v>
      </c>
      <c r="K809" s="749" t="s">
        <v>2336</v>
      </c>
      <c r="L809" s="774" t="n">
        <v>43584</v>
      </c>
      <c r="M809" s="774" t="n">
        <v>43610</v>
      </c>
      <c r="N809" s="774" t="s">
        <v>2341</v>
      </c>
      <c r="O809" s="801" t="n">
        <v>4</v>
      </c>
      <c r="P809" s="749" t="s">
        <v>2347</v>
      </c>
      <c r="Q809" s="749" t="s">
        <v>2944</v>
      </c>
      <c r="R809" s="811"/>
    </row>
    <row r="810" customFormat="false" ht="16.5" hidden="false" customHeight="true" outlineLevel="0" collapsed="false">
      <c r="A810" s="773" t="s">
        <v>2335</v>
      </c>
      <c r="B810" s="774" t="n">
        <v>43587</v>
      </c>
      <c r="D810" s="749" t="s">
        <v>103</v>
      </c>
      <c r="E810" s="749" t="s">
        <v>2948</v>
      </c>
      <c r="F810" s="749" t="s">
        <v>2702</v>
      </c>
      <c r="G810" s="776" t="s">
        <v>1267</v>
      </c>
      <c r="H810" s="776" t="n">
        <v>120000000</v>
      </c>
      <c r="I810" s="777" t="n">
        <v>111.48</v>
      </c>
      <c r="J810" s="778" t="n">
        <f aca="false">H810/I810</f>
        <v>1076426.26480086</v>
      </c>
      <c r="K810" s="749" t="s">
        <v>2336</v>
      </c>
      <c r="L810" s="774" t="n">
        <v>43588</v>
      </c>
      <c r="M810" s="774" t="n">
        <v>43954</v>
      </c>
      <c r="N810" s="774" t="s">
        <v>2341</v>
      </c>
      <c r="O810" s="801" t="n">
        <v>2.67</v>
      </c>
      <c r="P810" s="749" t="s">
        <v>2347</v>
      </c>
      <c r="Q810" s="749" t="s">
        <v>2944</v>
      </c>
      <c r="R810" s="811"/>
    </row>
    <row r="811" customFormat="false" ht="16.5" hidden="false" customHeight="true" outlineLevel="0" collapsed="false">
      <c r="A811" s="773" t="s">
        <v>2335</v>
      </c>
      <c r="B811" s="774" t="n">
        <v>43588</v>
      </c>
      <c r="D811" s="749" t="s">
        <v>1172</v>
      </c>
      <c r="E811" s="749" t="s">
        <v>2949</v>
      </c>
      <c r="F811" s="749" t="s">
        <v>2710</v>
      </c>
      <c r="G811" s="776" t="s">
        <v>1267</v>
      </c>
      <c r="H811" s="776" t="n">
        <v>24000000</v>
      </c>
      <c r="I811" s="777" t="n">
        <v>111.48</v>
      </c>
      <c r="J811" s="778" t="n">
        <f aca="false">IF(I811="","",H811/I811)</f>
        <v>215285.252960172</v>
      </c>
      <c r="K811" s="749" t="s">
        <v>2336</v>
      </c>
      <c r="L811" s="774" t="n">
        <v>43597</v>
      </c>
      <c r="M811" s="774" t="n">
        <v>43963</v>
      </c>
      <c r="N811" s="774" t="s">
        <v>2341</v>
      </c>
      <c r="O811" s="801" t="n">
        <v>3.38</v>
      </c>
      <c r="P811" s="749" t="s">
        <v>2347</v>
      </c>
      <c r="Q811" s="749" t="s">
        <v>2944</v>
      </c>
      <c r="R811" s="811"/>
    </row>
    <row r="812" customFormat="false" ht="16.5" hidden="false" customHeight="true" outlineLevel="0" collapsed="false">
      <c r="A812" s="773" t="s">
        <v>2190</v>
      </c>
      <c r="B812" s="774" t="n">
        <v>43598</v>
      </c>
      <c r="D812" s="749" t="s">
        <v>1366</v>
      </c>
      <c r="E812" s="749" t="s">
        <v>2946</v>
      </c>
      <c r="F812" s="749" t="s">
        <v>2947</v>
      </c>
      <c r="G812" s="776" t="s">
        <v>2136</v>
      </c>
      <c r="H812" s="776" t="n">
        <v>840000</v>
      </c>
      <c r="I812" s="777" t="n">
        <v>1</v>
      </c>
      <c r="J812" s="778" t="n">
        <f aca="false">IF(I812="","",H812/I812)</f>
        <v>840000</v>
      </c>
      <c r="K812" s="749" t="s">
        <v>2336</v>
      </c>
      <c r="L812" s="774" t="n">
        <v>43599</v>
      </c>
      <c r="M812" s="774" t="n">
        <v>43626</v>
      </c>
      <c r="N812" s="774" t="s">
        <v>2341</v>
      </c>
      <c r="O812" s="801" t="n">
        <v>4</v>
      </c>
      <c r="P812" s="749" t="s">
        <v>2347</v>
      </c>
      <c r="Q812" s="749" t="s">
        <v>2944</v>
      </c>
      <c r="R812" s="811"/>
    </row>
    <row r="813" customFormat="false" ht="16.5" hidden="false" customHeight="true" outlineLevel="0" collapsed="false">
      <c r="A813" s="773" t="s">
        <v>2335</v>
      </c>
      <c r="B813" s="774" t="n">
        <v>43598</v>
      </c>
      <c r="C813" s="775" t="n">
        <v>25</v>
      </c>
      <c r="D813" s="749" t="s">
        <v>354</v>
      </c>
      <c r="E813" s="749" t="s">
        <v>2753</v>
      </c>
      <c r="F813" s="749" t="s">
        <v>2587</v>
      </c>
      <c r="G813" s="776" t="s">
        <v>1267</v>
      </c>
      <c r="H813" s="776" t="n">
        <v>24000000</v>
      </c>
      <c r="I813" s="777" t="n">
        <v>109.48</v>
      </c>
      <c r="J813" s="776" t="n">
        <f aca="false">H813/I813</f>
        <v>219218.122031421</v>
      </c>
      <c r="K813" s="749" t="s">
        <v>2460</v>
      </c>
      <c r="L813" s="774" t="n">
        <v>43619</v>
      </c>
      <c r="M813" s="774" t="n">
        <v>43984</v>
      </c>
      <c r="N813" s="774" t="s">
        <v>2341</v>
      </c>
      <c r="O813" s="801" t="n">
        <v>3.78</v>
      </c>
      <c r="P813" s="749" t="s">
        <v>2347</v>
      </c>
      <c r="Q813" s="749" t="s">
        <v>2944</v>
      </c>
      <c r="R813" s="811"/>
    </row>
    <row r="814" customFormat="false" ht="16.5" hidden="false" customHeight="true" outlineLevel="0" collapsed="false">
      <c r="A814" s="773" t="s">
        <v>2190</v>
      </c>
      <c r="B814" s="774" t="n">
        <v>43599</v>
      </c>
      <c r="D814" s="749" t="s">
        <v>1366</v>
      </c>
      <c r="E814" s="749" t="s">
        <v>2946</v>
      </c>
      <c r="F814" s="749" t="s">
        <v>2947</v>
      </c>
      <c r="G814" s="776" t="s">
        <v>2136</v>
      </c>
      <c r="H814" s="776" t="n">
        <v>500000</v>
      </c>
      <c r="I814" s="777" t="n">
        <v>1</v>
      </c>
      <c r="J814" s="778" t="n">
        <f aca="false">IF(I814="","",H814/I814)</f>
        <v>500000</v>
      </c>
      <c r="K814" s="749" t="s">
        <v>2336</v>
      </c>
      <c r="L814" s="774" t="n">
        <v>43601</v>
      </c>
      <c r="M814" s="774" t="n">
        <v>43630</v>
      </c>
      <c r="N814" s="774" t="s">
        <v>2341</v>
      </c>
      <c r="O814" s="801" t="n">
        <v>4</v>
      </c>
      <c r="P814" s="749" t="s">
        <v>2347</v>
      </c>
      <c r="Q814" s="749" t="s">
        <v>2944</v>
      </c>
      <c r="R814" s="811"/>
    </row>
    <row r="815" customFormat="false" ht="16.5" hidden="false" customHeight="true" outlineLevel="0" collapsed="false">
      <c r="A815" s="773" t="s">
        <v>2335</v>
      </c>
      <c r="B815" s="774" t="n">
        <v>43602</v>
      </c>
      <c r="D815" s="749" t="s">
        <v>103</v>
      </c>
      <c r="E815" s="749" t="s">
        <v>2948</v>
      </c>
      <c r="F815" s="749" t="s">
        <v>2940</v>
      </c>
      <c r="G815" s="776" t="s">
        <v>1267</v>
      </c>
      <c r="H815" s="776" t="n">
        <v>64300000</v>
      </c>
      <c r="I815" s="777" t="n">
        <v>109.9</v>
      </c>
      <c r="J815" s="776" t="n">
        <f aca="false">H815/I815</f>
        <v>585077.343039127</v>
      </c>
      <c r="K815" s="749" t="s">
        <v>2336</v>
      </c>
      <c r="L815" s="774" t="n">
        <v>43605</v>
      </c>
      <c r="M815" s="774" t="n">
        <v>43971</v>
      </c>
      <c r="N815" s="774" t="s">
        <v>2341</v>
      </c>
      <c r="O815" s="801" t="n">
        <v>3.12</v>
      </c>
      <c r="P815" s="749" t="s">
        <v>2347</v>
      </c>
      <c r="Q815" s="749" t="s">
        <v>2944</v>
      </c>
      <c r="R815" s="811"/>
    </row>
    <row r="816" customFormat="false" ht="16.5" hidden="false" customHeight="true" outlineLevel="0" collapsed="false">
      <c r="A816" s="773" t="s">
        <v>2190</v>
      </c>
      <c r="B816" s="774" t="n">
        <v>43609</v>
      </c>
      <c r="D816" s="749" t="s">
        <v>2398</v>
      </c>
      <c r="E816" s="749" t="s">
        <v>2950</v>
      </c>
      <c r="F816" s="749" t="s">
        <v>2951</v>
      </c>
      <c r="G816" s="776" t="s">
        <v>2136</v>
      </c>
      <c r="H816" s="776" t="n">
        <v>176000</v>
      </c>
      <c r="I816" s="777" t="n">
        <v>1</v>
      </c>
      <c r="J816" s="778" t="n">
        <f aca="false">IF(I816="","",H816/I816)</f>
        <v>176000</v>
      </c>
      <c r="K816" s="749" t="s">
        <v>2336</v>
      </c>
      <c r="L816" s="774" t="n">
        <v>43609</v>
      </c>
      <c r="M816" s="774" t="n">
        <v>43701</v>
      </c>
      <c r="N816" s="774" t="s">
        <v>2341</v>
      </c>
      <c r="O816" s="801" t="n">
        <v>5.27</v>
      </c>
      <c r="P816" s="749" t="s">
        <v>2347</v>
      </c>
      <c r="Q816" s="749" t="s">
        <v>2944</v>
      </c>
      <c r="R816" s="811"/>
    </row>
    <row r="817" customFormat="false" ht="16.5" hidden="false" customHeight="true" outlineLevel="0" collapsed="false">
      <c r="A817" s="773" t="s">
        <v>2190</v>
      </c>
      <c r="B817" s="774" t="n">
        <v>43620</v>
      </c>
      <c r="D817" s="749" t="s">
        <v>2530</v>
      </c>
      <c r="E817" s="749" t="s">
        <v>2952</v>
      </c>
      <c r="F817" s="749" t="s">
        <v>2953</v>
      </c>
      <c r="G817" s="776" t="s">
        <v>1267</v>
      </c>
      <c r="H817" s="776" t="n">
        <v>20500000</v>
      </c>
      <c r="I817" s="777" t="n">
        <v>107.9</v>
      </c>
      <c r="J817" s="778" t="n">
        <f aca="false">IF(I817="","",H817/I817)</f>
        <v>189990.732159407</v>
      </c>
      <c r="K817" s="749" t="s">
        <v>2336</v>
      </c>
      <c r="L817" s="774" t="n">
        <v>43623</v>
      </c>
      <c r="M817" s="774" t="n">
        <v>43717</v>
      </c>
      <c r="N817" s="774" t="s">
        <v>2341</v>
      </c>
      <c r="O817" s="801" t="n">
        <v>3</v>
      </c>
      <c r="P817" s="749" t="s">
        <v>2347</v>
      </c>
      <c r="Q817" s="749" t="s">
        <v>2944</v>
      </c>
      <c r="R817" s="811"/>
    </row>
    <row r="818" customFormat="false" ht="16.5" hidden="false" customHeight="true" outlineLevel="0" collapsed="false">
      <c r="A818" s="773" t="s">
        <v>2335</v>
      </c>
      <c r="B818" s="774" t="n">
        <v>43636</v>
      </c>
      <c r="D818" s="749" t="s">
        <v>2868</v>
      </c>
      <c r="E818" s="749" t="s">
        <v>2954</v>
      </c>
      <c r="F818" s="749" t="s">
        <v>2397</v>
      </c>
      <c r="G818" s="776" t="s">
        <v>1267</v>
      </c>
      <c r="H818" s="776" t="n">
        <v>50000000</v>
      </c>
      <c r="I818" s="777" t="n">
        <v>107.7</v>
      </c>
      <c r="J818" s="778" t="n">
        <f aca="false">H818/I818</f>
        <v>464252.553389044</v>
      </c>
      <c r="K818" s="749" t="s">
        <v>2336</v>
      </c>
      <c r="L818" s="774" t="n">
        <v>43637</v>
      </c>
      <c r="M818" s="774" t="n">
        <v>44003</v>
      </c>
      <c r="N818" s="774" t="s">
        <v>2341</v>
      </c>
      <c r="O818" s="801" t="n">
        <v>3.9</v>
      </c>
      <c r="P818" s="749" t="s">
        <v>2347</v>
      </c>
      <c r="Q818" s="749" t="s">
        <v>2944</v>
      </c>
      <c r="R818" s="811"/>
    </row>
    <row r="819" customFormat="false" ht="16.5" hidden="false" customHeight="true" outlineLevel="0" collapsed="false">
      <c r="A819" s="773" t="s">
        <v>2190</v>
      </c>
      <c r="B819" s="774" t="n">
        <v>43641</v>
      </c>
      <c r="D819" s="749" t="s">
        <v>103</v>
      </c>
      <c r="E819" s="749" t="s">
        <v>2855</v>
      </c>
      <c r="F819" s="798" t="s">
        <v>2955</v>
      </c>
      <c r="G819" s="776" t="s">
        <v>2136</v>
      </c>
      <c r="H819" s="776" t="n">
        <v>15000000</v>
      </c>
      <c r="I819" s="777" t="n">
        <v>1</v>
      </c>
      <c r="J819" s="778" t="n">
        <f aca="false">IF(I819="","",H819/I819)</f>
        <v>15000000</v>
      </c>
      <c r="K819" s="749" t="s">
        <v>2460</v>
      </c>
      <c r="L819" s="774" t="n">
        <v>43643</v>
      </c>
      <c r="M819" s="774" t="n">
        <v>45835</v>
      </c>
      <c r="N819" s="774" t="s">
        <v>2341</v>
      </c>
      <c r="O819" s="801" t="n">
        <v>5.4</v>
      </c>
      <c r="P819" s="749" t="s">
        <v>2347</v>
      </c>
      <c r="Q819" s="749" t="s">
        <v>2944</v>
      </c>
      <c r="R819" s="811"/>
    </row>
    <row r="820" customFormat="false" ht="16.5" hidden="false" customHeight="true" outlineLevel="0" collapsed="false">
      <c r="A820" s="747" t="s">
        <v>2335</v>
      </c>
      <c r="B820" s="774" t="n">
        <v>43663</v>
      </c>
      <c r="C820" s="775" t="n">
        <v>4</v>
      </c>
      <c r="D820" s="749" t="s">
        <v>103</v>
      </c>
      <c r="E820" s="749" t="s">
        <v>2836</v>
      </c>
      <c r="F820" s="749" t="s">
        <v>2872</v>
      </c>
      <c r="G820" s="798" t="s">
        <v>2136</v>
      </c>
      <c r="H820" s="776" t="n">
        <v>1000000</v>
      </c>
      <c r="I820" s="777" t="n">
        <v>1</v>
      </c>
      <c r="J820" s="778" t="n">
        <f aca="false">IF(I820="","",H820/I820)</f>
        <v>1000000</v>
      </c>
      <c r="K820" s="749" t="s">
        <v>2336</v>
      </c>
      <c r="L820" s="774" t="n">
        <v>43664</v>
      </c>
      <c r="M820" s="774" t="n">
        <v>44030</v>
      </c>
      <c r="N820" s="774" t="s">
        <v>2341</v>
      </c>
      <c r="O820" s="801" t="n">
        <v>5.81</v>
      </c>
      <c r="P820" s="749" t="s">
        <v>2347</v>
      </c>
      <c r="Q820" s="749" t="s">
        <v>2944</v>
      </c>
      <c r="R820" s="811"/>
    </row>
    <row r="821" customFormat="false" ht="16.5" hidden="false" customHeight="true" outlineLevel="0" collapsed="false">
      <c r="A821" s="773" t="s">
        <v>2335</v>
      </c>
      <c r="B821" s="774" t="n">
        <v>43670</v>
      </c>
      <c r="C821" s="775" t="n">
        <v>63</v>
      </c>
      <c r="D821" s="749" t="s">
        <v>2344</v>
      </c>
      <c r="E821" s="749" t="s">
        <v>2404</v>
      </c>
      <c r="F821" s="749" t="s">
        <v>2346</v>
      </c>
      <c r="G821" s="776" t="s">
        <v>1267</v>
      </c>
      <c r="H821" s="776" t="n">
        <v>49500000</v>
      </c>
      <c r="I821" s="777" t="n">
        <v>108</v>
      </c>
      <c r="J821" s="776" t="n">
        <f aca="false">IF(I821="","",H821/I821)</f>
        <v>458333.333333333</v>
      </c>
      <c r="K821" s="749" t="s">
        <v>2336</v>
      </c>
      <c r="L821" s="774" t="n">
        <v>43686</v>
      </c>
      <c r="M821" s="774" t="n">
        <v>44052</v>
      </c>
      <c r="N821" s="774" t="s">
        <v>2341</v>
      </c>
      <c r="O821" s="801" t="n">
        <v>2.6</v>
      </c>
      <c r="P821" s="749" t="s">
        <v>2347</v>
      </c>
      <c r="Q821" s="749" t="s">
        <v>2944</v>
      </c>
      <c r="R821" s="811"/>
    </row>
    <row r="822" customFormat="false" ht="16.5" hidden="false" customHeight="true" outlineLevel="0" collapsed="false">
      <c r="A822" s="773" t="s">
        <v>2190</v>
      </c>
      <c r="B822" s="774" t="n">
        <v>43703</v>
      </c>
      <c r="D822" s="749" t="s">
        <v>2956</v>
      </c>
      <c r="E822" s="749" t="s">
        <v>2957</v>
      </c>
      <c r="F822" s="749" t="s">
        <v>2380</v>
      </c>
      <c r="G822" s="776" t="s">
        <v>2136</v>
      </c>
      <c r="H822" s="776" t="n">
        <v>450000</v>
      </c>
      <c r="I822" s="777" t="n">
        <v>1</v>
      </c>
      <c r="J822" s="778" t="n">
        <f aca="false">IF(I822="","",H822/I822)</f>
        <v>450000</v>
      </c>
      <c r="K822" s="749" t="s">
        <v>2336</v>
      </c>
      <c r="L822" s="774" t="n">
        <v>43703</v>
      </c>
      <c r="M822" s="774" t="n">
        <v>43947</v>
      </c>
      <c r="N822" s="774" t="s">
        <v>2341</v>
      </c>
      <c r="O822" s="801" t="n">
        <v>3.9</v>
      </c>
      <c r="P822" s="749" t="s">
        <v>2347</v>
      </c>
      <c r="Q822" s="749" t="s">
        <v>2944</v>
      </c>
      <c r="R822" s="811"/>
    </row>
    <row r="823" customFormat="false" ht="16.5" hidden="false" customHeight="true" outlineLevel="0" collapsed="false">
      <c r="A823" s="773" t="s">
        <v>2190</v>
      </c>
      <c r="B823" s="774" t="n">
        <v>43704</v>
      </c>
      <c r="D823" s="749" t="s">
        <v>2958</v>
      </c>
      <c r="E823" s="749" t="s">
        <v>2959</v>
      </c>
      <c r="F823" s="749" t="s">
        <v>2960</v>
      </c>
      <c r="G823" s="776" t="s">
        <v>1267</v>
      </c>
      <c r="H823" s="776" t="n">
        <v>36611540</v>
      </c>
      <c r="I823" s="777" t="n">
        <v>105</v>
      </c>
      <c r="J823" s="778" t="n">
        <f aca="false">IF(I823="","",H823/I823)</f>
        <v>348681.333333333</v>
      </c>
      <c r="K823" s="749" t="s">
        <v>2336</v>
      </c>
      <c r="L823" s="774" t="n">
        <v>43706</v>
      </c>
      <c r="M823" s="774" t="n">
        <v>43890</v>
      </c>
      <c r="N823" s="774" t="s">
        <v>2341</v>
      </c>
      <c r="O823" s="801" t="n">
        <v>1.38</v>
      </c>
      <c r="P823" s="749" t="s">
        <v>2347</v>
      </c>
      <c r="Q823" s="749" t="s">
        <v>2944</v>
      </c>
      <c r="R823" s="811"/>
    </row>
    <row r="824" customFormat="false" ht="16.5" hidden="false" customHeight="true" outlineLevel="0" collapsed="false">
      <c r="A824" s="773" t="s">
        <v>2190</v>
      </c>
      <c r="B824" s="774" t="n">
        <v>43728</v>
      </c>
      <c r="D824" s="749" t="s">
        <v>103</v>
      </c>
      <c r="E824" s="749" t="s">
        <v>2836</v>
      </c>
      <c r="F824" s="749" t="s">
        <v>2961</v>
      </c>
      <c r="G824" s="776" t="s">
        <v>2136</v>
      </c>
      <c r="H824" s="776" t="n">
        <v>800000</v>
      </c>
      <c r="I824" s="777" t="n">
        <v>1</v>
      </c>
      <c r="J824" s="778" t="n">
        <f aca="false">IF(I824="","",H824/I824)</f>
        <v>800000</v>
      </c>
      <c r="K824" s="749" t="s">
        <v>2336</v>
      </c>
      <c r="L824" s="774" t="n">
        <v>43733</v>
      </c>
      <c r="M824" s="774" t="n">
        <v>44099</v>
      </c>
      <c r="N824" s="774" t="s">
        <v>2341</v>
      </c>
      <c r="O824" s="801" t="n">
        <v>4.83</v>
      </c>
      <c r="P824" s="749" t="s">
        <v>2347</v>
      </c>
      <c r="Q824" s="749" t="s">
        <v>2944</v>
      </c>
      <c r="R824" s="811"/>
    </row>
    <row r="825" customFormat="false" ht="16.5" hidden="false" customHeight="true" outlineLevel="0" collapsed="false">
      <c r="A825" s="773" t="s">
        <v>2190</v>
      </c>
      <c r="B825" s="774" t="n">
        <v>43732</v>
      </c>
      <c r="D825" s="749" t="s">
        <v>2958</v>
      </c>
      <c r="E825" s="749" t="s">
        <v>2959</v>
      </c>
      <c r="F825" s="749" t="s">
        <v>2960</v>
      </c>
      <c r="G825" s="776" t="s">
        <v>1267</v>
      </c>
      <c r="H825" s="776" t="n">
        <v>13180900</v>
      </c>
      <c r="I825" s="777" t="n">
        <v>107.95</v>
      </c>
      <c r="J825" s="778" t="n">
        <f aca="false">IF(I825="","",H825/I825)</f>
        <v>122101.899027327</v>
      </c>
      <c r="K825" s="749" t="s">
        <v>2336</v>
      </c>
      <c r="L825" s="774" t="n">
        <v>43738</v>
      </c>
      <c r="M825" s="774" t="n">
        <v>43860</v>
      </c>
      <c r="N825" s="774" t="s">
        <v>2341</v>
      </c>
      <c r="O825" s="801" t="n">
        <v>1.38</v>
      </c>
      <c r="P825" s="749" t="s">
        <v>2347</v>
      </c>
      <c r="Q825" s="749" t="s">
        <v>2944</v>
      </c>
      <c r="R825" s="811"/>
    </row>
    <row r="826" customFormat="false" ht="16.5" hidden="false" customHeight="true" outlineLevel="0" collapsed="false">
      <c r="A826" s="773" t="s">
        <v>2335</v>
      </c>
      <c r="B826" s="774" t="n">
        <v>43775</v>
      </c>
      <c r="D826" s="749" t="s">
        <v>866</v>
      </c>
      <c r="E826" s="749" t="s">
        <v>2962</v>
      </c>
      <c r="F826" s="749" t="s">
        <v>2578</v>
      </c>
      <c r="G826" s="776" t="s">
        <v>1267</v>
      </c>
      <c r="H826" s="776" t="n">
        <v>54700000</v>
      </c>
      <c r="I826" s="777" t="n">
        <v>108.81</v>
      </c>
      <c r="J826" s="778" t="n">
        <f aca="false">IF(I826="","",H826/I826)</f>
        <v>502711.147872438</v>
      </c>
      <c r="K826" s="749" t="s">
        <v>2460</v>
      </c>
      <c r="L826" s="774" t="n">
        <v>43799</v>
      </c>
      <c r="M826" s="774" t="n">
        <v>44165</v>
      </c>
      <c r="N826" s="774" t="s">
        <v>2341</v>
      </c>
      <c r="O826" s="801" t="n">
        <v>2.6</v>
      </c>
      <c r="P826" s="749" t="s">
        <v>2347</v>
      </c>
      <c r="Q826" s="749" t="s">
        <v>2944</v>
      </c>
      <c r="R826" s="811"/>
    </row>
    <row r="827" customFormat="false" ht="16.5" hidden="false" customHeight="true" outlineLevel="0" collapsed="false">
      <c r="A827" s="773" t="s">
        <v>2190</v>
      </c>
      <c r="B827" s="774" t="n">
        <v>43838</v>
      </c>
      <c r="C827" s="775" t="n">
        <v>97</v>
      </c>
      <c r="D827" s="749" t="s">
        <v>133</v>
      </c>
      <c r="E827" s="749" t="s">
        <v>2963</v>
      </c>
      <c r="F827" s="802" t="s">
        <v>2685</v>
      </c>
      <c r="G827" s="776" t="s">
        <v>2136</v>
      </c>
      <c r="H827" s="776" t="n">
        <v>600000</v>
      </c>
      <c r="I827" s="777" t="n">
        <v>1</v>
      </c>
      <c r="J827" s="778" t="n">
        <f aca="false">IF(I827="","",H827/I827)</f>
        <v>600000</v>
      </c>
      <c r="K827" s="749" t="s">
        <v>2336</v>
      </c>
      <c r="L827" s="774" t="n">
        <v>43839</v>
      </c>
      <c r="M827" s="774" t="n">
        <v>44205</v>
      </c>
      <c r="N827" s="774" t="s">
        <v>2341</v>
      </c>
      <c r="O827" s="801" t="n">
        <v>3.8</v>
      </c>
      <c r="P827" s="749" t="s">
        <v>2347</v>
      </c>
      <c r="Q827" s="749" t="s">
        <v>2944</v>
      </c>
      <c r="R827" s="811"/>
    </row>
    <row r="828" customFormat="false" ht="16.5" hidden="false" customHeight="true" outlineLevel="0" collapsed="false">
      <c r="A828" s="773" t="s">
        <v>2190</v>
      </c>
      <c r="B828" s="774" t="n">
        <v>43888</v>
      </c>
      <c r="C828" s="775" t="n">
        <v>43</v>
      </c>
      <c r="D828" s="749" t="s">
        <v>2398</v>
      </c>
      <c r="E828" s="749" t="s">
        <v>2964</v>
      </c>
      <c r="F828" s="749" t="s">
        <v>2965</v>
      </c>
      <c r="G828" s="776" t="s">
        <v>2136</v>
      </c>
      <c r="H828" s="776" t="n">
        <v>160000</v>
      </c>
      <c r="I828" s="777" t="n">
        <v>1</v>
      </c>
      <c r="J828" s="778" t="n">
        <f aca="false">IF(I828="","",H828/I828)</f>
        <v>160000</v>
      </c>
      <c r="K828" s="749" t="s">
        <v>2336</v>
      </c>
      <c r="L828" s="774" t="n">
        <v>43888</v>
      </c>
      <c r="M828" s="774" t="n">
        <v>44251</v>
      </c>
      <c r="N828" s="774" t="s">
        <v>2341</v>
      </c>
      <c r="O828" s="779" t="n">
        <v>0.0324</v>
      </c>
      <c r="P828" s="749" t="s">
        <v>2966</v>
      </c>
      <c r="Q828" s="749" t="s">
        <v>2944</v>
      </c>
      <c r="R828" s="811"/>
    </row>
    <row r="829" customFormat="false" ht="16.5" hidden="false" customHeight="true" outlineLevel="0" collapsed="false">
      <c r="A829" s="773" t="s">
        <v>2190</v>
      </c>
      <c r="B829" s="774" t="n">
        <v>43889</v>
      </c>
      <c r="C829" s="775" t="n">
        <v>43</v>
      </c>
      <c r="D829" s="749" t="s">
        <v>2398</v>
      </c>
      <c r="E829" s="749" t="s">
        <v>2964</v>
      </c>
      <c r="F829" s="749" t="s">
        <v>2967</v>
      </c>
      <c r="G829" s="776" t="s">
        <v>2136</v>
      </c>
      <c r="H829" s="776" t="n">
        <v>150000</v>
      </c>
      <c r="I829" s="777" t="n">
        <v>1</v>
      </c>
      <c r="J829" s="778" t="n">
        <f aca="false">IF(I829="","",H829/I829)</f>
        <v>150000</v>
      </c>
      <c r="K829" s="749" t="s">
        <v>2336</v>
      </c>
      <c r="L829" s="774" t="n">
        <v>43889</v>
      </c>
      <c r="M829" s="774" t="n">
        <v>44252</v>
      </c>
      <c r="N829" s="774" t="s">
        <v>2341</v>
      </c>
      <c r="O829" s="779" t="n">
        <v>0.0324</v>
      </c>
      <c r="P829" s="749" t="s">
        <v>2347</v>
      </c>
      <c r="Q829" s="749" t="s">
        <v>2944</v>
      </c>
      <c r="R829" s="811"/>
    </row>
    <row r="830" customFormat="false" ht="16.5" hidden="false" customHeight="true" outlineLevel="0" collapsed="false">
      <c r="A830" s="773" t="s">
        <v>2335</v>
      </c>
      <c r="B830" s="774" t="n">
        <v>43888</v>
      </c>
      <c r="D830" s="749" t="s">
        <v>2958</v>
      </c>
      <c r="E830" s="749" t="s">
        <v>2959</v>
      </c>
      <c r="F830" s="749" t="s">
        <v>2960</v>
      </c>
      <c r="G830" s="776" t="s">
        <v>1267</v>
      </c>
      <c r="H830" s="776" t="n">
        <v>36611540</v>
      </c>
      <c r="I830" s="777" t="n">
        <v>108.21</v>
      </c>
      <c r="J830" s="778" t="n">
        <f aca="false">IF(I830="","",H830/I830)</f>
        <v>338337.861565475</v>
      </c>
      <c r="K830" s="749" t="s">
        <v>2336</v>
      </c>
      <c r="L830" s="774" t="n">
        <v>43892</v>
      </c>
      <c r="M830" s="774" t="n">
        <v>44103</v>
      </c>
      <c r="N830" s="774" t="s">
        <v>2341</v>
      </c>
      <c r="O830" s="779" t="n">
        <v>0.0139</v>
      </c>
      <c r="P830" s="749" t="s">
        <v>2347</v>
      </c>
      <c r="Q830" s="749" t="s">
        <v>2944</v>
      </c>
      <c r="R830" s="811"/>
    </row>
    <row r="831" customFormat="false" ht="16.5" hidden="false" customHeight="true" outlineLevel="0" collapsed="false">
      <c r="A831" s="773" t="s">
        <v>2335</v>
      </c>
      <c r="B831" s="774" t="n">
        <v>43915</v>
      </c>
      <c r="D831" s="749" t="s">
        <v>866</v>
      </c>
      <c r="E831" s="749" t="s">
        <v>2968</v>
      </c>
      <c r="F831" s="749" t="s">
        <v>2886</v>
      </c>
      <c r="G831" s="776" t="s">
        <v>1267</v>
      </c>
      <c r="H831" s="776" t="n">
        <v>111650000</v>
      </c>
      <c r="I831" s="777" t="n">
        <v>110</v>
      </c>
      <c r="J831" s="778" t="n">
        <f aca="false">IF(I831="","",H831/I831)</f>
        <v>1015000</v>
      </c>
      <c r="K831" s="749" t="s">
        <v>2460</v>
      </c>
      <c r="L831" s="774" t="n">
        <v>43917</v>
      </c>
      <c r="M831" s="774" t="n">
        <v>44011</v>
      </c>
      <c r="N831" s="774" t="s">
        <v>2341</v>
      </c>
      <c r="O831" s="779" t="n">
        <v>0.0408</v>
      </c>
      <c r="P831" s="749" t="s">
        <v>2347</v>
      </c>
      <c r="Q831" s="749" t="s">
        <v>2944</v>
      </c>
      <c r="R831" s="811"/>
    </row>
    <row r="832" customFormat="false" ht="16.5" hidden="false" customHeight="true" outlineLevel="0" collapsed="false">
      <c r="A832" s="773" t="s">
        <v>2335</v>
      </c>
      <c r="B832" s="866" t="n">
        <v>43915</v>
      </c>
      <c r="D832" s="749" t="s">
        <v>2704</v>
      </c>
      <c r="E832" s="749" t="s">
        <v>2938</v>
      </c>
      <c r="F832" s="749" t="s">
        <v>2706</v>
      </c>
      <c r="G832" s="776" t="s">
        <v>1267</v>
      </c>
      <c r="H832" s="776" t="n">
        <v>118200000</v>
      </c>
      <c r="I832" s="777" t="n">
        <v>107.7</v>
      </c>
      <c r="J832" s="778" t="n">
        <f aca="false">H832/I832</f>
        <v>1097493.0362117</v>
      </c>
      <c r="K832" s="749" t="s">
        <v>2336</v>
      </c>
      <c r="L832" s="774" t="n">
        <v>43948</v>
      </c>
      <c r="M832" s="774" t="n">
        <v>44313</v>
      </c>
      <c r="N832" s="774" t="s">
        <v>2341</v>
      </c>
      <c r="O832" s="779" t="n">
        <v>0.0319</v>
      </c>
      <c r="P832" s="749" t="s">
        <v>2347</v>
      </c>
      <c r="Q832" s="749" t="s">
        <v>2944</v>
      </c>
      <c r="R832" s="811"/>
    </row>
    <row r="833" customFormat="false" ht="16.5" hidden="false" customHeight="true" outlineLevel="0" collapsed="false">
      <c r="A833" s="773" t="s">
        <v>2135</v>
      </c>
      <c r="B833" s="774" t="n">
        <v>43916</v>
      </c>
      <c r="D833" s="749" t="s">
        <v>2958</v>
      </c>
      <c r="E833" s="749" t="s">
        <v>2959</v>
      </c>
      <c r="F833" s="749" t="s">
        <v>2960</v>
      </c>
      <c r="G833" s="776" t="s">
        <v>1267</v>
      </c>
      <c r="H833" s="776" t="n">
        <v>13180900</v>
      </c>
      <c r="I833" s="777" t="n">
        <v>108.4</v>
      </c>
      <c r="J833" s="778" t="n">
        <f aca="false">IF(I833="","",H833/I833)</f>
        <v>121595.018450184</v>
      </c>
      <c r="K833" s="749" t="s">
        <v>2336</v>
      </c>
      <c r="L833" s="774" t="n">
        <v>43920</v>
      </c>
      <c r="M833" s="774" t="n">
        <v>44104</v>
      </c>
      <c r="N833" s="774" t="s">
        <v>2341</v>
      </c>
      <c r="O833" s="779" t="n">
        <v>0.0135</v>
      </c>
      <c r="P833" s="749" t="s">
        <v>2347</v>
      </c>
      <c r="Q833" s="749" t="s">
        <v>2944</v>
      </c>
      <c r="R833" s="811"/>
    </row>
    <row r="834" s="875" customFormat="true" ht="16.5" hidden="false" customHeight="true" outlineLevel="0" collapsed="false">
      <c r="A834" s="867" t="s">
        <v>2190</v>
      </c>
      <c r="B834" s="868" t="n">
        <v>43920</v>
      </c>
      <c r="C834" s="869"/>
      <c r="D834" s="870" t="s">
        <v>1149</v>
      </c>
      <c r="E834" s="870" t="s">
        <v>2786</v>
      </c>
      <c r="F834" s="870" t="s">
        <v>2561</v>
      </c>
      <c r="G834" s="871" t="s">
        <v>2136</v>
      </c>
      <c r="H834" s="871" t="n">
        <v>100000</v>
      </c>
      <c r="I834" s="872" t="n">
        <v>1</v>
      </c>
      <c r="J834" s="871" t="n">
        <f aca="false">IF(I834="","",H834/I834)</f>
        <v>100000</v>
      </c>
      <c r="K834" s="870" t="s">
        <v>2336</v>
      </c>
      <c r="L834" s="868" t="n">
        <v>43921</v>
      </c>
      <c r="M834" s="868" t="n">
        <v>44286</v>
      </c>
      <c r="N834" s="868" t="s">
        <v>2341</v>
      </c>
      <c r="O834" s="873" t="n">
        <v>3.78</v>
      </c>
      <c r="P834" s="870" t="s">
        <v>2347</v>
      </c>
      <c r="Q834" s="870" t="s">
        <v>2944</v>
      </c>
      <c r="R834" s="874" t="s">
        <v>2969</v>
      </c>
    </row>
    <row r="835" customFormat="false" ht="16.5" hidden="false" customHeight="true" outlineLevel="0" collapsed="false">
      <c r="A835" s="773" t="s">
        <v>2190</v>
      </c>
      <c r="B835" s="774" t="n">
        <v>43935</v>
      </c>
      <c r="D835" s="749" t="s">
        <v>187</v>
      </c>
      <c r="E835" s="749" t="s">
        <v>2970</v>
      </c>
      <c r="F835" s="749" t="s">
        <v>2971</v>
      </c>
      <c r="G835" s="776" t="s">
        <v>2136</v>
      </c>
      <c r="H835" s="776" t="n">
        <v>300000</v>
      </c>
      <c r="I835" s="777" t="n">
        <v>1</v>
      </c>
      <c r="J835" s="778" t="n">
        <f aca="false">IF(I835="","",H835/I835)</f>
        <v>300000</v>
      </c>
      <c r="K835" s="749" t="s">
        <v>2336</v>
      </c>
      <c r="L835" s="774" t="n">
        <v>43937</v>
      </c>
      <c r="M835" s="774" t="n">
        <v>44302</v>
      </c>
      <c r="N835" s="774" t="s">
        <v>466</v>
      </c>
      <c r="O835" s="779" t="n">
        <v>0.03</v>
      </c>
      <c r="P835" s="749" t="s">
        <v>2347</v>
      </c>
      <c r="Q835" s="749" t="s">
        <v>2944</v>
      </c>
      <c r="R835" s="811"/>
    </row>
    <row r="836" customFormat="false" ht="16.5" hidden="false" customHeight="true" outlineLevel="0" collapsed="false">
      <c r="A836" s="773" t="s">
        <v>2335</v>
      </c>
      <c r="B836" s="774" t="n">
        <v>43935</v>
      </c>
      <c r="D836" s="749" t="s">
        <v>103</v>
      </c>
      <c r="E836" s="749" t="s">
        <v>2836</v>
      </c>
      <c r="F836" s="749" t="s">
        <v>2684</v>
      </c>
      <c r="G836" s="776" t="s">
        <v>1267</v>
      </c>
      <c r="H836" s="776" t="n">
        <v>34724000</v>
      </c>
      <c r="I836" s="777" t="n">
        <v>107.68</v>
      </c>
      <c r="J836" s="778" t="n">
        <f aca="false">IF(I836="","",H836/I836)</f>
        <v>322473.997028232</v>
      </c>
      <c r="K836" s="749" t="s">
        <v>2336</v>
      </c>
      <c r="L836" s="774" t="n">
        <v>43935</v>
      </c>
      <c r="M836" s="774" t="n">
        <v>44300</v>
      </c>
      <c r="N836" s="774" t="s">
        <v>2341</v>
      </c>
      <c r="O836" s="779" t="n">
        <v>0.0336</v>
      </c>
      <c r="P836" s="749" t="s">
        <v>2347</v>
      </c>
      <c r="Q836" s="749" t="s">
        <v>2944</v>
      </c>
      <c r="R836" s="811"/>
    </row>
    <row r="837" customFormat="false" ht="16.5" hidden="false" customHeight="true" outlineLevel="0" collapsed="false">
      <c r="A837" s="773" t="s">
        <v>2335</v>
      </c>
      <c r="B837" s="774" t="n">
        <v>43944</v>
      </c>
      <c r="D837" s="749" t="s">
        <v>103</v>
      </c>
      <c r="E837" s="749" t="s">
        <v>2972</v>
      </c>
      <c r="F837" s="749" t="s">
        <v>2702</v>
      </c>
      <c r="G837" s="776" t="s">
        <v>1267</v>
      </c>
      <c r="H837" s="776" t="n">
        <v>120000000</v>
      </c>
      <c r="I837" s="777" t="n">
        <v>107.3</v>
      </c>
      <c r="J837" s="778" t="n">
        <f aca="false">H837/I837</f>
        <v>1118359.73904939</v>
      </c>
      <c r="K837" s="749" t="s">
        <v>2336</v>
      </c>
      <c r="L837" s="774" t="n">
        <v>43955</v>
      </c>
      <c r="M837" s="774" t="n">
        <v>44320</v>
      </c>
      <c r="N837" s="774" t="s">
        <v>2341</v>
      </c>
      <c r="O837" s="779" t="n">
        <v>0.0272</v>
      </c>
      <c r="P837" s="749" t="s">
        <v>2347</v>
      </c>
      <c r="Q837" s="749" t="s">
        <v>2944</v>
      </c>
      <c r="R837" s="811"/>
    </row>
    <row r="838" customFormat="false" ht="16.5" hidden="false" customHeight="true" outlineLevel="0" collapsed="false">
      <c r="A838" s="773" t="s">
        <v>2335</v>
      </c>
      <c r="B838" s="774" t="n">
        <v>43962</v>
      </c>
      <c r="D838" s="749" t="s">
        <v>103</v>
      </c>
      <c r="E838" s="749" t="s">
        <v>2972</v>
      </c>
      <c r="F838" s="749" t="s">
        <v>2940</v>
      </c>
      <c r="G838" s="776" t="s">
        <v>1267</v>
      </c>
      <c r="H838" s="776" t="n">
        <v>64300000</v>
      </c>
      <c r="I838" s="777" t="n">
        <v>107.35</v>
      </c>
      <c r="J838" s="776" t="n">
        <f aca="false">H838/I838</f>
        <v>598975.314392175</v>
      </c>
      <c r="K838" s="749" t="s">
        <v>2336</v>
      </c>
      <c r="L838" s="774" t="n">
        <v>43971</v>
      </c>
      <c r="M838" s="774" t="n">
        <v>44336</v>
      </c>
      <c r="N838" s="774" t="s">
        <v>2341</v>
      </c>
      <c r="O838" s="779" t="n">
        <v>0.0316</v>
      </c>
      <c r="P838" s="749" t="s">
        <v>2347</v>
      </c>
      <c r="Q838" s="749" t="s">
        <v>2944</v>
      </c>
      <c r="R838" s="811"/>
    </row>
    <row r="839" customFormat="false" ht="16.5" hidden="false" customHeight="true" outlineLevel="0" collapsed="false">
      <c r="A839" s="773" t="s">
        <v>2335</v>
      </c>
      <c r="B839" s="774" t="n">
        <v>43976</v>
      </c>
      <c r="D839" s="749" t="s">
        <v>354</v>
      </c>
      <c r="E839" s="749" t="s">
        <v>2753</v>
      </c>
      <c r="F839" s="749" t="s">
        <v>2587</v>
      </c>
      <c r="G839" s="776" t="s">
        <v>1267</v>
      </c>
      <c r="H839" s="776" t="n">
        <v>24000000</v>
      </c>
      <c r="I839" s="777" t="n">
        <v>107.72</v>
      </c>
      <c r="J839" s="776" t="n">
        <f aca="false">H839/I839</f>
        <v>222799.851466766</v>
      </c>
      <c r="K839" s="749" t="s">
        <v>2460</v>
      </c>
      <c r="L839" s="774" t="n">
        <v>43984</v>
      </c>
      <c r="M839" s="774" t="n">
        <v>44349</v>
      </c>
      <c r="N839" s="774" t="s">
        <v>2341</v>
      </c>
      <c r="O839" s="779" t="n">
        <v>0.0375</v>
      </c>
      <c r="P839" s="749" t="s">
        <v>2347</v>
      </c>
      <c r="Q839" s="749" t="s">
        <v>2944</v>
      </c>
      <c r="R839" s="811"/>
    </row>
    <row r="840" customFormat="false" ht="16.5" hidden="false" customHeight="true" outlineLevel="0" collapsed="false">
      <c r="A840" s="773" t="s">
        <v>2335</v>
      </c>
      <c r="B840" s="774" t="n">
        <v>44005</v>
      </c>
      <c r="D840" s="749" t="s">
        <v>866</v>
      </c>
      <c r="E840" s="749" t="s">
        <v>2968</v>
      </c>
      <c r="F840" s="749" t="s">
        <v>2886</v>
      </c>
      <c r="G840" s="776" t="s">
        <v>1267</v>
      </c>
      <c r="H840" s="776" t="n">
        <v>111650000</v>
      </c>
      <c r="I840" s="777" t="n">
        <v>107.15</v>
      </c>
      <c r="J840" s="778" t="n">
        <f aca="false">IF(I840="","",H840/I840)</f>
        <v>1041997.20018665</v>
      </c>
      <c r="K840" s="749" t="s">
        <v>2460</v>
      </c>
      <c r="L840" s="774" t="n">
        <v>44011</v>
      </c>
      <c r="M840" s="774" t="n">
        <v>44103</v>
      </c>
      <c r="N840" s="774" t="s">
        <v>2341</v>
      </c>
      <c r="O840" s="779" t="n">
        <v>0.0425</v>
      </c>
      <c r="P840" s="749" t="s">
        <v>2347</v>
      </c>
      <c r="Q840" s="749" t="s">
        <v>2944</v>
      </c>
      <c r="R840" s="811"/>
    </row>
    <row r="841" customFormat="false" ht="16.5" hidden="false" customHeight="true" outlineLevel="0" collapsed="false">
      <c r="A841" s="747" t="s">
        <v>2335</v>
      </c>
      <c r="B841" s="774" t="n">
        <v>44019</v>
      </c>
      <c r="D841" s="749" t="s">
        <v>1366</v>
      </c>
      <c r="E841" s="749" t="s">
        <v>2973</v>
      </c>
      <c r="F841" s="749" t="s">
        <v>2614</v>
      </c>
      <c r="G841" s="798" t="s">
        <v>1267</v>
      </c>
      <c r="H841" s="776" t="n">
        <v>40500000</v>
      </c>
      <c r="I841" s="777" t="n">
        <v>107.54</v>
      </c>
      <c r="J841" s="778" t="n">
        <f aca="false">IF(I841="","",H841/I841)</f>
        <v>376604.054305375</v>
      </c>
      <c r="K841" s="749" t="s">
        <v>2460</v>
      </c>
      <c r="L841" s="774" t="n">
        <v>44026</v>
      </c>
      <c r="M841" s="774" t="n">
        <v>44391</v>
      </c>
      <c r="N841" s="774" t="s">
        <v>2341</v>
      </c>
      <c r="O841" s="779" t="n">
        <v>0.0338</v>
      </c>
      <c r="P841" s="749" t="s">
        <v>2347</v>
      </c>
      <c r="Q841" s="749" t="s">
        <v>2944</v>
      </c>
      <c r="R841" s="811"/>
    </row>
    <row r="842" customFormat="false" ht="16.5" hidden="false" customHeight="true" outlineLevel="0" collapsed="false">
      <c r="A842" s="773" t="s">
        <v>2335</v>
      </c>
      <c r="B842" s="774" t="n">
        <v>44042</v>
      </c>
      <c r="C842" s="775" t="n">
        <v>63</v>
      </c>
      <c r="D842" s="749" t="s">
        <v>2344</v>
      </c>
      <c r="E842" s="749" t="s">
        <v>2404</v>
      </c>
      <c r="F842" s="749" t="s">
        <v>2346</v>
      </c>
      <c r="G842" s="776" t="s">
        <v>1267</v>
      </c>
      <c r="H842" s="776" t="n">
        <v>49500000</v>
      </c>
      <c r="I842" s="777" t="n">
        <v>105.2</v>
      </c>
      <c r="J842" s="776" t="n">
        <f aca="false">IF(I842="","",H842/I842)</f>
        <v>470532.319391635</v>
      </c>
      <c r="K842" s="749" t="s">
        <v>2336</v>
      </c>
      <c r="L842" s="774" t="n">
        <v>44053</v>
      </c>
      <c r="M842" s="774" t="n">
        <v>44417</v>
      </c>
      <c r="N842" s="774" t="s">
        <v>2341</v>
      </c>
      <c r="O842" s="801" t="n">
        <v>2.6</v>
      </c>
      <c r="P842" s="749" t="s">
        <v>2347</v>
      </c>
      <c r="Q842" s="749" t="s">
        <v>2944</v>
      </c>
      <c r="R842" s="811"/>
    </row>
    <row r="843" customFormat="false" ht="16.5" hidden="false" customHeight="true" outlineLevel="0" collapsed="false">
      <c r="A843" s="773" t="s">
        <v>2190</v>
      </c>
      <c r="B843" s="774" t="n">
        <v>44090</v>
      </c>
      <c r="D843" s="749" t="s">
        <v>96</v>
      </c>
      <c r="E843" s="749" t="s">
        <v>2974</v>
      </c>
      <c r="F843" s="798" t="s">
        <v>2975</v>
      </c>
      <c r="G843" s="776" t="s">
        <v>2136</v>
      </c>
      <c r="H843" s="776" t="n">
        <v>16000000</v>
      </c>
      <c r="I843" s="777" t="n">
        <v>1</v>
      </c>
      <c r="J843" s="778" t="n">
        <f aca="false">IF(I843="","",H843/I843)</f>
        <v>16000000</v>
      </c>
      <c r="K843" s="749" t="s">
        <v>2336</v>
      </c>
      <c r="L843" s="774" t="n">
        <v>44095</v>
      </c>
      <c r="M843" s="774" t="n">
        <v>44460</v>
      </c>
      <c r="N843" s="774" t="s">
        <v>2341</v>
      </c>
      <c r="O843" s="779" t="n">
        <v>0.0324</v>
      </c>
      <c r="P843" s="749" t="s">
        <v>2347</v>
      </c>
      <c r="Q843" s="749" t="s">
        <v>2944</v>
      </c>
      <c r="R843" s="811"/>
    </row>
    <row r="844" customFormat="false" ht="16.5" hidden="false" customHeight="true" outlineLevel="0" collapsed="false">
      <c r="A844" s="773" t="s">
        <v>2335</v>
      </c>
      <c r="B844" s="774" t="n">
        <v>44253</v>
      </c>
      <c r="D844" s="749" t="s">
        <v>1184</v>
      </c>
      <c r="E844" s="749" t="s">
        <v>2443</v>
      </c>
      <c r="F844" s="749" t="s">
        <v>2653</v>
      </c>
      <c r="G844" s="776" t="s">
        <v>2136</v>
      </c>
      <c r="H844" s="776" t="n">
        <v>4000000</v>
      </c>
      <c r="I844" s="777" t="n">
        <v>1</v>
      </c>
      <c r="J844" s="778" t="n">
        <f aca="false">IF(I844="","",H844/I844)</f>
        <v>4000000</v>
      </c>
      <c r="K844" s="749" t="s">
        <v>2336</v>
      </c>
      <c r="L844" s="774" t="n">
        <v>44267</v>
      </c>
      <c r="M844" s="774" t="n">
        <v>44632</v>
      </c>
      <c r="N844" s="774" t="s">
        <v>2341</v>
      </c>
      <c r="O844" s="779" t="n">
        <v>0.0271</v>
      </c>
      <c r="P844" s="749" t="s">
        <v>2347</v>
      </c>
      <c r="Q844" s="749" t="s">
        <v>2944</v>
      </c>
      <c r="R844" s="811"/>
    </row>
    <row r="845" customFormat="false" ht="16.5" hidden="false" customHeight="true" outlineLevel="0" collapsed="false">
      <c r="A845" s="773" t="s">
        <v>2335</v>
      </c>
      <c r="B845" s="774" t="n">
        <v>44253</v>
      </c>
      <c r="D845" s="749" t="s">
        <v>1184</v>
      </c>
      <c r="E845" s="749" t="s">
        <v>2443</v>
      </c>
      <c r="F845" s="749" t="s">
        <v>2653</v>
      </c>
      <c r="G845" s="776" t="s">
        <v>2136</v>
      </c>
      <c r="H845" s="776" t="n">
        <v>1000000</v>
      </c>
      <c r="I845" s="777" t="n">
        <v>1</v>
      </c>
      <c r="J845" s="778" t="n">
        <f aca="false">IF(I845="","",H845/I845)</f>
        <v>1000000</v>
      </c>
      <c r="K845" s="749" t="s">
        <v>2336</v>
      </c>
      <c r="L845" s="774" t="n">
        <v>44267</v>
      </c>
      <c r="M845" s="774" t="n">
        <v>44632</v>
      </c>
      <c r="N845" s="774" t="s">
        <v>2341</v>
      </c>
      <c r="O845" s="779" t="n">
        <v>0.0271</v>
      </c>
      <c r="P845" s="749" t="s">
        <v>2347</v>
      </c>
      <c r="Q845" s="749" t="s">
        <v>2944</v>
      </c>
      <c r="R845" s="811"/>
    </row>
    <row r="846" customFormat="false" ht="16.5" hidden="false" customHeight="true" outlineLevel="0" collapsed="false">
      <c r="A846" s="773" t="s">
        <v>2335</v>
      </c>
      <c r="B846" s="774" t="n">
        <v>44273</v>
      </c>
      <c r="D846" s="749" t="s">
        <v>597</v>
      </c>
      <c r="E846" s="749" t="s">
        <v>2976</v>
      </c>
      <c r="F846" s="749" t="s">
        <v>2884</v>
      </c>
      <c r="G846" s="776" t="s">
        <v>1267</v>
      </c>
      <c r="H846" s="776" t="n">
        <v>91700000</v>
      </c>
      <c r="I846" s="777" t="n">
        <v>108.9</v>
      </c>
      <c r="J846" s="778" t="n">
        <f aca="false">IF(I846="","",H846/I846)</f>
        <v>842056.932966024</v>
      </c>
      <c r="K846" s="749" t="s">
        <v>2336</v>
      </c>
      <c r="L846" s="774" t="n">
        <v>44277</v>
      </c>
      <c r="M846" s="774" t="n">
        <v>44642</v>
      </c>
      <c r="N846" s="774" t="s">
        <v>2341</v>
      </c>
      <c r="O846" s="779" t="n">
        <v>0.0254</v>
      </c>
      <c r="P846" s="749" t="s">
        <v>2347</v>
      </c>
      <c r="Q846" s="749" t="s">
        <v>2944</v>
      </c>
      <c r="R846" s="811"/>
    </row>
    <row r="847" customFormat="false" ht="16.5" hidden="false" customHeight="true" outlineLevel="0" collapsed="false">
      <c r="A847" s="773" t="s">
        <v>2335</v>
      </c>
      <c r="B847" s="774" t="n">
        <v>44274</v>
      </c>
      <c r="D847" s="749" t="s">
        <v>597</v>
      </c>
      <c r="E847" s="749" t="s">
        <v>2908</v>
      </c>
      <c r="F847" s="749" t="s">
        <v>2853</v>
      </c>
      <c r="G847" s="776" t="s">
        <v>1267</v>
      </c>
      <c r="H847" s="776" t="n">
        <v>186565000</v>
      </c>
      <c r="I847" s="777" t="n">
        <v>108.6</v>
      </c>
      <c r="J847" s="778" t="n">
        <f aca="false">IF(I847="","",H847/I847)</f>
        <v>1717909.76058932</v>
      </c>
      <c r="K847" s="749" t="s">
        <v>2460</v>
      </c>
      <c r="L847" s="774" t="n">
        <v>44280</v>
      </c>
      <c r="M847" s="774" t="n">
        <v>44645</v>
      </c>
      <c r="N847" s="774" t="s">
        <v>2341</v>
      </c>
      <c r="O847" s="779" t="n">
        <v>0.0214</v>
      </c>
      <c r="P847" s="749" t="s">
        <v>2347</v>
      </c>
      <c r="Q847" s="749" t="s">
        <v>2944</v>
      </c>
      <c r="R847" s="811"/>
    </row>
    <row r="848" customFormat="false" ht="16.5" hidden="false" customHeight="true" outlineLevel="0" collapsed="false">
      <c r="A848" s="773" t="s">
        <v>2335</v>
      </c>
      <c r="B848" s="774" t="n">
        <v>44285</v>
      </c>
      <c r="D848" s="749" t="s">
        <v>597</v>
      </c>
      <c r="E848" s="749" t="s">
        <v>2976</v>
      </c>
      <c r="F848" s="749" t="s">
        <v>2590</v>
      </c>
      <c r="G848" s="776" t="s">
        <v>1267</v>
      </c>
      <c r="H848" s="776" t="n">
        <v>20000000</v>
      </c>
      <c r="I848" s="777" t="n">
        <v>110.2</v>
      </c>
      <c r="J848" s="778" t="n">
        <f aca="false">IF(I848="","",H848/I848)</f>
        <v>181488.203266788</v>
      </c>
      <c r="K848" s="749" t="s">
        <v>2460</v>
      </c>
      <c r="L848" s="774" t="n">
        <v>44299</v>
      </c>
      <c r="M848" s="774" t="n">
        <v>44664</v>
      </c>
      <c r="N848" s="774" t="s">
        <v>2341</v>
      </c>
      <c r="O848" s="779" t="n">
        <v>0.0194</v>
      </c>
      <c r="P848" s="749" t="s">
        <v>2347</v>
      </c>
      <c r="Q848" s="749" t="s">
        <v>2944</v>
      </c>
      <c r="R848" s="811"/>
    </row>
    <row r="849" customFormat="false" ht="16.5" hidden="false" customHeight="true" outlineLevel="0" collapsed="false">
      <c r="A849" s="773" t="s">
        <v>2335</v>
      </c>
      <c r="B849" s="774" t="n">
        <v>44285</v>
      </c>
      <c r="D849" s="749" t="s">
        <v>597</v>
      </c>
      <c r="E849" s="749" t="s">
        <v>2976</v>
      </c>
      <c r="F849" s="749" t="s">
        <v>2590</v>
      </c>
      <c r="G849" s="776" t="s">
        <v>1267</v>
      </c>
      <c r="H849" s="776" t="n">
        <v>19000000</v>
      </c>
      <c r="I849" s="777" t="n">
        <v>110.2</v>
      </c>
      <c r="J849" s="778" t="n">
        <f aca="false">IF(I849="","",H849/I849)</f>
        <v>172413.793103448</v>
      </c>
      <c r="K849" s="749" t="s">
        <v>2460</v>
      </c>
      <c r="L849" s="774" t="n">
        <v>44289</v>
      </c>
      <c r="M849" s="774" t="n">
        <v>44654</v>
      </c>
      <c r="N849" s="774" t="s">
        <v>2341</v>
      </c>
      <c r="O849" s="779" t="n">
        <v>0.0194</v>
      </c>
      <c r="P849" s="749" t="s">
        <v>2347</v>
      </c>
      <c r="Q849" s="749" t="s">
        <v>2944</v>
      </c>
      <c r="R849" s="811"/>
    </row>
    <row r="850" customFormat="false" ht="16.5" hidden="false" customHeight="true" outlineLevel="0" collapsed="false">
      <c r="A850" s="773" t="s">
        <v>2335</v>
      </c>
      <c r="B850" s="774" t="n">
        <v>44293</v>
      </c>
      <c r="D850" s="749" t="s">
        <v>103</v>
      </c>
      <c r="E850" s="749" t="s">
        <v>2977</v>
      </c>
      <c r="F850" s="749" t="s">
        <v>2684</v>
      </c>
      <c r="G850" s="776" t="s">
        <v>1267</v>
      </c>
      <c r="H850" s="776" t="n">
        <v>34724000</v>
      </c>
      <c r="I850" s="777" t="n">
        <v>108.82</v>
      </c>
      <c r="J850" s="778" t="n">
        <f aca="false">IF(I850="","",H850/I850)</f>
        <v>319095.754456901</v>
      </c>
      <c r="K850" s="749" t="s">
        <v>2336</v>
      </c>
      <c r="L850" s="774" t="n">
        <v>44300</v>
      </c>
      <c r="M850" s="774" t="n">
        <v>44665</v>
      </c>
      <c r="N850" s="774" t="s">
        <v>2341</v>
      </c>
      <c r="O850" s="779" t="n">
        <v>0.0339</v>
      </c>
      <c r="P850" s="749" t="s">
        <v>2978</v>
      </c>
      <c r="Q850" s="749" t="s">
        <v>2944</v>
      </c>
      <c r="R850" s="811"/>
    </row>
    <row r="851" customFormat="false" ht="16.5" hidden="false" customHeight="true" outlineLevel="0" collapsed="false">
      <c r="A851" s="773" t="s">
        <v>2335</v>
      </c>
      <c r="B851" s="774" t="n">
        <v>44313</v>
      </c>
      <c r="D851" s="749" t="s">
        <v>103</v>
      </c>
      <c r="E851" s="749" t="s">
        <v>2979</v>
      </c>
      <c r="F851" s="749" t="s">
        <v>2702</v>
      </c>
      <c r="G851" s="776" t="s">
        <v>1267</v>
      </c>
      <c r="H851" s="776" t="n">
        <v>120000000</v>
      </c>
      <c r="I851" s="777" t="n">
        <v>109.4</v>
      </c>
      <c r="J851" s="778" t="n">
        <f aca="false">H851/I851</f>
        <v>1096892.13893967</v>
      </c>
      <c r="K851" s="749" t="s">
        <v>2336</v>
      </c>
      <c r="L851" s="774" t="n">
        <v>44319</v>
      </c>
      <c r="M851" s="774" t="n">
        <v>44684</v>
      </c>
      <c r="N851" s="774" t="s">
        <v>2341</v>
      </c>
      <c r="O851" s="779" t="n">
        <v>0.0271</v>
      </c>
      <c r="P851" s="749" t="s">
        <v>2347</v>
      </c>
      <c r="Q851" s="749" t="s">
        <v>2944</v>
      </c>
      <c r="R851" s="811"/>
    </row>
    <row r="852" customFormat="false" ht="16.5" hidden="false" customHeight="true" outlineLevel="0" collapsed="false">
      <c r="A852" s="773" t="s">
        <v>2335</v>
      </c>
      <c r="B852" s="774" t="n">
        <v>44326</v>
      </c>
      <c r="D852" s="749" t="s">
        <v>103</v>
      </c>
      <c r="E852" s="749" t="s">
        <v>2972</v>
      </c>
      <c r="F852" s="749" t="s">
        <v>2940</v>
      </c>
      <c r="G852" s="776" t="s">
        <v>1267</v>
      </c>
      <c r="H852" s="776" t="n">
        <v>64300000</v>
      </c>
      <c r="I852" s="777" t="n">
        <v>109.35</v>
      </c>
      <c r="J852" s="776" t="n">
        <f aca="false">H852/I852</f>
        <v>588020.118884316</v>
      </c>
      <c r="K852" s="749" t="s">
        <v>2336</v>
      </c>
      <c r="L852" s="774" t="n">
        <v>44336</v>
      </c>
      <c r="M852" s="774" t="n">
        <v>44701</v>
      </c>
      <c r="N852" s="774" t="s">
        <v>2341</v>
      </c>
      <c r="O852" s="779" t="n">
        <v>0.0315</v>
      </c>
      <c r="P852" s="749" t="s">
        <v>2347</v>
      </c>
      <c r="Q852" s="749" t="s">
        <v>2944</v>
      </c>
      <c r="R852" s="811"/>
    </row>
    <row r="853" customFormat="false" ht="16.5" hidden="false" customHeight="true" outlineLevel="0" collapsed="false">
      <c r="A853" s="747" t="s">
        <v>2335</v>
      </c>
      <c r="B853" s="774" t="n">
        <v>44382</v>
      </c>
      <c r="D853" s="749" t="s">
        <v>1366</v>
      </c>
      <c r="E853" s="749" t="s">
        <v>2980</v>
      </c>
      <c r="F853" s="749" t="s">
        <v>2614</v>
      </c>
      <c r="G853" s="798" t="s">
        <v>1267</v>
      </c>
      <c r="H853" s="776" t="n">
        <v>40500000</v>
      </c>
      <c r="I853" s="777" t="n">
        <v>110.85</v>
      </c>
      <c r="J853" s="778" t="n">
        <f aca="false">IF(I853="","",H853/I853)</f>
        <v>365358.592692828</v>
      </c>
      <c r="K853" s="749" t="s">
        <v>2460</v>
      </c>
      <c r="L853" s="774" t="n">
        <v>44391</v>
      </c>
      <c r="M853" s="774" t="n">
        <v>44756</v>
      </c>
      <c r="N853" s="774" t="s">
        <v>2341</v>
      </c>
      <c r="O853" s="779" t="n">
        <v>0.0397</v>
      </c>
      <c r="P853" s="749" t="s">
        <v>2347</v>
      </c>
      <c r="Q853" s="749" t="s">
        <v>2944</v>
      </c>
      <c r="R853" s="811"/>
    </row>
    <row r="854" customFormat="false" ht="16.5" hidden="false" customHeight="true" outlineLevel="0" collapsed="false">
      <c r="A854" s="773" t="s">
        <v>2335</v>
      </c>
      <c r="B854" s="774" t="n">
        <v>44411</v>
      </c>
      <c r="D854" s="749" t="s">
        <v>2344</v>
      </c>
      <c r="E854" s="749" t="s">
        <v>2981</v>
      </c>
      <c r="F854" s="749" t="s">
        <v>2346</v>
      </c>
      <c r="G854" s="776" t="s">
        <v>1267</v>
      </c>
      <c r="H854" s="776" t="n">
        <v>49500000</v>
      </c>
      <c r="I854" s="777" t="n">
        <v>109.7</v>
      </c>
      <c r="J854" s="776" t="n">
        <f aca="false">IF(I854="","",H854/I854)</f>
        <v>451230.628988149</v>
      </c>
      <c r="K854" s="749" t="s">
        <v>2336</v>
      </c>
      <c r="L854" s="774" t="n">
        <v>44417</v>
      </c>
      <c r="M854" s="774" t="n">
        <v>44782</v>
      </c>
      <c r="N854" s="774" t="s">
        <v>2341</v>
      </c>
      <c r="O854" s="779" t="n">
        <v>0.0231</v>
      </c>
      <c r="P854" s="749" t="s">
        <v>2347</v>
      </c>
      <c r="Q854" s="749" t="s">
        <v>2348</v>
      </c>
      <c r="R854" s="811"/>
    </row>
    <row r="855" customFormat="false" ht="16.5" hidden="false" customHeight="true" outlineLevel="0" collapsed="false">
      <c r="A855" s="747" t="s">
        <v>2335</v>
      </c>
      <c r="B855" s="774" t="n">
        <v>44545</v>
      </c>
      <c r="D855" s="749" t="s">
        <v>103</v>
      </c>
      <c r="E855" s="749" t="s">
        <v>2855</v>
      </c>
      <c r="F855" s="798" t="s">
        <v>2982</v>
      </c>
      <c r="G855" s="798" t="s">
        <v>2136</v>
      </c>
      <c r="H855" s="776" t="n">
        <v>40000000</v>
      </c>
      <c r="I855" s="777" t="n">
        <v>1</v>
      </c>
      <c r="J855" s="778" t="n">
        <f aca="false">IF(I855="","",H855/I855)</f>
        <v>40000000</v>
      </c>
      <c r="K855" s="749" t="s">
        <v>2336</v>
      </c>
      <c r="L855" s="774" t="n">
        <v>44554</v>
      </c>
      <c r="M855" s="774" t="n">
        <v>45407</v>
      </c>
      <c r="N855" s="774" t="s">
        <v>2341</v>
      </c>
      <c r="O855" s="779" t="n">
        <v>0.0228</v>
      </c>
      <c r="P855" s="749" t="s">
        <v>2347</v>
      </c>
      <c r="Q855" s="749" t="s">
        <v>2348</v>
      </c>
      <c r="R855" s="811"/>
    </row>
    <row r="856" customFormat="false" ht="16.5" hidden="false" customHeight="true" outlineLevel="0" collapsed="false">
      <c r="A856" s="773" t="s">
        <v>2335</v>
      </c>
      <c r="B856" s="774" t="n">
        <v>44616</v>
      </c>
      <c r="D856" s="749" t="s">
        <v>1184</v>
      </c>
      <c r="E856" s="749" t="s">
        <v>2443</v>
      </c>
      <c r="F856" s="749" t="s">
        <v>2653</v>
      </c>
      <c r="G856" s="776" t="s">
        <v>2136</v>
      </c>
      <c r="H856" s="776" t="n">
        <v>4000000</v>
      </c>
      <c r="I856" s="777" t="n">
        <v>1</v>
      </c>
      <c r="J856" s="778" t="n">
        <f aca="false">IF(I856="","",H856/I856)</f>
        <v>4000000</v>
      </c>
      <c r="K856" s="749" t="s">
        <v>2336</v>
      </c>
      <c r="L856" s="774" t="n">
        <v>44634</v>
      </c>
      <c r="M856" s="774" t="n">
        <v>44997</v>
      </c>
      <c r="N856" s="774" t="s">
        <v>2341</v>
      </c>
      <c r="O856" s="779" t="n">
        <v>0.0282</v>
      </c>
      <c r="P856" s="749" t="s">
        <v>2347</v>
      </c>
      <c r="Q856" s="749" t="s">
        <v>2348</v>
      </c>
      <c r="R856" s="811"/>
    </row>
    <row r="857" customFormat="false" ht="16.5" hidden="false" customHeight="true" outlineLevel="0" collapsed="false">
      <c r="A857" s="773" t="s">
        <v>2335</v>
      </c>
      <c r="B857" s="774" t="n">
        <v>44616</v>
      </c>
      <c r="D857" s="749" t="s">
        <v>1184</v>
      </c>
      <c r="E857" s="749" t="s">
        <v>2443</v>
      </c>
      <c r="F857" s="749" t="s">
        <v>2653</v>
      </c>
      <c r="G857" s="776" t="s">
        <v>2136</v>
      </c>
      <c r="H857" s="776" t="n">
        <v>1000000</v>
      </c>
      <c r="I857" s="777" t="n">
        <v>1</v>
      </c>
      <c r="J857" s="778" t="n">
        <f aca="false">IF(I857="","",H857/I857)</f>
        <v>1000000</v>
      </c>
      <c r="K857" s="749" t="s">
        <v>2336</v>
      </c>
      <c r="L857" s="774" t="n">
        <v>44634</v>
      </c>
      <c r="M857" s="774" t="n">
        <v>44997</v>
      </c>
      <c r="N857" s="774" t="s">
        <v>2341</v>
      </c>
      <c r="O857" s="779" t="n">
        <v>0.0282</v>
      </c>
      <c r="P857" s="749" t="s">
        <v>2347</v>
      </c>
      <c r="Q857" s="749" t="s">
        <v>2348</v>
      </c>
      <c r="R857" s="811"/>
    </row>
    <row r="858" s="875" customFormat="true" ht="16.5" hidden="false" customHeight="true" outlineLevel="0" collapsed="false">
      <c r="A858" s="876" t="s">
        <v>2190</v>
      </c>
      <c r="B858" s="868" t="n">
        <v>44693</v>
      </c>
      <c r="C858" s="869"/>
      <c r="D858" s="870" t="s">
        <v>103</v>
      </c>
      <c r="E858" s="870" t="s">
        <v>2855</v>
      </c>
      <c r="F858" s="870" t="s">
        <v>2983</v>
      </c>
      <c r="G858" s="877" t="s">
        <v>2136</v>
      </c>
      <c r="H858" s="871" t="n">
        <v>3000000</v>
      </c>
      <c r="I858" s="872" t="n">
        <v>1</v>
      </c>
      <c r="J858" s="871" t="n">
        <f aca="false">IF(I858="","",H858/I858)</f>
        <v>3000000</v>
      </c>
      <c r="K858" s="870" t="s">
        <v>2336</v>
      </c>
      <c r="L858" s="868" t="n">
        <v>44697</v>
      </c>
      <c r="M858" s="868" t="n">
        <v>45062</v>
      </c>
      <c r="N858" s="868" t="s">
        <v>2341</v>
      </c>
      <c r="O858" s="878" t="n">
        <v>0.035</v>
      </c>
      <c r="P858" s="870" t="s">
        <v>2347</v>
      </c>
      <c r="Q858" s="870" t="s">
        <v>2348</v>
      </c>
      <c r="R858" s="874" t="s">
        <v>2969</v>
      </c>
    </row>
    <row r="859" customFormat="false" ht="16.5" hidden="false" customHeight="true" outlineLevel="0" collapsed="false">
      <c r="A859" s="773" t="s">
        <v>2335</v>
      </c>
      <c r="B859" s="774" t="n">
        <v>44699</v>
      </c>
      <c r="D859" s="749" t="s">
        <v>103</v>
      </c>
      <c r="E859" s="749" t="s">
        <v>2984</v>
      </c>
      <c r="F859" s="749" t="s">
        <v>2940</v>
      </c>
      <c r="G859" s="776" t="s">
        <v>1267</v>
      </c>
      <c r="H859" s="776" t="n">
        <v>64300000</v>
      </c>
      <c r="I859" s="777" t="n">
        <v>128.1</v>
      </c>
      <c r="J859" s="776" t="n">
        <f aca="false">H859/I859</f>
        <v>501951.600312256</v>
      </c>
      <c r="K859" s="749" t="s">
        <v>2336</v>
      </c>
      <c r="L859" s="774" t="n">
        <v>44701</v>
      </c>
      <c r="M859" s="774" t="n">
        <v>45066</v>
      </c>
      <c r="N859" s="774" t="s">
        <v>2341</v>
      </c>
      <c r="O859" s="779" t="n">
        <v>0.0314</v>
      </c>
      <c r="P859" s="749" t="s">
        <v>2347</v>
      </c>
      <c r="Q859" s="749" t="s">
        <v>2348</v>
      </c>
      <c r="R859" s="811"/>
    </row>
    <row r="860" customFormat="false" ht="16.5" hidden="false" customHeight="true" outlineLevel="0" collapsed="false">
      <c r="A860" s="747" t="s">
        <v>2190</v>
      </c>
      <c r="B860" s="774" t="n">
        <v>44728</v>
      </c>
      <c r="D860" s="749" t="s">
        <v>2985</v>
      </c>
      <c r="E860" s="749" t="s">
        <v>2986</v>
      </c>
      <c r="F860" s="749" t="s">
        <v>2987</v>
      </c>
      <c r="G860" s="798" t="s">
        <v>2136</v>
      </c>
      <c r="H860" s="776" t="n">
        <v>1060000</v>
      </c>
      <c r="I860" s="777" t="n">
        <v>1</v>
      </c>
      <c r="J860" s="778" t="n">
        <f aca="false">IF(I860="","",H860/I860)</f>
        <v>1060000</v>
      </c>
      <c r="K860" s="749" t="s">
        <v>2336</v>
      </c>
      <c r="L860" s="774" t="n">
        <v>44732</v>
      </c>
      <c r="M860" s="774" t="n">
        <v>44915</v>
      </c>
      <c r="N860" s="774" t="s">
        <v>2341</v>
      </c>
      <c r="O860" s="779" t="n">
        <v>0.0361</v>
      </c>
      <c r="P860" s="749" t="s">
        <v>2347</v>
      </c>
      <c r="Q860" s="749" t="s">
        <v>2348</v>
      </c>
      <c r="R860" s="811"/>
    </row>
    <row r="861" customFormat="false" ht="16.5" hidden="false" customHeight="true" outlineLevel="0" collapsed="false">
      <c r="A861" s="747" t="s">
        <v>2335</v>
      </c>
      <c r="B861" s="774" t="n">
        <v>44753</v>
      </c>
      <c r="D861" s="749" t="s">
        <v>1366</v>
      </c>
      <c r="E861" s="749" t="s">
        <v>2709</v>
      </c>
      <c r="F861" s="749" t="s">
        <v>2614</v>
      </c>
      <c r="G861" s="798" t="s">
        <v>1267</v>
      </c>
      <c r="H861" s="776" t="n">
        <v>40500000</v>
      </c>
      <c r="I861" s="777" t="n">
        <v>137.08</v>
      </c>
      <c r="J861" s="778" t="n">
        <f aca="false">IF(I861="","",H861/I861)</f>
        <v>295447.913627079</v>
      </c>
      <c r="K861" s="749" t="s">
        <v>2460</v>
      </c>
      <c r="L861" s="774" t="n">
        <v>44756</v>
      </c>
      <c r="M861" s="774" t="n">
        <v>45121</v>
      </c>
      <c r="N861" s="774" t="s">
        <v>2341</v>
      </c>
      <c r="O861" s="779" t="n">
        <v>0.0391</v>
      </c>
      <c r="P861" s="749" t="s">
        <v>2347</v>
      </c>
      <c r="Q861" s="749" t="s">
        <v>2348</v>
      </c>
      <c r="R861" s="811"/>
    </row>
    <row r="862" customFormat="false" ht="16.5" hidden="false" customHeight="true" outlineLevel="0" collapsed="false">
      <c r="A862" s="747" t="s">
        <v>2190</v>
      </c>
      <c r="B862" s="774" t="n">
        <v>44764</v>
      </c>
      <c r="D862" s="749" t="s">
        <v>1184</v>
      </c>
      <c r="E862" s="749" t="s">
        <v>2443</v>
      </c>
      <c r="F862" s="749" t="s">
        <v>2653</v>
      </c>
      <c r="G862" s="798" t="s">
        <v>2136</v>
      </c>
      <c r="H862" s="776" t="n">
        <v>2100000</v>
      </c>
      <c r="I862" s="777" t="n">
        <v>1</v>
      </c>
      <c r="J862" s="778" t="n">
        <f aca="false">IF(I862="","",H862/I862)</f>
        <v>2100000</v>
      </c>
      <c r="K862" s="749" t="s">
        <v>2336</v>
      </c>
      <c r="L862" s="774" t="n">
        <v>44783</v>
      </c>
      <c r="M862" s="774" t="n">
        <v>45154</v>
      </c>
      <c r="N862" s="774" t="s">
        <v>2341</v>
      </c>
      <c r="O862" s="779" t="n">
        <v>0.0494</v>
      </c>
      <c r="P862" s="749" t="s">
        <v>2347</v>
      </c>
      <c r="Q862" s="749" t="s">
        <v>2348</v>
      </c>
      <c r="R862" s="811"/>
    </row>
    <row r="863" customFormat="false" ht="16.5" hidden="false" customHeight="true" outlineLevel="0" collapsed="false">
      <c r="A863" s="747" t="s">
        <v>2335</v>
      </c>
      <c r="B863" s="774" t="n">
        <v>44768</v>
      </c>
      <c r="D863" s="749" t="s">
        <v>2344</v>
      </c>
      <c r="E863" s="749" t="s">
        <v>2345</v>
      </c>
      <c r="F863" s="749" t="s">
        <v>2346</v>
      </c>
      <c r="G863" s="776" t="s">
        <v>1267</v>
      </c>
      <c r="H863" s="776" t="n">
        <v>49500000</v>
      </c>
      <c r="I863" s="777" t="n">
        <v>133.67</v>
      </c>
      <c r="J863" s="776" t="n">
        <f aca="false">IF(I863="","",H863/I863)</f>
        <v>370314.954739283</v>
      </c>
      <c r="K863" s="749" t="s">
        <v>2336</v>
      </c>
      <c r="L863" s="774" t="n">
        <v>44782</v>
      </c>
      <c r="M863" s="774" t="n">
        <v>45147</v>
      </c>
      <c r="N863" s="774" t="s">
        <v>2341</v>
      </c>
      <c r="O863" s="779" t="n">
        <v>0.0229</v>
      </c>
      <c r="P863" s="749" t="s">
        <v>2347</v>
      </c>
      <c r="Q863" s="749" t="s">
        <v>2348</v>
      </c>
      <c r="R863" s="811"/>
    </row>
    <row r="864" customFormat="false" ht="16.5" hidden="false" customHeight="true" outlineLevel="0" collapsed="false">
      <c r="A864" s="747" t="s">
        <v>2190</v>
      </c>
      <c r="B864" s="774" t="n">
        <v>44789</v>
      </c>
      <c r="D864" s="749" t="s">
        <v>187</v>
      </c>
      <c r="E864" s="749" t="s">
        <v>2988</v>
      </c>
      <c r="F864" s="749" t="s">
        <v>2971</v>
      </c>
      <c r="G864" s="798" t="s">
        <v>2136</v>
      </c>
      <c r="H864" s="776" t="n">
        <v>200000</v>
      </c>
      <c r="I864" s="777" t="n">
        <v>1</v>
      </c>
      <c r="J864" s="776" t="n">
        <f aca="false">IF(I864="","",H864/I864)</f>
        <v>200000</v>
      </c>
      <c r="K864" s="749" t="s">
        <v>2336</v>
      </c>
      <c r="L864" s="774" t="n">
        <v>44790</v>
      </c>
      <c r="M864" s="774" t="n">
        <v>45155</v>
      </c>
      <c r="N864" s="774" t="s">
        <v>2341</v>
      </c>
      <c r="O864" s="779" t="n">
        <v>0.0431</v>
      </c>
      <c r="P864" s="749" t="s">
        <v>2989</v>
      </c>
      <c r="Q864" s="749" t="s">
        <v>2348</v>
      </c>
      <c r="R864" s="811"/>
    </row>
    <row r="865" customFormat="false" ht="16.5" hidden="false" customHeight="true" outlineLevel="0" collapsed="false">
      <c r="A865" s="747" t="s">
        <v>2190</v>
      </c>
      <c r="B865" s="774" t="n">
        <v>44861</v>
      </c>
      <c r="D865" s="749" t="s">
        <v>1991</v>
      </c>
      <c r="E865" s="749" t="s">
        <v>2990</v>
      </c>
      <c r="F865" s="749" t="s">
        <v>2043</v>
      </c>
      <c r="G865" s="798" t="s">
        <v>2136</v>
      </c>
      <c r="H865" s="776" t="n">
        <v>50000000</v>
      </c>
      <c r="I865" s="777" t="n">
        <v>1</v>
      </c>
      <c r="J865" s="778" t="n">
        <f aca="false">IF(I865="","",H865/I865)</f>
        <v>50000000</v>
      </c>
      <c r="K865" s="749" t="s">
        <v>2336</v>
      </c>
      <c r="L865" s="774" t="n">
        <v>44865</v>
      </c>
      <c r="M865" s="774" t="n">
        <v>45046</v>
      </c>
      <c r="N865" s="774" t="s">
        <v>2341</v>
      </c>
      <c r="O865" s="779" t="n">
        <v>0.0562</v>
      </c>
      <c r="P865" s="749" t="s">
        <v>2347</v>
      </c>
      <c r="Q865" s="749" t="s">
        <v>2348</v>
      </c>
      <c r="R865" s="780" t="s">
        <v>2991</v>
      </c>
    </row>
    <row r="866" customFormat="false" ht="16.5" hidden="false" customHeight="true" outlineLevel="0" collapsed="false">
      <c r="A866" s="747" t="s">
        <v>2335</v>
      </c>
      <c r="B866" s="774" t="n">
        <v>44956</v>
      </c>
      <c r="D866" s="749" t="s">
        <v>1184</v>
      </c>
      <c r="E866" s="749" t="s">
        <v>2992</v>
      </c>
      <c r="F866" s="749" t="s">
        <v>2632</v>
      </c>
      <c r="G866" s="798" t="s">
        <v>1267</v>
      </c>
      <c r="H866" s="776" t="n">
        <v>28000000</v>
      </c>
      <c r="I866" s="777" t="n">
        <v>130.21</v>
      </c>
      <c r="J866" s="778" t="n">
        <f aca="false">IF(I866="","",H866/I866)</f>
        <v>215037.247523232</v>
      </c>
      <c r="K866" s="749" t="s">
        <v>2460</v>
      </c>
      <c r="L866" s="774" t="n">
        <v>44956</v>
      </c>
      <c r="M866" s="774" t="n">
        <v>45321</v>
      </c>
      <c r="N866" s="774" t="s">
        <v>2341</v>
      </c>
      <c r="O866" s="779" t="n">
        <v>0.0256</v>
      </c>
      <c r="P866" s="749" t="s">
        <v>2347</v>
      </c>
      <c r="Q866" s="749" t="s">
        <v>2348</v>
      </c>
      <c r="R866" s="811"/>
    </row>
    <row r="867" customFormat="false" ht="16.5" hidden="false" customHeight="true" outlineLevel="0" collapsed="false">
      <c r="A867" s="773" t="s">
        <v>2335</v>
      </c>
      <c r="B867" s="774" t="n">
        <v>44967</v>
      </c>
      <c r="D867" s="749" t="s">
        <v>1184</v>
      </c>
      <c r="E867" s="749" t="s">
        <v>2993</v>
      </c>
      <c r="F867" s="749" t="s">
        <v>2653</v>
      </c>
      <c r="G867" s="776" t="s">
        <v>2136</v>
      </c>
      <c r="H867" s="776" t="n">
        <v>4000000</v>
      </c>
      <c r="I867" s="777" t="n">
        <v>1</v>
      </c>
      <c r="J867" s="778" t="n">
        <f aca="false">IF(I867="","",H867/I867)</f>
        <v>4000000</v>
      </c>
      <c r="K867" s="749" t="s">
        <v>2336</v>
      </c>
      <c r="L867" s="774" t="n">
        <v>44997</v>
      </c>
      <c r="M867" s="774" t="n">
        <v>45363</v>
      </c>
      <c r="N867" s="774" t="s">
        <v>2341</v>
      </c>
      <c r="O867" s="779" t="n">
        <v>0.0639</v>
      </c>
      <c r="P867" s="749" t="s">
        <v>2347</v>
      </c>
      <c r="Q867" s="749" t="s">
        <v>2348</v>
      </c>
      <c r="R867" s="811"/>
    </row>
    <row r="868" customFormat="false" ht="16.5" hidden="false" customHeight="true" outlineLevel="0" collapsed="false">
      <c r="A868" s="773" t="s">
        <v>2335</v>
      </c>
      <c r="B868" s="774" t="n">
        <v>44967</v>
      </c>
      <c r="D868" s="749" t="s">
        <v>1184</v>
      </c>
      <c r="E868" s="749" t="s">
        <v>2993</v>
      </c>
      <c r="F868" s="749" t="s">
        <v>2653</v>
      </c>
      <c r="G868" s="776" t="s">
        <v>2136</v>
      </c>
      <c r="H868" s="776" t="n">
        <v>1000000</v>
      </c>
      <c r="I868" s="777" t="n">
        <v>1</v>
      </c>
      <c r="J868" s="778" t="n">
        <f aca="false">IF(I868="","",H868/I868)</f>
        <v>1000000</v>
      </c>
      <c r="K868" s="749" t="s">
        <v>2336</v>
      </c>
      <c r="L868" s="774" t="n">
        <v>44997</v>
      </c>
      <c r="M868" s="774" t="n">
        <v>45363</v>
      </c>
      <c r="N868" s="774" t="s">
        <v>2341</v>
      </c>
      <c r="O868" s="779" t="n">
        <v>0.0639</v>
      </c>
      <c r="P868" s="749" t="s">
        <v>2347</v>
      </c>
      <c r="Q868" s="749" t="s">
        <v>2348</v>
      </c>
      <c r="R868" s="811"/>
    </row>
    <row r="869" customFormat="false" ht="16.5" hidden="false" customHeight="true" outlineLevel="0" collapsed="false">
      <c r="A869" s="773" t="s">
        <v>2335</v>
      </c>
      <c r="B869" s="774" t="n">
        <v>45007</v>
      </c>
      <c r="D869" s="749" t="s">
        <v>597</v>
      </c>
      <c r="E869" s="749" t="s">
        <v>2994</v>
      </c>
      <c r="F869" s="749" t="s">
        <v>2853</v>
      </c>
      <c r="G869" s="776" t="s">
        <v>1267</v>
      </c>
      <c r="H869" s="776" t="n">
        <v>186565000</v>
      </c>
      <c r="I869" s="777" t="n">
        <v>130.7</v>
      </c>
      <c r="J869" s="778" t="n">
        <f aca="false">IF(I869="","",H869/I869)</f>
        <v>1427429.22723795</v>
      </c>
      <c r="K869" s="749" t="s">
        <v>2460</v>
      </c>
      <c r="L869" s="774" t="n">
        <v>45010</v>
      </c>
      <c r="M869" s="774" t="n">
        <v>45376</v>
      </c>
      <c r="N869" s="774" t="s">
        <v>2341</v>
      </c>
      <c r="O869" s="779" t="n">
        <v>0.0159</v>
      </c>
      <c r="P869" s="749" t="s">
        <v>2347</v>
      </c>
      <c r="Q869" s="749" t="s">
        <v>2348</v>
      </c>
      <c r="R869" s="811"/>
    </row>
    <row r="870" customFormat="false" ht="16.5" hidden="false" customHeight="true" outlineLevel="0" collapsed="false">
      <c r="A870" s="773" t="s">
        <v>2335</v>
      </c>
      <c r="B870" s="774" t="n">
        <v>45028</v>
      </c>
      <c r="D870" s="749" t="s">
        <v>103</v>
      </c>
      <c r="E870" s="749" t="s">
        <v>2995</v>
      </c>
      <c r="F870" s="749" t="s">
        <v>2684</v>
      </c>
      <c r="G870" s="776" t="s">
        <v>1267</v>
      </c>
      <c r="H870" s="776" t="n">
        <v>31530000</v>
      </c>
      <c r="I870" s="777" t="n">
        <v>133.65</v>
      </c>
      <c r="J870" s="778" t="n">
        <f aca="false">IF(I870="","",H870/I870)</f>
        <v>235914.702581369</v>
      </c>
      <c r="K870" s="749" t="s">
        <v>2336</v>
      </c>
      <c r="L870" s="774" t="n">
        <v>45029</v>
      </c>
      <c r="M870" s="774" t="n">
        <v>45397</v>
      </c>
      <c r="N870" s="774" t="s">
        <v>2341</v>
      </c>
      <c r="O870" s="779" t="n">
        <v>0.0359</v>
      </c>
      <c r="P870" s="749" t="s">
        <v>2347</v>
      </c>
      <c r="Q870" s="749" t="s">
        <v>2348</v>
      </c>
      <c r="R870" s="811"/>
    </row>
    <row r="871" customFormat="false" ht="16.5" hidden="false" customHeight="true" outlineLevel="0" collapsed="false">
      <c r="A871" s="773" t="s">
        <v>2335</v>
      </c>
      <c r="B871" s="774" t="n">
        <v>45041</v>
      </c>
      <c r="D871" s="749" t="s">
        <v>1149</v>
      </c>
      <c r="E871" s="749" t="s">
        <v>2996</v>
      </c>
      <c r="F871" s="749" t="s">
        <v>2706</v>
      </c>
      <c r="G871" s="776" t="s">
        <v>1267</v>
      </c>
      <c r="H871" s="776" t="n">
        <v>118200000</v>
      </c>
      <c r="I871" s="777" t="n">
        <v>134.21</v>
      </c>
      <c r="J871" s="778" t="n">
        <f aca="false">H871/I871</f>
        <v>880709.336115044</v>
      </c>
      <c r="K871" s="749" t="s">
        <v>2336</v>
      </c>
      <c r="L871" s="774" t="n">
        <v>45041</v>
      </c>
      <c r="M871" s="774" t="n">
        <v>45407</v>
      </c>
      <c r="N871" s="774" t="s">
        <v>2341</v>
      </c>
      <c r="O871" s="779" t="n">
        <v>0.0287</v>
      </c>
      <c r="P871" s="749" t="s">
        <v>2347</v>
      </c>
      <c r="Q871" s="749" t="s">
        <v>2348</v>
      </c>
      <c r="R871" s="811"/>
    </row>
    <row r="872" customFormat="false" ht="16.5" hidden="false" customHeight="true" outlineLevel="0" collapsed="false">
      <c r="A872" s="747" t="s">
        <v>2190</v>
      </c>
      <c r="B872" s="774" t="n">
        <v>45044</v>
      </c>
      <c r="D872" s="749" t="s">
        <v>2997</v>
      </c>
      <c r="E872" s="749" t="s">
        <v>2998</v>
      </c>
      <c r="F872" s="749" t="s">
        <v>2999</v>
      </c>
      <c r="G872" s="798" t="s">
        <v>2136</v>
      </c>
      <c r="H872" s="776" t="n">
        <v>200000</v>
      </c>
      <c r="I872" s="777" t="n">
        <v>1</v>
      </c>
      <c r="J872" s="778" t="n">
        <f aca="false">IF(I872="","",H872/I872)</f>
        <v>200000</v>
      </c>
      <c r="K872" s="749" t="s">
        <v>2336</v>
      </c>
      <c r="L872" s="774" t="n">
        <v>45049</v>
      </c>
      <c r="M872" s="774" t="n">
        <v>45415</v>
      </c>
      <c r="N872" s="774" t="s">
        <v>2341</v>
      </c>
      <c r="O872" s="779" t="n">
        <v>0.0734</v>
      </c>
      <c r="P872" s="749" t="s">
        <v>2347</v>
      </c>
      <c r="Q872" s="749" t="s">
        <v>2348</v>
      </c>
      <c r="R872" s="811"/>
    </row>
    <row r="873" customFormat="false" ht="16.5" hidden="false" customHeight="true" outlineLevel="0" collapsed="false">
      <c r="A873" s="747" t="s">
        <v>2335</v>
      </c>
      <c r="B873" s="774" t="n">
        <v>45057</v>
      </c>
      <c r="D873" s="749" t="s">
        <v>2338</v>
      </c>
      <c r="E873" s="749" t="s">
        <v>3000</v>
      </c>
      <c r="F873" s="749" t="s">
        <v>3001</v>
      </c>
      <c r="G873" s="798" t="s">
        <v>1267</v>
      </c>
      <c r="H873" s="776" t="n">
        <v>90000000</v>
      </c>
      <c r="I873" s="777" t="n">
        <v>135.9</v>
      </c>
      <c r="J873" s="778" t="n">
        <f aca="false">IF(I873="","",H873/I873)</f>
        <v>662251.655629139</v>
      </c>
      <c r="K873" s="749" t="s">
        <v>2336</v>
      </c>
      <c r="L873" s="774" t="n">
        <v>45074</v>
      </c>
      <c r="M873" s="774" t="n">
        <v>45440</v>
      </c>
      <c r="N873" s="774" t="s">
        <v>2341</v>
      </c>
      <c r="O873" s="779" t="n">
        <v>0.0247</v>
      </c>
      <c r="P873" s="749" t="s">
        <v>2989</v>
      </c>
      <c r="Q873" s="749" t="s">
        <v>2348</v>
      </c>
      <c r="R873" s="811"/>
    </row>
    <row r="874" customFormat="false" ht="16.5" hidden="false" customHeight="true" outlineLevel="0" collapsed="false">
      <c r="A874" s="773" t="s">
        <v>2335</v>
      </c>
      <c r="B874" s="774" t="n">
        <v>45062</v>
      </c>
      <c r="D874" s="749" t="s">
        <v>103</v>
      </c>
      <c r="E874" s="749" t="s">
        <v>2984</v>
      </c>
      <c r="F874" s="749" t="s">
        <v>2940</v>
      </c>
      <c r="G874" s="776" t="s">
        <v>1267</v>
      </c>
      <c r="H874" s="776" t="n">
        <v>64300000</v>
      </c>
      <c r="I874" s="777" t="n">
        <v>137.55</v>
      </c>
      <c r="J874" s="776" t="n">
        <f aca="false">H874/I874</f>
        <v>467466.375863322</v>
      </c>
      <c r="K874" s="749" t="s">
        <v>2336</v>
      </c>
      <c r="L874" s="774" t="n">
        <v>45066</v>
      </c>
      <c r="M874" s="774" t="n">
        <v>45432</v>
      </c>
      <c r="N874" s="774" t="s">
        <v>2341</v>
      </c>
      <c r="O874" s="779" t="n">
        <v>0.04</v>
      </c>
      <c r="P874" s="749" t="s">
        <v>2347</v>
      </c>
      <c r="Q874" s="749" t="s">
        <v>2348</v>
      </c>
      <c r="R874" s="811"/>
    </row>
    <row r="875" customFormat="false" ht="16.5" hidden="false" customHeight="true" outlineLevel="0" collapsed="false">
      <c r="A875" s="747" t="s">
        <v>2335</v>
      </c>
      <c r="B875" s="774" t="n">
        <v>45124</v>
      </c>
      <c r="D875" s="749" t="s">
        <v>1366</v>
      </c>
      <c r="E875" s="749" t="s">
        <v>2709</v>
      </c>
      <c r="F875" s="749" t="s">
        <v>2614</v>
      </c>
      <c r="G875" s="798" t="s">
        <v>1267</v>
      </c>
      <c r="H875" s="776" t="n">
        <v>40500000</v>
      </c>
      <c r="I875" s="777" t="n">
        <v>138.4</v>
      </c>
      <c r="J875" s="778" t="n">
        <f aca="false">IF(I875="","",H875/I875)</f>
        <v>292630.057803468</v>
      </c>
      <c r="K875" s="749" t="s">
        <v>2460</v>
      </c>
      <c r="L875" s="774" t="n">
        <v>45121</v>
      </c>
      <c r="M875" s="774" t="n">
        <v>45487</v>
      </c>
      <c r="N875" s="774" t="s">
        <v>2341</v>
      </c>
      <c r="O875" s="779" t="n">
        <v>0.0395</v>
      </c>
      <c r="P875" s="749" t="s">
        <v>2347</v>
      </c>
      <c r="Q875" s="749" t="s">
        <v>2348</v>
      </c>
      <c r="R875" s="798"/>
    </row>
    <row r="876" customFormat="false" ht="16.5" hidden="false" customHeight="true" outlineLevel="0" collapsed="false">
      <c r="A876" s="747" t="s">
        <v>2335</v>
      </c>
      <c r="B876" s="774" t="n">
        <v>45126</v>
      </c>
      <c r="D876" s="749" t="s">
        <v>2344</v>
      </c>
      <c r="E876" s="749" t="s">
        <v>2345</v>
      </c>
      <c r="F876" s="749" t="s">
        <v>2346</v>
      </c>
      <c r="G876" s="776" t="s">
        <v>1267</v>
      </c>
      <c r="H876" s="776" t="n">
        <v>49500000</v>
      </c>
      <c r="I876" s="777" t="n">
        <v>139.2</v>
      </c>
      <c r="J876" s="776" t="n">
        <f aca="false">IF(I876="","",H876/I876)</f>
        <v>355603.448275862</v>
      </c>
      <c r="K876" s="749" t="s">
        <v>2336</v>
      </c>
      <c r="L876" s="774" t="n">
        <v>45147</v>
      </c>
      <c r="M876" s="774" t="n">
        <v>45513</v>
      </c>
      <c r="N876" s="774" t="s">
        <v>2341</v>
      </c>
      <c r="O876" s="779" t="n">
        <v>0.0195</v>
      </c>
      <c r="P876" s="749" t="s">
        <v>2347</v>
      </c>
      <c r="Q876" s="749" t="s">
        <v>2348</v>
      </c>
      <c r="R876" s="798"/>
    </row>
    <row r="877" customFormat="false" ht="16.5" hidden="false" customHeight="true" outlineLevel="0" collapsed="false">
      <c r="A877" s="747" t="s">
        <v>2335</v>
      </c>
      <c r="B877" s="774" t="n">
        <v>45499</v>
      </c>
      <c r="D877" s="749" t="s">
        <v>2344</v>
      </c>
      <c r="E877" s="749" t="s">
        <v>2914</v>
      </c>
      <c r="F877" s="749" t="s">
        <v>2346</v>
      </c>
      <c r="G877" s="776" t="s">
        <v>1267</v>
      </c>
      <c r="H877" s="776" t="n">
        <v>49500000</v>
      </c>
      <c r="I877" s="777" t="n">
        <v>153.8</v>
      </c>
      <c r="J877" s="776" t="n">
        <f aca="false">IF(I877="","",H877/I877)</f>
        <v>321846.55396619</v>
      </c>
      <c r="K877" s="749" t="s">
        <v>2336</v>
      </c>
      <c r="L877" s="774" t="n">
        <v>45513</v>
      </c>
      <c r="M877" s="774" t="n">
        <v>45878</v>
      </c>
      <c r="N877" s="774" t="s">
        <v>2341</v>
      </c>
      <c r="O877" s="779" t="n">
        <v>0.0221</v>
      </c>
      <c r="P877" s="749" t="s">
        <v>2342</v>
      </c>
      <c r="Q877" s="749" t="s">
        <v>3002</v>
      </c>
      <c r="R877" s="798"/>
    </row>
    <row r="878" customFormat="false" ht="16.5" hidden="false" customHeight="true" outlineLevel="0" collapsed="false">
      <c r="A878" s="747" t="s">
        <v>2190</v>
      </c>
      <c r="B878" s="774" t="n">
        <v>45638</v>
      </c>
      <c r="D878" s="749" t="s">
        <v>3003</v>
      </c>
      <c r="E878" s="749" t="s">
        <v>3004</v>
      </c>
      <c r="F878" s="749" t="s">
        <v>3005</v>
      </c>
      <c r="G878" s="798" t="s">
        <v>2136</v>
      </c>
      <c r="H878" s="776" t="n">
        <v>4000000</v>
      </c>
      <c r="I878" s="777" t="n">
        <v>1</v>
      </c>
      <c r="J878" s="778" t="n">
        <f aca="false">IF(I878="","",H878/I878)</f>
        <v>4000000</v>
      </c>
      <c r="K878" s="749" t="s">
        <v>2336</v>
      </c>
      <c r="L878" s="774" t="n">
        <v>45639</v>
      </c>
      <c r="M878" s="774" t="n">
        <v>46004</v>
      </c>
      <c r="N878" s="774" t="s">
        <v>2341</v>
      </c>
      <c r="O878" s="779" t="n">
        <v>0.0597</v>
      </c>
      <c r="P878" s="749" t="s">
        <v>2342</v>
      </c>
      <c r="Q878" s="749" t="s">
        <v>3002</v>
      </c>
      <c r="R878" s="811"/>
    </row>
    <row r="879" customFormat="false" ht="16.5" hidden="false" customHeight="true" outlineLevel="0" collapsed="false">
      <c r="A879" s="747" t="s">
        <v>2190</v>
      </c>
      <c r="B879" s="774" t="n">
        <v>45692</v>
      </c>
      <c r="D879" s="749" t="s">
        <v>1600</v>
      </c>
      <c r="E879" s="749" t="s">
        <v>3006</v>
      </c>
      <c r="F879" s="749" t="s">
        <v>3007</v>
      </c>
      <c r="G879" s="798" t="s">
        <v>2136</v>
      </c>
      <c r="H879" s="776" t="n">
        <v>4000000</v>
      </c>
      <c r="I879" s="777" t="n">
        <v>1</v>
      </c>
      <c r="J879" s="778" t="n">
        <f aca="false">IF(I879="","",H879/I879)</f>
        <v>4000000</v>
      </c>
      <c r="K879" s="749" t="s">
        <v>2336</v>
      </c>
      <c r="L879" s="774" t="n">
        <v>45695</v>
      </c>
      <c r="M879" s="774" t="n">
        <v>46060</v>
      </c>
      <c r="N879" s="774" t="s">
        <v>2341</v>
      </c>
      <c r="O879" s="779" t="n">
        <v>0.0592</v>
      </c>
      <c r="P879" s="749" t="s">
        <v>2342</v>
      </c>
      <c r="Q879" s="749" t="s">
        <v>2343</v>
      </c>
      <c r="R879" s="811"/>
    </row>
    <row r="880" customFormat="false" ht="16.5" hidden="false" customHeight="true" outlineLevel="0" collapsed="false">
      <c r="A880" s="773" t="s">
        <v>2335</v>
      </c>
      <c r="B880" s="774" t="n">
        <v>45736</v>
      </c>
      <c r="D880" s="749" t="s">
        <v>597</v>
      </c>
      <c r="E880" s="749" t="s">
        <v>2994</v>
      </c>
      <c r="F880" s="749" t="s">
        <v>2853</v>
      </c>
      <c r="G880" s="776" t="s">
        <v>1267</v>
      </c>
      <c r="H880" s="776" t="n">
        <v>186565000</v>
      </c>
      <c r="I880" s="777" t="n">
        <v>149.24</v>
      </c>
      <c r="J880" s="778" t="n">
        <f aca="false">IF(I880="","",H880/I880)</f>
        <v>1250100.50924685</v>
      </c>
      <c r="K880" s="749" t="s">
        <v>2460</v>
      </c>
      <c r="L880" s="774" t="n">
        <v>45741</v>
      </c>
      <c r="M880" s="774" t="n">
        <v>46106</v>
      </c>
      <c r="N880" s="774" t="s">
        <v>2341</v>
      </c>
      <c r="O880" s="779" t="n">
        <v>0.0218</v>
      </c>
      <c r="P880" s="749" t="s">
        <v>2342</v>
      </c>
      <c r="Q880" s="749" t="s">
        <v>2343</v>
      </c>
      <c r="R880" s="811"/>
    </row>
    <row r="881" customFormat="false" ht="16.5" hidden="false" customHeight="true" outlineLevel="0" collapsed="false">
      <c r="A881" s="773" t="s">
        <v>2335</v>
      </c>
      <c r="B881" s="774" t="n">
        <v>45756</v>
      </c>
      <c r="D881" s="749" t="s">
        <v>597</v>
      </c>
      <c r="E881" s="749" t="s">
        <v>3008</v>
      </c>
      <c r="F881" s="749" t="s">
        <v>2590</v>
      </c>
      <c r="G881" s="776" t="s">
        <v>1267</v>
      </c>
      <c r="H881" s="776" t="n">
        <v>20000000</v>
      </c>
      <c r="I881" s="777" t="n">
        <v>145.29</v>
      </c>
      <c r="J881" s="778" t="n">
        <f aca="false">IF(I881="","",H881/I881)</f>
        <v>137655.723036685</v>
      </c>
      <c r="K881" s="749" t="s">
        <v>2460</v>
      </c>
      <c r="L881" s="774" t="n">
        <v>45760</v>
      </c>
      <c r="M881" s="774" t="n">
        <v>46125</v>
      </c>
      <c r="N881" s="774" t="s">
        <v>2341</v>
      </c>
      <c r="O881" s="779" t="n">
        <v>0.0246</v>
      </c>
      <c r="P881" s="749" t="s">
        <v>2342</v>
      </c>
      <c r="Q881" s="749" t="s">
        <v>2343</v>
      </c>
      <c r="R881" s="811"/>
    </row>
    <row r="882" customFormat="false" ht="16.5" hidden="false" customHeight="true" outlineLevel="0" collapsed="false">
      <c r="A882" s="747" t="s">
        <v>2335</v>
      </c>
      <c r="B882" s="774" t="n">
        <v>45797</v>
      </c>
      <c r="D882" s="749" t="s">
        <v>2338</v>
      </c>
      <c r="E882" s="749" t="s">
        <v>2339</v>
      </c>
      <c r="F882" s="749" t="s">
        <v>3001</v>
      </c>
      <c r="G882" s="798" t="s">
        <v>1267</v>
      </c>
      <c r="H882" s="776" t="n">
        <v>90000000</v>
      </c>
      <c r="I882" s="777" t="n">
        <v>144.945</v>
      </c>
      <c r="J882" s="778" t="n">
        <f aca="false">IF(I882="","",H882/I882)</f>
        <v>620925.178515989</v>
      </c>
      <c r="K882" s="749" t="s">
        <v>2336</v>
      </c>
      <c r="L882" s="774" t="n">
        <v>45805</v>
      </c>
      <c r="M882" s="774" t="n">
        <v>46170</v>
      </c>
      <c r="N882" s="774" t="s">
        <v>2341</v>
      </c>
      <c r="O882" s="779" t="n">
        <v>0.0294</v>
      </c>
      <c r="P882" s="749" t="s">
        <v>2342</v>
      </c>
      <c r="Q882" s="749" t="s">
        <v>2343</v>
      </c>
      <c r="R882" s="811"/>
    </row>
    <row r="883" customFormat="false" ht="16.5" hidden="false" customHeight="true" outlineLevel="0" collapsed="false">
      <c r="A883" s="747" t="s">
        <v>2335</v>
      </c>
      <c r="B883" s="774" t="n">
        <v>45817</v>
      </c>
      <c r="D883" s="749" t="s">
        <v>2338</v>
      </c>
      <c r="E883" s="749" t="s">
        <v>2339</v>
      </c>
      <c r="F883" s="749" t="s">
        <v>2340</v>
      </c>
      <c r="G883" s="798" t="s">
        <v>1267</v>
      </c>
      <c r="H883" s="776" t="n">
        <v>31840000</v>
      </c>
      <c r="I883" s="777" t="n">
        <v>144.119</v>
      </c>
      <c r="J883" s="778" t="n">
        <f aca="false">IF(I883="","",H883/I883)</f>
        <v>220928.538221886</v>
      </c>
      <c r="K883" s="749" t="s">
        <v>2336</v>
      </c>
      <c r="L883" s="774" t="n">
        <v>45819</v>
      </c>
      <c r="M883" s="774" t="n">
        <v>46184</v>
      </c>
      <c r="N883" s="774" t="s">
        <v>2341</v>
      </c>
      <c r="O883" s="779" t="n">
        <v>0.0261</v>
      </c>
      <c r="P883" s="749" t="s">
        <v>2342</v>
      </c>
      <c r="Q883" s="749" t="s">
        <v>2343</v>
      </c>
      <c r="R883" s="811"/>
    </row>
    <row r="884" s="886" customFormat="true" ht="16.5" hidden="false" customHeight="true" outlineLevel="0" collapsed="false">
      <c r="A884" s="879" t="s">
        <v>2335</v>
      </c>
      <c r="B884" s="880" t="n">
        <v>45866</v>
      </c>
      <c r="C884" s="881"/>
      <c r="D884" s="882" t="s">
        <v>2344</v>
      </c>
      <c r="E884" s="882" t="s">
        <v>3009</v>
      </c>
      <c r="F884" s="882" t="s">
        <v>2346</v>
      </c>
      <c r="G884" s="883" t="s">
        <v>1267</v>
      </c>
      <c r="H884" s="883" t="n">
        <v>49500000</v>
      </c>
      <c r="I884" s="884" t="n">
        <v>147.78</v>
      </c>
      <c r="J884" s="883" t="n">
        <f aca="false">IF(I884="","",H884/I884)</f>
        <v>334957.369062119</v>
      </c>
      <c r="K884" s="882" t="s">
        <v>2336</v>
      </c>
      <c r="L884" s="880" t="n">
        <v>45878</v>
      </c>
      <c r="M884" s="880" t="n">
        <v>46243</v>
      </c>
      <c r="N884" s="880" t="s">
        <v>2341</v>
      </c>
      <c r="O884" s="885" t="n">
        <v>0.0259</v>
      </c>
      <c r="P884" s="882" t="s">
        <v>2342</v>
      </c>
      <c r="Q884" s="882" t="s">
        <v>2343</v>
      </c>
      <c r="R884" s="882"/>
    </row>
    <row r="885" s="886" customFormat="true" ht="16.5" hidden="false" customHeight="true" outlineLevel="0" collapsed="false">
      <c r="A885" s="747" t="s">
        <v>2190</v>
      </c>
      <c r="B885" s="880" t="n">
        <v>45961</v>
      </c>
      <c r="C885" s="881"/>
      <c r="D885" s="882" t="s">
        <v>1366</v>
      </c>
      <c r="E885" s="882" t="s">
        <v>2973</v>
      </c>
      <c r="F885" s="882" t="s">
        <v>3010</v>
      </c>
      <c r="G885" s="883" t="s">
        <v>1267</v>
      </c>
      <c r="H885" s="883" t="n">
        <v>270000000</v>
      </c>
      <c r="I885" s="884" t="n">
        <v>153.95</v>
      </c>
      <c r="J885" s="883" t="n">
        <f aca="false">IF(I885="","",H885/I885)</f>
        <v>1753816.17408249</v>
      </c>
      <c r="K885" s="882" t="s">
        <v>2336</v>
      </c>
      <c r="L885" s="880" t="n">
        <v>45961</v>
      </c>
      <c r="M885" s="880" t="n">
        <v>47057</v>
      </c>
      <c r="N885" s="880" t="s">
        <v>2341</v>
      </c>
      <c r="O885" s="885" t="n">
        <v>0.0134</v>
      </c>
      <c r="P885" s="882" t="s">
        <v>2342</v>
      </c>
      <c r="Q885" s="882" t="s">
        <v>2343</v>
      </c>
      <c r="R885" s="882"/>
    </row>
    <row r="886" customFormat="false" ht="16.5" hidden="false" customHeight="true" outlineLevel="0" collapsed="false">
      <c r="A886" s="747" t="s">
        <v>2335</v>
      </c>
      <c r="B886" s="774" t="n">
        <v>46065</v>
      </c>
      <c r="D886" s="749" t="s">
        <v>1304</v>
      </c>
      <c r="E886" s="749" t="s">
        <v>3011</v>
      </c>
      <c r="F886" s="749" t="s">
        <v>3007</v>
      </c>
      <c r="G886" s="798" t="s">
        <v>2136</v>
      </c>
      <c r="H886" s="776" t="n">
        <v>4000000</v>
      </c>
      <c r="I886" s="777" t="n">
        <v>1</v>
      </c>
      <c r="J886" s="778" t="n">
        <f aca="false">IF(I886="","",H886/I886)</f>
        <v>4000000</v>
      </c>
      <c r="K886" s="749" t="s">
        <v>2336</v>
      </c>
      <c r="L886" s="774" t="n">
        <v>46066</v>
      </c>
      <c r="M886" s="774" t="n">
        <v>46431</v>
      </c>
      <c r="N886" s="774" t="s">
        <v>2341</v>
      </c>
      <c r="O886" s="779" t="n">
        <v>0.0529</v>
      </c>
      <c r="P886" s="749" t="s">
        <v>2342</v>
      </c>
      <c r="Q886" s="749" t="s">
        <v>2343</v>
      </c>
      <c r="R886" s="811"/>
    </row>
    <row r="887" customFormat="false" ht="16.5" hidden="false" customHeight="true" outlineLevel="0" collapsed="false">
      <c r="A887" s="747" t="s">
        <v>2335</v>
      </c>
      <c r="B887" s="774" t="n">
        <v>46164</v>
      </c>
      <c r="D887" s="749" t="s">
        <v>2338</v>
      </c>
      <c r="E887" s="749" t="s">
        <v>2339</v>
      </c>
      <c r="F887" s="749" t="s">
        <v>3001</v>
      </c>
      <c r="G887" s="798" t="s">
        <v>1267</v>
      </c>
      <c r="H887" s="776" t="n">
        <v>90000000</v>
      </c>
      <c r="I887" s="777" t="n">
        <v>159.03</v>
      </c>
      <c r="J887" s="778" t="n">
        <f aca="false">IF(I887="","",H887/I887)</f>
        <v>565930.956423316</v>
      </c>
      <c r="K887" s="749" t="s">
        <v>2336</v>
      </c>
      <c r="L887" s="774" t="n">
        <v>46170</v>
      </c>
      <c r="M887" s="774" t="n">
        <v>46535</v>
      </c>
      <c r="N887" s="774" t="s">
        <v>2341</v>
      </c>
      <c r="O887" s="779" t="n">
        <v>0.0302</v>
      </c>
      <c r="P887" s="749" t="s">
        <v>2342</v>
      </c>
      <c r="Q887" s="749" t="s">
        <v>2343</v>
      </c>
      <c r="R887" s="811"/>
    </row>
    <row r="888" s="893" customFormat="true" ht="16.5" hidden="false" customHeight="true" outlineLevel="0" collapsed="false">
      <c r="A888" s="813" t="s">
        <v>2335</v>
      </c>
      <c r="B888" s="887" t="n">
        <v>46182</v>
      </c>
      <c r="C888" s="888"/>
      <c r="D888" s="802" t="s">
        <v>2338</v>
      </c>
      <c r="E888" s="802" t="s">
        <v>2339</v>
      </c>
      <c r="F888" s="802" t="s">
        <v>2340</v>
      </c>
      <c r="G888" s="889" t="s">
        <v>1267</v>
      </c>
      <c r="H888" s="778" t="n">
        <v>31840000</v>
      </c>
      <c r="I888" s="890" t="n">
        <v>160.16</v>
      </c>
      <c r="J888" s="778" t="n">
        <f aca="false">IF(I888="","",H888/I888)</f>
        <v>198801.198801199</v>
      </c>
      <c r="K888" s="802" t="s">
        <v>2336</v>
      </c>
      <c r="L888" s="887" t="n">
        <v>46189</v>
      </c>
      <c r="M888" s="887" t="n">
        <v>46554</v>
      </c>
      <c r="N888" s="887" t="s">
        <v>2341</v>
      </c>
      <c r="O888" s="891" t="n">
        <v>0.0301</v>
      </c>
      <c r="P888" s="802" t="s">
        <v>2342</v>
      </c>
      <c r="Q888" s="802" t="s">
        <v>2343</v>
      </c>
      <c r="R888" s="892"/>
    </row>
    <row r="889" customFormat="false" ht="16.5" hidden="false" customHeight="true" outlineLevel="0" collapsed="false">
      <c r="A889" s="747"/>
      <c r="B889" s="798"/>
      <c r="D889" s="798"/>
      <c r="E889" s="798"/>
      <c r="F889" s="798"/>
      <c r="G889" s="798"/>
      <c r="J889" s="778" t="str">
        <f aca="false">IF(I889="","",H889/I889)</f>
        <v/>
      </c>
      <c r="K889" s="798"/>
      <c r="O889" s="779"/>
      <c r="P889" s="798"/>
      <c r="Q889" s="798"/>
      <c r="R889" s="811"/>
    </row>
    <row r="890" customFormat="false" ht="16.5" hidden="false" customHeight="true" outlineLevel="0" collapsed="false">
      <c r="A890" s="747"/>
      <c r="B890" s="798"/>
      <c r="D890" s="798"/>
      <c r="E890" s="798"/>
      <c r="F890" s="798"/>
      <c r="G890" s="798"/>
      <c r="J890" s="778" t="str">
        <f aca="false">IF(I890="","",H890/I890)</f>
        <v/>
      </c>
      <c r="K890" s="798"/>
      <c r="O890" s="779"/>
      <c r="P890" s="798"/>
      <c r="Q890" s="798"/>
      <c r="R890" s="811"/>
    </row>
    <row r="891" customFormat="false" ht="16.5" hidden="false" customHeight="true" outlineLevel="0" collapsed="false">
      <c r="A891" s="747"/>
      <c r="B891" s="798"/>
      <c r="D891" s="798"/>
      <c r="E891" s="798"/>
      <c r="F891" s="798"/>
      <c r="G891" s="798"/>
      <c r="J891" s="778" t="str">
        <f aca="false">IF(I891="","",H891/I891)</f>
        <v/>
      </c>
      <c r="K891" s="798"/>
      <c r="O891" s="779"/>
      <c r="P891" s="798"/>
      <c r="Q891" s="798"/>
      <c r="R891" s="811"/>
    </row>
    <row r="892" customFormat="false" ht="16.5" hidden="false" customHeight="true" outlineLevel="0" collapsed="false">
      <c r="A892" s="747"/>
      <c r="B892" s="798"/>
      <c r="D892" s="798"/>
      <c r="E892" s="798"/>
      <c r="F892" s="798"/>
      <c r="G892" s="798"/>
      <c r="J892" s="778" t="str">
        <f aca="false">IF(I892="","",H892/I892)</f>
        <v/>
      </c>
      <c r="K892" s="798"/>
      <c r="O892" s="779"/>
      <c r="P892" s="798"/>
      <c r="Q892" s="798"/>
      <c r="R892" s="811"/>
    </row>
    <row r="893" customFormat="false" ht="16.5" hidden="false" customHeight="true" outlineLevel="0" collapsed="false">
      <c r="A893" s="747"/>
      <c r="B893" s="798"/>
      <c r="D893" s="798"/>
      <c r="E893" s="798"/>
      <c r="F893" s="798"/>
      <c r="G893" s="798"/>
      <c r="J893" s="778" t="str">
        <f aca="false">IF(I893="","",H893/I893)</f>
        <v/>
      </c>
      <c r="K893" s="798"/>
      <c r="O893" s="779"/>
      <c r="P893" s="798"/>
      <c r="Q893" s="798"/>
      <c r="R893" s="811"/>
    </row>
    <row r="894" customFormat="false" ht="16.5" hidden="false" customHeight="true" outlineLevel="0" collapsed="false">
      <c r="A894" s="747"/>
      <c r="B894" s="798"/>
      <c r="D894" s="798"/>
      <c r="E894" s="798"/>
      <c r="F894" s="798"/>
      <c r="G894" s="798"/>
      <c r="J894" s="778" t="str">
        <f aca="false">IF(I894="","",H894/I894)</f>
        <v/>
      </c>
      <c r="K894" s="798"/>
      <c r="O894" s="779"/>
      <c r="P894" s="798"/>
      <c r="Q894" s="798"/>
      <c r="R894" s="811"/>
    </row>
    <row r="895" customFormat="false" ht="16.5" hidden="false" customHeight="true" outlineLevel="0" collapsed="false">
      <c r="A895" s="747"/>
      <c r="B895" s="798"/>
      <c r="D895" s="798"/>
      <c r="E895" s="798"/>
      <c r="F895" s="798"/>
      <c r="G895" s="798"/>
      <c r="J895" s="778" t="str">
        <f aca="false">IF(I895="","",H895/I895)</f>
        <v/>
      </c>
      <c r="K895" s="798"/>
      <c r="O895" s="779"/>
      <c r="P895" s="798"/>
      <c r="Q895" s="798"/>
      <c r="R895" s="811"/>
    </row>
    <row r="896" customFormat="false" ht="16.5" hidden="false" customHeight="true" outlineLevel="0" collapsed="false">
      <c r="A896" s="747"/>
      <c r="B896" s="798"/>
      <c r="D896" s="798"/>
      <c r="E896" s="798"/>
      <c r="F896" s="798"/>
      <c r="G896" s="798"/>
      <c r="J896" s="778" t="str">
        <f aca="false">IF(I896="","",H896/I896)</f>
        <v/>
      </c>
      <c r="K896" s="798"/>
      <c r="O896" s="779"/>
      <c r="P896" s="798"/>
      <c r="Q896" s="798"/>
      <c r="R896" s="811"/>
    </row>
    <row r="897" customFormat="false" ht="16.5" hidden="false" customHeight="true" outlineLevel="0" collapsed="false">
      <c r="A897" s="747"/>
      <c r="B897" s="798"/>
      <c r="D897" s="798"/>
      <c r="E897" s="798"/>
      <c r="F897" s="798"/>
      <c r="G897" s="798"/>
      <c r="J897" s="778" t="str">
        <f aca="false">IF(I897="","",H897/I897)</f>
        <v/>
      </c>
      <c r="K897" s="798"/>
      <c r="O897" s="779"/>
      <c r="P897" s="798"/>
      <c r="Q897" s="798"/>
      <c r="R897" s="811"/>
    </row>
    <row r="898" customFormat="false" ht="16.5" hidden="false" customHeight="true" outlineLevel="0" collapsed="false">
      <c r="A898" s="747"/>
      <c r="B898" s="798"/>
      <c r="D898" s="798"/>
      <c r="E898" s="798"/>
      <c r="F898" s="798"/>
      <c r="G898" s="798"/>
      <c r="J898" s="778" t="str">
        <f aca="false">IF(I898="","",H898/I898)</f>
        <v/>
      </c>
      <c r="K898" s="798"/>
      <c r="O898" s="779"/>
      <c r="P898" s="798"/>
      <c r="Q898" s="798"/>
      <c r="R898" s="811"/>
    </row>
    <row r="899" customFormat="false" ht="16.5" hidden="false" customHeight="true" outlineLevel="0" collapsed="false">
      <c r="A899" s="747"/>
      <c r="B899" s="798"/>
      <c r="D899" s="798"/>
      <c r="E899" s="798"/>
      <c r="F899" s="798"/>
      <c r="G899" s="798"/>
      <c r="J899" s="778" t="str">
        <f aca="false">IF(I899="","",H899/I899)</f>
        <v/>
      </c>
      <c r="K899" s="798"/>
      <c r="O899" s="779"/>
      <c r="P899" s="798"/>
      <c r="Q899" s="798"/>
      <c r="R899" s="811"/>
    </row>
    <row r="900" customFormat="false" ht="16.5" hidden="false" customHeight="true" outlineLevel="0" collapsed="false">
      <c r="A900" s="747"/>
      <c r="B900" s="798"/>
      <c r="D900" s="798"/>
      <c r="E900" s="798"/>
      <c r="F900" s="798"/>
      <c r="G900" s="798"/>
      <c r="J900" s="778" t="str">
        <f aca="false">IF(I900="","",H900/I900)</f>
        <v/>
      </c>
      <c r="K900" s="798"/>
      <c r="O900" s="779"/>
      <c r="P900" s="798"/>
      <c r="Q900" s="798"/>
      <c r="R900" s="811"/>
    </row>
    <row r="901" customFormat="false" ht="16.5" hidden="false" customHeight="true" outlineLevel="0" collapsed="false">
      <c r="A901" s="747"/>
      <c r="B901" s="798"/>
      <c r="D901" s="798"/>
      <c r="E901" s="798"/>
      <c r="F901" s="798"/>
      <c r="G901" s="798"/>
      <c r="J901" s="778" t="str">
        <f aca="false">IF(I901="","",H901/I901)</f>
        <v/>
      </c>
      <c r="K901" s="798"/>
      <c r="O901" s="779"/>
      <c r="P901" s="798"/>
      <c r="Q901" s="798"/>
      <c r="R901" s="811"/>
    </row>
    <row r="902" customFormat="false" ht="16.5" hidden="false" customHeight="true" outlineLevel="0" collapsed="false">
      <c r="A902" s="747"/>
      <c r="B902" s="798"/>
      <c r="D902" s="798"/>
      <c r="E902" s="798"/>
      <c r="F902" s="798"/>
      <c r="G902" s="798"/>
      <c r="J902" s="778" t="str">
        <f aca="false">IF(I902="","",H902/I902)</f>
        <v/>
      </c>
      <c r="K902" s="798"/>
      <c r="O902" s="779"/>
      <c r="P902" s="798"/>
      <c r="Q902" s="798"/>
      <c r="R902" s="811"/>
    </row>
    <row r="903" customFormat="false" ht="16.5" hidden="false" customHeight="true" outlineLevel="0" collapsed="false">
      <c r="A903" s="747"/>
      <c r="B903" s="798"/>
      <c r="D903" s="798"/>
      <c r="E903" s="798"/>
      <c r="F903" s="798"/>
      <c r="G903" s="798"/>
      <c r="J903" s="778" t="str">
        <f aca="false">IF(I903="","",H903/I903)</f>
        <v/>
      </c>
      <c r="K903" s="798"/>
      <c r="O903" s="779"/>
      <c r="P903" s="798"/>
      <c r="Q903" s="798"/>
      <c r="R903" s="811"/>
    </row>
    <row r="904" customFormat="false" ht="16.5" hidden="false" customHeight="true" outlineLevel="0" collapsed="false">
      <c r="A904" s="747"/>
      <c r="B904" s="798"/>
      <c r="D904" s="798"/>
      <c r="E904" s="798"/>
      <c r="F904" s="798"/>
      <c r="G904" s="798"/>
      <c r="J904" s="778" t="str">
        <f aca="false">IF(I904="","",H904/I904)</f>
        <v/>
      </c>
      <c r="K904" s="798"/>
      <c r="O904" s="779"/>
      <c r="P904" s="798"/>
      <c r="Q904" s="798"/>
      <c r="R904" s="811"/>
    </row>
    <row r="905" customFormat="false" ht="16.5" hidden="false" customHeight="true" outlineLevel="0" collapsed="false">
      <c r="A905" s="747"/>
      <c r="B905" s="798"/>
      <c r="D905" s="798"/>
      <c r="E905" s="798"/>
      <c r="F905" s="798"/>
      <c r="G905" s="798"/>
      <c r="J905" s="778" t="str">
        <f aca="false">IF(I905="","",H905/I905)</f>
        <v/>
      </c>
      <c r="K905" s="798"/>
      <c r="O905" s="779"/>
      <c r="P905" s="798"/>
      <c r="Q905" s="798"/>
      <c r="R905" s="811"/>
    </row>
    <row r="906" customFormat="false" ht="16.5" hidden="false" customHeight="true" outlineLevel="0" collapsed="false">
      <c r="A906" s="747"/>
      <c r="B906" s="798"/>
      <c r="D906" s="798"/>
      <c r="E906" s="798"/>
      <c r="F906" s="798"/>
      <c r="G906" s="798"/>
      <c r="J906" s="778" t="str">
        <f aca="false">IF(I906="","",H906/I906)</f>
        <v/>
      </c>
      <c r="K906" s="798"/>
      <c r="O906" s="779"/>
      <c r="P906" s="798"/>
      <c r="Q906" s="798"/>
      <c r="R906" s="811"/>
    </row>
    <row r="907" customFormat="false" ht="16.5" hidden="false" customHeight="true" outlineLevel="0" collapsed="false">
      <c r="A907" s="747"/>
      <c r="B907" s="798"/>
      <c r="D907" s="798"/>
      <c r="E907" s="798"/>
      <c r="F907" s="798"/>
      <c r="G907" s="798"/>
      <c r="J907" s="778" t="str">
        <f aca="false">IF(I907="","",H907/I907)</f>
        <v/>
      </c>
      <c r="K907" s="798"/>
      <c r="O907" s="779"/>
      <c r="P907" s="798"/>
      <c r="Q907" s="798"/>
      <c r="R907" s="811"/>
    </row>
    <row r="908" customFormat="false" ht="16.5" hidden="false" customHeight="true" outlineLevel="0" collapsed="false">
      <c r="A908" s="747"/>
      <c r="B908" s="798"/>
      <c r="D908" s="798"/>
      <c r="E908" s="798"/>
      <c r="F908" s="798"/>
      <c r="G908" s="798"/>
      <c r="J908" s="778" t="str">
        <f aca="false">IF(I908="","",H908/I908)</f>
        <v/>
      </c>
      <c r="K908" s="798"/>
      <c r="O908" s="779"/>
      <c r="P908" s="798"/>
      <c r="Q908" s="798"/>
      <c r="R908" s="811"/>
    </row>
    <row r="909" customFormat="false" ht="16.5" hidden="false" customHeight="true" outlineLevel="0" collapsed="false">
      <c r="A909" s="747"/>
      <c r="B909" s="798"/>
      <c r="D909" s="798"/>
      <c r="E909" s="798"/>
      <c r="F909" s="798"/>
      <c r="G909" s="798"/>
      <c r="J909" s="778" t="str">
        <f aca="false">IF(I909="","",H909/I909)</f>
        <v/>
      </c>
      <c r="K909" s="798"/>
      <c r="O909" s="779"/>
      <c r="P909" s="798"/>
      <c r="Q909" s="798"/>
      <c r="R909" s="811"/>
    </row>
    <row r="910" customFormat="false" ht="16.5" hidden="false" customHeight="true" outlineLevel="0" collapsed="false">
      <c r="A910" s="747"/>
      <c r="B910" s="798"/>
      <c r="D910" s="798"/>
      <c r="E910" s="798"/>
      <c r="F910" s="798"/>
      <c r="G910" s="798"/>
      <c r="J910" s="778" t="str">
        <f aca="false">IF(I910="","",H910/I910)</f>
        <v/>
      </c>
      <c r="K910" s="798"/>
      <c r="O910" s="779"/>
      <c r="P910" s="798"/>
      <c r="Q910" s="798"/>
      <c r="R910" s="811"/>
    </row>
    <row r="911" customFormat="false" ht="16.5" hidden="false" customHeight="true" outlineLevel="0" collapsed="false">
      <c r="A911" s="747"/>
      <c r="B911" s="798"/>
      <c r="D911" s="798"/>
      <c r="E911" s="798"/>
      <c r="F911" s="798"/>
      <c r="G911" s="798"/>
      <c r="J911" s="778" t="str">
        <f aca="false">IF(I911="","",H911/I911)</f>
        <v/>
      </c>
      <c r="K911" s="798"/>
      <c r="O911" s="779"/>
      <c r="P911" s="798"/>
      <c r="Q911" s="798"/>
      <c r="R911" s="811"/>
    </row>
    <row r="912" customFormat="false" ht="16.5" hidden="false" customHeight="true" outlineLevel="0" collapsed="false">
      <c r="A912" s="747"/>
      <c r="B912" s="798"/>
      <c r="D912" s="798"/>
      <c r="E912" s="798"/>
      <c r="F912" s="798"/>
      <c r="G912" s="798"/>
      <c r="J912" s="778" t="str">
        <f aca="false">IF(I912="","",H912/I912)</f>
        <v/>
      </c>
      <c r="K912" s="798"/>
      <c r="O912" s="779"/>
      <c r="P912" s="798"/>
      <c r="Q912" s="798"/>
      <c r="R912" s="811"/>
    </row>
    <row r="913" customFormat="false" ht="16.5" hidden="false" customHeight="true" outlineLevel="0" collapsed="false">
      <c r="A913" s="747"/>
      <c r="B913" s="798"/>
      <c r="D913" s="798"/>
      <c r="E913" s="798"/>
      <c r="F913" s="798"/>
      <c r="G913" s="798"/>
      <c r="J913" s="778" t="str">
        <f aca="false">IF(I913="","",H913/I913)</f>
        <v/>
      </c>
      <c r="K913" s="798"/>
      <c r="O913" s="779"/>
      <c r="P913" s="798"/>
      <c r="Q913" s="798"/>
      <c r="R913" s="811"/>
    </row>
    <row r="914" customFormat="false" ht="16.5" hidden="false" customHeight="true" outlineLevel="0" collapsed="false">
      <c r="A914" s="747"/>
      <c r="B914" s="798"/>
      <c r="D914" s="798"/>
      <c r="E914" s="798"/>
      <c r="F914" s="798"/>
      <c r="G914" s="798"/>
      <c r="J914" s="778" t="str">
        <f aca="false">IF(I914="","",H914/I914)</f>
        <v/>
      </c>
      <c r="K914" s="798"/>
      <c r="O914" s="779"/>
      <c r="P914" s="798"/>
      <c r="Q914" s="798"/>
      <c r="R914" s="811"/>
    </row>
    <row r="915" customFormat="false" ht="16.5" hidden="false" customHeight="true" outlineLevel="0" collapsed="false">
      <c r="A915" s="747"/>
      <c r="B915" s="798"/>
      <c r="D915" s="798"/>
      <c r="E915" s="798"/>
      <c r="F915" s="798"/>
      <c r="G915" s="798"/>
      <c r="J915" s="778" t="str">
        <f aca="false">IF(I915="","",H915/I915)</f>
        <v/>
      </c>
      <c r="K915" s="798"/>
      <c r="O915" s="779"/>
      <c r="P915" s="798"/>
      <c r="Q915" s="798"/>
      <c r="R915" s="811"/>
    </row>
    <row r="916" customFormat="false" ht="16.5" hidden="false" customHeight="true" outlineLevel="0" collapsed="false">
      <c r="A916" s="747"/>
      <c r="B916" s="798"/>
      <c r="D916" s="798"/>
      <c r="E916" s="798"/>
      <c r="F916" s="798"/>
      <c r="G916" s="798"/>
      <c r="J916" s="778" t="str">
        <f aca="false">IF(I916="","",H916/I916)</f>
        <v/>
      </c>
      <c r="K916" s="798"/>
      <c r="O916" s="779"/>
      <c r="P916" s="798"/>
      <c r="Q916" s="798"/>
      <c r="R916" s="811"/>
    </row>
    <row r="917" customFormat="false" ht="16.5" hidden="false" customHeight="true" outlineLevel="0" collapsed="false">
      <c r="A917" s="747"/>
      <c r="B917" s="798"/>
      <c r="D917" s="798"/>
      <c r="E917" s="798"/>
      <c r="F917" s="798"/>
      <c r="G917" s="798"/>
      <c r="J917" s="778" t="str">
        <f aca="false">IF(I917="","",H917/I917)</f>
        <v/>
      </c>
      <c r="K917" s="798"/>
      <c r="O917" s="779"/>
      <c r="P917" s="798"/>
      <c r="Q917" s="798"/>
      <c r="R917" s="811"/>
    </row>
    <row r="918" customFormat="false" ht="16.5" hidden="false" customHeight="true" outlineLevel="0" collapsed="false">
      <c r="A918" s="747"/>
      <c r="B918" s="798"/>
      <c r="D918" s="798"/>
      <c r="E918" s="798"/>
      <c r="F918" s="798"/>
      <c r="G918" s="798"/>
      <c r="J918" s="778" t="str">
        <f aca="false">IF(I918="","",H918/I918)</f>
        <v/>
      </c>
      <c r="K918" s="798"/>
      <c r="O918" s="779"/>
      <c r="P918" s="798"/>
      <c r="Q918" s="798"/>
      <c r="R918" s="811"/>
    </row>
    <row r="919" customFormat="false" ht="16.5" hidden="false" customHeight="true" outlineLevel="0" collapsed="false">
      <c r="A919" s="747"/>
      <c r="B919" s="798"/>
      <c r="D919" s="798"/>
      <c r="E919" s="798"/>
      <c r="F919" s="798"/>
      <c r="G919" s="798"/>
      <c r="J919" s="778" t="str">
        <f aca="false">IF(I919="","",H919/I919)</f>
        <v/>
      </c>
      <c r="K919" s="798"/>
      <c r="O919" s="779"/>
      <c r="P919" s="798"/>
      <c r="Q919" s="798"/>
      <c r="R919" s="811"/>
    </row>
    <row r="920" customFormat="false" ht="16.5" hidden="false" customHeight="true" outlineLevel="0" collapsed="false">
      <c r="A920" s="747"/>
      <c r="B920" s="798"/>
      <c r="D920" s="798"/>
      <c r="E920" s="798"/>
      <c r="F920" s="798"/>
      <c r="G920" s="798"/>
      <c r="J920" s="778" t="str">
        <f aca="false">IF(I920="","",H920/I920)</f>
        <v/>
      </c>
      <c r="K920" s="798"/>
      <c r="O920" s="779"/>
      <c r="P920" s="798"/>
      <c r="Q920" s="798"/>
      <c r="R920" s="811"/>
    </row>
    <row r="921" customFormat="false" ht="16.5" hidden="false" customHeight="true" outlineLevel="0" collapsed="false">
      <c r="A921" s="747"/>
      <c r="B921" s="798"/>
      <c r="D921" s="798"/>
      <c r="E921" s="798"/>
      <c r="F921" s="798"/>
      <c r="G921" s="798"/>
      <c r="J921" s="778" t="str">
        <f aca="false">IF(I921="","",H921/I921)</f>
        <v/>
      </c>
      <c r="K921" s="798"/>
      <c r="O921" s="779"/>
      <c r="P921" s="798"/>
      <c r="Q921" s="798"/>
      <c r="R921" s="811"/>
    </row>
    <row r="922" customFormat="false" ht="16.5" hidden="false" customHeight="true" outlineLevel="0" collapsed="false">
      <c r="A922" s="747"/>
      <c r="B922" s="798"/>
      <c r="D922" s="798"/>
      <c r="E922" s="798"/>
      <c r="F922" s="798"/>
      <c r="G922" s="798"/>
      <c r="J922" s="778" t="str">
        <f aca="false">IF(I922="","",H922/I922)</f>
        <v/>
      </c>
      <c r="K922" s="798"/>
      <c r="O922" s="779"/>
      <c r="P922" s="798"/>
      <c r="Q922" s="798"/>
      <c r="R922" s="811"/>
    </row>
    <row r="923" customFormat="false" ht="16.5" hidden="false" customHeight="true" outlineLevel="0" collapsed="false">
      <c r="A923" s="747"/>
      <c r="B923" s="798"/>
      <c r="D923" s="798"/>
      <c r="E923" s="798"/>
      <c r="F923" s="798"/>
      <c r="G923" s="798"/>
      <c r="J923" s="778" t="str">
        <f aca="false">IF(I923="","",H923/I923)</f>
        <v/>
      </c>
      <c r="K923" s="798"/>
      <c r="O923" s="779"/>
      <c r="P923" s="798"/>
      <c r="Q923" s="798"/>
      <c r="R923" s="811"/>
    </row>
    <row r="924" customFormat="false" ht="16.5" hidden="false" customHeight="true" outlineLevel="0" collapsed="false">
      <c r="A924" s="747"/>
      <c r="B924" s="798"/>
      <c r="D924" s="798"/>
      <c r="E924" s="798"/>
      <c r="F924" s="798"/>
      <c r="G924" s="798"/>
      <c r="J924" s="778" t="str">
        <f aca="false">IF(I924="","",H924/I924)</f>
        <v/>
      </c>
      <c r="K924" s="798"/>
      <c r="O924" s="779"/>
      <c r="P924" s="798"/>
      <c r="Q924" s="798"/>
      <c r="R924" s="811"/>
    </row>
    <row r="925" customFormat="false" ht="16.5" hidden="false" customHeight="true" outlineLevel="0" collapsed="false">
      <c r="A925" s="747"/>
      <c r="B925" s="798"/>
      <c r="D925" s="798"/>
      <c r="E925" s="798"/>
      <c r="F925" s="798"/>
      <c r="G925" s="798"/>
      <c r="J925" s="778" t="str">
        <f aca="false">IF(I925="","",H925/I925)</f>
        <v/>
      </c>
      <c r="K925" s="798"/>
      <c r="O925" s="779"/>
      <c r="P925" s="798"/>
      <c r="Q925" s="798"/>
      <c r="R925" s="811"/>
    </row>
    <row r="926" customFormat="false" ht="16.5" hidden="false" customHeight="true" outlineLevel="0" collapsed="false">
      <c r="A926" s="747"/>
      <c r="B926" s="798"/>
      <c r="D926" s="798"/>
      <c r="E926" s="798"/>
      <c r="F926" s="798"/>
      <c r="G926" s="798"/>
      <c r="J926" s="778" t="str">
        <f aca="false">IF(I926="","",H926/I926)</f>
        <v/>
      </c>
      <c r="K926" s="798"/>
      <c r="O926" s="779"/>
      <c r="P926" s="798"/>
      <c r="Q926" s="798"/>
      <c r="R926" s="811"/>
    </row>
    <row r="927" customFormat="false" ht="16.5" hidden="false" customHeight="true" outlineLevel="0" collapsed="false">
      <c r="A927" s="747"/>
      <c r="B927" s="798"/>
      <c r="D927" s="798"/>
      <c r="E927" s="798"/>
      <c r="F927" s="798"/>
      <c r="G927" s="798"/>
      <c r="J927" s="778" t="str">
        <f aca="false">IF(I927="","",H927/I927)</f>
        <v/>
      </c>
      <c r="K927" s="798"/>
      <c r="O927" s="779"/>
      <c r="P927" s="798"/>
      <c r="Q927" s="798"/>
      <c r="R927" s="811"/>
    </row>
    <row r="928" customFormat="false" ht="16.5" hidden="false" customHeight="true" outlineLevel="0" collapsed="false">
      <c r="A928" s="747"/>
      <c r="B928" s="798"/>
      <c r="D928" s="798"/>
      <c r="E928" s="798"/>
      <c r="F928" s="798"/>
      <c r="G928" s="798"/>
      <c r="J928" s="778" t="str">
        <f aca="false">IF(I928="","",H928/I928)</f>
        <v/>
      </c>
      <c r="K928" s="798"/>
      <c r="O928" s="779"/>
      <c r="P928" s="798"/>
      <c r="Q928" s="798"/>
      <c r="R928" s="811"/>
    </row>
    <row r="929" customFormat="false" ht="16.5" hidden="false" customHeight="true" outlineLevel="0" collapsed="false">
      <c r="A929" s="747"/>
      <c r="B929" s="798"/>
      <c r="D929" s="798"/>
      <c r="E929" s="798"/>
      <c r="F929" s="798"/>
      <c r="G929" s="798"/>
      <c r="J929" s="778" t="str">
        <f aca="false">IF(I929="","",H929/I929)</f>
        <v/>
      </c>
      <c r="K929" s="798"/>
      <c r="O929" s="779"/>
      <c r="P929" s="798"/>
      <c r="Q929" s="798"/>
      <c r="R929" s="811"/>
    </row>
    <row r="930" customFormat="false" ht="16.5" hidden="false" customHeight="true" outlineLevel="0" collapsed="false">
      <c r="A930" s="747"/>
      <c r="B930" s="798"/>
      <c r="D930" s="798"/>
      <c r="E930" s="798"/>
      <c r="F930" s="798"/>
      <c r="G930" s="798"/>
      <c r="J930" s="778" t="str">
        <f aca="false">IF(I930="","",H930/I930)</f>
        <v/>
      </c>
      <c r="K930" s="798"/>
      <c r="O930" s="779"/>
      <c r="P930" s="798"/>
      <c r="Q930" s="798"/>
      <c r="R930" s="811"/>
    </row>
    <row r="931" customFormat="false" ht="16.5" hidden="false" customHeight="true" outlineLevel="0" collapsed="false">
      <c r="A931" s="747"/>
      <c r="B931" s="798"/>
      <c r="D931" s="798"/>
      <c r="E931" s="798"/>
      <c r="F931" s="798"/>
      <c r="G931" s="798"/>
      <c r="J931" s="778" t="str">
        <f aca="false">IF(I931="","",H931/I931)</f>
        <v/>
      </c>
      <c r="K931" s="798"/>
      <c r="O931" s="779"/>
      <c r="P931" s="798"/>
      <c r="Q931" s="798"/>
      <c r="R931" s="811"/>
    </row>
    <row r="932" customFormat="false" ht="16.5" hidden="false" customHeight="true" outlineLevel="0" collapsed="false">
      <c r="A932" s="747"/>
      <c r="B932" s="798"/>
      <c r="D932" s="798"/>
      <c r="E932" s="798"/>
      <c r="F932" s="798"/>
      <c r="G932" s="798"/>
      <c r="J932" s="778" t="str">
        <f aca="false">IF(I932="","",H932/I932)</f>
        <v/>
      </c>
      <c r="K932" s="798"/>
      <c r="O932" s="779"/>
      <c r="P932" s="798"/>
      <c r="Q932" s="798"/>
      <c r="R932" s="811"/>
    </row>
    <row r="933" customFormat="false" ht="16.5" hidden="false" customHeight="true" outlineLevel="0" collapsed="false">
      <c r="A933" s="747"/>
      <c r="B933" s="798"/>
      <c r="D933" s="798"/>
      <c r="E933" s="798"/>
      <c r="F933" s="798"/>
      <c r="G933" s="798"/>
      <c r="J933" s="778" t="str">
        <f aca="false">IF(I933="","",H933/I933)</f>
        <v/>
      </c>
      <c r="K933" s="798"/>
      <c r="O933" s="779"/>
      <c r="P933" s="798"/>
      <c r="Q933" s="798"/>
      <c r="R933" s="811"/>
    </row>
    <row r="934" customFormat="false" ht="16.5" hidden="false" customHeight="true" outlineLevel="0" collapsed="false">
      <c r="A934" s="747"/>
      <c r="B934" s="798"/>
      <c r="D934" s="798"/>
      <c r="E934" s="798"/>
      <c r="F934" s="798"/>
      <c r="G934" s="798"/>
      <c r="J934" s="778" t="str">
        <f aca="false">IF(I934="","",H934/I934)</f>
        <v/>
      </c>
      <c r="K934" s="798"/>
      <c r="O934" s="779"/>
      <c r="P934" s="798"/>
      <c r="Q934" s="798"/>
      <c r="R934" s="811"/>
    </row>
    <row r="935" customFormat="false" ht="16.5" hidden="false" customHeight="true" outlineLevel="0" collapsed="false">
      <c r="A935" s="747"/>
      <c r="B935" s="798"/>
      <c r="D935" s="798"/>
      <c r="E935" s="798"/>
      <c r="F935" s="798"/>
      <c r="G935" s="798"/>
      <c r="J935" s="778" t="str">
        <f aca="false">IF(I935="","",H935/I935)</f>
        <v/>
      </c>
      <c r="K935" s="798"/>
      <c r="O935" s="779"/>
      <c r="P935" s="798"/>
      <c r="Q935" s="798"/>
      <c r="R935" s="811"/>
    </row>
    <row r="936" customFormat="false" ht="16.5" hidden="false" customHeight="true" outlineLevel="0" collapsed="false">
      <c r="A936" s="747"/>
      <c r="B936" s="798"/>
      <c r="D936" s="798"/>
      <c r="E936" s="798"/>
      <c r="F936" s="798"/>
      <c r="G936" s="798"/>
      <c r="J936" s="778" t="str">
        <f aca="false">IF(I936="","",H936/I936)</f>
        <v/>
      </c>
      <c r="K936" s="798"/>
      <c r="O936" s="779"/>
      <c r="P936" s="798"/>
      <c r="Q936" s="798"/>
      <c r="R936" s="811"/>
    </row>
    <row r="937" customFormat="false" ht="16.5" hidden="false" customHeight="true" outlineLevel="0" collapsed="false">
      <c r="A937" s="747"/>
      <c r="B937" s="798"/>
      <c r="D937" s="798"/>
      <c r="E937" s="798"/>
      <c r="F937" s="798"/>
      <c r="G937" s="798"/>
      <c r="J937" s="778" t="str">
        <f aca="false">IF(I937="","",H937/I937)</f>
        <v/>
      </c>
      <c r="K937" s="798"/>
      <c r="O937" s="779"/>
      <c r="P937" s="798"/>
      <c r="Q937" s="798"/>
      <c r="R937" s="811"/>
    </row>
    <row r="938" customFormat="false" ht="16.5" hidden="false" customHeight="true" outlineLevel="0" collapsed="false">
      <c r="A938" s="747"/>
      <c r="B938" s="798"/>
      <c r="D938" s="798"/>
      <c r="E938" s="798"/>
      <c r="F938" s="798"/>
      <c r="G938" s="798"/>
      <c r="J938" s="778" t="str">
        <f aca="false">IF(I938="","",H938/I938)</f>
        <v/>
      </c>
      <c r="K938" s="798"/>
      <c r="O938" s="779"/>
      <c r="P938" s="798"/>
      <c r="Q938" s="798"/>
      <c r="R938" s="811"/>
    </row>
    <row r="939" customFormat="false" ht="16.5" hidden="false" customHeight="true" outlineLevel="0" collapsed="false">
      <c r="A939" s="747"/>
      <c r="B939" s="798"/>
      <c r="D939" s="798"/>
      <c r="E939" s="798"/>
      <c r="F939" s="798"/>
      <c r="G939" s="798"/>
      <c r="J939" s="778" t="str">
        <f aca="false">IF(I939="","",H939/I939)</f>
        <v/>
      </c>
      <c r="K939" s="798"/>
      <c r="O939" s="779"/>
      <c r="P939" s="798"/>
      <c r="Q939" s="798"/>
      <c r="R939" s="811"/>
    </row>
    <row r="940" customFormat="false" ht="16.5" hidden="false" customHeight="true" outlineLevel="0" collapsed="false">
      <c r="A940" s="747"/>
      <c r="B940" s="798"/>
      <c r="D940" s="798"/>
      <c r="E940" s="798"/>
      <c r="F940" s="798"/>
      <c r="G940" s="798"/>
      <c r="J940" s="778" t="str">
        <f aca="false">IF(I940="","",H940/I940)</f>
        <v/>
      </c>
      <c r="K940" s="798"/>
      <c r="O940" s="779"/>
      <c r="P940" s="798"/>
      <c r="Q940" s="798"/>
      <c r="R940" s="811"/>
    </row>
    <row r="941" customFormat="false" ht="16.5" hidden="false" customHeight="true" outlineLevel="0" collapsed="false">
      <c r="A941" s="747"/>
      <c r="B941" s="798"/>
      <c r="D941" s="798"/>
      <c r="E941" s="798"/>
      <c r="F941" s="798"/>
      <c r="G941" s="798"/>
      <c r="J941" s="778" t="str">
        <f aca="false">IF(I941="","",H941/I941)</f>
        <v/>
      </c>
      <c r="K941" s="798"/>
      <c r="O941" s="779"/>
      <c r="P941" s="798"/>
      <c r="Q941" s="798"/>
      <c r="R941" s="811"/>
    </row>
    <row r="942" customFormat="false" ht="16.5" hidden="false" customHeight="true" outlineLevel="0" collapsed="false">
      <c r="A942" s="747"/>
      <c r="B942" s="798"/>
      <c r="D942" s="798"/>
      <c r="E942" s="798"/>
      <c r="F942" s="798"/>
      <c r="G942" s="798"/>
      <c r="J942" s="778" t="str">
        <f aca="false">IF(I942="","",H942/I942)</f>
        <v/>
      </c>
      <c r="K942" s="798"/>
      <c r="O942" s="779"/>
      <c r="P942" s="798"/>
      <c r="Q942" s="798"/>
      <c r="R942" s="811"/>
    </row>
    <row r="943" customFormat="false" ht="16.5" hidden="false" customHeight="true" outlineLevel="0" collapsed="false">
      <c r="A943" s="747"/>
      <c r="B943" s="798"/>
      <c r="D943" s="798"/>
      <c r="E943" s="798"/>
      <c r="F943" s="798"/>
      <c r="G943" s="798"/>
      <c r="J943" s="778" t="str">
        <f aca="false">IF(I943="","",H943/I943)</f>
        <v/>
      </c>
      <c r="K943" s="798"/>
      <c r="O943" s="779"/>
      <c r="P943" s="798"/>
      <c r="Q943" s="798"/>
      <c r="R943" s="811"/>
    </row>
    <row r="944" customFormat="false" ht="16.5" hidden="false" customHeight="true" outlineLevel="0" collapsed="false">
      <c r="A944" s="747"/>
      <c r="B944" s="798"/>
      <c r="D944" s="798"/>
      <c r="E944" s="798"/>
      <c r="F944" s="798"/>
      <c r="G944" s="798"/>
      <c r="J944" s="778" t="str">
        <f aca="false">IF(I944="","",H944/I944)</f>
        <v/>
      </c>
      <c r="K944" s="798"/>
      <c r="O944" s="779"/>
      <c r="P944" s="798"/>
      <c r="Q944" s="798"/>
      <c r="R944" s="811"/>
    </row>
    <row r="945" customFormat="false" ht="16.5" hidden="false" customHeight="true" outlineLevel="0" collapsed="false">
      <c r="A945" s="747"/>
      <c r="B945" s="798"/>
      <c r="D945" s="798"/>
      <c r="E945" s="798"/>
      <c r="F945" s="798"/>
      <c r="G945" s="798"/>
      <c r="J945" s="778" t="str">
        <f aca="false">IF(I945="","",H945/I945)</f>
        <v/>
      </c>
      <c r="K945" s="798"/>
      <c r="O945" s="779"/>
      <c r="P945" s="798"/>
      <c r="Q945" s="798"/>
      <c r="R945" s="811"/>
    </row>
    <row r="946" customFormat="false" ht="16.5" hidden="false" customHeight="true" outlineLevel="0" collapsed="false">
      <c r="A946" s="747"/>
      <c r="B946" s="798"/>
      <c r="D946" s="798"/>
      <c r="E946" s="798"/>
      <c r="F946" s="798"/>
      <c r="G946" s="798"/>
      <c r="J946" s="778" t="str">
        <f aca="false">IF(I946="","",H946/I946)</f>
        <v/>
      </c>
      <c r="K946" s="798"/>
      <c r="O946" s="779"/>
      <c r="P946" s="798"/>
      <c r="Q946" s="798"/>
      <c r="R946" s="811"/>
    </row>
    <row r="947" customFormat="false" ht="16.5" hidden="false" customHeight="true" outlineLevel="0" collapsed="false">
      <c r="A947" s="747"/>
      <c r="B947" s="798"/>
      <c r="D947" s="798"/>
      <c r="E947" s="798"/>
      <c r="F947" s="798"/>
      <c r="G947" s="798"/>
      <c r="J947" s="778" t="str">
        <f aca="false">IF(I947="","",H947/I947)</f>
        <v/>
      </c>
      <c r="K947" s="798"/>
      <c r="O947" s="779"/>
      <c r="P947" s="798"/>
      <c r="Q947" s="798"/>
      <c r="R947" s="811"/>
    </row>
    <row r="948" customFormat="false" ht="16.5" hidden="false" customHeight="true" outlineLevel="0" collapsed="false">
      <c r="A948" s="747"/>
      <c r="B948" s="798"/>
      <c r="D948" s="798"/>
      <c r="E948" s="798"/>
      <c r="F948" s="798"/>
      <c r="G948" s="798"/>
      <c r="J948" s="778" t="str">
        <f aca="false">IF(I948="","",H948/I948)</f>
        <v/>
      </c>
      <c r="K948" s="798"/>
      <c r="O948" s="779"/>
      <c r="P948" s="798"/>
      <c r="Q948" s="798"/>
      <c r="R948" s="811"/>
    </row>
    <row r="949" customFormat="false" ht="16.5" hidden="false" customHeight="true" outlineLevel="0" collapsed="false">
      <c r="A949" s="747"/>
      <c r="B949" s="798"/>
      <c r="D949" s="798"/>
      <c r="E949" s="798"/>
      <c r="F949" s="798"/>
      <c r="G949" s="798"/>
      <c r="J949" s="778" t="str">
        <f aca="false">IF(I949="","",H949/I949)</f>
        <v/>
      </c>
      <c r="K949" s="798"/>
      <c r="O949" s="779"/>
      <c r="P949" s="798"/>
      <c r="Q949" s="798"/>
      <c r="R949" s="811"/>
    </row>
    <row r="950" customFormat="false" ht="16.5" hidden="false" customHeight="true" outlineLevel="0" collapsed="false">
      <c r="A950" s="747"/>
      <c r="B950" s="798"/>
      <c r="D950" s="798"/>
      <c r="E950" s="798"/>
      <c r="F950" s="798"/>
      <c r="G950" s="798"/>
      <c r="J950" s="778" t="str">
        <f aca="false">IF(I950="","",H950/I950)</f>
        <v/>
      </c>
      <c r="K950" s="798"/>
      <c r="O950" s="779"/>
      <c r="P950" s="798"/>
      <c r="Q950" s="798"/>
      <c r="R950" s="811"/>
    </row>
    <row r="951" customFormat="false" ht="16.5" hidden="false" customHeight="true" outlineLevel="0" collapsed="false">
      <c r="A951" s="747"/>
      <c r="B951" s="798"/>
      <c r="D951" s="798"/>
      <c r="E951" s="798"/>
      <c r="F951" s="798"/>
      <c r="G951" s="798"/>
      <c r="J951" s="778" t="str">
        <f aca="false">IF(I951="","",H951/I951)</f>
        <v/>
      </c>
      <c r="K951" s="798"/>
      <c r="O951" s="779"/>
      <c r="P951" s="798"/>
      <c r="Q951" s="798"/>
      <c r="R951" s="811"/>
    </row>
    <row r="952" customFormat="false" ht="16.5" hidden="false" customHeight="true" outlineLevel="0" collapsed="false">
      <c r="A952" s="747"/>
      <c r="B952" s="798"/>
      <c r="D952" s="798"/>
      <c r="E952" s="798"/>
      <c r="F952" s="798"/>
      <c r="G952" s="798"/>
      <c r="J952" s="778" t="str">
        <f aca="false">IF(I952="","",H952/I952)</f>
        <v/>
      </c>
      <c r="K952" s="798"/>
      <c r="O952" s="779"/>
      <c r="P952" s="798"/>
      <c r="Q952" s="798"/>
      <c r="R952" s="811"/>
    </row>
    <row r="953" customFormat="false" ht="16.5" hidden="false" customHeight="true" outlineLevel="0" collapsed="false">
      <c r="A953" s="747"/>
      <c r="B953" s="798"/>
      <c r="D953" s="798"/>
      <c r="E953" s="798"/>
      <c r="F953" s="798"/>
      <c r="G953" s="798"/>
      <c r="J953" s="778" t="str">
        <f aca="false">IF(I953="","",H953/I953)</f>
        <v/>
      </c>
      <c r="K953" s="798"/>
      <c r="O953" s="779"/>
      <c r="P953" s="798"/>
      <c r="Q953" s="798"/>
      <c r="R953" s="811"/>
    </row>
    <row r="954" customFormat="false" ht="16.5" hidden="false" customHeight="true" outlineLevel="0" collapsed="false">
      <c r="A954" s="747"/>
      <c r="B954" s="798"/>
      <c r="D954" s="798"/>
      <c r="E954" s="798"/>
      <c r="F954" s="798"/>
      <c r="G954" s="798"/>
      <c r="J954" s="778" t="str">
        <f aca="false">IF(I954="","",H954/I954)</f>
        <v/>
      </c>
      <c r="K954" s="798"/>
      <c r="O954" s="779"/>
      <c r="P954" s="798"/>
      <c r="Q954" s="798"/>
      <c r="R954" s="811"/>
    </row>
    <row r="955" customFormat="false" ht="16.5" hidden="false" customHeight="true" outlineLevel="0" collapsed="false">
      <c r="A955" s="747"/>
      <c r="B955" s="798"/>
      <c r="D955" s="798"/>
      <c r="E955" s="798"/>
      <c r="F955" s="798"/>
      <c r="G955" s="798"/>
      <c r="J955" s="778" t="str">
        <f aca="false">IF(I955="","",H955/I955)</f>
        <v/>
      </c>
      <c r="K955" s="798"/>
      <c r="O955" s="779"/>
      <c r="P955" s="798"/>
      <c r="Q955" s="798"/>
      <c r="R955" s="811"/>
    </row>
    <row r="956" customFormat="false" ht="16.5" hidden="false" customHeight="true" outlineLevel="0" collapsed="false">
      <c r="A956" s="747"/>
      <c r="B956" s="798"/>
      <c r="D956" s="798"/>
      <c r="E956" s="798"/>
      <c r="F956" s="798"/>
      <c r="G956" s="798"/>
      <c r="J956" s="778" t="str">
        <f aca="false">IF(I956="","",H956/I956)</f>
        <v/>
      </c>
      <c r="K956" s="798"/>
      <c r="O956" s="779"/>
      <c r="P956" s="798"/>
      <c r="Q956" s="798"/>
      <c r="R956" s="811"/>
    </row>
    <row r="957" customFormat="false" ht="16.5" hidden="false" customHeight="true" outlineLevel="0" collapsed="false">
      <c r="A957" s="747"/>
      <c r="B957" s="798"/>
      <c r="D957" s="798"/>
      <c r="E957" s="798"/>
      <c r="F957" s="798"/>
      <c r="G957" s="798"/>
      <c r="J957" s="778" t="str">
        <f aca="false">IF(I957="","",H957/I957)</f>
        <v/>
      </c>
      <c r="K957" s="798"/>
      <c r="O957" s="779"/>
      <c r="P957" s="798"/>
      <c r="Q957" s="798"/>
      <c r="R957" s="811"/>
    </row>
    <row r="958" customFormat="false" ht="16.5" hidden="false" customHeight="true" outlineLevel="0" collapsed="false">
      <c r="A958" s="747"/>
      <c r="B958" s="798"/>
      <c r="D958" s="798"/>
      <c r="E958" s="798"/>
      <c r="F958" s="798"/>
      <c r="G958" s="798"/>
      <c r="J958" s="778" t="str">
        <f aca="false">IF(I958="","",H958/I958)</f>
        <v/>
      </c>
      <c r="K958" s="798"/>
      <c r="O958" s="779"/>
      <c r="P958" s="798"/>
      <c r="Q958" s="798"/>
      <c r="R958" s="811"/>
    </row>
    <row r="959" customFormat="false" ht="16.5" hidden="false" customHeight="true" outlineLevel="0" collapsed="false">
      <c r="A959" s="747"/>
      <c r="B959" s="798"/>
      <c r="D959" s="798"/>
      <c r="E959" s="798"/>
      <c r="F959" s="798"/>
      <c r="G959" s="798"/>
      <c r="J959" s="778" t="str">
        <f aca="false">IF(I959="","",H959/I959)</f>
        <v/>
      </c>
      <c r="K959" s="798"/>
      <c r="O959" s="779"/>
      <c r="P959" s="798"/>
      <c r="Q959" s="798"/>
      <c r="R959" s="811"/>
    </row>
    <row r="960" customFormat="false" ht="16.5" hidden="false" customHeight="true" outlineLevel="0" collapsed="false">
      <c r="A960" s="747"/>
      <c r="B960" s="798"/>
      <c r="D960" s="798"/>
      <c r="E960" s="798"/>
      <c r="F960" s="798"/>
      <c r="G960" s="798"/>
      <c r="J960" s="778" t="str">
        <f aca="false">IF(I960="","",H960/I960)</f>
        <v/>
      </c>
      <c r="K960" s="798"/>
      <c r="O960" s="779"/>
      <c r="P960" s="798"/>
      <c r="Q960" s="798"/>
      <c r="R960" s="811"/>
    </row>
    <row r="961" customFormat="false" ht="16.5" hidden="false" customHeight="true" outlineLevel="0" collapsed="false">
      <c r="A961" s="747"/>
      <c r="B961" s="798"/>
      <c r="D961" s="798"/>
      <c r="E961" s="798"/>
      <c r="F961" s="798"/>
      <c r="G961" s="798"/>
      <c r="J961" s="778" t="str">
        <f aca="false">IF(I961="","",H961/I961)</f>
        <v/>
      </c>
      <c r="K961" s="798"/>
      <c r="O961" s="779"/>
      <c r="P961" s="798"/>
      <c r="Q961" s="798"/>
      <c r="R961" s="811"/>
    </row>
    <row r="962" customFormat="false" ht="16.5" hidden="false" customHeight="true" outlineLevel="0" collapsed="false">
      <c r="A962" s="747"/>
      <c r="B962" s="798"/>
      <c r="D962" s="798"/>
      <c r="E962" s="798"/>
      <c r="F962" s="798"/>
      <c r="G962" s="798"/>
      <c r="J962" s="778" t="str">
        <f aca="false">IF(I962="","",H962/I962)</f>
        <v/>
      </c>
      <c r="K962" s="798"/>
      <c r="O962" s="779"/>
      <c r="P962" s="798"/>
      <c r="Q962" s="798"/>
      <c r="R962" s="811"/>
    </row>
    <row r="963" customFormat="false" ht="16.5" hidden="false" customHeight="true" outlineLevel="0" collapsed="false">
      <c r="A963" s="747"/>
      <c r="B963" s="798"/>
      <c r="D963" s="798"/>
      <c r="E963" s="798"/>
      <c r="F963" s="798"/>
      <c r="G963" s="798"/>
      <c r="J963" s="778" t="str">
        <f aca="false">IF(I963="","",H963/I963)</f>
        <v/>
      </c>
      <c r="K963" s="798"/>
      <c r="O963" s="779"/>
      <c r="P963" s="798"/>
      <c r="Q963" s="798"/>
      <c r="R963" s="811"/>
    </row>
    <row r="964" customFormat="false" ht="16.5" hidden="false" customHeight="true" outlineLevel="0" collapsed="false">
      <c r="A964" s="747"/>
      <c r="B964" s="798"/>
      <c r="D964" s="798"/>
      <c r="E964" s="798"/>
      <c r="F964" s="798"/>
      <c r="G964" s="798"/>
      <c r="J964" s="778" t="str">
        <f aca="false">IF(I964="","",H964/I964)</f>
        <v/>
      </c>
      <c r="K964" s="798"/>
      <c r="O964" s="779"/>
      <c r="P964" s="798"/>
      <c r="Q964" s="798"/>
      <c r="R964" s="811"/>
    </row>
    <row r="965" customFormat="false" ht="16.5" hidden="false" customHeight="true" outlineLevel="0" collapsed="false">
      <c r="A965" s="747"/>
      <c r="B965" s="798"/>
      <c r="D965" s="798"/>
      <c r="E965" s="798"/>
      <c r="F965" s="798"/>
      <c r="G965" s="798"/>
      <c r="J965" s="778" t="str">
        <f aca="false">IF(I965="","",H965/I965)</f>
        <v/>
      </c>
      <c r="K965" s="798"/>
      <c r="O965" s="779"/>
      <c r="P965" s="798"/>
      <c r="Q965" s="798"/>
      <c r="R965" s="811"/>
    </row>
    <row r="966" customFormat="false" ht="16.5" hidden="false" customHeight="true" outlineLevel="0" collapsed="false">
      <c r="A966" s="747"/>
      <c r="B966" s="798"/>
      <c r="D966" s="798"/>
      <c r="E966" s="798"/>
      <c r="F966" s="798"/>
      <c r="G966" s="798"/>
      <c r="J966" s="778" t="str">
        <f aca="false">IF(I966="","",H966/I966)</f>
        <v/>
      </c>
      <c r="K966" s="798"/>
      <c r="O966" s="779"/>
      <c r="P966" s="798"/>
      <c r="Q966" s="798"/>
      <c r="R966" s="811"/>
    </row>
    <row r="967" customFormat="false" ht="16.5" hidden="false" customHeight="true" outlineLevel="0" collapsed="false">
      <c r="A967" s="747"/>
      <c r="B967" s="798"/>
      <c r="D967" s="798"/>
      <c r="E967" s="798"/>
      <c r="F967" s="798"/>
      <c r="G967" s="798"/>
      <c r="J967" s="778" t="str">
        <f aca="false">IF(I967="","",H967/I967)</f>
        <v/>
      </c>
      <c r="K967" s="798"/>
      <c r="O967" s="779"/>
      <c r="P967" s="798"/>
      <c r="Q967" s="798"/>
      <c r="R967" s="811"/>
    </row>
    <row r="968" customFormat="false" ht="16.5" hidden="false" customHeight="true" outlineLevel="0" collapsed="false">
      <c r="A968" s="747"/>
      <c r="B968" s="798"/>
      <c r="D968" s="798"/>
      <c r="E968" s="798"/>
      <c r="F968" s="798"/>
      <c r="G968" s="798"/>
      <c r="J968" s="778" t="str">
        <f aca="false">IF(I968="","",H968/I968)</f>
        <v/>
      </c>
      <c r="K968" s="798"/>
      <c r="O968" s="779"/>
      <c r="P968" s="798"/>
      <c r="Q968" s="798"/>
      <c r="R968" s="811"/>
    </row>
    <row r="969" customFormat="false" ht="16.5" hidden="false" customHeight="true" outlineLevel="0" collapsed="false">
      <c r="A969" s="747"/>
      <c r="B969" s="798"/>
      <c r="D969" s="798"/>
      <c r="E969" s="798"/>
      <c r="F969" s="798"/>
      <c r="G969" s="798"/>
      <c r="J969" s="778" t="str">
        <f aca="false">IF(I969="","",H969/I969)</f>
        <v/>
      </c>
      <c r="K969" s="798"/>
      <c r="O969" s="779"/>
      <c r="P969" s="798"/>
      <c r="Q969" s="798"/>
      <c r="R969" s="811"/>
    </row>
    <row r="970" customFormat="false" ht="16.5" hidden="false" customHeight="true" outlineLevel="0" collapsed="false">
      <c r="A970" s="747"/>
      <c r="B970" s="798"/>
      <c r="D970" s="798"/>
      <c r="E970" s="798"/>
      <c r="F970" s="798"/>
      <c r="G970" s="798"/>
      <c r="J970" s="778" t="str">
        <f aca="false">IF(I970="","",H970/I970)</f>
        <v/>
      </c>
      <c r="K970" s="798"/>
      <c r="O970" s="779"/>
      <c r="P970" s="798"/>
      <c r="Q970" s="798"/>
      <c r="R970" s="811"/>
    </row>
    <row r="971" customFormat="false" ht="16.5" hidden="false" customHeight="true" outlineLevel="0" collapsed="false">
      <c r="A971" s="747"/>
      <c r="B971" s="798"/>
      <c r="D971" s="798"/>
      <c r="E971" s="798"/>
      <c r="F971" s="798"/>
      <c r="G971" s="798"/>
      <c r="J971" s="778" t="str">
        <f aca="false">IF(I971="","",H971/I971)</f>
        <v/>
      </c>
      <c r="K971" s="798"/>
      <c r="O971" s="779"/>
      <c r="P971" s="798"/>
      <c r="Q971" s="798"/>
      <c r="R971" s="811"/>
    </row>
    <row r="972" customFormat="false" ht="16.5" hidden="false" customHeight="true" outlineLevel="0" collapsed="false">
      <c r="A972" s="747"/>
      <c r="B972" s="798"/>
      <c r="D972" s="798"/>
      <c r="E972" s="798"/>
      <c r="F972" s="798"/>
      <c r="G972" s="798"/>
      <c r="J972" s="778" t="str">
        <f aca="false">IF(I972="","",H972/I972)</f>
        <v/>
      </c>
      <c r="K972" s="798"/>
      <c r="O972" s="779"/>
      <c r="P972" s="798"/>
      <c r="Q972" s="798"/>
      <c r="R972" s="811"/>
    </row>
    <row r="973" customFormat="false" ht="16.5" hidden="false" customHeight="true" outlineLevel="0" collapsed="false">
      <c r="A973" s="747"/>
      <c r="B973" s="798"/>
      <c r="D973" s="798"/>
      <c r="E973" s="798"/>
      <c r="F973" s="798"/>
      <c r="G973" s="798"/>
      <c r="J973" s="778" t="str">
        <f aca="false">IF(I973="","",H973/I973)</f>
        <v/>
      </c>
      <c r="K973" s="798"/>
      <c r="O973" s="779"/>
      <c r="P973" s="798"/>
      <c r="Q973" s="798"/>
      <c r="R973" s="811"/>
    </row>
    <row r="974" customFormat="false" ht="16.5" hidden="false" customHeight="true" outlineLevel="0" collapsed="false">
      <c r="A974" s="747"/>
      <c r="B974" s="798"/>
      <c r="D974" s="798"/>
      <c r="E974" s="798"/>
      <c r="F974" s="798"/>
      <c r="G974" s="798"/>
      <c r="J974" s="778" t="str">
        <f aca="false">IF(I974="","",H974/I974)</f>
        <v/>
      </c>
      <c r="K974" s="798"/>
      <c r="O974" s="779"/>
      <c r="P974" s="798"/>
      <c r="Q974" s="798"/>
      <c r="R974" s="811"/>
    </row>
    <row r="975" customFormat="false" ht="16.5" hidden="false" customHeight="true" outlineLevel="0" collapsed="false">
      <c r="A975" s="747"/>
      <c r="B975" s="798"/>
      <c r="D975" s="798"/>
      <c r="E975" s="798"/>
      <c r="F975" s="798"/>
      <c r="G975" s="798"/>
      <c r="J975" s="778" t="str">
        <f aca="false">IF(I975="","",H975/I975)</f>
        <v/>
      </c>
      <c r="K975" s="798"/>
      <c r="O975" s="779"/>
      <c r="P975" s="798"/>
      <c r="Q975" s="798"/>
      <c r="R975" s="811"/>
    </row>
    <row r="976" customFormat="false" ht="16.5" hidden="false" customHeight="true" outlineLevel="0" collapsed="false">
      <c r="A976" s="747"/>
      <c r="B976" s="798"/>
      <c r="D976" s="798"/>
      <c r="E976" s="798"/>
      <c r="F976" s="798"/>
      <c r="G976" s="798"/>
      <c r="J976" s="778" t="str">
        <f aca="false">IF(I976="","",H976/I976)</f>
        <v/>
      </c>
      <c r="K976" s="798"/>
      <c r="O976" s="779"/>
      <c r="P976" s="798"/>
      <c r="Q976" s="798"/>
      <c r="R976" s="811"/>
    </row>
    <row r="977" customFormat="false" ht="16.5" hidden="false" customHeight="true" outlineLevel="0" collapsed="false">
      <c r="A977" s="747"/>
      <c r="B977" s="798"/>
      <c r="D977" s="798"/>
      <c r="E977" s="798"/>
      <c r="F977" s="798"/>
      <c r="G977" s="798"/>
      <c r="J977" s="778" t="str">
        <f aca="false">IF(I977="","",H977/I977)</f>
        <v/>
      </c>
      <c r="K977" s="798"/>
      <c r="O977" s="779"/>
      <c r="P977" s="798"/>
      <c r="Q977" s="798"/>
      <c r="R977" s="811"/>
    </row>
    <row r="978" customFormat="false" ht="16.5" hidden="false" customHeight="true" outlineLevel="0" collapsed="false">
      <c r="A978" s="747"/>
      <c r="B978" s="798"/>
      <c r="D978" s="798"/>
      <c r="E978" s="798"/>
      <c r="F978" s="798"/>
      <c r="G978" s="798"/>
      <c r="J978" s="778" t="str">
        <f aca="false">IF(I978="","",H978/I978)</f>
        <v/>
      </c>
      <c r="K978" s="798"/>
      <c r="O978" s="779"/>
      <c r="P978" s="798"/>
      <c r="Q978" s="798"/>
      <c r="R978" s="811"/>
    </row>
    <row r="979" customFormat="false" ht="16.5" hidden="false" customHeight="true" outlineLevel="0" collapsed="false">
      <c r="A979" s="747"/>
      <c r="B979" s="798"/>
      <c r="D979" s="798"/>
      <c r="E979" s="798"/>
      <c r="F979" s="798"/>
      <c r="G979" s="798"/>
      <c r="J979" s="778" t="str">
        <f aca="false">IF(I979="","",H979/I979)</f>
        <v/>
      </c>
      <c r="K979" s="798"/>
      <c r="O979" s="779"/>
      <c r="P979" s="798"/>
      <c r="Q979" s="798"/>
      <c r="R979" s="811"/>
    </row>
    <row r="980" customFormat="false" ht="16.5" hidden="false" customHeight="true" outlineLevel="0" collapsed="false">
      <c r="A980" s="747"/>
      <c r="B980" s="798"/>
      <c r="D980" s="798"/>
      <c r="E980" s="798"/>
      <c r="F980" s="798"/>
      <c r="G980" s="798"/>
      <c r="J980" s="778" t="str">
        <f aca="false">IF(I980="","",H980/I980)</f>
        <v/>
      </c>
      <c r="K980" s="798"/>
      <c r="O980" s="779"/>
      <c r="P980" s="798"/>
      <c r="Q980" s="798"/>
      <c r="R980" s="811"/>
    </row>
    <row r="981" customFormat="false" ht="16.5" hidden="false" customHeight="true" outlineLevel="0" collapsed="false">
      <c r="A981" s="747"/>
      <c r="B981" s="798"/>
      <c r="D981" s="798"/>
      <c r="E981" s="798"/>
      <c r="F981" s="798"/>
      <c r="G981" s="798"/>
      <c r="J981" s="778" t="str">
        <f aca="false">IF(I981="","",H981/I981)</f>
        <v/>
      </c>
      <c r="K981" s="798"/>
      <c r="O981" s="779"/>
      <c r="P981" s="798"/>
      <c r="Q981" s="798"/>
      <c r="R981" s="811"/>
    </row>
    <row r="982" customFormat="false" ht="16.5" hidden="false" customHeight="true" outlineLevel="0" collapsed="false">
      <c r="A982" s="747"/>
      <c r="B982" s="798"/>
      <c r="D982" s="798"/>
      <c r="E982" s="798"/>
      <c r="F982" s="798"/>
      <c r="G982" s="798"/>
      <c r="J982" s="778" t="str">
        <f aca="false">IF(I982="","",H982/I982)</f>
        <v/>
      </c>
      <c r="K982" s="798"/>
      <c r="O982" s="779"/>
      <c r="P982" s="798"/>
      <c r="Q982" s="798"/>
      <c r="R982" s="811"/>
    </row>
    <row r="983" customFormat="false" ht="16.5" hidden="false" customHeight="true" outlineLevel="0" collapsed="false">
      <c r="A983" s="747"/>
      <c r="B983" s="798"/>
      <c r="D983" s="798"/>
      <c r="E983" s="798"/>
      <c r="F983" s="798"/>
      <c r="G983" s="798"/>
      <c r="J983" s="778" t="str">
        <f aca="false">IF(I983="","",H983/I983)</f>
        <v/>
      </c>
      <c r="K983" s="798"/>
      <c r="O983" s="779"/>
      <c r="P983" s="798"/>
      <c r="Q983" s="798"/>
      <c r="R983" s="811"/>
    </row>
    <row r="984" customFormat="false" ht="16.5" hidden="false" customHeight="true" outlineLevel="0" collapsed="false">
      <c r="A984" s="747"/>
      <c r="B984" s="798"/>
      <c r="D984" s="798"/>
      <c r="E984" s="798"/>
      <c r="F984" s="798"/>
      <c r="G984" s="798"/>
      <c r="J984" s="778" t="str">
        <f aca="false">IF(I984="","",H984/I984)</f>
        <v/>
      </c>
      <c r="K984" s="798"/>
      <c r="O984" s="779"/>
      <c r="P984" s="798"/>
      <c r="Q984" s="798"/>
      <c r="R984" s="811"/>
    </row>
    <row r="985" customFormat="false" ht="16.5" hidden="false" customHeight="true" outlineLevel="0" collapsed="false">
      <c r="A985" s="747"/>
      <c r="B985" s="798"/>
      <c r="D985" s="798"/>
      <c r="E985" s="798"/>
      <c r="F985" s="798"/>
      <c r="G985" s="798"/>
      <c r="J985" s="778" t="str">
        <f aca="false">IF(I985="","",H985/I985)</f>
        <v/>
      </c>
      <c r="K985" s="798"/>
      <c r="O985" s="779"/>
      <c r="P985" s="798"/>
      <c r="Q985" s="798"/>
      <c r="R985" s="811"/>
    </row>
    <row r="986" customFormat="false" ht="16.5" hidden="false" customHeight="true" outlineLevel="0" collapsed="false">
      <c r="A986" s="747"/>
      <c r="B986" s="798"/>
      <c r="D986" s="798"/>
      <c r="E986" s="798"/>
      <c r="F986" s="798"/>
      <c r="G986" s="798"/>
      <c r="J986" s="778" t="str">
        <f aca="false">IF(I986="","",H986/I986)</f>
        <v/>
      </c>
      <c r="K986" s="798"/>
      <c r="O986" s="779"/>
      <c r="P986" s="798"/>
      <c r="Q986" s="798"/>
      <c r="R986" s="811"/>
    </row>
    <row r="987" customFormat="false" ht="16.5" hidden="false" customHeight="true" outlineLevel="0" collapsed="false">
      <c r="A987" s="747"/>
      <c r="B987" s="798"/>
      <c r="D987" s="798"/>
      <c r="E987" s="798"/>
      <c r="F987" s="798"/>
      <c r="G987" s="798"/>
      <c r="J987" s="778" t="str">
        <f aca="false">IF(I987="","",H987/I987)</f>
        <v/>
      </c>
      <c r="K987" s="798"/>
      <c r="O987" s="779"/>
      <c r="P987" s="798"/>
      <c r="Q987" s="798"/>
      <c r="R987" s="811"/>
    </row>
    <row r="988" customFormat="false" ht="16.5" hidden="false" customHeight="true" outlineLevel="0" collapsed="false">
      <c r="A988" s="747"/>
      <c r="B988" s="798"/>
      <c r="D988" s="798"/>
      <c r="E988" s="798"/>
      <c r="F988" s="798"/>
      <c r="G988" s="798"/>
      <c r="J988" s="778" t="str">
        <f aca="false">IF(I988="","",H988/I988)</f>
        <v/>
      </c>
      <c r="K988" s="798"/>
      <c r="O988" s="779"/>
      <c r="P988" s="798"/>
      <c r="Q988" s="798"/>
      <c r="R988" s="811"/>
    </row>
    <row r="989" customFormat="false" ht="16.5" hidden="false" customHeight="true" outlineLevel="0" collapsed="false">
      <c r="A989" s="747"/>
      <c r="B989" s="798"/>
      <c r="D989" s="798"/>
      <c r="E989" s="798"/>
      <c r="F989" s="798"/>
      <c r="G989" s="798"/>
      <c r="J989" s="778" t="str">
        <f aca="false">IF(I989="","",H989/I989)</f>
        <v/>
      </c>
      <c r="K989" s="798"/>
      <c r="O989" s="779"/>
      <c r="P989" s="798"/>
      <c r="Q989" s="798"/>
      <c r="R989" s="811"/>
    </row>
    <row r="990" customFormat="false" ht="16.5" hidden="false" customHeight="true" outlineLevel="0" collapsed="false">
      <c r="A990" s="747"/>
      <c r="B990" s="798"/>
      <c r="D990" s="798"/>
      <c r="E990" s="798"/>
      <c r="F990" s="798"/>
      <c r="G990" s="798"/>
      <c r="J990" s="778" t="str">
        <f aca="false">IF(I990="","",H990/I990)</f>
        <v/>
      </c>
      <c r="K990" s="798"/>
      <c r="O990" s="779"/>
      <c r="P990" s="798"/>
      <c r="Q990" s="798"/>
      <c r="R990" s="811"/>
    </row>
    <row r="991" customFormat="false" ht="16.5" hidden="false" customHeight="true" outlineLevel="0" collapsed="false">
      <c r="A991" s="747"/>
      <c r="B991" s="798"/>
      <c r="D991" s="798"/>
      <c r="E991" s="798"/>
      <c r="F991" s="798"/>
      <c r="G991" s="798"/>
      <c r="J991" s="778" t="str">
        <f aca="false">IF(I991="","",H991/I991)</f>
        <v/>
      </c>
      <c r="K991" s="798"/>
      <c r="O991" s="779"/>
      <c r="P991" s="798"/>
      <c r="Q991" s="798"/>
      <c r="R991" s="811"/>
    </row>
    <row r="992" customFormat="false" ht="16.5" hidden="false" customHeight="true" outlineLevel="0" collapsed="false">
      <c r="A992" s="747"/>
      <c r="B992" s="798"/>
      <c r="D992" s="798"/>
      <c r="E992" s="798"/>
      <c r="F992" s="798"/>
      <c r="G992" s="798"/>
      <c r="J992" s="778" t="str">
        <f aca="false">IF(I992="","",H992/I992)</f>
        <v/>
      </c>
      <c r="K992" s="798"/>
      <c r="O992" s="779"/>
      <c r="P992" s="798"/>
      <c r="Q992" s="798"/>
      <c r="R992" s="811"/>
    </row>
    <row r="993" customFormat="false" ht="16.5" hidden="false" customHeight="true" outlineLevel="0" collapsed="false">
      <c r="A993" s="747"/>
      <c r="B993" s="798"/>
      <c r="D993" s="798"/>
      <c r="E993" s="798"/>
      <c r="F993" s="798"/>
      <c r="G993" s="798"/>
      <c r="J993" s="778" t="str">
        <f aca="false">IF(I993="","",H993/I993)</f>
        <v/>
      </c>
      <c r="K993" s="798"/>
      <c r="O993" s="779"/>
      <c r="P993" s="798"/>
      <c r="Q993" s="798"/>
      <c r="R993" s="811"/>
    </row>
    <row r="994" customFormat="false" ht="16.5" hidden="false" customHeight="true" outlineLevel="0" collapsed="false">
      <c r="A994" s="747"/>
      <c r="B994" s="798"/>
      <c r="D994" s="798"/>
      <c r="E994" s="798"/>
      <c r="F994" s="798"/>
      <c r="G994" s="798"/>
      <c r="J994" s="778" t="str">
        <f aca="false">IF(I994="","",H994/I994)</f>
        <v/>
      </c>
      <c r="K994" s="798"/>
      <c r="O994" s="779"/>
      <c r="P994" s="798"/>
      <c r="Q994" s="798"/>
      <c r="R994" s="811"/>
    </row>
    <row r="995" customFormat="false" ht="16.5" hidden="false" customHeight="true" outlineLevel="0" collapsed="false">
      <c r="A995" s="747"/>
      <c r="B995" s="798"/>
      <c r="D995" s="798"/>
      <c r="E995" s="798"/>
      <c r="F995" s="798"/>
      <c r="G995" s="798"/>
      <c r="J995" s="778" t="str">
        <f aca="false">IF(I995="","",H995/I995)</f>
        <v/>
      </c>
      <c r="K995" s="798"/>
      <c r="O995" s="779"/>
      <c r="P995" s="798"/>
      <c r="Q995" s="798"/>
      <c r="R995" s="811"/>
    </row>
    <row r="996" customFormat="false" ht="16.5" hidden="false" customHeight="true" outlineLevel="0" collapsed="false">
      <c r="A996" s="747"/>
      <c r="B996" s="798"/>
      <c r="D996" s="798"/>
      <c r="E996" s="798"/>
      <c r="F996" s="798"/>
      <c r="G996" s="798"/>
      <c r="J996" s="778" t="str">
        <f aca="false">IF(I996="","",H996/I996)</f>
        <v/>
      </c>
      <c r="K996" s="798"/>
      <c r="O996" s="779"/>
      <c r="P996" s="798"/>
      <c r="Q996" s="798"/>
      <c r="R996" s="811"/>
    </row>
    <row r="997" customFormat="false" ht="16.5" hidden="false" customHeight="true" outlineLevel="0" collapsed="false">
      <c r="A997" s="747"/>
      <c r="B997" s="798"/>
      <c r="D997" s="798"/>
      <c r="E997" s="798"/>
      <c r="F997" s="798"/>
      <c r="G997" s="798"/>
      <c r="J997" s="778" t="str">
        <f aca="false">IF(I997="","",H997/I997)</f>
        <v/>
      </c>
      <c r="K997" s="798"/>
      <c r="O997" s="779"/>
      <c r="P997" s="798"/>
      <c r="Q997" s="798"/>
      <c r="R997" s="811"/>
    </row>
    <row r="998" customFormat="false" ht="16.5" hidden="false" customHeight="true" outlineLevel="0" collapsed="false">
      <c r="A998" s="747"/>
      <c r="B998" s="798"/>
      <c r="D998" s="798"/>
      <c r="E998" s="798"/>
      <c r="F998" s="798"/>
      <c r="G998" s="798"/>
      <c r="J998" s="778" t="str">
        <f aca="false">IF(I998="","",H998/I998)</f>
        <v/>
      </c>
      <c r="K998" s="798"/>
      <c r="O998" s="779"/>
      <c r="P998" s="798"/>
      <c r="Q998" s="798"/>
      <c r="R998" s="811"/>
    </row>
    <row r="999" customFormat="false" ht="16.5" hidden="false" customHeight="true" outlineLevel="0" collapsed="false">
      <c r="A999" s="747"/>
      <c r="B999" s="798"/>
      <c r="D999" s="798"/>
      <c r="E999" s="798"/>
      <c r="F999" s="798"/>
      <c r="G999" s="798"/>
      <c r="J999" s="778" t="str">
        <f aca="false">IF(I999="","",H999/I999)</f>
        <v/>
      </c>
      <c r="K999" s="798"/>
      <c r="O999" s="779"/>
      <c r="P999" s="798"/>
      <c r="Q999" s="798"/>
      <c r="R999" s="811"/>
    </row>
    <row r="1000" customFormat="false" ht="16.5" hidden="false" customHeight="true" outlineLevel="0" collapsed="false">
      <c r="A1000" s="747"/>
      <c r="B1000" s="798"/>
      <c r="D1000" s="798"/>
      <c r="E1000" s="798"/>
      <c r="F1000" s="798"/>
      <c r="G1000" s="798"/>
      <c r="J1000" s="778" t="str">
        <f aca="false">IF(I1000="","",H1000/I1000)</f>
        <v/>
      </c>
      <c r="K1000" s="798"/>
      <c r="O1000" s="779"/>
      <c r="P1000" s="798"/>
      <c r="Q1000" s="798"/>
      <c r="R1000" s="811"/>
    </row>
    <row r="1001" customFormat="false" ht="16.5" hidden="false" customHeight="true" outlineLevel="0" collapsed="false">
      <c r="A1001" s="747"/>
      <c r="B1001" s="798"/>
      <c r="D1001" s="798"/>
      <c r="E1001" s="798"/>
      <c r="F1001" s="798"/>
      <c r="G1001" s="798"/>
      <c r="J1001" s="778" t="str">
        <f aca="false">IF(I1001="","",H1001/I1001)</f>
        <v/>
      </c>
      <c r="K1001" s="798"/>
      <c r="O1001" s="779"/>
      <c r="P1001" s="798"/>
      <c r="Q1001" s="798"/>
      <c r="R1001" s="811"/>
    </row>
    <row r="1002" customFormat="false" ht="16.5" hidden="false" customHeight="true" outlineLevel="0" collapsed="false">
      <c r="A1002" s="747"/>
      <c r="B1002" s="798"/>
      <c r="D1002" s="798"/>
      <c r="E1002" s="798"/>
      <c r="F1002" s="798"/>
      <c r="G1002" s="798"/>
      <c r="J1002" s="778" t="str">
        <f aca="false">IF(I1002="","",H1002/I1002)</f>
        <v/>
      </c>
      <c r="K1002" s="798"/>
      <c r="O1002" s="779"/>
      <c r="P1002" s="798"/>
      <c r="Q1002" s="798"/>
      <c r="R1002" s="811"/>
    </row>
    <row r="1003" customFormat="false" ht="16.5" hidden="false" customHeight="true" outlineLevel="0" collapsed="false">
      <c r="A1003" s="747"/>
      <c r="B1003" s="798"/>
      <c r="D1003" s="798"/>
      <c r="E1003" s="798"/>
      <c r="F1003" s="798"/>
      <c r="G1003" s="798"/>
      <c r="J1003" s="778" t="str">
        <f aca="false">IF(I1003="","",H1003/I1003)</f>
        <v/>
      </c>
      <c r="K1003" s="798"/>
      <c r="O1003" s="779"/>
      <c r="P1003" s="798"/>
      <c r="Q1003" s="798"/>
      <c r="R1003" s="811"/>
    </row>
    <row r="1004" customFormat="false" ht="16.5" hidden="false" customHeight="true" outlineLevel="0" collapsed="false">
      <c r="A1004" s="747"/>
      <c r="B1004" s="798"/>
      <c r="D1004" s="798"/>
      <c r="E1004" s="798"/>
      <c r="F1004" s="798"/>
      <c r="G1004" s="798"/>
      <c r="J1004" s="778" t="str">
        <f aca="false">IF(I1004="","",H1004/I1004)</f>
        <v/>
      </c>
      <c r="K1004" s="798"/>
      <c r="O1004" s="779"/>
      <c r="P1004" s="798"/>
      <c r="Q1004" s="798"/>
      <c r="R1004" s="811"/>
    </row>
    <row r="1005" customFormat="false" ht="16.5" hidden="false" customHeight="true" outlineLevel="0" collapsed="false">
      <c r="A1005" s="747"/>
      <c r="B1005" s="798"/>
      <c r="D1005" s="798"/>
      <c r="E1005" s="798"/>
      <c r="F1005" s="798"/>
      <c r="G1005" s="798"/>
      <c r="J1005" s="778" t="str">
        <f aca="false">IF(I1005="","",H1005/I1005)</f>
        <v/>
      </c>
      <c r="K1005" s="798"/>
      <c r="O1005" s="779"/>
      <c r="P1005" s="798"/>
      <c r="Q1005" s="798"/>
      <c r="R1005" s="811"/>
    </row>
    <row r="1006" customFormat="false" ht="16.5" hidden="false" customHeight="true" outlineLevel="0" collapsed="false">
      <c r="A1006" s="747"/>
      <c r="B1006" s="798"/>
      <c r="D1006" s="798"/>
      <c r="E1006" s="798"/>
      <c r="F1006" s="798"/>
      <c r="G1006" s="798"/>
      <c r="J1006" s="778" t="str">
        <f aca="false">IF(I1006="","",H1006/I1006)</f>
        <v/>
      </c>
      <c r="K1006" s="798"/>
      <c r="O1006" s="779"/>
      <c r="P1006" s="798"/>
      <c r="Q1006" s="798"/>
      <c r="R1006" s="811"/>
    </row>
    <row r="1007" customFormat="false" ht="16.5" hidden="false" customHeight="true" outlineLevel="0" collapsed="false">
      <c r="A1007" s="747"/>
      <c r="B1007" s="798"/>
      <c r="D1007" s="798"/>
      <c r="E1007" s="798"/>
      <c r="F1007" s="798"/>
      <c r="G1007" s="798"/>
      <c r="J1007" s="778" t="str">
        <f aca="false">IF(I1007="","",H1007/I1007)</f>
        <v/>
      </c>
      <c r="K1007" s="798"/>
      <c r="O1007" s="779"/>
      <c r="P1007" s="798"/>
      <c r="Q1007" s="798"/>
      <c r="R1007" s="811"/>
    </row>
    <row r="1008" customFormat="false" ht="16.5" hidden="false" customHeight="true" outlineLevel="0" collapsed="false">
      <c r="A1008" s="747"/>
      <c r="B1008" s="798"/>
      <c r="D1008" s="798"/>
      <c r="E1008" s="798"/>
      <c r="F1008" s="798"/>
      <c r="G1008" s="798"/>
      <c r="J1008" s="778" t="str">
        <f aca="false">IF(I1008="","",H1008/I1008)</f>
        <v/>
      </c>
      <c r="K1008" s="798"/>
      <c r="O1008" s="779"/>
      <c r="P1008" s="798"/>
      <c r="Q1008" s="798"/>
      <c r="R1008" s="811"/>
    </row>
    <row r="1009" customFormat="false" ht="16.5" hidden="false" customHeight="true" outlineLevel="0" collapsed="false">
      <c r="A1009" s="747"/>
      <c r="B1009" s="798"/>
      <c r="D1009" s="798"/>
      <c r="E1009" s="798"/>
      <c r="F1009" s="798"/>
      <c r="G1009" s="798"/>
      <c r="J1009" s="778" t="str">
        <f aca="false">IF(I1009="","",H1009/I1009)</f>
        <v/>
      </c>
      <c r="K1009" s="798"/>
      <c r="O1009" s="779"/>
      <c r="P1009" s="798"/>
      <c r="Q1009" s="798"/>
      <c r="R1009" s="811"/>
    </row>
    <row r="1010" customFormat="false" ht="16.5" hidden="false" customHeight="true" outlineLevel="0" collapsed="false">
      <c r="A1010" s="747"/>
      <c r="B1010" s="798"/>
      <c r="D1010" s="798"/>
      <c r="E1010" s="798"/>
      <c r="F1010" s="798"/>
      <c r="G1010" s="798"/>
      <c r="J1010" s="778" t="str">
        <f aca="false">IF(I1010="","",H1010/I1010)</f>
        <v/>
      </c>
      <c r="K1010" s="798"/>
      <c r="O1010" s="779"/>
      <c r="P1010" s="798"/>
      <c r="Q1010" s="798"/>
      <c r="R1010" s="811"/>
    </row>
    <row r="1011" customFormat="false" ht="16.5" hidden="false" customHeight="true" outlineLevel="0" collapsed="false">
      <c r="A1011" s="747"/>
      <c r="B1011" s="798"/>
      <c r="D1011" s="798"/>
      <c r="E1011" s="798"/>
      <c r="F1011" s="798"/>
      <c r="G1011" s="798"/>
      <c r="J1011" s="778" t="str">
        <f aca="false">IF(I1011="","",H1011/I1011)</f>
        <v/>
      </c>
      <c r="K1011" s="798"/>
      <c r="O1011" s="779"/>
      <c r="P1011" s="798"/>
      <c r="Q1011" s="798"/>
      <c r="R1011" s="811"/>
    </row>
    <row r="1012" customFormat="false" ht="16.5" hidden="false" customHeight="true" outlineLevel="0" collapsed="false">
      <c r="A1012" s="747"/>
      <c r="B1012" s="798"/>
      <c r="D1012" s="798"/>
      <c r="E1012" s="798"/>
      <c r="F1012" s="798"/>
      <c r="G1012" s="798"/>
      <c r="J1012" s="778" t="str">
        <f aca="false">IF(I1012="","",H1012/I1012)</f>
        <v/>
      </c>
      <c r="K1012" s="798"/>
      <c r="O1012" s="779"/>
      <c r="P1012" s="798"/>
      <c r="Q1012" s="798"/>
      <c r="R1012" s="811"/>
    </row>
    <row r="1013" customFormat="false" ht="16.5" hidden="false" customHeight="true" outlineLevel="0" collapsed="false">
      <c r="A1013" s="747"/>
      <c r="B1013" s="798"/>
      <c r="D1013" s="798"/>
      <c r="E1013" s="798"/>
      <c r="F1013" s="798"/>
      <c r="G1013" s="798"/>
      <c r="J1013" s="778" t="str">
        <f aca="false">IF(I1013="","",H1013/I1013)</f>
        <v/>
      </c>
      <c r="K1013" s="798"/>
      <c r="O1013" s="779"/>
      <c r="P1013" s="798"/>
      <c r="Q1013" s="798"/>
      <c r="R1013" s="811"/>
    </row>
    <row r="1014" customFormat="false" ht="16.5" hidden="false" customHeight="true" outlineLevel="0" collapsed="false">
      <c r="A1014" s="747"/>
      <c r="B1014" s="798"/>
      <c r="D1014" s="798"/>
      <c r="E1014" s="798"/>
      <c r="F1014" s="798"/>
      <c r="G1014" s="798"/>
      <c r="J1014" s="778" t="str">
        <f aca="false">IF(I1014="","",H1014/I1014)</f>
        <v/>
      </c>
      <c r="K1014" s="798"/>
      <c r="O1014" s="779"/>
      <c r="P1014" s="798"/>
      <c r="Q1014" s="798"/>
      <c r="R1014" s="811"/>
    </row>
    <row r="1015" customFormat="false" ht="16.5" hidden="false" customHeight="true" outlineLevel="0" collapsed="false">
      <c r="A1015" s="747"/>
      <c r="B1015" s="798"/>
      <c r="D1015" s="798"/>
      <c r="E1015" s="798"/>
      <c r="F1015" s="798"/>
      <c r="G1015" s="798"/>
      <c r="J1015" s="778" t="str">
        <f aca="false">IF(I1015="","",H1015/I1015)</f>
        <v/>
      </c>
      <c r="K1015" s="798"/>
      <c r="O1015" s="779"/>
      <c r="P1015" s="798"/>
      <c r="Q1015" s="798"/>
      <c r="R1015" s="811"/>
    </row>
    <row r="1016" customFormat="false" ht="16.5" hidden="false" customHeight="true" outlineLevel="0" collapsed="false">
      <c r="A1016" s="747"/>
      <c r="B1016" s="798"/>
      <c r="D1016" s="798"/>
      <c r="E1016" s="798"/>
      <c r="F1016" s="798"/>
      <c r="G1016" s="798"/>
      <c r="J1016" s="778" t="str">
        <f aca="false">IF(I1016="","",H1016/I1016)</f>
        <v/>
      </c>
      <c r="K1016" s="798"/>
      <c r="O1016" s="779"/>
      <c r="P1016" s="798"/>
      <c r="Q1016" s="798"/>
      <c r="R1016" s="811"/>
    </row>
    <row r="1017" customFormat="false" ht="16.5" hidden="false" customHeight="true" outlineLevel="0" collapsed="false">
      <c r="A1017" s="747"/>
      <c r="B1017" s="798"/>
      <c r="D1017" s="798"/>
      <c r="E1017" s="798"/>
      <c r="F1017" s="798"/>
      <c r="G1017" s="798"/>
      <c r="J1017" s="778" t="str">
        <f aca="false">IF(I1017="","",H1017/I1017)</f>
        <v/>
      </c>
      <c r="K1017" s="798"/>
      <c r="O1017" s="779"/>
      <c r="P1017" s="798"/>
      <c r="Q1017" s="798"/>
      <c r="R1017" s="811"/>
    </row>
    <row r="1018" customFormat="false" ht="16.5" hidden="false" customHeight="true" outlineLevel="0" collapsed="false">
      <c r="A1018" s="747"/>
      <c r="B1018" s="798"/>
      <c r="D1018" s="798"/>
      <c r="E1018" s="798"/>
      <c r="F1018" s="798"/>
      <c r="G1018" s="798"/>
      <c r="J1018" s="778" t="str">
        <f aca="false">IF(I1018="","",H1018/I1018)</f>
        <v/>
      </c>
      <c r="K1018" s="798"/>
      <c r="O1018" s="779"/>
      <c r="P1018" s="798"/>
      <c r="Q1018" s="798"/>
      <c r="R1018" s="811"/>
    </row>
    <row r="1019" customFormat="false" ht="16.5" hidden="false" customHeight="true" outlineLevel="0" collapsed="false">
      <c r="A1019" s="747"/>
      <c r="B1019" s="798"/>
      <c r="D1019" s="798"/>
      <c r="E1019" s="798"/>
      <c r="F1019" s="798"/>
      <c r="G1019" s="798"/>
      <c r="J1019" s="778" t="str">
        <f aca="false">IF(I1019="","",H1019/I1019)</f>
        <v/>
      </c>
      <c r="K1019" s="798"/>
      <c r="O1019" s="779"/>
      <c r="P1019" s="798"/>
      <c r="Q1019" s="798"/>
      <c r="R1019" s="811"/>
    </row>
    <row r="1020" customFormat="false" ht="16.5" hidden="false" customHeight="true" outlineLevel="0" collapsed="false">
      <c r="A1020" s="747"/>
      <c r="B1020" s="798"/>
      <c r="D1020" s="798"/>
      <c r="E1020" s="798"/>
      <c r="F1020" s="798"/>
      <c r="G1020" s="798"/>
      <c r="J1020" s="778" t="str">
        <f aca="false">IF(I1020="","",H1020/I1020)</f>
        <v/>
      </c>
      <c r="K1020" s="798"/>
      <c r="O1020" s="779"/>
      <c r="P1020" s="798"/>
      <c r="Q1020" s="798"/>
      <c r="R1020" s="811"/>
    </row>
    <row r="1021" customFormat="false" ht="16.5" hidden="false" customHeight="true" outlineLevel="0" collapsed="false">
      <c r="A1021" s="747"/>
      <c r="B1021" s="798"/>
      <c r="D1021" s="798"/>
      <c r="E1021" s="798"/>
      <c r="F1021" s="798"/>
      <c r="G1021" s="798"/>
      <c r="J1021" s="778" t="str">
        <f aca="false">IF(I1021="","",H1021/I1021)</f>
        <v/>
      </c>
      <c r="K1021" s="798"/>
      <c r="O1021" s="779"/>
      <c r="P1021" s="798"/>
      <c r="Q1021" s="798"/>
      <c r="R1021" s="811"/>
    </row>
    <row r="1022" customFormat="false" ht="16.5" hidden="false" customHeight="true" outlineLevel="0" collapsed="false">
      <c r="A1022" s="747"/>
      <c r="B1022" s="798"/>
      <c r="D1022" s="798"/>
      <c r="E1022" s="798"/>
      <c r="F1022" s="798"/>
      <c r="G1022" s="798"/>
      <c r="J1022" s="778" t="str">
        <f aca="false">IF(I1022="","",H1022/I1022)</f>
        <v/>
      </c>
      <c r="K1022" s="798"/>
      <c r="O1022" s="779"/>
      <c r="P1022" s="798"/>
      <c r="Q1022" s="798"/>
      <c r="R1022" s="811"/>
    </row>
    <row r="1023" customFormat="false" ht="16.5" hidden="false" customHeight="true" outlineLevel="0" collapsed="false">
      <c r="A1023" s="747"/>
      <c r="B1023" s="798"/>
      <c r="D1023" s="798"/>
      <c r="E1023" s="798"/>
      <c r="F1023" s="798"/>
      <c r="G1023" s="798"/>
      <c r="J1023" s="778" t="str">
        <f aca="false">IF(I1023="","",H1023/I1023)</f>
        <v/>
      </c>
      <c r="K1023" s="798"/>
      <c r="O1023" s="779"/>
      <c r="P1023" s="798"/>
      <c r="Q1023" s="798"/>
      <c r="R1023" s="811"/>
    </row>
    <row r="1024" customFormat="false" ht="16.5" hidden="false" customHeight="true" outlineLevel="0" collapsed="false">
      <c r="A1024" s="747"/>
      <c r="B1024" s="798"/>
      <c r="D1024" s="798"/>
      <c r="E1024" s="798"/>
      <c r="F1024" s="798"/>
      <c r="G1024" s="798"/>
      <c r="J1024" s="778" t="str">
        <f aca="false">IF(I1024="","",H1024/I1024)</f>
        <v/>
      </c>
      <c r="K1024" s="798"/>
      <c r="O1024" s="779"/>
      <c r="P1024" s="798"/>
      <c r="Q1024" s="798"/>
      <c r="R1024" s="811"/>
    </row>
    <row r="1025" customFormat="false" ht="16.5" hidden="false" customHeight="true" outlineLevel="0" collapsed="false">
      <c r="A1025" s="747"/>
      <c r="B1025" s="798"/>
      <c r="D1025" s="798"/>
      <c r="E1025" s="798"/>
      <c r="F1025" s="798"/>
      <c r="G1025" s="798"/>
      <c r="J1025" s="778" t="str">
        <f aca="false">IF(I1025="","",H1025/I1025)</f>
        <v/>
      </c>
      <c r="K1025" s="798"/>
      <c r="O1025" s="779"/>
      <c r="P1025" s="798"/>
      <c r="Q1025" s="798"/>
      <c r="R1025" s="811"/>
    </row>
    <row r="1026" customFormat="false" ht="16.5" hidden="false" customHeight="true" outlineLevel="0" collapsed="false">
      <c r="A1026" s="747"/>
      <c r="B1026" s="798"/>
      <c r="D1026" s="798"/>
      <c r="E1026" s="798"/>
      <c r="F1026" s="798"/>
      <c r="G1026" s="798"/>
      <c r="J1026" s="778" t="str">
        <f aca="false">IF(I1026="","",H1026/I1026)</f>
        <v/>
      </c>
      <c r="K1026" s="798"/>
      <c r="O1026" s="779"/>
      <c r="P1026" s="798"/>
      <c r="Q1026" s="798"/>
      <c r="R1026" s="811"/>
    </row>
    <row r="1027" customFormat="false" ht="16.5" hidden="false" customHeight="true" outlineLevel="0" collapsed="false">
      <c r="A1027" s="747"/>
      <c r="B1027" s="798"/>
      <c r="D1027" s="798"/>
      <c r="E1027" s="798"/>
      <c r="F1027" s="798"/>
      <c r="G1027" s="798"/>
      <c r="J1027" s="778" t="str">
        <f aca="false">IF(I1027="","",H1027/I1027)</f>
        <v/>
      </c>
      <c r="K1027" s="798"/>
      <c r="O1027" s="779"/>
      <c r="P1027" s="798"/>
      <c r="Q1027" s="798"/>
      <c r="R1027" s="811"/>
    </row>
    <row r="1028" customFormat="false" ht="16.5" hidden="false" customHeight="true" outlineLevel="0" collapsed="false">
      <c r="A1028" s="747"/>
      <c r="B1028" s="798"/>
      <c r="D1028" s="798"/>
      <c r="E1028" s="798"/>
      <c r="F1028" s="798"/>
      <c r="G1028" s="798"/>
      <c r="J1028" s="778" t="str">
        <f aca="false">IF(I1028="","",H1028/I1028)</f>
        <v/>
      </c>
      <c r="K1028" s="798"/>
      <c r="O1028" s="779"/>
      <c r="P1028" s="798"/>
      <c r="Q1028" s="798"/>
      <c r="R1028" s="811"/>
    </row>
    <row r="1029" customFormat="false" ht="16.5" hidden="false" customHeight="true" outlineLevel="0" collapsed="false">
      <c r="A1029" s="747"/>
      <c r="B1029" s="798"/>
      <c r="D1029" s="798"/>
      <c r="E1029" s="798"/>
      <c r="F1029" s="798"/>
      <c r="G1029" s="798"/>
      <c r="J1029" s="778" t="str">
        <f aca="false">IF(I1029="","",H1029/I1029)</f>
        <v/>
      </c>
      <c r="K1029" s="798"/>
      <c r="O1029" s="779"/>
      <c r="P1029" s="798"/>
      <c r="Q1029" s="798"/>
      <c r="R1029" s="811"/>
    </row>
    <row r="1030" customFormat="false" ht="16.5" hidden="false" customHeight="true" outlineLevel="0" collapsed="false">
      <c r="A1030" s="747"/>
      <c r="B1030" s="798"/>
      <c r="D1030" s="798"/>
      <c r="E1030" s="798"/>
      <c r="F1030" s="798"/>
      <c r="G1030" s="798"/>
      <c r="J1030" s="778" t="str">
        <f aca="false">IF(I1030="","",H1030/I1030)</f>
        <v/>
      </c>
      <c r="K1030" s="798"/>
      <c r="O1030" s="779"/>
      <c r="P1030" s="798"/>
      <c r="Q1030" s="798"/>
      <c r="R1030" s="811"/>
    </row>
    <row r="1031" customFormat="false" ht="16.5" hidden="false" customHeight="true" outlineLevel="0" collapsed="false">
      <c r="A1031" s="747"/>
      <c r="B1031" s="798"/>
      <c r="D1031" s="798"/>
      <c r="E1031" s="798"/>
      <c r="F1031" s="798"/>
      <c r="G1031" s="798"/>
      <c r="J1031" s="778" t="str">
        <f aca="false">IF(I1031="","",H1031/I1031)</f>
        <v/>
      </c>
      <c r="K1031" s="798"/>
      <c r="O1031" s="779"/>
      <c r="P1031" s="798"/>
      <c r="Q1031" s="798"/>
      <c r="R1031" s="811"/>
    </row>
    <row r="1032" customFormat="false" ht="16.5" hidden="false" customHeight="true" outlineLevel="0" collapsed="false">
      <c r="A1032" s="747"/>
      <c r="B1032" s="798"/>
      <c r="D1032" s="798"/>
      <c r="E1032" s="798"/>
      <c r="F1032" s="798"/>
      <c r="G1032" s="798"/>
      <c r="J1032" s="778" t="str">
        <f aca="false">IF(I1032="","",H1032/I1032)</f>
        <v/>
      </c>
      <c r="K1032" s="798"/>
      <c r="O1032" s="779"/>
      <c r="P1032" s="798"/>
      <c r="Q1032" s="798"/>
      <c r="R1032" s="811"/>
    </row>
    <row r="1033" customFormat="false" ht="16.5" hidden="false" customHeight="true" outlineLevel="0" collapsed="false">
      <c r="A1033" s="747"/>
      <c r="B1033" s="798"/>
      <c r="D1033" s="798"/>
      <c r="E1033" s="798"/>
      <c r="F1033" s="798"/>
      <c r="G1033" s="798"/>
      <c r="J1033" s="778" t="str">
        <f aca="false">IF(I1033="","",H1033/I1033)</f>
        <v/>
      </c>
      <c r="K1033" s="798"/>
      <c r="O1033" s="779"/>
      <c r="P1033" s="798"/>
      <c r="Q1033" s="798"/>
      <c r="R1033" s="811"/>
    </row>
    <row r="1034" customFormat="false" ht="16.5" hidden="false" customHeight="true" outlineLevel="0" collapsed="false">
      <c r="A1034" s="747"/>
      <c r="B1034" s="798"/>
      <c r="D1034" s="798"/>
      <c r="E1034" s="798"/>
      <c r="F1034" s="798"/>
      <c r="G1034" s="798"/>
      <c r="J1034" s="778" t="str">
        <f aca="false">IF(I1034="","",H1034/I1034)</f>
        <v/>
      </c>
      <c r="K1034" s="798"/>
      <c r="O1034" s="779"/>
      <c r="P1034" s="798"/>
      <c r="Q1034" s="798"/>
      <c r="R1034" s="811"/>
    </row>
    <row r="1035" customFormat="false" ht="16.5" hidden="false" customHeight="true" outlineLevel="0" collapsed="false">
      <c r="A1035" s="747"/>
      <c r="B1035" s="798"/>
      <c r="D1035" s="798"/>
      <c r="E1035" s="798"/>
      <c r="F1035" s="798"/>
      <c r="G1035" s="798"/>
      <c r="J1035" s="778" t="str">
        <f aca="false">IF(I1035="","",H1035/I1035)</f>
        <v/>
      </c>
      <c r="K1035" s="798"/>
      <c r="O1035" s="779"/>
      <c r="P1035" s="798"/>
      <c r="Q1035" s="798"/>
      <c r="R1035" s="811"/>
    </row>
    <row r="1036" customFormat="false" ht="16.5" hidden="false" customHeight="true" outlineLevel="0" collapsed="false">
      <c r="A1036" s="747"/>
      <c r="B1036" s="798"/>
      <c r="D1036" s="798"/>
      <c r="E1036" s="798"/>
      <c r="F1036" s="798"/>
      <c r="G1036" s="798"/>
      <c r="J1036" s="778" t="str">
        <f aca="false">IF(I1036="","",H1036/I1036)</f>
        <v/>
      </c>
      <c r="K1036" s="798"/>
      <c r="O1036" s="779"/>
      <c r="P1036" s="798"/>
      <c r="Q1036" s="798"/>
      <c r="R1036" s="811"/>
    </row>
    <row r="1037" customFormat="false" ht="16.5" hidden="false" customHeight="true" outlineLevel="0" collapsed="false">
      <c r="A1037" s="747"/>
      <c r="B1037" s="798"/>
      <c r="D1037" s="798"/>
      <c r="E1037" s="798"/>
      <c r="F1037" s="798"/>
      <c r="G1037" s="798"/>
      <c r="J1037" s="778" t="str">
        <f aca="false">IF(I1037="","",H1037/I1037)</f>
        <v/>
      </c>
      <c r="K1037" s="798"/>
      <c r="O1037" s="779"/>
      <c r="P1037" s="798"/>
      <c r="Q1037" s="798"/>
      <c r="R1037" s="811"/>
    </row>
    <row r="1038" customFormat="false" ht="16.5" hidden="false" customHeight="true" outlineLevel="0" collapsed="false">
      <c r="A1038" s="747"/>
      <c r="B1038" s="798"/>
      <c r="D1038" s="798"/>
      <c r="E1038" s="798"/>
      <c r="F1038" s="798"/>
      <c r="G1038" s="798"/>
      <c r="J1038" s="778" t="str">
        <f aca="false">IF(I1038="","",H1038/I1038)</f>
        <v/>
      </c>
      <c r="K1038" s="798"/>
      <c r="O1038" s="779"/>
      <c r="P1038" s="798"/>
      <c r="Q1038" s="798"/>
      <c r="R1038" s="811"/>
    </row>
    <row r="1039" customFormat="false" ht="16.5" hidden="false" customHeight="true" outlineLevel="0" collapsed="false">
      <c r="A1039" s="747"/>
      <c r="B1039" s="798"/>
      <c r="D1039" s="798"/>
      <c r="E1039" s="798"/>
      <c r="F1039" s="798"/>
      <c r="G1039" s="798"/>
      <c r="J1039" s="778" t="str">
        <f aca="false">IF(I1039="","",H1039/I1039)</f>
        <v/>
      </c>
      <c r="K1039" s="798"/>
      <c r="O1039" s="779"/>
      <c r="P1039" s="798"/>
      <c r="Q1039" s="798"/>
      <c r="R1039" s="811"/>
    </row>
    <row r="1040" customFormat="false" ht="16.5" hidden="false" customHeight="true" outlineLevel="0" collapsed="false">
      <c r="A1040" s="747"/>
      <c r="B1040" s="798"/>
      <c r="D1040" s="798"/>
      <c r="E1040" s="798"/>
      <c r="F1040" s="798"/>
      <c r="G1040" s="798"/>
      <c r="J1040" s="778" t="str">
        <f aca="false">IF(I1040="","",H1040/I1040)</f>
        <v/>
      </c>
      <c r="K1040" s="798"/>
      <c r="O1040" s="779"/>
      <c r="P1040" s="798"/>
      <c r="Q1040" s="798"/>
      <c r="R1040" s="811"/>
    </row>
    <row r="1041" customFormat="false" ht="16.5" hidden="false" customHeight="true" outlineLevel="0" collapsed="false">
      <c r="A1041" s="747"/>
      <c r="B1041" s="798"/>
      <c r="D1041" s="798"/>
      <c r="E1041" s="798"/>
      <c r="F1041" s="798"/>
      <c r="G1041" s="798"/>
      <c r="J1041" s="778" t="str">
        <f aca="false">IF(I1041="","",H1041/I1041)</f>
        <v/>
      </c>
      <c r="K1041" s="798"/>
      <c r="O1041" s="779"/>
      <c r="P1041" s="798"/>
      <c r="Q1041" s="798"/>
      <c r="R1041" s="811"/>
    </row>
    <row r="1042" customFormat="false" ht="16.5" hidden="false" customHeight="true" outlineLevel="0" collapsed="false">
      <c r="A1042" s="747"/>
      <c r="B1042" s="798"/>
      <c r="D1042" s="798"/>
      <c r="E1042" s="798"/>
      <c r="F1042" s="798"/>
      <c r="G1042" s="798"/>
      <c r="J1042" s="778" t="str">
        <f aca="false">IF(I1042="","",H1042/I1042)</f>
        <v/>
      </c>
      <c r="K1042" s="798"/>
      <c r="O1042" s="779"/>
      <c r="P1042" s="798"/>
      <c r="Q1042" s="798"/>
      <c r="R1042" s="811"/>
    </row>
    <row r="1043" customFormat="false" ht="16.5" hidden="false" customHeight="true" outlineLevel="0" collapsed="false">
      <c r="A1043" s="747"/>
      <c r="B1043" s="798"/>
      <c r="D1043" s="798"/>
      <c r="E1043" s="798"/>
      <c r="F1043" s="798"/>
      <c r="G1043" s="798"/>
      <c r="J1043" s="778" t="str">
        <f aca="false">IF(I1043="","",H1043/I1043)</f>
        <v/>
      </c>
      <c r="K1043" s="798"/>
      <c r="O1043" s="779"/>
      <c r="P1043" s="798"/>
      <c r="Q1043" s="798"/>
      <c r="R1043" s="811"/>
    </row>
    <row r="1044" customFormat="false" ht="16.5" hidden="false" customHeight="true" outlineLevel="0" collapsed="false">
      <c r="A1044" s="747"/>
      <c r="B1044" s="798"/>
      <c r="D1044" s="798"/>
      <c r="E1044" s="798"/>
      <c r="F1044" s="798"/>
      <c r="G1044" s="798"/>
      <c r="J1044" s="778" t="str">
        <f aca="false">IF(I1044="","",H1044/I1044)</f>
        <v/>
      </c>
      <c r="K1044" s="798"/>
      <c r="O1044" s="779"/>
      <c r="P1044" s="798"/>
      <c r="Q1044" s="798"/>
      <c r="R1044" s="811"/>
    </row>
    <row r="1045" customFormat="false" ht="16.5" hidden="false" customHeight="true" outlineLevel="0" collapsed="false">
      <c r="A1045" s="747"/>
      <c r="B1045" s="798"/>
      <c r="D1045" s="798"/>
      <c r="E1045" s="798"/>
      <c r="F1045" s="798"/>
      <c r="G1045" s="798"/>
      <c r="J1045" s="778" t="str">
        <f aca="false">IF(I1045="","",H1045/I1045)</f>
        <v/>
      </c>
      <c r="K1045" s="798"/>
      <c r="O1045" s="779"/>
      <c r="P1045" s="798"/>
      <c r="Q1045" s="798"/>
      <c r="R1045" s="811"/>
    </row>
    <row r="1046" customFormat="false" ht="16.5" hidden="false" customHeight="true" outlineLevel="0" collapsed="false">
      <c r="A1046" s="747"/>
      <c r="B1046" s="798"/>
      <c r="D1046" s="798"/>
      <c r="E1046" s="798"/>
      <c r="F1046" s="798"/>
      <c r="G1046" s="798"/>
      <c r="J1046" s="778" t="str">
        <f aca="false">IF(I1046="","",H1046/I1046)</f>
        <v/>
      </c>
      <c r="K1046" s="798"/>
      <c r="O1046" s="779"/>
      <c r="P1046" s="798"/>
      <c r="Q1046" s="798"/>
      <c r="R1046" s="811"/>
    </row>
    <row r="1047" customFormat="false" ht="16.5" hidden="false" customHeight="true" outlineLevel="0" collapsed="false">
      <c r="A1047" s="747"/>
      <c r="B1047" s="798"/>
      <c r="D1047" s="798"/>
      <c r="E1047" s="798"/>
      <c r="F1047" s="798"/>
      <c r="G1047" s="798"/>
      <c r="J1047" s="778" t="str">
        <f aca="false">IF(I1047="","",H1047/I1047)</f>
        <v/>
      </c>
      <c r="K1047" s="798"/>
      <c r="O1047" s="779"/>
      <c r="P1047" s="798"/>
      <c r="Q1047" s="798"/>
      <c r="R1047" s="811"/>
    </row>
    <row r="1048" customFormat="false" ht="16.5" hidden="false" customHeight="true" outlineLevel="0" collapsed="false">
      <c r="A1048" s="747"/>
      <c r="B1048" s="798"/>
      <c r="D1048" s="798"/>
      <c r="E1048" s="798"/>
      <c r="F1048" s="798"/>
      <c r="G1048" s="798"/>
      <c r="J1048" s="778" t="str">
        <f aca="false">IF(I1048="","",H1048/I1048)</f>
        <v/>
      </c>
      <c r="K1048" s="798"/>
      <c r="O1048" s="779"/>
      <c r="P1048" s="798"/>
      <c r="Q1048" s="798"/>
      <c r="R1048" s="811"/>
    </row>
    <row r="1049" customFormat="false" ht="16.5" hidden="false" customHeight="true" outlineLevel="0" collapsed="false">
      <c r="A1049" s="747"/>
      <c r="B1049" s="798"/>
      <c r="D1049" s="798"/>
      <c r="E1049" s="798"/>
      <c r="F1049" s="798"/>
      <c r="G1049" s="798"/>
      <c r="J1049" s="778" t="str">
        <f aca="false">IF(I1049="","",H1049/I1049)</f>
        <v/>
      </c>
      <c r="K1049" s="798"/>
      <c r="O1049" s="779"/>
      <c r="P1049" s="798"/>
      <c r="Q1049" s="798"/>
      <c r="R1049" s="811"/>
    </row>
    <row r="1050" customFormat="false" ht="16.5" hidden="false" customHeight="true" outlineLevel="0" collapsed="false">
      <c r="A1050" s="747"/>
      <c r="B1050" s="798"/>
      <c r="D1050" s="798"/>
      <c r="E1050" s="798"/>
      <c r="F1050" s="798"/>
      <c r="G1050" s="798"/>
      <c r="J1050" s="778" t="str">
        <f aca="false">IF(I1050="","",H1050/I1050)</f>
        <v/>
      </c>
      <c r="K1050" s="798"/>
      <c r="O1050" s="779"/>
      <c r="P1050" s="798"/>
      <c r="Q1050" s="798"/>
      <c r="R1050" s="811"/>
    </row>
    <row r="1051" customFormat="false" ht="16.5" hidden="false" customHeight="true" outlineLevel="0" collapsed="false">
      <c r="A1051" s="747"/>
      <c r="B1051" s="798"/>
      <c r="D1051" s="798"/>
      <c r="E1051" s="798"/>
      <c r="F1051" s="798"/>
      <c r="G1051" s="798"/>
      <c r="J1051" s="778" t="str">
        <f aca="false">IF(I1051="","",H1051/I1051)</f>
        <v/>
      </c>
      <c r="K1051" s="798"/>
      <c r="O1051" s="779"/>
      <c r="P1051" s="798"/>
      <c r="Q1051" s="798"/>
      <c r="R1051" s="811"/>
    </row>
    <row r="1052" customFormat="false" ht="16.5" hidden="false" customHeight="true" outlineLevel="0" collapsed="false">
      <c r="A1052" s="747"/>
      <c r="B1052" s="798"/>
      <c r="D1052" s="798"/>
      <c r="E1052" s="798"/>
      <c r="F1052" s="798"/>
      <c r="G1052" s="798"/>
      <c r="J1052" s="778" t="str">
        <f aca="false">IF(I1052="","",H1052/I1052)</f>
        <v/>
      </c>
      <c r="K1052" s="798"/>
      <c r="O1052" s="779"/>
      <c r="P1052" s="798"/>
      <c r="Q1052" s="798"/>
      <c r="R1052" s="811"/>
    </row>
    <row r="1053" customFormat="false" ht="16.5" hidden="false" customHeight="true" outlineLevel="0" collapsed="false">
      <c r="A1053" s="747"/>
      <c r="B1053" s="798"/>
      <c r="D1053" s="798"/>
      <c r="E1053" s="798"/>
      <c r="F1053" s="798"/>
      <c r="G1053" s="798"/>
      <c r="J1053" s="778" t="str">
        <f aca="false">IF(I1053="","",H1053/I1053)</f>
        <v/>
      </c>
      <c r="K1053" s="798"/>
      <c r="O1053" s="779"/>
      <c r="P1053" s="798"/>
      <c r="Q1053" s="798"/>
      <c r="R1053" s="811"/>
    </row>
    <row r="1054" customFormat="false" ht="16.5" hidden="false" customHeight="true" outlineLevel="0" collapsed="false">
      <c r="A1054" s="747"/>
      <c r="B1054" s="798"/>
      <c r="D1054" s="798"/>
      <c r="E1054" s="798"/>
      <c r="F1054" s="798"/>
      <c r="G1054" s="798"/>
      <c r="J1054" s="778" t="str">
        <f aca="false">IF(I1054="","",H1054/I1054)</f>
        <v/>
      </c>
      <c r="K1054" s="798"/>
      <c r="O1054" s="779"/>
      <c r="P1054" s="798"/>
      <c r="Q1054" s="798"/>
      <c r="R1054" s="811"/>
    </row>
    <row r="1055" customFormat="false" ht="16.5" hidden="false" customHeight="true" outlineLevel="0" collapsed="false">
      <c r="A1055" s="747"/>
      <c r="B1055" s="798"/>
      <c r="D1055" s="798"/>
      <c r="E1055" s="798"/>
      <c r="F1055" s="798"/>
      <c r="G1055" s="798"/>
      <c r="J1055" s="778" t="str">
        <f aca="false">IF(I1055="","",H1055/I1055)</f>
        <v/>
      </c>
      <c r="K1055" s="798"/>
      <c r="O1055" s="779"/>
      <c r="P1055" s="798"/>
      <c r="Q1055" s="798"/>
      <c r="R1055" s="811"/>
    </row>
    <row r="1056" customFormat="false" ht="16.5" hidden="false" customHeight="true" outlineLevel="0" collapsed="false">
      <c r="A1056" s="747"/>
      <c r="B1056" s="798"/>
      <c r="D1056" s="798"/>
      <c r="E1056" s="798"/>
      <c r="F1056" s="798"/>
      <c r="G1056" s="798"/>
      <c r="J1056" s="778" t="str">
        <f aca="false">IF(I1056="","",H1056/I1056)</f>
        <v/>
      </c>
      <c r="K1056" s="798"/>
      <c r="O1056" s="779"/>
      <c r="P1056" s="798"/>
      <c r="Q1056" s="798"/>
      <c r="R1056" s="811"/>
    </row>
    <row r="1057" customFormat="false" ht="16.5" hidden="false" customHeight="true" outlineLevel="0" collapsed="false">
      <c r="A1057" s="747"/>
      <c r="B1057" s="798"/>
      <c r="D1057" s="798"/>
      <c r="E1057" s="798"/>
      <c r="F1057" s="798"/>
      <c r="G1057" s="798"/>
      <c r="J1057" s="778" t="str">
        <f aca="false">IF(I1057="","",H1057/I1057)</f>
        <v/>
      </c>
      <c r="K1057" s="798"/>
      <c r="O1057" s="779"/>
      <c r="P1057" s="798"/>
      <c r="Q1057" s="798"/>
      <c r="R1057" s="811"/>
    </row>
    <row r="1058" customFormat="false" ht="16.5" hidden="false" customHeight="true" outlineLevel="0" collapsed="false">
      <c r="A1058" s="747"/>
      <c r="B1058" s="798"/>
      <c r="D1058" s="798"/>
      <c r="E1058" s="798"/>
      <c r="F1058" s="798"/>
      <c r="G1058" s="798"/>
      <c r="J1058" s="778" t="str">
        <f aca="false">IF(I1058="","",H1058/I1058)</f>
        <v/>
      </c>
      <c r="K1058" s="798"/>
      <c r="O1058" s="779"/>
      <c r="P1058" s="798"/>
      <c r="Q1058" s="798"/>
      <c r="R1058" s="811"/>
    </row>
    <row r="1059" customFormat="false" ht="16.5" hidden="false" customHeight="true" outlineLevel="0" collapsed="false">
      <c r="A1059" s="747"/>
      <c r="B1059" s="798"/>
      <c r="D1059" s="798"/>
      <c r="E1059" s="798"/>
      <c r="F1059" s="798"/>
      <c r="G1059" s="798"/>
      <c r="J1059" s="778" t="str">
        <f aca="false">IF(I1059="","",H1059/I1059)</f>
        <v/>
      </c>
      <c r="K1059" s="798"/>
      <c r="O1059" s="779"/>
      <c r="P1059" s="798"/>
      <c r="Q1059" s="798"/>
      <c r="R1059" s="811"/>
    </row>
    <row r="1060" customFormat="false" ht="16.5" hidden="false" customHeight="true" outlineLevel="0" collapsed="false">
      <c r="A1060" s="747"/>
      <c r="B1060" s="798"/>
      <c r="D1060" s="798"/>
      <c r="E1060" s="798"/>
      <c r="F1060" s="798"/>
      <c r="G1060" s="798"/>
      <c r="J1060" s="778" t="str">
        <f aca="false">IF(I1060="","",H1060/I1060)</f>
        <v/>
      </c>
      <c r="K1060" s="798"/>
      <c r="O1060" s="779"/>
      <c r="P1060" s="798"/>
      <c r="Q1060" s="798"/>
      <c r="R1060" s="811"/>
    </row>
    <row r="1061" customFormat="false" ht="16.5" hidden="false" customHeight="true" outlineLevel="0" collapsed="false">
      <c r="A1061" s="747"/>
      <c r="B1061" s="798"/>
      <c r="D1061" s="798"/>
      <c r="E1061" s="798"/>
      <c r="F1061" s="798"/>
      <c r="G1061" s="798"/>
      <c r="J1061" s="778" t="str">
        <f aca="false">IF(I1061="","",H1061/I1061)</f>
        <v/>
      </c>
      <c r="K1061" s="798"/>
      <c r="O1061" s="779"/>
      <c r="P1061" s="798"/>
      <c r="Q1061" s="798"/>
      <c r="R1061" s="811"/>
    </row>
    <row r="1062" customFormat="false" ht="16.5" hidden="false" customHeight="true" outlineLevel="0" collapsed="false">
      <c r="A1062" s="747"/>
      <c r="B1062" s="798"/>
      <c r="D1062" s="798"/>
      <c r="E1062" s="798"/>
      <c r="F1062" s="798"/>
      <c r="G1062" s="798"/>
      <c r="J1062" s="778" t="str">
        <f aca="false">IF(I1062="","",H1062/I1062)</f>
        <v/>
      </c>
      <c r="K1062" s="798"/>
      <c r="O1062" s="779"/>
      <c r="P1062" s="798"/>
      <c r="Q1062" s="798"/>
      <c r="R1062" s="811"/>
    </row>
    <row r="1063" customFormat="false" ht="16.5" hidden="false" customHeight="true" outlineLevel="0" collapsed="false">
      <c r="A1063" s="747"/>
      <c r="B1063" s="798"/>
      <c r="D1063" s="798"/>
      <c r="E1063" s="798"/>
      <c r="F1063" s="798"/>
      <c r="G1063" s="798"/>
      <c r="J1063" s="778" t="str">
        <f aca="false">IF(I1063="","",H1063/I1063)</f>
        <v/>
      </c>
      <c r="K1063" s="798"/>
      <c r="O1063" s="779"/>
      <c r="P1063" s="798"/>
      <c r="Q1063" s="798"/>
      <c r="R1063" s="811"/>
    </row>
    <row r="1064" customFormat="false" ht="16.5" hidden="false" customHeight="true" outlineLevel="0" collapsed="false">
      <c r="A1064" s="747"/>
      <c r="B1064" s="798"/>
      <c r="D1064" s="798"/>
      <c r="E1064" s="798"/>
      <c r="F1064" s="798"/>
      <c r="G1064" s="798"/>
      <c r="J1064" s="778" t="str">
        <f aca="false">IF(I1064="","",H1064/I1064)</f>
        <v/>
      </c>
      <c r="K1064" s="798"/>
      <c r="O1064" s="779"/>
      <c r="P1064" s="798"/>
      <c r="Q1064" s="798"/>
      <c r="R1064" s="811"/>
    </row>
    <row r="1065" customFormat="false" ht="16.5" hidden="false" customHeight="true" outlineLevel="0" collapsed="false">
      <c r="A1065" s="747"/>
      <c r="B1065" s="798"/>
      <c r="D1065" s="798"/>
      <c r="E1065" s="798"/>
      <c r="F1065" s="798"/>
      <c r="G1065" s="798"/>
      <c r="J1065" s="778" t="str">
        <f aca="false">IF(I1065="","",H1065/I1065)</f>
        <v/>
      </c>
      <c r="K1065" s="798"/>
      <c r="O1065" s="779"/>
      <c r="P1065" s="798"/>
      <c r="Q1065" s="798"/>
      <c r="R1065" s="811"/>
    </row>
    <row r="1066" customFormat="false" ht="16.5" hidden="false" customHeight="true" outlineLevel="0" collapsed="false">
      <c r="A1066" s="747"/>
      <c r="B1066" s="798"/>
      <c r="D1066" s="798"/>
      <c r="E1066" s="798"/>
      <c r="F1066" s="798"/>
      <c r="G1066" s="798"/>
      <c r="J1066" s="778" t="str">
        <f aca="false">IF(I1066="","",H1066/I1066)</f>
        <v/>
      </c>
      <c r="K1066" s="798"/>
      <c r="O1066" s="779"/>
      <c r="P1066" s="798"/>
      <c r="Q1066" s="798"/>
      <c r="R1066" s="811"/>
    </row>
    <row r="1067" customFormat="false" ht="16.5" hidden="false" customHeight="true" outlineLevel="0" collapsed="false">
      <c r="A1067" s="747"/>
      <c r="B1067" s="798"/>
      <c r="D1067" s="798"/>
      <c r="E1067" s="798"/>
      <c r="F1067" s="798"/>
      <c r="G1067" s="798"/>
      <c r="J1067" s="778" t="str">
        <f aca="false">IF(I1067="","",H1067/I1067)</f>
        <v/>
      </c>
      <c r="K1067" s="798"/>
      <c r="O1067" s="779"/>
      <c r="P1067" s="798"/>
      <c r="Q1067" s="798"/>
      <c r="R1067" s="811"/>
    </row>
    <row r="1068" customFormat="false" ht="16.5" hidden="false" customHeight="true" outlineLevel="0" collapsed="false">
      <c r="A1068" s="747"/>
      <c r="B1068" s="798"/>
      <c r="D1068" s="798"/>
      <c r="E1068" s="798"/>
      <c r="F1068" s="798"/>
      <c r="G1068" s="798"/>
      <c r="J1068" s="778" t="str">
        <f aca="false">IF(I1068="","",H1068/I1068)</f>
        <v/>
      </c>
      <c r="K1068" s="798"/>
      <c r="O1068" s="779"/>
      <c r="P1068" s="798"/>
      <c r="Q1068" s="798"/>
      <c r="R1068" s="811"/>
    </row>
    <row r="1069" customFormat="false" ht="16.5" hidden="false" customHeight="true" outlineLevel="0" collapsed="false">
      <c r="A1069" s="747"/>
      <c r="B1069" s="798"/>
      <c r="D1069" s="798"/>
      <c r="E1069" s="798"/>
      <c r="F1069" s="798"/>
      <c r="G1069" s="798"/>
      <c r="J1069" s="778" t="str">
        <f aca="false">IF(I1069="","",H1069/I1069)</f>
        <v/>
      </c>
      <c r="K1069" s="798"/>
      <c r="O1069" s="779"/>
      <c r="P1069" s="798"/>
      <c r="Q1069" s="798"/>
      <c r="R1069" s="811"/>
    </row>
    <row r="1070" customFormat="false" ht="16.5" hidden="false" customHeight="true" outlineLevel="0" collapsed="false">
      <c r="A1070" s="747"/>
      <c r="B1070" s="798"/>
      <c r="D1070" s="798"/>
      <c r="E1070" s="798"/>
      <c r="F1070" s="798"/>
      <c r="G1070" s="798"/>
      <c r="J1070" s="778" t="str">
        <f aca="false">IF(I1070="","",H1070/I1070)</f>
        <v/>
      </c>
      <c r="K1070" s="798"/>
      <c r="O1070" s="779"/>
      <c r="P1070" s="798"/>
      <c r="Q1070" s="798"/>
      <c r="R1070" s="811"/>
    </row>
    <row r="1071" customFormat="false" ht="16.5" hidden="false" customHeight="true" outlineLevel="0" collapsed="false">
      <c r="A1071" s="747"/>
      <c r="B1071" s="798"/>
      <c r="D1071" s="798"/>
      <c r="E1071" s="798"/>
      <c r="F1071" s="798"/>
      <c r="G1071" s="798"/>
      <c r="J1071" s="778" t="str">
        <f aca="false">IF(I1071="","",H1071/I1071)</f>
        <v/>
      </c>
      <c r="K1071" s="798"/>
      <c r="O1071" s="779"/>
      <c r="P1071" s="798"/>
      <c r="Q1071" s="798"/>
      <c r="R1071" s="811"/>
    </row>
    <row r="1072" customFormat="false" ht="16.5" hidden="false" customHeight="true" outlineLevel="0" collapsed="false">
      <c r="A1072" s="747"/>
      <c r="B1072" s="798"/>
      <c r="D1072" s="798"/>
      <c r="E1072" s="798"/>
      <c r="F1072" s="798"/>
      <c r="G1072" s="798"/>
      <c r="J1072" s="778" t="str">
        <f aca="false">IF(I1072="","",H1072/I1072)</f>
        <v/>
      </c>
      <c r="K1072" s="798"/>
      <c r="O1072" s="779"/>
      <c r="P1072" s="798"/>
      <c r="Q1072" s="798"/>
      <c r="R1072" s="811"/>
    </row>
    <row r="1073" customFormat="false" ht="16.5" hidden="false" customHeight="true" outlineLevel="0" collapsed="false">
      <c r="A1073" s="747"/>
      <c r="B1073" s="798"/>
      <c r="D1073" s="798"/>
      <c r="E1073" s="798"/>
      <c r="F1073" s="798"/>
      <c r="G1073" s="798"/>
      <c r="J1073" s="778" t="str">
        <f aca="false">IF(I1073="","",H1073/I1073)</f>
        <v/>
      </c>
      <c r="K1073" s="798"/>
      <c r="O1073" s="779"/>
      <c r="P1073" s="798"/>
      <c r="Q1073" s="798"/>
      <c r="R1073" s="811"/>
    </row>
    <row r="1074" customFormat="false" ht="16.5" hidden="false" customHeight="true" outlineLevel="0" collapsed="false">
      <c r="A1074" s="747"/>
      <c r="B1074" s="798"/>
      <c r="D1074" s="798"/>
      <c r="E1074" s="798"/>
      <c r="F1074" s="798"/>
      <c r="G1074" s="798"/>
      <c r="J1074" s="778" t="str">
        <f aca="false">IF(I1074="","",H1074/I1074)</f>
        <v/>
      </c>
      <c r="K1074" s="798"/>
      <c r="O1074" s="779"/>
      <c r="P1074" s="798"/>
      <c r="Q1074" s="798"/>
      <c r="R1074" s="811"/>
    </row>
    <row r="1075" customFormat="false" ht="16.5" hidden="false" customHeight="true" outlineLevel="0" collapsed="false">
      <c r="A1075" s="747"/>
      <c r="B1075" s="798"/>
      <c r="D1075" s="798"/>
      <c r="E1075" s="798"/>
      <c r="F1075" s="798"/>
      <c r="G1075" s="798"/>
      <c r="J1075" s="778" t="str">
        <f aca="false">IF(I1075="","",H1075/I1075)</f>
        <v/>
      </c>
      <c r="K1075" s="798"/>
      <c r="O1075" s="779"/>
      <c r="P1075" s="798"/>
      <c r="Q1075" s="798"/>
      <c r="R1075" s="811"/>
    </row>
    <row r="1076" customFormat="false" ht="16.5" hidden="false" customHeight="true" outlineLevel="0" collapsed="false">
      <c r="A1076" s="747"/>
      <c r="B1076" s="798"/>
      <c r="D1076" s="798"/>
      <c r="E1076" s="798"/>
      <c r="F1076" s="798"/>
      <c r="G1076" s="798"/>
      <c r="J1076" s="778" t="str">
        <f aca="false">IF(I1076="","",H1076/I1076)</f>
        <v/>
      </c>
      <c r="K1076" s="798"/>
      <c r="O1076" s="779"/>
      <c r="P1076" s="798"/>
      <c r="Q1076" s="798"/>
      <c r="R1076" s="811"/>
    </row>
    <row r="1077" customFormat="false" ht="16.5" hidden="false" customHeight="true" outlineLevel="0" collapsed="false">
      <c r="A1077" s="747"/>
      <c r="B1077" s="798"/>
      <c r="D1077" s="798"/>
      <c r="E1077" s="798"/>
      <c r="F1077" s="798"/>
      <c r="G1077" s="798"/>
      <c r="J1077" s="778" t="str">
        <f aca="false">IF(I1077="","",H1077/I1077)</f>
        <v/>
      </c>
      <c r="K1077" s="798"/>
      <c r="O1077" s="779"/>
      <c r="P1077" s="798"/>
      <c r="Q1077" s="798"/>
      <c r="R1077" s="811"/>
    </row>
    <row r="1078" customFormat="false" ht="16.5" hidden="false" customHeight="true" outlineLevel="0" collapsed="false">
      <c r="A1078" s="747"/>
      <c r="B1078" s="798"/>
      <c r="D1078" s="798"/>
      <c r="E1078" s="798"/>
      <c r="F1078" s="798"/>
      <c r="G1078" s="798"/>
      <c r="J1078" s="778" t="str">
        <f aca="false">IF(I1078="","",H1078/I1078)</f>
        <v/>
      </c>
      <c r="K1078" s="798"/>
      <c r="O1078" s="779"/>
      <c r="P1078" s="798"/>
      <c r="Q1078" s="798"/>
      <c r="R1078" s="811"/>
    </row>
    <row r="1079" customFormat="false" ht="16.5" hidden="false" customHeight="true" outlineLevel="0" collapsed="false">
      <c r="A1079" s="747"/>
      <c r="B1079" s="798"/>
      <c r="D1079" s="798"/>
      <c r="E1079" s="798"/>
      <c r="F1079" s="798"/>
      <c r="G1079" s="798"/>
      <c r="J1079" s="778" t="str">
        <f aca="false">IF(I1079="","",H1079/I1079)</f>
        <v/>
      </c>
      <c r="K1079" s="798"/>
      <c r="O1079" s="779"/>
      <c r="P1079" s="798"/>
      <c r="Q1079" s="798"/>
      <c r="R1079" s="811"/>
    </row>
    <row r="1080" customFormat="false" ht="16.5" hidden="false" customHeight="true" outlineLevel="0" collapsed="false">
      <c r="A1080" s="747"/>
      <c r="B1080" s="798"/>
      <c r="D1080" s="798"/>
      <c r="E1080" s="798"/>
      <c r="F1080" s="798"/>
      <c r="G1080" s="798"/>
      <c r="J1080" s="778" t="str">
        <f aca="false">IF(I1080="","",H1080/I1080)</f>
        <v/>
      </c>
      <c r="K1080" s="798"/>
      <c r="O1080" s="779"/>
      <c r="P1080" s="798"/>
      <c r="Q1080" s="798"/>
      <c r="R1080" s="811"/>
    </row>
    <row r="1081" customFormat="false" ht="16.5" hidden="false" customHeight="true" outlineLevel="0" collapsed="false">
      <c r="A1081" s="747"/>
      <c r="B1081" s="798"/>
      <c r="D1081" s="798"/>
      <c r="E1081" s="798"/>
      <c r="F1081" s="798"/>
      <c r="G1081" s="798"/>
      <c r="J1081" s="778" t="str">
        <f aca="false">IF(I1081="","",H1081/I1081)</f>
        <v/>
      </c>
      <c r="K1081" s="798"/>
      <c r="O1081" s="779"/>
      <c r="P1081" s="798"/>
      <c r="Q1081" s="798"/>
      <c r="R1081" s="811"/>
    </row>
    <row r="1082" customFormat="false" ht="16.5" hidden="false" customHeight="true" outlineLevel="0" collapsed="false">
      <c r="A1082" s="747"/>
      <c r="B1082" s="798"/>
      <c r="D1082" s="798"/>
      <c r="E1082" s="798"/>
      <c r="F1082" s="798"/>
      <c r="G1082" s="798"/>
      <c r="J1082" s="778" t="str">
        <f aca="false">IF(I1082="","",H1082/I1082)</f>
        <v/>
      </c>
      <c r="K1082" s="798"/>
      <c r="O1082" s="779"/>
      <c r="P1082" s="798"/>
      <c r="Q1082" s="798"/>
      <c r="R1082" s="811"/>
    </row>
    <row r="1083" customFormat="false" ht="16.5" hidden="false" customHeight="true" outlineLevel="0" collapsed="false">
      <c r="A1083" s="747"/>
      <c r="B1083" s="798"/>
      <c r="D1083" s="798"/>
      <c r="E1083" s="798"/>
      <c r="F1083" s="798"/>
      <c r="G1083" s="798"/>
      <c r="J1083" s="778" t="str">
        <f aca="false">IF(I1083="","",H1083/I1083)</f>
        <v/>
      </c>
      <c r="K1083" s="798"/>
      <c r="O1083" s="779"/>
      <c r="P1083" s="798"/>
      <c r="Q1083" s="798"/>
      <c r="R1083" s="811"/>
    </row>
    <row r="1084" customFormat="false" ht="16.5" hidden="false" customHeight="true" outlineLevel="0" collapsed="false">
      <c r="A1084" s="747"/>
      <c r="B1084" s="798"/>
      <c r="D1084" s="798"/>
      <c r="E1084" s="798"/>
      <c r="F1084" s="798"/>
      <c r="G1084" s="798"/>
      <c r="J1084" s="778" t="str">
        <f aca="false">IF(I1084="","",H1084/I1084)</f>
        <v/>
      </c>
      <c r="K1084" s="798"/>
      <c r="O1084" s="779"/>
      <c r="P1084" s="798"/>
      <c r="Q1084" s="798"/>
      <c r="R1084" s="811"/>
    </row>
    <row r="1085" customFormat="false" ht="16.5" hidden="false" customHeight="true" outlineLevel="0" collapsed="false">
      <c r="A1085" s="747"/>
      <c r="B1085" s="798"/>
      <c r="D1085" s="798"/>
      <c r="E1085" s="798"/>
      <c r="F1085" s="798"/>
      <c r="G1085" s="798"/>
      <c r="J1085" s="778" t="str">
        <f aca="false">IF(I1085="","",H1085/I1085)</f>
        <v/>
      </c>
      <c r="K1085" s="798"/>
      <c r="O1085" s="779"/>
      <c r="P1085" s="798"/>
      <c r="Q1085" s="798"/>
      <c r="R1085" s="811"/>
    </row>
    <row r="1086" customFormat="false" ht="16.5" hidden="false" customHeight="true" outlineLevel="0" collapsed="false">
      <c r="A1086" s="747"/>
      <c r="B1086" s="798"/>
      <c r="D1086" s="798"/>
      <c r="E1086" s="798"/>
      <c r="F1086" s="798"/>
      <c r="G1086" s="798"/>
      <c r="J1086" s="778" t="str">
        <f aca="false">IF(I1086="","",H1086/I1086)</f>
        <v/>
      </c>
      <c r="K1086" s="798"/>
      <c r="O1086" s="779"/>
      <c r="P1086" s="798"/>
      <c r="Q1086" s="798"/>
      <c r="R1086" s="811"/>
    </row>
    <row r="1087" customFormat="false" ht="16.5" hidden="false" customHeight="true" outlineLevel="0" collapsed="false">
      <c r="A1087" s="747"/>
      <c r="B1087" s="798"/>
      <c r="D1087" s="798"/>
      <c r="E1087" s="798"/>
      <c r="F1087" s="798"/>
      <c r="G1087" s="798"/>
      <c r="J1087" s="778" t="str">
        <f aca="false">IF(I1087="","",H1087/I1087)</f>
        <v/>
      </c>
      <c r="K1087" s="798"/>
      <c r="O1087" s="779"/>
      <c r="P1087" s="798"/>
      <c r="Q1087" s="798"/>
      <c r="R1087" s="811"/>
    </row>
    <row r="1088" customFormat="false" ht="16.5" hidden="false" customHeight="true" outlineLevel="0" collapsed="false">
      <c r="A1088" s="747"/>
      <c r="B1088" s="798"/>
      <c r="D1088" s="798"/>
      <c r="E1088" s="798"/>
      <c r="F1088" s="798"/>
      <c r="G1088" s="798"/>
      <c r="J1088" s="778" t="str">
        <f aca="false">IF(I1088="","",H1088/I1088)</f>
        <v/>
      </c>
      <c r="K1088" s="798"/>
      <c r="O1088" s="779"/>
      <c r="P1088" s="798"/>
      <c r="Q1088" s="798"/>
      <c r="R1088" s="811"/>
    </row>
    <row r="1089" customFormat="false" ht="16.5" hidden="false" customHeight="true" outlineLevel="0" collapsed="false">
      <c r="A1089" s="747"/>
      <c r="B1089" s="798"/>
      <c r="D1089" s="798"/>
      <c r="E1089" s="798"/>
      <c r="F1089" s="798"/>
      <c r="G1089" s="798"/>
      <c r="J1089" s="778" t="str">
        <f aca="false">IF(I1089="","",H1089/I1089)</f>
        <v/>
      </c>
      <c r="K1089" s="798"/>
      <c r="O1089" s="779"/>
      <c r="P1089" s="798"/>
      <c r="Q1089" s="798"/>
      <c r="R1089" s="811"/>
    </row>
    <row r="1090" customFormat="false" ht="16.5" hidden="false" customHeight="true" outlineLevel="0" collapsed="false">
      <c r="A1090" s="747"/>
      <c r="B1090" s="798"/>
      <c r="D1090" s="798"/>
      <c r="E1090" s="798"/>
      <c r="F1090" s="798"/>
      <c r="G1090" s="798"/>
      <c r="J1090" s="778" t="str">
        <f aca="false">IF(I1090="","",H1090/I1090)</f>
        <v/>
      </c>
      <c r="K1090" s="798"/>
      <c r="O1090" s="779"/>
      <c r="P1090" s="798"/>
      <c r="Q1090" s="798"/>
      <c r="R1090" s="811"/>
    </row>
    <row r="1091" customFormat="false" ht="16.5" hidden="false" customHeight="true" outlineLevel="0" collapsed="false">
      <c r="A1091" s="747"/>
      <c r="B1091" s="798"/>
      <c r="D1091" s="798"/>
      <c r="E1091" s="798"/>
      <c r="F1091" s="798"/>
      <c r="G1091" s="798"/>
      <c r="J1091" s="778" t="str">
        <f aca="false">IF(I1091="","",H1091/I1091)</f>
        <v/>
      </c>
      <c r="K1091" s="798"/>
      <c r="O1091" s="779"/>
      <c r="P1091" s="798"/>
      <c r="Q1091" s="798"/>
      <c r="R1091" s="811"/>
    </row>
    <row r="1092" customFormat="false" ht="16.5" hidden="false" customHeight="true" outlineLevel="0" collapsed="false">
      <c r="A1092" s="747"/>
      <c r="B1092" s="798"/>
      <c r="D1092" s="798"/>
      <c r="E1092" s="798"/>
      <c r="F1092" s="798"/>
      <c r="G1092" s="798"/>
      <c r="J1092" s="778" t="str">
        <f aca="false">IF(I1092="","",H1092/I1092)</f>
        <v/>
      </c>
      <c r="K1092" s="798"/>
      <c r="O1092" s="779"/>
      <c r="P1092" s="798"/>
      <c r="Q1092" s="798"/>
      <c r="R1092" s="811"/>
    </row>
    <row r="1093" customFormat="false" ht="16.5" hidden="false" customHeight="true" outlineLevel="0" collapsed="false">
      <c r="A1093" s="747"/>
      <c r="B1093" s="798"/>
      <c r="D1093" s="798"/>
      <c r="E1093" s="798"/>
      <c r="F1093" s="798"/>
      <c r="G1093" s="798"/>
      <c r="J1093" s="778" t="str">
        <f aca="false">IF(I1093="","",H1093/I1093)</f>
        <v/>
      </c>
      <c r="K1093" s="798"/>
      <c r="O1093" s="779"/>
      <c r="P1093" s="798"/>
      <c r="Q1093" s="798"/>
      <c r="R1093" s="811"/>
    </row>
    <row r="1094" customFormat="false" ht="16.5" hidden="false" customHeight="true" outlineLevel="0" collapsed="false">
      <c r="A1094" s="747"/>
      <c r="B1094" s="798"/>
      <c r="D1094" s="798"/>
      <c r="E1094" s="798"/>
      <c r="F1094" s="798"/>
      <c r="G1094" s="798"/>
      <c r="J1094" s="778" t="str">
        <f aca="false">IF(I1094="","",H1094/I1094)</f>
        <v/>
      </c>
      <c r="K1094" s="798"/>
      <c r="O1094" s="779"/>
      <c r="P1094" s="798"/>
      <c r="Q1094" s="798"/>
      <c r="R1094" s="811"/>
    </row>
    <row r="1095" customFormat="false" ht="16.5" hidden="false" customHeight="true" outlineLevel="0" collapsed="false">
      <c r="A1095" s="747"/>
      <c r="B1095" s="798"/>
      <c r="D1095" s="798"/>
      <c r="E1095" s="798"/>
      <c r="F1095" s="798"/>
      <c r="G1095" s="798"/>
      <c r="J1095" s="778" t="str">
        <f aca="false">IF(I1095="","",H1095/I1095)</f>
        <v/>
      </c>
      <c r="K1095" s="798"/>
      <c r="O1095" s="779"/>
      <c r="P1095" s="798"/>
      <c r="Q1095" s="798"/>
      <c r="R1095" s="811"/>
    </row>
    <row r="1096" customFormat="false" ht="16.5" hidden="false" customHeight="true" outlineLevel="0" collapsed="false">
      <c r="A1096" s="747"/>
      <c r="B1096" s="798"/>
      <c r="D1096" s="798"/>
      <c r="E1096" s="798"/>
      <c r="F1096" s="798"/>
      <c r="G1096" s="798"/>
      <c r="J1096" s="778" t="str">
        <f aca="false">IF(I1096="","",H1096/I1096)</f>
        <v/>
      </c>
      <c r="K1096" s="798"/>
      <c r="O1096" s="779"/>
      <c r="P1096" s="798"/>
      <c r="Q1096" s="798"/>
      <c r="R1096" s="811"/>
    </row>
    <row r="1097" customFormat="false" ht="16.5" hidden="false" customHeight="true" outlineLevel="0" collapsed="false">
      <c r="A1097" s="747"/>
      <c r="B1097" s="798"/>
      <c r="D1097" s="798"/>
      <c r="E1097" s="798"/>
      <c r="F1097" s="798"/>
      <c r="G1097" s="798"/>
      <c r="J1097" s="778" t="str">
        <f aca="false">IF(I1097="","",H1097/I1097)</f>
        <v/>
      </c>
      <c r="K1097" s="798"/>
      <c r="O1097" s="779"/>
      <c r="P1097" s="798"/>
      <c r="Q1097" s="798"/>
      <c r="R1097" s="811"/>
    </row>
    <row r="1098" customFormat="false" ht="16.5" hidden="false" customHeight="true" outlineLevel="0" collapsed="false">
      <c r="A1098" s="747"/>
      <c r="B1098" s="798"/>
      <c r="D1098" s="798"/>
      <c r="E1098" s="798"/>
      <c r="F1098" s="798"/>
      <c r="G1098" s="798"/>
      <c r="J1098" s="778" t="str">
        <f aca="false">IF(I1098="","",H1098/I1098)</f>
        <v/>
      </c>
      <c r="K1098" s="798"/>
      <c r="O1098" s="779"/>
      <c r="P1098" s="798"/>
      <c r="Q1098" s="798"/>
      <c r="R1098" s="811"/>
    </row>
    <row r="1099" customFormat="false" ht="16.5" hidden="false" customHeight="true" outlineLevel="0" collapsed="false">
      <c r="A1099" s="747"/>
      <c r="B1099" s="798"/>
      <c r="D1099" s="798"/>
      <c r="E1099" s="798"/>
      <c r="F1099" s="798"/>
      <c r="G1099" s="798"/>
      <c r="J1099" s="778" t="str">
        <f aca="false">IF(I1099="","",H1099/I1099)</f>
        <v/>
      </c>
      <c r="K1099" s="798"/>
      <c r="O1099" s="779"/>
      <c r="P1099" s="798"/>
      <c r="Q1099" s="798"/>
      <c r="R1099" s="811"/>
    </row>
    <row r="1100" customFormat="false" ht="16.5" hidden="false" customHeight="true" outlineLevel="0" collapsed="false">
      <c r="A1100" s="747"/>
      <c r="B1100" s="798"/>
      <c r="D1100" s="798"/>
      <c r="E1100" s="798"/>
      <c r="F1100" s="798"/>
      <c r="G1100" s="798"/>
      <c r="J1100" s="778" t="str">
        <f aca="false">IF(I1100="","",H1100/I1100)</f>
        <v/>
      </c>
      <c r="K1100" s="798"/>
      <c r="O1100" s="779"/>
      <c r="P1100" s="798"/>
      <c r="Q1100" s="798"/>
      <c r="R1100" s="811"/>
    </row>
    <row r="1101" customFormat="false" ht="16.5" hidden="false" customHeight="true" outlineLevel="0" collapsed="false">
      <c r="A1101" s="747"/>
      <c r="B1101" s="798"/>
      <c r="D1101" s="798"/>
      <c r="E1101" s="798"/>
      <c r="F1101" s="798"/>
      <c r="G1101" s="798"/>
      <c r="J1101" s="778" t="str">
        <f aca="false">IF(I1101="","",H1101/I1101)</f>
        <v/>
      </c>
      <c r="K1101" s="798"/>
      <c r="O1101" s="779"/>
      <c r="P1101" s="798"/>
      <c r="Q1101" s="798"/>
      <c r="R1101" s="811"/>
    </row>
    <row r="1102" customFormat="false" ht="16.5" hidden="false" customHeight="true" outlineLevel="0" collapsed="false">
      <c r="A1102" s="747"/>
      <c r="B1102" s="798"/>
      <c r="D1102" s="798"/>
      <c r="E1102" s="798"/>
      <c r="F1102" s="798"/>
      <c r="G1102" s="798"/>
      <c r="J1102" s="778" t="str">
        <f aca="false">IF(I1102="","",H1102/I1102)</f>
        <v/>
      </c>
      <c r="K1102" s="798"/>
      <c r="O1102" s="779"/>
      <c r="P1102" s="798"/>
      <c r="Q1102" s="798"/>
      <c r="R1102" s="811"/>
    </row>
    <row r="1103" customFormat="false" ht="16.5" hidden="false" customHeight="true" outlineLevel="0" collapsed="false">
      <c r="A1103" s="747"/>
      <c r="B1103" s="798"/>
      <c r="D1103" s="798"/>
      <c r="E1103" s="798"/>
      <c r="F1103" s="798"/>
      <c r="G1103" s="798"/>
      <c r="J1103" s="778" t="str">
        <f aca="false">IF(I1103="","",H1103/I1103)</f>
        <v/>
      </c>
      <c r="K1103" s="798"/>
      <c r="O1103" s="779"/>
      <c r="P1103" s="798"/>
      <c r="Q1103" s="798"/>
      <c r="R1103" s="811"/>
    </row>
    <row r="1104" customFormat="false" ht="16.5" hidden="false" customHeight="true" outlineLevel="0" collapsed="false">
      <c r="A1104" s="747"/>
      <c r="B1104" s="798"/>
      <c r="D1104" s="798"/>
      <c r="E1104" s="798"/>
      <c r="F1104" s="798"/>
      <c r="G1104" s="798"/>
      <c r="J1104" s="778" t="str">
        <f aca="false">IF(I1104="","",H1104/I1104)</f>
        <v/>
      </c>
      <c r="K1104" s="798"/>
      <c r="O1104" s="779"/>
      <c r="P1104" s="798"/>
      <c r="Q1104" s="798"/>
      <c r="R1104" s="811"/>
    </row>
    <row r="1105" customFormat="false" ht="16.5" hidden="false" customHeight="true" outlineLevel="0" collapsed="false">
      <c r="A1105" s="747"/>
      <c r="B1105" s="798"/>
      <c r="D1105" s="798"/>
      <c r="E1105" s="798"/>
      <c r="F1105" s="798"/>
      <c r="G1105" s="798"/>
      <c r="J1105" s="778" t="str">
        <f aca="false">IF(I1105="","",H1105/I1105)</f>
        <v/>
      </c>
      <c r="K1105" s="798"/>
      <c r="O1105" s="779"/>
      <c r="P1105" s="798"/>
      <c r="Q1105" s="798"/>
      <c r="R1105" s="811"/>
    </row>
    <row r="1106" customFormat="false" ht="16.5" hidden="false" customHeight="true" outlineLevel="0" collapsed="false">
      <c r="A1106" s="747"/>
      <c r="B1106" s="798"/>
      <c r="D1106" s="798"/>
      <c r="E1106" s="798"/>
      <c r="F1106" s="798"/>
      <c r="G1106" s="798"/>
      <c r="J1106" s="778" t="str">
        <f aca="false">IF(I1106="","",H1106/I1106)</f>
        <v/>
      </c>
      <c r="K1106" s="798"/>
      <c r="O1106" s="779"/>
      <c r="P1106" s="798"/>
      <c r="Q1106" s="798"/>
      <c r="R1106" s="811"/>
    </row>
    <row r="1107" customFormat="false" ht="16.5" hidden="false" customHeight="true" outlineLevel="0" collapsed="false">
      <c r="A1107" s="747"/>
      <c r="B1107" s="798"/>
      <c r="D1107" s="798"/>
      <c r="E1107" s="798"/>
      <c r="F1107" s="798"/>
      <c r="G1107" s="798"/>
      <c r="J1107" s="778" t="str">
        <f aca="false">IF(I1107="","",H1107/I1107)</f>
        <v/>
      </c>
      <c r="K1107" s="798"/>
      <c r="O1107" s="779"/>
      <c r="P1107" s="798"/>
      <c r="Q1107" s="798"/>
      <c r="R1107" s="811"/>
    </row>
    <row r="1108" customFormat="false" ht="16.5" hidden="false" customHeight="true" outlineLevel="0" collapsed="false">
      <c r="A1108" s="747"/>
      <c r="B1108" s="798"/>
      <c r="D1108" s="798"/>
      <c r="E1108" s="798"/>
      <c r="F1108" s="798"/>
      <c r="G1108" s="798"/>
      <c r="J1108" s="778" t="str">
        <f aca="false">IF(I1108="","",H1108/I1108)</f>
        <v/>
      </c>
      <c r="K1108" s="798"/>
      <c r="O1108" s="779"/>
      <c r="P1108" s="798"/>
      <c r="Q1108" s="798"/>
      <c r="R1108" s="811"/>
    </row>
    <row r="1109" customFormat="false" ht="16.5" hidden="false" customHeight="true" outlineLevel="0" collapsed="false">
      <c r="A1109" s="747"/>
      <c r="B1109" s="798"/>
      <c r="D1109" s="798"/>
      <c r="E1109" s="798"/>
      <c r="F1109" s="798"/>
      <c r="G1109" s="798"/>
      <c r="J1109" s="778" t="str">
        <f aca="false">IF(I1109="","",H1109/I1109)</f>
        <v/>
      </c>
      <c r="K1109" s="798"/>
      <c r="O1109" s="779"/>
      <c r="P1109" s="798"/>
      <c r="Q1109" s="798"/>
      <c r="R1109" s="811"/>
    </row>
    <row r="1110" customFormat="false" ht="16.5" hidden="false" customHeight="true" outlineLevel="0" collapsed="false">
      <c r="A1110" s="747"/>
      <c r="B1110" s="798"/>
      <c r="D1110" s="798"/>
      <c r="E1110" s="798"/>
      <c r="F1110" s="798"/>
      <c r="G1110" s="798"/>
      <c r="J1110" s="778" t="str">
        <f aca="false">IF(I1110="","",H1110/I1110)</f>
        <v/>
      </c>
      <c r="K1110" s="798"/>
      <c r="O1110" s="779"/>
      <c r="P1110" s="798"/>
      <c r="Q1110" s="798"/>
      <c r="R1110" s="811"/>
    </row>
    <row r="1111" customFormat="false" ht="16.5" hidden="false" customHeight="true" outlineLevel="0" collapsed="false">
      <c r="A1111" s="747"/>
      <c r="B1111" s="798"/>
      <c r="D1111" s="798"/>
      <c r="E1111" s="798"/>
      <c r="F1111" s="798"/>
      <c r="G1111" s="798"/>
      <c r="J1111" s="778" t="str">
        <f aca="false">IF(I1111="","",H1111/I1111)</f>
        <v/>
      </c>
      <c r="K1111" s="798"/>
      <c r="O1111" s="779"/>
      <c r="P1111" s="798"/>
      <c r="Q1111" s="798"/>
      <c r="R1111" s="811"/>
    </row>
    <row r="1112" customFormat="false" ht="16.5" hidden="false" customHeight="true" outlineLevel="0" collapsed="false">
      <c r="A1112" s="747"/>
      <c r="B1112" s="798"/>
      <c r="D1112" s="798"/>
      <c r="E1112" s="798"/>
      <c r="F1112" s="798"/>
      <c r="G1112" s="798"/>
      <c r="J1112" s="778" t="str">
        <f aca="false">IF(I1112="","",H1112/I1112)</f>
        <v/>
      </c>
      <c r="K1112" s="798"/>
      <c r="O1112" s="779"/>
      <c r="P1112" s="798"/>
      <c r="Q1112" s="798"/>
      <c r="R1112" s="811"/>
    </row>
    <row r="1113" customFormat="false" ht="16.5" hidden="false" customHeight="true" outlineLevel="0" collapsed="false">
      <c r="A1113" s="747"/>
      <c r="B1113" s="798"/>
      <c r="D1113" s="798"/>
      <c r="E1113" s="798"/>
      <c r="F1113" s="798"/>
      <c r="G1113" s="798"/>
      <c r="J1113" s="778" t="str">
        <f aca="false">IF(I1113="","",H1113/I1113)</f>
        <v/>
      </c>
      <c r="K1113" s="798"/>
      <c r="O1113" s="779"/>
      <c r="P1113" s="798"/>
      <c r="Q1113" s="798"/>
      <c r="R1113" s="811"/>
    </row>
    <row r="1114" customFormat="false" ht="16.5" hidden="false" customHeight="true" outlineLevel="0" collapsed="false">
      <c r="A1114" s="747"/>
      <c r="B1114" s="798"/>
      <c r="D1114" s="798"/>
      <c r="E1114" s="798"/>
      <c r="F1114" s="798"/>
      <c r="G1114" s="798"/>
      <c r="J1114" s="778" t="str">
        <f aca="false">IF(I1114="","",H1114/I1114)</f>
        <v/>
      </c>
      <c r="K1114" s="798"/>
      <c r="O1114" s="779"/>
      <c r="P1114" s="798"/>
      <c r="Q1114" s="798"/>
      <c r="R1114" s="811"/>
    </row>
    <row r="1115" customFormat="false" ht="16.5" hidden="false" customHeight="true" outlineLevel="0" collapsed="false">
      <c r="A1115" s="747"/>
      <c r="B1115" s="798"/>
      <c r="D1115" s="798"/>
      <c r="E1115" s="798"/>
      <c r="F1115" s="798"/>
      <c r="G1115" s="798"/>
      <c r="J1115" s="778" t="str">
        <f aca="false">IF(I1115="","",H1115/I1115)</f>
        <v/>
      </c>
      <c r="K1115" s="798"/>
      <c r="O1115" s="779"/>
      <c r="P1115" s="798"/>
      <c r="Q1115" s="798"/>
      <c r="R1115" s="811"/>
    </row>
    <row r="1116" customFormat="false" ht="16.5" hidden="false" customHeight="true" outlineLevel="0" collapsed="false">
      <c r="A1116" s="747"/>
      <c r="B1116" s="798"/>
      <c r="D1116" s="798"/>
      <c r="E1116" s="798"/>
      <c r="F1116" s="798"/>
      <c r="G1116" s="798"/>
      <c r="J1116" s="778" t="str">
        <f aca="false">IF(I1116="","",H1116/I1116)</f>
        <v/>
      </c>
      <c r="K1116" s="798"/>
      <c r="O1116" s="779"/>
      <c r="P1116" s="798"/>
      <c r="Q1116" s="798"/>
      <c r="R1116" s="811"/>
    </row>
    <row r="1117" customFormat="false" ht="16.5" hidden="false" customHeight="true" outlineLevel="0" collapsed="false">
      <c r="A1117" s="747"/>
      <c r="B1117" s="798"/>
      <c r="D1117" s="798"/>
      <c r="E1117" s="798"/>
      <c r="F1117" s="798"/>
      <c r="G1117" s="798"/>
      <c r="J1117" s="778" t="str">
        <f aca="false">IF(I1117="","",H1117/I1117)</f>
        <v/>
      </c>
      <c r="K1117" s="798"/>
      <c r="O1117" s="779"/>
      <c r="P1117" s="798"/>
      <c r="Q1117" s="798"/>
      <c r="R1117" s="811"/>
    </row>
    <row r="1118" customFormat="false" ht="16.5" hidden="false" customHeight="true" outlineLevel="0" collapsed="false">
      <c r="A1118" s="747"/>
      <c r="B1118" s="798"/>
      <c r="D1118" s="798"/>
      <c r="E1118" s="798"/>
      <c r="F1118" s="798"/>
      <c r="G1118" s="798"/>
      <c r="J1118" s="778" t="str">
        <f aca="false">IF(I1118="","",H1118/I1118)</f>
        <v/>
      </c>
      <c r="K1118" s="798"/>
      <c r="O1118" s="779"/>
      <c r="P1118" s="798"/>
      <c r="Q1118" s="798"/>
      <c r="R1118" s="811"/>
    </row>
    <row r="1119" customFormat="false" ht="16.5" hidden="false" customHeight="true" outlineLevel="0" collapsed="false">
      <c r="A1119" s="747"/>
      <c r="B1119" s="798"/>
      <c r="D1119" s="798"/>
      <c r="E1119" s="798"/>
      <c r="F1119" s="798"/>
      <c r="G1119" s="798"/>
      <c r="J1119" s="778" t="str">
        <f aca="false">IF(I1119="","",H1119/I1119)</f>
        <v/>
      </c>
      <c r="K1119" s="798"/>
      <c r="O1119" s="779"/>
      <c r="P1119" s="798"/>
      <c r="Q1119" s="798"/>
      <c r="R1119" s="811"/>
    </row>
    <row r="1120" customFormat="false" ht="16.5" hidden="false" customHeight="true" outlineLevel="0" collapsed="false">
      <c r="A1120" s="747"/>
      <c r="B1120" s="798"/>
      <c r="D1120" s="798"/>
      <c r="E1120" s="798"/>
      <c r="F1120" s="798"/>
      <c r="G1120" s="798"/>
      <c r="J1120" s="778" t="str">
        <f aca="false">IF(I1120="","",H1120/I1120)</f>
        <v/>
      </c>
      <c r="K1120" s="798"/>
      <c r="O1120" s="779"/>
      <c r="P1120" s="798"/>
      <c r="Q1120" s="798"/>
      <c r="R1120" s="811"/>
    </row>
    <row r="1121" customFormat="false" ht="16.5" hidden="false" customHeight="true" outlineLevel="0" collapsed="false">
      <c r="A1121" s="747"/>
      <c r="B1121" s="798"/>
      <c r="D1121" s="798"/>
      <c r="E1121" s="798"/>
      <c r="F1121" s="798"/>
      <c r="G1121" s="798"/>
      <c r="J1121" s="778" t="str">
        <f aca="false">IF(I1121="","",H1121/I1121)</f>
        <v/>
      </c>
      <c r="K1121" s="798"/>
      <c r="O1121" s="779"/>
      <c r="P1121" s="798"/>
      <c r="Q1121" s="798"/>
      <c r="R1121" s="811"/>
    </row>
    <row r="1122" customFormat="false" ht="16.5" hidden="false" customHeight="true" outlineLevel="0" collapsed="false">
      <c r="A1122" s="747"/>
      <c r="B1122" s="798"/>
      <c r="D1122" s="798"/>
      <c r="E1122" s="798"/>
      <c r="F1122" s="798"/>
      <c r="G1122" s="798"/>
      <c r="J1122" s="778" t="str">
        <f aca="false">IF(I1122="","",H1122/I1122)</f>
        <v/>
      </c>
      <c r="K1122" s="798"/>
      <c r="O1122" s="779"/>
      <c r="P1122" s="798"/>
      <c r="Q1122" s="798"/>
      <c r="R1122" s="811"/>
    </row>
    <row r="1123" customFormat="false" ht="16.5" hidden="false" customHeight="true" outlineLevel="0" collapsed="false">
      <c r="A1123" s="747"/>
      <c r="B1123" s="798"/>
      <c r="D1123" s="798"/>
      <c r="E1123" s="798"/>
      <c r="F1123" s="798"/>
      <c r="G1123" s="798"/>
      <c r="J1123" s="778" t="str">
        <f aca="false">IF(I1123="","",H1123/I1123)</f>
        <v/>
      </c>
      <c r="K1123" s="798"/>
      <c r="O1123" s="779"/>
      <c r="P1123" s="798"/>
      <c r="Q1123" s="798"/>
      <c r="R1123" s="811"/>
    </row>
    <row r="1124" customFormat="false" ht="16.5" hidden="false" customHeight="true" outlineLevel="0" collapsed="false">
      <c r="A1124" s="747"/>
      <c r="B1124" s="798"/>
      <c r="D1124" s="798"/>
      <c r="E1124" s="798"/>
      <c r="F1124" s="798"/>
      <c r="G1124" s="798"/>
      <c r="J1124" s="778" t="str">
        <f aca="false">IF(I1124="","",H1124/I1124)</f>
        <v/>
      </c>
      <c r="K1124" s="798"/>
      <c r="O1124" s="779"/>
      <c r="P1124" s="798"/>
      <c r="Q1124" s="798"/>
      <c r="R1124" s="811"/>
    </row>
    <row r="1125" customFormat="false" ht="16.5" hidden="false" customHeight="true" outlineLevel="0" collapsed="false">
      <c r="A1125" s="747"/>
      <c r="B1125" s="798"/>
      <c r="D1125" s="798"/>
      <c r="E1125" s="798"/>
      <c r="F1125" s="798"/>
      <c r="G1125" s="798"/>
      <c r="J1125" s="778" t="str">
        <f aca="false">IF(I1125="","",H1125/I1125)</f>
        <v/>
      </c>
      <c r="K1125" s="798"/>
      <c r="O1125" s="779"/>
      <c r="P1125" s="798"/>
      <c r="Q1125" s="798"/>
      <c r="R1125" s="811"/>
    </row>
    <row r="1126" customFormat="false" ht="16.5" hidden="false" customHeight="true" outlineLevel="0" collapsed="false">
      <c r="A1126" s="747"/>
      <c r="B1126" s="798"/>
      <c r="D1126" s="798"/>
      <c r="E1126" s="798"/>
      <c r="F1126" s="798"/>
      <c r="G1126" s="798"/>
      <c r="J1126" s="778" t="str">
        <f aca="false">IF(I1126="","",H1126/I1126)</f>
        <v/>
      </c>
      <c r="K1126" s="798"/>
      <c r="O1126" s="779"/>
      <c r="P1126" s="798"/>
      <c r="Q1126" s="798"/>
      <c r="R1126" s="811"/>
    </row>
    <row r="1127" customFormat="false" ht="16.5" hidden="false" customHeight="true" outlineLevel="0" collapsed="false">
      <c r="A1127" s="747"/>
      <c r="B1127" s="798"/>
      <c r="D1127" s="798"/>
      <c r="E1127" s="798"/>
      <c r="F1127" s="798"/>
      <c r="G1127" s="798"/>
      <c r="J1127" s="778" t="str">
        <f aca="false">IF(I1127="","",H1127/I1127)</f>
        <v/>
      </c>
      <c r="K1127" s="798"/>
      <c r="O1127" s="779"/>
      <c r="P1127" s="798"/>
      <c r="Q1127" s="798"/>
      <c r="R1127" s="811"/>
    </row>
    <row r="1128" customFormat="false" ht="16.5" hidden="false" customHeight="true" outlineLevel="0" collapsed="false">
      <c r="A1128" s="747"/>
      <c r="B1128" s="798"/>
      <c r="D1128" s="798"/>
      <c r="E1128" s="798"/>
      <c r="F1128" s="798"/>
      <c r="G1128" s="798"/>
      <c r="J1128" s="778" t="str">
        <f aca="false">IF(I1128="","",H1128/I1128)</f>
        <v/>
      </c>
      <c r="K1128" s="798"/>
      <c r="O1128" s="779"/>
      <c r="P1128" s="798"/>
      <c r="Q1128" s="798"/>
      <c r="R1128" s="811"/>
    </row>
    <row r="1129" customFormat="false" ht="16.5" hidden="false" customHeight="true" outlineLevel="0" collapsed="false">
      <c r="A1129" s="747"/>
      <c r="B1129" s="798"/>
      <c r="D1129" s="798"/>
      <c r="E1129" s="798"/>
      <c r="F1129" s="798"/>
      <c r="G1129" s="798"/>
      <c r="J1129" s="778" t="str">
        <f aca="false">IF(I1129="","",H1129/I1129)</f>
        <v/>
      </c>
      <c r="K1129" s="798"/>
      <c r="O1129" s="779"/>
      <c r="P1129" s="798"/>
      <c r="Q1129" s="798"/>
      <c r="R1129" s="811"/>
    </row>
    <row r="1130" customFormat="false" ht="16.5" hidden="false" customHeight="true" outlineLevel="0" collapsed="false">
      <c r="A1130" s="747"/>
      <c r="B1130" s="798"/>
      <c r="D1130" s="798"/>
      <c r="E1130" s="798"/>
      <c r="F1130" s="798"/>
      <c r="G1130" s="798"/>
      <c r="J1130" s="778" t="str">
        <f aca="false">IF(I1130="","",H1130/I1130)</f>
        <v/>
      </c>
      <c r="K1130" s="798"/>
      <c r="O1130" s="779"/>
      <c r="P1130" s="798"/>
      <c r="Q1130" s="798"/>
      <c r="R1130" s="811"/>
    </row>
    <row r="1131" customFormat="false" ht="16.5" hidden="false" customHeight="true" outlineLevel="0" collapsed="false">
      <c r="A1131" s="747"/>
      <c r="B1131" s="798"/>
      <c r="D1131" s="798"/>
      <c r="E1131" s="798"/>
      <c r="F1131" s="798"/>
      <c r="G1131" s="798"/>
      <c r="J1131" s="778" t="str">
        <f aca="false">IF(I1131="","",H1131/I1131)</f>
        <v/>
      </c>
      <c r="K1131" s="798"/>
      <c r="O1131" s="779"/>
      <c r="P1131" s="798"/>
      <c r="Q1131" s="798"/>
      <c r="R1131" s="811"/>
    </row>
    <row r="1132" customFormat="false" ht="16.5" hidden="false" customHeight="true" outlineLevel="0" collapsed="false">
      <c r="A1132" s="747"/>
      <c r="B1132" s="798"/>
      <c r="D1132" s="798"/>
      <c r="E1132" s="798"/>
      <c r="F1132" s="798"/>
      <c r="G1132" s="798"/>
      <c r="J1132" s="778" t="str">
        <f aca="false">IF(I1132="","",H1132/I1132)</f>
        <v/>
      </c>
      <c r="K1132" s="798"/>
      <c r="O1132" s="779"/>
      <c r="P1132" s="798"/>
      <c r="Q1132" s="798"/>
      <c r="R1132" s="811"/>
    </row>
    <row r="1133" customFormat="false" ht="16.5" hidden="false" customHeight="true" outlineLevel="0" collapsed="false">
      <c r="A1133" s="747"/>
      <c r="B1133" s="798"/>
      <c r="D1133" s="798"/>
      <c r="E1133" s="798"/>
      <c r="F1133" s="798"/>
      <c r="G1133" s="798"/>
      <c r="J1133" s="778" t="str">
        <f aca="false">IF(I1133="","",H1133/I1133)</f>
        <v/>
      </c>
      <c r="K1133" s="798"/>
      <c r="O1133" s="779"/>
      <c r="P1133" s="798"/>
      <c r="Q1133" s="798"/>
      <c r="R1133" s="811"/>
    </row>
    <row r="1134" customFormat="false" ht="16.5" hidden="false" customHeight="true" outlineLevel="0" collapsed="false">
      <c r="A1134" s="747"/>
      <c r="B1134" s="798"/>
      <c r="D1134" s="798"/>
      <c r="E1134" s="798"/>
      <c r="F1134" s="798"/>
      <c r="G1134" s="798"/>
      <c r="J1134" s="778" t="str">
        <f aca="false">IF(I1134="","",H1134/I1134)</f>
        <v/>
      </c>
      <c r="K1134" s="798"/>
      <c r="O1134" s="779"/>
      <c r="P1134" s="798"/>
      <c r="Q1134" s="798"/>
      <c r="R1134" s="811"/>
    </row>
    <row r="1135" customFormat="false" ht="16.5" hidden="false" customHeight="true" outlineLevel="0" collapsed="false">
      <c r="A1135" s="747"/>
      <c r="B1135" s="798"/>
      <c r="D1135" s="798"/>
      <c r="E1135" s="798"/>
      <c r="F1135" s="798"/>
      <c r="G1135" s="798"/>
      <c r="J1135" s="778" t="str">
        <f aca="false">IF(I1135="","",H1135/I1135)</f>
        <v/>
      </c>
      <c r="K1135" s="798"/>
      <c r="O1135" s="779"/>
      <c r="P1135" s="798"/>
      <c r="Q1135" s="798"/>
      <c r="R1135" s="811"/>
    </row>
    <row r="1136" customFormat="false" ht="16.5" hidden="false" customHeight="true" outlineLevel="0" collapsed="false">
      <c r="A1136" s="747"/>
      <c r="B1136" s="798"/>
      <c r="D1136" s="798"/>
      <c r="E1136" s="798"/>
      <c r="F1136" s="798"/>
      <c r="G1136" s="798"/>
      <c r="J1136" s="778" t="str">
        <f aca="false">IF(I1136="","",H1136/I1136)</f>
        <v/>
      </c>
      <c r="K1136" s="798"/>
      <c r="O1136" s="779"/>
      <c r="P1136" s="798"/>
      <c r="Q1136" s="798"/>
      <c r="R1136" s="811"/>
    </row>
    <row r="1137" customFormat="false" ht="16.5" hidden="false" customHeight="true" outlineLevel="0" collapsed="false">
      <c r="A1137" s="747"/>
      <c r="B1137" s="798"/>
      <c r="D1137" s="798"/>
      <c r="E1137" s="798"/>
      <c r="F1137" s="798"/>
      <c r="G1137" s="798"/>
      <c r="J1137" s="778" t="str">
        <f aca="false">IF(I1137="","",H1137/I1137)</f>
        <v/>
      </c>
      <c r="K1137" s="798"/>
      <c r="O1137" s="779"/>
      <c r="P1137" s="798"/>
      <c r="Q1137" s="798"/>
      <c r="R1137" s="811"/>
    </row>
    <row r="1138" customFormat="false" ht="16.5" hidden="false" customHeight="true" outlineLevel="0" collapsed="false">
      <c r="A1138" s="747"/>
      <c r="B1138" s="798"/>
      <c r="D1138" s="798"/>
      <c r="E1138" s="798"/>
      <c r="F1138" s="798"/>
      <c r="G1138" s="798"/>
      <c r="J1138" s="778" t="str">
        <f aca="false">IF(I1138="","",H1138/I1138)</f>
        <v/>
      </c>
      <c r="K1138" s="798"/>
      <c r="O1138" s="779"/>
      <c r="P1138" s="798"/>
      <c r="Q1138" s="798"/>
      <c r="R1138" s="811"/>
    </row>
    <row r="1139" customFormat="false" ht="16.5" hidden="false" customHeight="true" outlineLevel="0" collapsed="false">
      <c r="A1139" s="747"/>
      <c r="B1139" s="798"/>
      <c r="D1139" s="798"/>
      <c r="E1139" s="798"/>
      <c r="F1139" s="798"/>
      <c r="G1139" s="798"/>
      <c r="J1139" s="778" t="str">
        <f aca="false">IF(I1139="","",H1139/I1139)</f>
        <v/>
      </c>
      <c r="K1139" s="798"/>
      <c r="O1139" s="779"/>
      <c r="P1139" s="798"/>
      <c r="Q1139" s="798"/>
      <c r="R1139" s="811"/>
    </row>
    <row r="1140" customFormat="false" ht="16.5" hidden="false" customHeight="true" outlineLevel="0" collapsed="false">
      <c r="A1140" s="747"/>
      <c r="B1140" s="798"/>
      <c r="D1140" s="798"/>
      <c r="E1140" s="798"/>
      <c r="F1140" s="798"/>
      <c r="G1140" s="798"/>
      <c r="J1140" s="778" t="str">
        <f aca="false">IF(I1140="","",H1140/I1140)</f>
        <v/>
      </c>
      <c r="K1140" s="798"/>
      <c r="O1140" s="779"/>
      <c r="P1140" s="798"/>
      <c r="Q1140" s="798"/>
      <c r="R1140" s="811"/>
    </row>
    <row r="1141" customFormat="false" ht="16.5" hidden="false" customHeight="true" outlineLevel="0" collapsed="false">
      <c r="A1141" s="747"/>
      <c r="B1141" s="798"/>
      <c r="D1141" s="798"/>
      <c r="E1141" s="798"/>
      <c r="F1141" s="798"/>
      <c r="G1141" s="798"/>
      <c r="J1141" s="778" t="str">
        <f aca="false">IF(I1141="","",H1141/I1141)</f>
        <v/>
      </c>
      <c r="K1141" s="798"/>
      <c r="O1141" s="779"/>
      <c r="P1141" s="798"/>
      <c r="Q1141" s="798"/>
      <c r="R1141" s="811"/>
    </row>
    <row r="1142" customFormat="false" ht="16.5" hidden="false" customHeight="true" outlineLevel="0" collapsed="false">
      <c r="A1142" s="747"/>
      <c r="B1142" s="798"/>
      <c r="D1142" s="798"/>
      <c r="E1142" s="798"/>
      <c r="F1142" s="798"/>
      <c r="G1142" s="798"/>
      <c r="J1142" s="778" t="str">
        <f aca="false">IF(I1142="","",H1142/I1142)</f>
        <v/>
      </c>
      <c r="K1142" s="798"/>
      <c r="O1142" s="779"/>
      <c r="P1142" s="798"/>
      <c r="Q1142" s="798"/>
      <c r="R1142" s="811"/>
    </row>
    <row r="1143" customFormat="false" ht="16.5" hidden="false" customHeight="true" outlineLevel="0" collapsed="false">
      <c r="A1143" s="747"/>
      <c r="B1143" s="798"/>
      <c r="D1143" s="798"/>
      <c r="E1143" s="798"/>
      <c r="F1143" s="798"/>
      <c r="G1143" s="798"/>
      <c r="J1143" s="778" t="str">
        <f aca="false">IF(I1143="","",H1143/I1143)</f>
        <v/>
      </c>
      <c r="K1143" s="798"/>
      <c r="O1143" s="779"/>
      <c r="P1143" s="798"/>
      <c r="Q1143" s="798"/>
      <c r="R1143" s="811"/>
    </row>
    <row r="1144" customFormat="false" ht="16.5" hidden="false" customHeight="true" outlineLevel="0" collapsed="false">
      <c r="A1144" s="747"/>
      <c r="B1144" s="798"/>
      <c r="D1144" s="798"/>
      <c r="E1144" s="798"/>
      <c r="F1144" s="798"/>
      <c r="G1144" s="798"/>
      <c r="J1144" s="778" t="str">
        <f aca="false">IF(I1144="","",H1144/I1144)</f>
        <v/>
      </c>
      <c r="K1144" s="798"/>
      <c r="O1144" s="779"/>
      <c r="P1144" s="798"/>
      <c r="Q1144" s="798"/>
      <c r="R1144" s="811"/>
    </row>
    <row r="1145" customFormat="false" ht="16.5" hidden="false" customHeight="true" outlineLevel="0" collapsed="false">
      <c r="A1145" s="747"/>
      <c r="B1145" s="798"/>
      <c r="D1145" s="798"/>
      <c r="E1145" s="798"/>
      <c r="F1145" s="798"/>
      <c r="G1145" s="798"/>
      <c r="J1145" s="778" t="str">
        <f aca="false">IF(I1145="","",H1145/I1145)</f>
        <v/>
      </c>
      <c r="K1145" s="798"/>
      <c r="O1145" s="779"/>
      <c r="P1145" s="798"/>
      <c r="Q1145" s="798"/>
      <c r="R1145" s="811"/>
    </row>
    <row r="1146" customFormat="false" ht="16.5" hidden="false" customHeight="true" outlineLevel="0" collapsed="false">
      <c r="A1146" s="747"/>
      <c r="B1146" s="798"/>
      <c r="D1146" s="798"/>
      <c r="E1146" s="798"/>
      <c r="F1146" s="798"/>
      <c r="G1146" s="798"/>
      <c r="J1146" s="778" t="str">
        <f aca="false">IF(I1146="","",H1146/I1146)</f>
        <v/>
      </c>
      <c r="K1146" s="798"/>
      <c r="O1146" s="779"/>
      <c r="P1146" s="798"/>
      <c r="Q1146" s="798"/>
      <c r="R1146" s="811"/>
    </row>
    <row r="1147" customFormat="false" ht="16.5" hidden="false" customHeight="true" outlineLevel="0" collapsed="false">
      <c r="A1147" s="747"/>
      <c r="B1147" s="798"/>
      <c r="D1147" s="798"/>
      <c r="E1147" s="798"/>
      <c r="F1147" s="798"/>
      <c r="G1147" s="798"/>
      <c r="J1147" s="778" t="str">
        <f aca="false">IF(I1147="","",H1147/I1147)</f>
        <v/>
      </c>
      <c r="K1147" s="798"/>
      <c r="O1147" s="779"/>
      <c r="P1147" s="798"/>
      <c r="Q1147" s="798"/>
      <c r="R1147" s="811"/>
    </row>
    <row r="1148" customFormat="false" ht="16.5" hidden="false" customHeight="true" outlineLevel="0" collapsed="false">
      <c r="A1148" s="747"/>
      <c r="B1148" s="798"/>
      <c r="D1148" s="798"/>
      <c r="E1148" s="798"/>
      <c r="F1148" s="798"/>
      <c r="G1148" s="798"/>
      <c r="J1148" s="778" t="str">
        <f aca="false">IF(I1148="","",H1148/I1148)</f>
        <v/>
      </c>
      <c r="K1148" s="798"/>
      <c r="O1148" s="779"/>
      <c r="P1148" s="798"/>
      <c r="Q1148" s="798"/>
      <c r="R1148" s="811"/>
    </row>
    <row r="1149" customFormat="false" ht="16.5" hidden="false" customHeight="true" outlineLevel="0" collapsed="false">
      <c r="A1149" s="747"/>
      <c r="B1149" s="798"/>
      <c r="D1149" s="798"/>
      <c r="E1149" s="798"/>
      <c r="F1149" s="798"/>
      <c r="G1149" s="798"/>
      <c r="J1149" s="778" t="str">
        <f aca="false">IF(I1149="","",H1149/I1149)</f>
        <v/>
      </c>
      <c r="K1149" s="798"/>
      <c r="O1149" s="779"/>
      <c r="P1149" s="798"/>
      <c r="Q1149" s="798"/>
      <c r="R1149" s="811"/>
    </row>
    <row r="1150" customFormat="false" ht="16.5" hidden="false" customHeight="true" outlineLevel="0" collapsed="false">
      <c r="A1150" s="747"/>
      <c r="B1150" s="798"/>
      <c r="D1150" s="798"/>
      <c r="E1150" s="798"/>
      <c r="F1150" s="798"/>
      <c r="G1150" s="798"/>
      <c r="J1150" s="778" t="str">
        <f aca="false">IF(I1150="","",H1150/I1150)</f>
        <v/>
      </c>
      <c r="K1150" s="798"/>
      <c r="O1150" s="779"/>
      <c r="P1150" s="798"/>
      <c r="Q1150" s="798"/>
      <c r="R1150" s="811"/>
    </row>
    <row r="1151" customFormat="false" ht="16.5" hidden="false" customHeight="true" outlineLevel="0" collapsed="false">
      <c r="A1151" s="747"/>
      <c r="B1151" s="798"/>
      <c r="D1151" s="798"/>
      <c r="E1151" s="798"/>
      <c r="F1151" s="798"/>
      <c r="G1151" s="798"/>
      <c r="J1151" s="778" t="str">
        <f aca="false">IF(I1151="","",H1151/I1151)</f>
        <v/>
      </c>
      <c r="K1151" s="798"/>
      <c r="O1151" s="779"/>
      <c r="P1151" s="798"/>
      <c r="Q1151" s="798"/>
      <c r="R1151" s="811"/>
    </row>
    <row r="1152" customFormat="false" ht="16.5" hidden="false" customHeight="true" outlineLevel="0" collapsed="false">
      <c r="A1152" s="747"/>
      <c r="B1152" s="798"/>
      <c r="D1152" s="798"/>
      <c r="E1152" s="798"/>
      <c r="F1152" s="798"/>
      <c r="G1152" s="798"/>
      <c r="J1152" s="778" t="str">
        <f aca="false">IF(I1152="","",H1152/I1152)</f>
        <v/>
      </c>
      <c r="K1152" s="798"/>
      <c r="O1152" s="779"/>
      <c r="P1152" s="798"/>
      <c r="Q1152" s="798"/>
      <c r="R1152" s="811"/>
    </row>
    <row r="1153" customFormat="false" ht="16.5" hidden="false" customHeight="true" outlineLevel="0" collapsed="false">
      <c r="A1153" s="747"/>
      <c r="B1153" s="798"/>
      <c r="D1153" s="798"/>
      <c r="E1153" s="798"/>
      <c r="F1153" s="798"/>
      <c r="G1153" s="798"/>
      <c r="J1153" s="778" t="str">
        <f aca="false">IF(I1153="","",H1153/I1153)</f>
        <v/>
      </c>
      <c r="K1153" s="798"/>
      <c r="O1153" s="779"/>
      <c r="P1153" s="798"/>
      <c r="Q1153" s="798"/>
      <c r="R1153" s="811"/>
    </row>
    <row r="1154" customFormat="false" ht="16.5" hidden="false" customHeight="true" outlineLevel="0" collapsed="false">
      <c r="A1154" s="747"/>
      <c r="B1154" s="798"/>
      <c r="D1154" s="798"/>
      <c r="E1154" s="798"/>
      <c r="F1154" s="798"/>
      <c r="G1154" s="798"/>
      <c r="J1154" s="778" t="str">
        <f aca="false">IF(I1154="","",H1154/I1154)</f>
        <v/>
      </c>
      <c r="K1154" s="798"/>
      <c r="O1154" s="779"/>
      <c r="P1154" s="798"/>
      <c r="Q1154" s="798"/>
      <c r="R1154" s="811"/>
    </row>
    <row r="1155" customFormat="false" ht="16.5" hidden="false" customHeight="true" outlineLevel="0" collapsed="false">
      <c r="A1155" s="747"/>
      <c r="B1155" s="798"/>
      <c r="D1155" s="798"/>
      <c r="E1155" s="798"/>
      <c r="F1155" s="798"/>
      <c r="G1155" s="798"/>
      <c r="J1155" s="778" t="str">
        <f aca="false">IF(I1155="","",H1155/I1155)</f>
        <v/>
      </c>
      <c r="K1155" s="798"/>
      <c r="O1155" s="779"/>
      <c r="P1155" s="798"/>
      <c r="Q1155" s="798"/>
      <c r="R1155" s="811"/>
    </row>
    <row r="1156" customFormat="false" ht="16.5" hidden="false" customHeight="true" outlineLevel="0" collapsed="false">
      <c r="A1156" s="747"/>
      <c r="B1156" s="798"/>
      <c r="D1156" s="798"/>
      <c r="E1156" s="798"/>
      <c r="F1156" s="798"/>
      <c r="G1156" s="798"/>
      <c r="J1156" s="778" t="str">
        <f aca="false">IF(I1156="","",H1156/I1156)</f>
        <v/>
      </c>
      <c r="K1156" s="798"/>
      <c r="O1156" s="779"/>
      <c r="P1156" s="798"/>
      <c r="Q1156" s="798"/>
      <c r="R1156" s="811"/>
    </row>
    <row r="1157" customFormat="false" ht="16.5" hidden="false" customHeight="true" outlineLevel="0" collapsed="false">
      <c r="A1157" s="747"/>
      <c r="B1157" s="798"/>
      <c r="D1157" s="798"/>
      <c r="E1157" s="798"/>
      <c r="F1157" s="798"/>
      <c r="G1157" s="798"/>
      <c r="J1157" s="778" t="str">
        <f aca="false">IF(I1157="","",H1157/I1157)</f>
        <v/>
      </c>
      <c r="K1157" s="798"/>
      <c r="O1157" s="779"/>
      <c r="P1157" s="798"/>
      <c r="Q1157" s="798"/>
      <c r="R1157" s="811"/>
    </row>
    <row r="1158" customFormat="false" ht="16.5" hidden="false" customHeight="true" outlineLevel="0" collapsed="false">
      <c r="A1158" s="747"/>
      <c r="B1158" s="798"/>
      <c r="D1158" s="798"/>
      <c r="E1158" s="798"/>
      <c r="F1158" s="798"/>
      <c r="G1158" s="798"/>
      <c r="J1158" s="778" t="str">
        <f aca="false">IF(I1158="","",H1158/I1158)</f>
        <v/>
      </c>
      <c r="K1158" s="798"/>
      <c r="O1158" s="779"/>
      <c r="P1158" s="798"/>
      <c r="Q1158" s="798"/>
      <c r="R1158" s="811"/>
    </row>
    <row r="1159" customFormat="false" ht="16.5" hidden="false" customHeight="true" outlineLevel="0" collapsed="false">
      <c r="A1159" s="747"/>
      <c r="B1159" s="798"/>
      <c r="D1159" s="798"/>
      <c r="E1159" s="798"/>
      <c r="F1159" s="798"/>
      <c r="G1159" s="798"/>
      <c r="J1159" s="778" t="str">
        <f aca="false">IF(I1159="","",H1159/I1159)</f>
        <v/>
      </c>
      <c r="K1159" s="798"/>
      <c r="O1159" s="779"/>
      <c r="P1159" s="798"/>
      <c r="Q1159" s="798"/>
      <c r="R1159" s="811"/>
    </row>
    <row r="1160" customFormat="false" ht="16.5" hidden="false" customHeight="true" outlineLevel="0" collapsed="false">
      <c r="A1160" s="747"/>
      <c r="B1160" s="798"/>
      <c r="D1160" s="798"/>
      <c r="E1160" s="798"/>
      <c r="F1160" s="798"/>
      <c r="G1160" s="798"/>
      <c r="J1160" s="778" t="str">
        <f aca="false">IF(I1160="","",H1160/I1160)</f>
        <v/>
      </c>
      <c r="K1160" s="798"/>
      <c r="O1160" s="779"/>
      <c r="P1160" s="798"/>
      <c r="Q1160" s="798"/>
      <c r="R1160" s="811"/>
    </row>
    <row r="1161" customFormat="false" ht="16.5" hidden="false" customHeight="true" outlineLevel="0" collapsed="false">
      <c r="A1161" s="747"/>
      <c r="B1161" s="798"/>
      <c r="D1161" s="798"/>
      <c r="E1161" s="798"/>
      <c r="F1161" s="798"/>
      <c r="G1161" s="798"/>
      <c r="J1161" s="778" t="str">
        <f aca="false">IF(I1161="","",H1161/I1161)</f>
        <v/>
      </c>
      <c r="K1161" s="798"/>
      <c r="O1161" s="779"/>
      <c r="P1161" s="798"/>
      <c r="Q1161" s="798"/>
      <c r="R1161" s="811"/>
    </row>
    <row r="1162" customFormat="false" ht="16.5" hidden="false" customHeight="true" outlineLevel="0" collapsed="false">
      <c r="A1162" s="747"/>
      <c r="B1162" s="798"/>
      <c r="D1162" s="798"/>
      <c r="E1162" s="798"/>
      <c r="F1162" s="798"/>
      <c r="G1162" s="798"/>
      <c r="J1162" s="778" t="str">
        <f aca="false">IF(I1162="","",H1162/I1162)</f>
        <v/>
      </c>
      <c r="K1162" s="798"/>
      <c r="O1162" s="779"/>
      <c r="P1162" s="798"/>
      <c r="Q1162" s="798"/>
      <c r="R1162" s="811"/>
    </row>
    <row r="1163" customFormat="false" ht="16.5" hidden="false" customHeight="true" outlineLevel="0" collapsed="false">
      <c r="A1163" s="747"/>
      <c r="B1163" s="798"/>
      <c r="D1163" s="798"/>
      <c r="E1163" s="798"/>
      <c r="F1163" s="798"/>
      <c r="G1163" s="798"/>
      <c r="J1163" s="778" t="str">
        <f aca="false">IF(I1163="","",H1163/I1163)</f>
        <v/>
      </c>
      <c r="K1163" s="798"/>
      <c r="O1163" s="779"/>
      <c r="P1163" s="798"/>
      <c r="Q1163" s="798"/>
      <c r="R1163" s="811"/>
    </row>
    <row r="1164" customFormat="false" ht="16.5" hidden="false" customHeight="true" outlineLevel="0" collapsed="false">
      <c r="A1164" s="747"/>
      <c r="B1164" s="798"/>
      <c r="D1164" s="798"/>
      <c r="E1164" s="798"/>
      <c r="F1164" s="798"/>
      <c r="G1164" s="798"/>
      <c r="J1164" s="778" t="str">
        <f aca="false">IF(I1164="","",H1164/I1164)</f>
        <v/>
      </c>
      <c r="K1164" s="798"/>
      <c r="O1164" s="779"/>
      <c r="P1164" s="798"/>
      <c r="Q1164" s="798"/>
      <c r="R1164" s="811"/>
    </row>
    <row r="1165" customFormat="false" ht="16.5" hidden="false" customHeight="true" outlineLevel="0" collapsed="false">
      <c r="A1165" s="747"/>
      <c r="B1165" s="798"/>
      <c r="D1165" s="798"/>
      <c r="E1165" s="798"/>
      <c r="F1165" s="798"/>
      <c r="G1165" s="798"/>
      <c r="J1165" s="778" t="str">
        <f aca="false">IF(I1165="","",H1165/I1165)</f>
        <v/>
      </c>
      <c r="K1165" s="798"/>
      <c r="O1165" s="779"/>
      <c r="P1165" s="798"/>
      <c r="Q1165" s="798"/>
      <c r="R1165" s="811"/>
    </row>
    <row r="1166" customFormat="false" ht="16.5" hidden="false" customHeight="true" outlineLevel="0" collapsed="false">
      <c r="A1166" s="747"/>
      <c r="B1166" s="798"/>
      <c r="D1166" s="798"/>
      <c r="E1166" s="798"/>
      <c r="F1166" s="798"/>
      <c r="G1166" s="798"/>
      <c r="J1166" s="778" t="str">
        <f aca="false">IF(I1166="","",H1166/I1166)</f>
        <v/>
      </c>
      <c r="K1166" s="798"/>
      <c r="O1166" s="779"/>
      <c r="P1166" s="798"/>
      <c r="Q1166" s="798"/>
      <c r="R1166" s="811"/>
    </row>
    <row r="1167" customFormat="false" ht="16.5" hidden="false" customHeight="true" outlineLevel="0" collapsed="false">
      <c r="A1167" s="747"/>
      <c r="B1167" s="798"/>
      <c r="D1167" s="798"/>
      <c r="E1167" s="798"/>
      <c r="F1167" s="798"/>
      <c r="G1167" s="798"/>
      <c r="J1167" s="778" t="str">
        <f aca="false">IF(I1167="","",H1167/I1167)</f>
        <v/>
      </c>
      <c r="K1167" s="798"/>
      <c r="O1167" s="779"/>
      <c r="P1167" s="798"/>
      <c r="Q1167" s="798"/>
      <c r="R1167" s="811"/>
    </row>
    <row r="1168" customFormat="false" ht="16.5" hidden="false" customHeight="true" outlineLevel="0" collapsed="false">
      <c r="A1168" s="747"/>
      <c r="B1168" s="798"/>
      <c r="D1168" s="798"/>
      <c r="E1168" s="798"/>
      <c r="F1168" s="798"/>
      <c r="G1168" s="798"/>
      <c r="J1168" s="778" t="str">
        <f aca="false">IF(I1168="","",H1168/I1168)</f>
        <v/>
      </c>
      <c r="K1168" s="798"/>
      <c r="O1168" s="779"/>
      <c r="P1168" s="798"/>
      <c r="Q1168" s="798"/>
      <c r="R1168" s="811"/>
    </row>
    <row r="1169" customFormat="false" ht="16.5" hidden="false" customHeight="true" outlineLevel="0" collapsed="false">
      <c r="A1169" s="747"/>
      <c r="B1169" s="798"/>
      <c r="D1169" s="798"/>
      <c r="E1169" s="798"/>
      <c r="F1169" s="798"/>
      <c r="G1169" s="798"/>
      <c r="J1169" s="778" t="str">
        <f aca="false">IF(I1169="","",H1169/I1169)</f>
        <v/>
      </c>
      <c r="K1169" s="798"/>
      <c r="O1169" s="779"/>
      <c r="P1169" s="798"/>
      <c r="Q1169" s="798"/>
      <c r="R1169" s="811"/>
    </row>
    <row r="1170" customFormat="false" ht="16.5" hidden="false" customHeight="true" outlineLevel="0" collapsed="false">
      <c r="A1170" s="747"/>
      <c r="B1170" s="798"/>
      <c r="D1170" s="798"/>
      <c r="E1170" s="798"/>
      <c r="F1170" s="798"/>
      <c r="G1170" s="798"/>
      <c r="J1170" s="778" t="str">
        <f aca="false">IF(I1170="","",H1170/I1170)</f>
        <v/>
      </c>
      <c r="K1170" s="798"/>
      <c r="O1170" s="779"/>
      <c r="P1170" s="798"/>
      <c r="Q1170" s="798"/>
      <c r="R1170" s="811"/>
    </row>
    <row r="1171" customFormat="false" ht="16.5" hidden="false" customHeight="true" outlineLevel="0" collapsed="false">
      <c r="A1171" s="747"/>
      <c r="B1171" s="798"/>
      <c r="D1171" s="798"/>
      <c r="E1171" s="798"/>
      <c r="F1171" s="798"/>
      <c r="G1171" s="798"/>
      <c r="J1171" s="778" t="str">
        <f aca="false">IF(I1171="","",H1171/I1171)</f>
        <v/>
      </c>
      <c r="K1171" s="798"/>
      <c r="O1171" s="779"/>
      <c r="P1171" s="798"/>
      <c r="Q1171" s="798"/>
      <c r="R1171" s="811"/>
    </row>
    <row r="1172" customFormat="false" ht="16.5" hidden="false" customHeight="true" outlineLevel="0" collapsed="false">
      <c r="A1172" s="747"/>
      <c r="B1172" s="798"/>
      <c r="D1172" s="798"/>
      <c r="E1172" s="798"/>
      <c r="F1172" s="798"/>
      <c r="G1172" s="798"/>
      <c r="J1172" s="778" t="str">
        <f aca="false">IF(I1172="","",H1172/I1172)</f>
        <v/>
      </c>
      <c r="K1172" s="798"/>
      <c r="O1172" s="779"/>
      <c r="P1172" s="798"/>
      <c r="Q1172" s="798"/>
      <c r="R1172" s="811"/>
    </row>
    <row r="1173" customFormat="false" ht="16.5" hidden="false" customHeight="true" outlineLevel="0" collapsed="false">
      <c r="A1173" s="747"/>
      <c r="B1173" s="798"/>
      <c r="D1173" s="798"/>
      <c r="E1173" s="798"/>
      <c r="F1173" s="798"/>
      <c r="G1173" s="798"/>
      <c r="J1173" s="778" t="str">
        <f aca="false">IF(I1173="","",H1173/I1173)</f>
        <v/>
      </c>
      <c r="K1173" s="798"/>
      <c r="O1173" s="779"/>
      <c r="P1173" s="798"/>
      <c r="Q1173" s="798"/>
      <c r="R1173" s="811"/>
    </row>
    <row r="1174" customFormat="false" ht="16.5" hidden="false" customHeight="true" outlineLevel="0" collapsed="false">
      <c r="A1174" s="747"/>
      <c r="B1174" s="798"/>
      <c r="D1174" s="798"/>
      <c r="E1174" s="798"/>
      <c r="F1174" s="798"/>
      <c r="G1174" s="798"/>
      <c r="J1174" s="778" t="str">
        <f aca="false">IF(I1174="","",H1174/I1174)</f>
        <v/>
      </c>
      <c r="K1174" s="798"/>
      <c r="O1174" s="779"/>
      <c r="P1174" s="798"/>
      <c r="Q1174" s="798"/>
      <c r="R1174" s="811"/>
    </row>
    <row r="1175" customFormat="false" ht="16.5" hidden="false" customHeight="true" outlineLevel="0" collapsed="false">
      <c r="A1175" s="747"/>
      <c r="B1175" s="798"/>
      <c r="D1175" s="798"/>
      <c r="E1175" s="798"/>
      <c r="F1175" s="798"/>
      <c r="G1175" s="798"/>
      <c r="J1175" s="778" t="str">
        <f aca="false">IF(I1175="","",H1175/I1175)</f>
        <v/>
      </c>
      <c r="K1175" s="798"/>
      <c r="O1175" s="779"/>
      <c r="P1175" s="798"/>
      <c r="Q1175" s="798"/>
      <c r="R1175" s="811"/>
    </row>
    <row r="1176" customFormat="false" ht="16.5" hidden="false" customHeight="true" outlineLevel="0" collapsed="false">
      <c r="A1176" s="747"/>
      <c r="B1176" s="798"/>
      <c r="D1176" s="798"/>
      <c r="E1176" s="798"/>
      <c r="F1176" s="798"/>
      <c r="G1176" s="798"/>
      <c r="J1176" s="778" t="str">
        <f aca="false">IF(I1176="","",H1176/I1176)</f>
        <v/>
      </c>
      <c r="K1176" s="798"/>
      <c r="O1176" s="779"/>
      <c r="P1176" s="798"/>
      <c r="Q1176" s="798"/>
      <c r="R1176" s="811"/>
    </row>
    <row r="1177" customFormat="false" ht="16.5" hidden="false" customHeight="true" outlineLevel="0" collapsed="false">
      <c r="A1177" s="747"/>
      <c r="B1177" s="798"/>
      <c r="D1177" s="798"/>
      <c r="E1177" s="798"/>
      <c r="F1177" s="798"/>
      <c r="G1177" s="798"/>
      <c r="J1177" s="778" t="str">
        <f aca="false">IF(I1177="","",H1177/I1177)</f>
        <v/>
      </c>
      <c r="K1177" s="798"/>
      <c r="O1177" s="779"/>
      <c r="P1177" s="798"/>
      <c r="Q1177" s="798"/>
      <c r="R1177" s="811"/>
    </row>
    <row r="1178" customFormat="false" ht="16.5" hidden="false" customHeight="true" outlineLevel="0" collapsed="false">
      <c r="A1178" s="747"/>
      <c r="B1178" s="798"/>
      <c r="D1178" s="798"/>
      <c r="E1178" s="798"/>
      <c r="F1178" s="798"/>
      <c r="G1178" s="798"/>
      <c r="J1178" s="778" t="str">
        <f aca="false">IF(I1178="","",H1178/I1178)</f>
        <v/>
      </c>
      <c r="K1178" s="798"/>
      <c r="O1178" s="779"/>
      <c r="P1178" s="798"/>
      <c r="Q1178" s="798"/>
      <c r="R1178" s="811"/>
    </row>
    <row r="1179" customFormat="false" ht="16.5" hidden="false" customHeight="true" outlineLevel="0" collapsed="false">
      <c r="A1179" s="747"/>
      <c r="B1179" s="798"/>
      <c r="D1179" s="798"/>
      <c r="E1179" s="798"/>
      <c r="F1179" s="798"/>
      <c r="G1179" s="798"/>
      <c r="J1179" s="778" t="str">
        <f aca="false">IF(I1179="","",H1179/I1179)</f>
        <v/>
      </c>
      <c r="K1179" s="798"/>
      <c r="O1179" s="779"/>
      <c r="P1179" s="798"/>
      <c r="Q1179" s="798"/>
      <c r="R1179" s="811"/>
    </row>
    <row r="1180" customFormat="false" ht="16.5" hidden="false" customHeight="true" outlineLevel="0" collapsed="false">
      <c r="A1180" s="747"/>
      <c r="B1180" s="798"/>
      <c r="D1180" s="798"/>
      <c r="E1180" s="798"/>
      <c r="F1180" s="798"/>
      <c r="G1180" s="798"/>
      <c r="J1180" s="778" t="str">
        <f aca="false">IF(I1180="","",H1180/I1180)</f>
        <v/>
      </c>
      <c r="K1180" s="798"/>
      <c r="O1180" s="779"/>
      <c r="P1180" s="798"/>
      <c r="Q1180" s="798"/>
      <c r="R1180" s="811"/>
    </row>
    <row r="1181" customFormat="false" ht="16.5" hidden="false" customHeight="true" outlineLevel="0" collapsed="false">
      <c r="A1181" s="747"/>
      <c r="B1181" s="798"/>
      <c r="D1181" s="798"/>
      <c r="E1181" s="798"/>
      <c r="F1181" s="798"/>
      <c r="G1181" s="798"/>
      <c r="J1181" s="778" t="str">
        <f aca="false">IF(I1181="","",H1181/I1181)</f>
        <v/>
      </c>
      <c r="K1181" s="798"/>
      <c r="O1181" s="779"/>
      <c r="P1181" s="798"/>
      <c r="Q1181" s="798"/>
      <c r="R1181" s="811"/>
    </row>
    <row r="1182" customFormat="false" ht="16.5" hidden="false" customHeight="true" outlineLevel="0" collapsed="false">
      <c r="A1182" s="747"/>
      <c r="B1182" s="798"/>
      <c r="D1182" s="798"/>
      <c r="E1182" s="798"/>
      <c r="F1182" s="798"/>
      <c r="G1182" s="798"/>
      <c r="J1182" s="778" t="str">
        <f aca="false">IF(I1182="","",H1182/I1182)</f>
        <v/>
      </c>
      <c r="K1182" s="798"/>
      <c r="O1182" s="779"/>
      <c r="P1182" s="798"/>
      <c r="Q1182" s="798"/>
      <c r="R1182" s="811"/>
    </row>
    <row r="1183" customFormat="false" ht="16.5" hidden="false" customHeight="true" outlineLevel="0" collapsed="false">
      <c r="A1183" s="747"/>
      <c r="B1183" s="798"/>
      <c r="D1183" s="798"/>
      <c r="E1183" s="798"/>
      <c r="F1183" s="798"/>
      <c r="G1183" s="798"/>
      <c r="J1183" s="778" t="str">
        <f aca="false">IF(I1183="","",H1183/I1183)</f>
        <v/>
      </c>
      <c r="K1183" s="798"/>
      <c r="O1183" s="779"/>
      <c r="P1183" s="798"/>
      <c r="Q1183" s="798"/>
      <c r="R1183" s="811"/>
    </row>
    <row r="1184" customFormat="false" ht="16.5" hidden="false" customHeight="true" outlineLevel="0" collapsed="false">
      <c r="A1184" s="747"/>
      <c r="B1184" s="798"/>
      <c r="D1184" s="798"/>
      <c r="E1184" s="798"/>
      <c r="F1184" s="798"/>
      <c r="G1184" s="798"/>
      <c r="J1184" s="778" t="str">
        <f aca="false">IF(I1184="","",H1184/I1184)</f>
        <v/>
      </c>
      <c r="K1184" s="798"/>
      <c r="O1184" s="779"/>
      <c r="P1184" s="798"/>
      <c r="Q1184" s="798"/>
      <c r="R1184" s="811"/>
    </row>
    <row r="1185" customFormat="false" ht="16.5" hidden="false" customHeight="true" outlineLevel="0" collapsed="false">
      <c r="A1185" s="747"/>
      <c r="B1185" s="798"/>
      <c r="D1185" s="798"/>
      <c r="E1185" s="798"/>
      <c r="F1185" s="798"/>
      <c r="G1185" s="798"/>
      <c r="J1185" s="778" t="str">
        <f aca="false">IF(I1185="","",H1185/I1185)</f>
        <v/>
      </c>
      <c r="K1185" s="798"/>
      <c r="O1185" s="779"/>
      <c r="P1185" s="798"/>
      <c r="Q1185" s="798"/>
      <c r="R1185" s="811"/>
    </row>
    <row r="1186" customFormat="false" ht="16.5" hidden="false" customHeight="true" outlineLevel="0" collapsed="false">
      <c r="A1186" s="747"/>
      <c r="B1186" s="798"/>
      <c r="D1186" s="798"/>
      <c r="E1186" s="798"/>
      <c r="F1186" s="798"/>
      <c r="G1186" s="798"/>
      <c r="J1186" s="778" t="str">
        <f aca="false">IF(I1186="","",H1186/I1186)</f>
        <v/>
      </c>
      <c r="K1186" s="798"/>
      <c r="O1186" s="779"/>
      <c r="P1186" s="798"/>
      <c r="Q1186" s="798"/>
      <c r="R1186" s="811"/>
    </row>
    <row r="1187" customFormat="false" ht="16.5" hidden="false" customHeight="true" outlineLevel="0" collapsed="false">
      <c r="A1187" s="747"/>
      <c r="B1187" s="798"/>
      <c r="D1187" s="798"/>
      <c r="E1187" s="798"/>
      <c r="F1187" s="798"/>
      <c r="G1187" s="798"/>
      <c r="J1187" s="778" t="str">
        <f aca="false">IF(I1187="","",H1187/I1187)</f>
        <v/>
      </c>
      <c r="K1187" s="798"/>
      <c r="O1187" s="779"/>
      <c r="P1187" s="798"/>
      <c r="Q1187" s="798"/>
      <c r="R1187" s="811"/>
    </row>
    <row r="1188" customFormat="false" ht="16.5" hidden="false" customHeight="true" outlineLevel="0" collapsed="false">
      <c r="A1188" s="747"/>
      <c r="B1188" s="798"/>
      <c r="D1188" s="798"/>
      <c r="E1188" s="798"/>
      <c r="F1188" s="798"/>
      <c r="G1188" s="798"/>
      <c r="J1188" s="778" t="str">
        <f aca="false">IF(I1188="","",H1188/I1188)</f>
        <v/>
      </c>
      <c r="K1188" s="798"/>
      <c r="O1188" s="779"/>
      <c r="P1188" s="798"/>
      <c r="Q1188" s="798"/>
      <c r="R1188" s="811"/>
    </row>
    <row r="1189" customFormat="false" ht="16.5" hidden="false" customHeight="true" outlineLevel="0" collapsed="false">
      <c r="A1189" s="747"/>
      <c r="B1189" s="798"/>
      <c r="D1189" s="798"/>
      <c r="E1189" s="798"/>
      <c r="F1189" s="798"/>
      <c r="G1189" s="798"/>
      <c r="J1189" s="778" t="str">
        <f aca="false">IF(I1189="","",H1189/I1189)</f>
        <v/>
      </c>
      <c r="K1189" s="798"/>
      <c r="O1189" s="779"/>
      <c r="P1189" s="798"/>
      <c r="Q1189" s="798"/>
      <c r="R1189" s="811"/>
    </row>
    <row r="1190" customFormat="false" ht="16.5" hidden="false" customHeight="true" outlineLevel="0" collapsed="false">
      <c r="A1190" s="747"/>
      <c r="B1190" s="798"/>
      <c r="D1190" s="798"/>
      <c r="E1190" s="798"/>
      <c r="F1190" s="798"/>
      <c r="G1190" s="798"/>
      <c r="J1190" s="778" t="str">
        <f aca="false">IF(I1190="","",H1190/I1190)</f>
        <v/>
      </c>
      <c r="K1190" s="798"/>
      <c r="O1190" s="779"/>
      <c r="P1190" s="798"/>
      <c r="Q1190" s="798"/>
      <c r="R1190" s="811"/>
    </row>
    <row r="1191" customFormat="false" ht="16.5" hidden="false" customHeight="true" outlineLevel="0" collapsed="false">
      <c r="A1191" s="747"/>
      <c r="B1191" s="798"/>
      <c r="D1191" s="798"/>
      <c r="E1191" s="798"/>
      <c r="F1191" s="798"/>
      <c r="G1191" s="798"/>
      <c r="J1191" s="778" t="str">
        <f aca="false">IF(I1191="","",H1191/I1191)</f>
        <v/>
      </c>
      <c r="K1191" s="798"/>
      <c r="O1191" s="779"/>
      <c r="P1191" s="798"/>
      <c r="Q1191" s="798"/>
      <c r="R1191" s="811"/>
    </row>
    <row r="1192" customFormat="false" ht="16.5" hidden="false" customHeight="true" outlineLevel="0" collapsed="false">
      <c r="A1192" s="747"/>
      <c r="B1192" s="798"/>
      <c r="D1192" s="798"/>
      <c r="E1192" s="798"/>
      <c r="F1192" s="798"/>
      <c r="G1192" s="798"/>
      <c r="J1192" s="778" t="str">
        <f aca="false">IF(I1192="","",H1192/I1192)</f>
        <v/>
      </c>
      <c r="K1192" s="798"/>
      <c r="O1192" s="779"/>
      <c r="P1192" s="798"/>
      <c r="Q1192" s="798"/>
      <c r="R1192" s="811"/>
    </row>
    <row r="1193" customFormat="false" ht="16.5" hidden="false" customHeight="true" outlineLevel="0" collapsed="false">
      <c r="A1193" s="747"/>
      <c r="B1193" s="798"/>
      <c r="D1193" s="798"/>
      <c r="E1193" s="798"/>
      <c r="F1193" s="798"/>
      <c r="G1193" s="798"/>
      <c r="J1193" s="778" t="str">
        <f aca="false">IF(I1193="","",H1193/I1193)</f>
        <v/>
      </c>
      <c r="K1193" s="798"/>
      <c r="O1193" s="779"/>
      <c r="P1193" s="798"/>
      <c r="Q1193" s="798"/>
      <c r="R1193" s="811"/>
    </row>
    <row r="1194" customFormat="false" ht="16.5" hidden="false" customHeight="true" outlineLevel="0" collapsed="false">
      <c r="A1194" s="747"/>
      <c r="B1194" s="798"/>
      <c r="D1194" s="798"/>
      <c r="E1194" s="798"/>
      <c r="F1194" s="798"/>
      <c r="G1194" s="798"/>
      <c r="J1194" s="778" t="str">
        <f aca="false">IF(I1194="","",H1194/I1194)</f>
        <v/>
      </c>
      <c r="K1194" s="798"/>
      <c r="O1194" s="779"/>
      <c r="P1194" s="798"/>
      <c r="Q1194" s="798"/>
      <c r="R1194" s="811"/>
    </row>
    <row r="1195" customFormat="false" ht="16.5" hidden="false" customHeight="true" outlineLevel="0" collapsed="false">
      <c r="A1195" s="747"/>
      <c r="B1195" s="798"/>
      <c r="D1195" s="798"/>
      <c r="E1195" s="798"/>
      <c r="F1195" s="798"/>
      <c r="G1195" s="798"/>
      <c r="J1195" s="778" t="str">
        <f aca="false">IF(I1195="","",H1195/I1195)</f>
        <v/>
      </c>
      <c r="K1195" s="798"/>
      <c r="O1195" s="779"/>
      <c r="P1195" s="798"/>
      <c r="Q1195" s="798"/>
      <c r="R1195" s="811"/>
    </row>
    <row r="1196" customFormat="false" ht="16.5" hidden="false" customHeight="true" outlineLevel="0" collapsed="false">
      <c r="A1196" s="747"/>
      <c r="B1196" s="798"/>
      <c r="D1196" s="798"/>
      <c r="E1196" s="798"/>
      <c r="F1196" s="798"/>
      <c r="G1196" s="798"/>
      <c r="J1196" s="778" t="str">
        <f aca="false">IF(I1196="","",H1196/I1196)</f>
        <v/>
      </c>
      <c r="K1196" s="798"/>
      <c r="O1196" s="779"/>
      <c r="P1196" s="798"/>
      <c r="Q1196" s="798"/>
      <c r="R1196" s="811"/>
    </row>
    <row r="1197" customFormat="false" ht="16.5" hidden="false" customHeight="true" outlineLevel="0" collapsed="false">
      <c r="A1197" s="747"/>
      <c r="B1197" s="798"/>
      <c r="D1197" s="798"/>
      <c r="E1197" s="798"/>
      <c r="F1197" s="798"/>
      <c r="G1197" s="798"/>
      <c r="J1197" s="778" t="str">
        <f aca="false">IF(I1197="","",H1197/I1197)</f>
        <v/>
      </c>
      <c r="K1197" s="798"/>
      <c r="O1197" s="779"/>
      <c r="P1197" s="798"/>
      <c r="Q1197" s="798"/>
      <c r="R1197" s="811"/>
    </row>
    <row r="1198" customFormat="false" ht="16.5" hidden="false" customHeight="true" outlineLevel="0" collapsed="false">
      <c r="A1198" s="747"/>
      <c r="B1198" s="798"/>
      <c r="D1198" s="798"/>
      <c r="E1198" s="798"/>
      <c r="F1198" s="798"/>
      <c r="G1198" s="798"/>
      <c r="J1198" s="778" t="str">
        <f aca="false">IF(I1198="","",H1198/I1198)</f>
        <v/>
      </c>
      <c r="K1198" s="798"/>
      <c r="O1198" s="779"/>
      <c r="P1198" s="798"/>
      <c r="Q1198" s="798"/>
      <c r="R1198" s="811"/>
    </row>
    <row r="1199" customFormat="false" ht="16.5" hidden="false" customHeight="true" outlineLevel="0" collapsed="false">
      <c r="A1199" s="747"/>
      <c r="B1199" s="798"/>
      <c r="D1199" s="798"/>
      <c r="E1199" s="798"/>
      <c r="F1199" s="798"/>
      <c r="G1199" s="798"/>
      <c r="J1199" s="778" t="str">
        <f aca="false">IF(I1199="","",H1199/I1199)</f>
        <v/>
      </c>
      <c r="K1199" s="798"/>
      <c r="O1199" s="779"/>
      <c r="P1199" s="798"/>
      <c r="Q1199" s="798"/>
      <c r="R1199" s="811"/>
    </row>
    <row r="1200" customFormat="false" ht="16.5" hidden="false" customHeight="true" outlineLevel="0" collapsed="false">
      <c r="A1200" s="747"/>
      <c r="B1200" s="798"/>
      <c r="D1200" s="798"/>
      <c r="E1200" s="798"/>
      <c r="F1200" s="798"/>
      <c r="G1200" s="798"/>
      <c r="J1200" s="778" t="str">
        <f aca="false">IF(I1200="","",H1200/I1200)</f>
        <v/>
      </c>
      <c r="K1200" s="798"/>
      <c r="O1200" s="779"/>
      <c r="P1200" s="798"/>
      <c r="Q1200" s="798"/>
      <c r="R1200" s="811"/>
    </row>
    <row r="1201" customFormat="false" ht="16.5" hidden="false" customHeight="true" outlineLevel="0" collapsed="false">
      <c r="A1201" s="747"/>
      <c r="B1201" s="798"/>
      <c r="D1201" s="798"/>
      <c r="E1201" s="798"/>
      <c r="F1201" s="798"/>
      <c r="G1201" s="798"/>
      <c r="J1201" s="778" t="str">
        <f aca="false">IF(I1201="","",H1201/I1201)</f>
        <v/>
      </c>
      <c r="K1201" s="798"/>
      <c r="O1201" s="779"/>
      <c r="P1201" s="798"/>
      <c r="Q1201" s="798"/>
      <c r="R1201" s="811"/>
    </row>
    <row r="1202" customFormat="false" ht="16.5" hidden="false" customHeight="true" outlineLevel="0" collapsed="false">
      <c r="A1202" s="747"/>
      <c r="B1202" s="798"/>
      <c r="D1202" s="798"/>
      <c r="E1202" s="798"/>
      <c r="F1202" s="798"/>
      <c r="G1202" s="798"/>
      <c r="J1202" s="778" t="str">
        <f aca="false">IF(I1202="","",H1202/I1202)</f>
        <v/>
      </c>
      <c r="K1202" s="798"/>
      <c r="O1202" s="779"/>
      <c r="P1202" s="798"/>
      <c r="Q1202" s="798"/>
      <c r="R1202" s="811"/>
    </row>
    <row r="1203" customFormat="false" ht="16.5" hidden="false" customHeight="true" outlineLevel="0" collapsed="false">
      <c r="A1203" s="747"/>
      <c r="B1203" s="798"/>
      <c r="D1203" s="798"/>
      <c r="E1203" s="798"/>
      <c r="F1203" s="798"/>
      <c r="G1203" s="798"/>
      <c r="J1203" s="778" t="str">
        <f aca="false">IF(I1203="","",H1203/I1203)</f>
        <v/>
      </c>
      <c r="K1203" s="798"/>
      <c r="O1203" s="779"/>
      <c r="P1203" s="798"/>
      <c r="Q1203" s="798"/>
      <c r="R1203" s="811"/>
    </row>
    <row r="1204" customFormat="false" ht="16.5" hidden="false" customHeight="true" outlineLevel="0" collapsed="false">
      <c r="A1204" s="747"/>
      <c r="B1204" s="798"/>
      <c r="D1204" s="798"/>
      <c r="E1204" s="798"/>
      <c r="F1204" s="798"/>
      <c r="G1204" s="798"/>
      <c r="J1204" s="778" t="str">
        <f aca="false">IF(I1204="","",H1204/I1204)</f>
        <v/>
      </c>
      <c r="K1204" s="798"/>
      <c r="O1204" s="779"/>
      <c r="P1204" s="798"/>
      <c r="Q1204" s="798"/>
      <c r="R1204" s="811"/>
    </row>
    <row r="1205" customFormat="false" ht="16.5" hidden="false" customHeight="true" outlineLevel="0" collapsed="false">
      <c r="A1205" s="747"/>
      <c r="B1205" s="798"/>
      <c r="D1205" s="798"/>
      <c r="E1205" s="798"/>
      <c r="F1205" s="798"/>
      <c r="G1205" s="798"/>
      <c r="J1205" s="778" t="str">
        <f aca="false">IF(I1205="","",H1205/I1205)</f>
        <v/>
      </c>
      <c r="K1205" s="798"/>
      <c r="O1205" s="779"/>
      <c r="P1205" s="798"/>
      <c r="Q1205" s="798"/>
      <c r="R1205" s="811"/>
    </row>
    <row r="1206" customFormat="false" ht="16.5" hidden="false" customHeight="true" outlineLevel="0" collapsed="false">
      <c r="A1206" s="747"/>
      <c r="B1206" s="798"/>
      <c r="D1206" s="798"/>
      <c r="E1206" s="798"/>
      <c r="F1206" s="798"/>
      <c r="G1206" s="798"/>
      <c r="J1206" s="778" t="str">
        <f aca="false">IF(I1206="","",H1206/I1206)</f>
        <v/>
      </c>
      <c r="K1206" s="798"/>
      <c r="O1206" s="779"/>
      <c r="P1206" s="798"/>
      <c r="Q1206" s="798"/>
      <c r="R1206" s="811"/>
    </row>
    <row r="1207" customFormat="false" ht="16.5" hidden="false" customHeight="true" outlineLevel="0" collapsed="false">
      <c r="A1207" s="747"/>
      <c r="B1207" s="798"/>
      <c r="D1207" s="798"/>
      <c r="E1207" s="798"/>
      <c r="F1207" s="798"/>
      <c r="G1207" s="798"/>
      <c r="J1207" s="778" t="str">
        <f aca="false">IF(I1207="","",H1207/I1207)</f>
        <v/>
      </c>
      <c r="K1207" s="798"/>
      <c r="O1207" s="779"/>
      <c r="P1207" s="798"/>
      <c r="Q1207" s="798"/>
      <c r="R1207" s="811"/>
    </row>
    <row r="1208" customFormat="false" ht="16.5" hidden="false" customHeight="true" outlineLevel="0" collapsed="false">
      <c r="A1208" s="747"/>
      <c r="B1208" s="798"/>
      <c r="D1208" s="798"/>
      <c r="E1208" s="798"/>
      <c r="F1208" s="798"/>
      <c r="G1208" s="798"/>
      <c r="J1208" s="778" t="str">
        <f aca="false">IF(I1208="","",H1208/I1208)</f>
        <v/>
      </c>
      <c r="K1208" s="798"/>
      <c r="O1208" s="779"/>
      <c r="P1208" s="798"/>
      <c r="Q1208" s="798"/>
      <c r="R1208" s="811"/>
    </row>
    <row r="1209" customFormat="false" ht="16.5" hidden="false" customHeight="true" outlineLevel="0" collapsed="false">
      <c r="A1209" s="747"/>
      <c r="B1209" s="798"/>
      <c r="D1209" s="798"/>
      <c r="E1209" s="798"/>
      <c r="F1209" s="798"/>
      <c r="G1209" s="798"/>
      <c r="J1209" s="778" t="str">
        <f aca="false">IF(I1209="","",H1209/I1209)</f>
        <v/>
      </c>
      <c r="K1209" s="798"/>
      <c r="O1209" s="779"/>
      <c r="P1209" s="798"/>
      <c r="Q1209" s="798"/>
      <c r="R1209" s="811"/>
    </row>
    <row r="1210" customFormat="false" ht="16.5" hidden="false" customHeight="true" outlineLevel="0" collapsed="false">
      <c r="A1210" s="747"/>
      <c r="B1210" s="798"/>
      <c r="D1210" s="798"/>
      <c r="E1210" s="798"/>
      <c r="F1210" s="798"/>
      <c r="G1210" s="798"/>
      <c r="J1210" s="778" t="str">
        <f aca="false">IF(I1210="","",H1210/I1210)</f>
        <v/>
      </c>
      <c r="K1210" s="798"/>
      <c r="O1210" s="779"/>
      <c r="P1210" s="798"/>
      <c r="Q1210" s="798"/>
      <c r="R1210" s="811"/>
    </row>
    <row r="1211" customFormat="false" ht="16.5" hidden="false" customHeight="true" outlineLevel="0" collapsed="false">
      <c r="A1211" s="747"/>
      <c r="B1211" s="798"/>
      <c r="D1211" s="798"/>
      <c r="E1211" s="798"/>
      <c r="F1211" s="798"/>
      <c r="G1211" s="798"/>
      <c r="J1211" s="778" t="str">
        <f aca="false">IF(I1211="","",H1211/I1211)</f>
        <v/>
      </c>
      <c r="K1211" s="798"/>
      <c r="O1211" s="779"/>
      <c r="P1211" s="798"/>
      <c r="Q1211" s="798"/>
      <c r="R1211" s="811"/>
    </row>
    <row r="1212" customFormat="false" ht="16.5" hidden="false" customHeight="true" outlineLevel="0" collapsed="false">
      <c r="A1212" s="747"/>
      <c r="B1212" s="798"/>
      <c r="D1212" s="798"/>
      <c r="E1212" s="798"/>
      <c r="F1212" s="798"/>
      <c r="G1212" s="798"/>
      <c r="J1212" s="778" t="str">
        <f aca="false">IF(I1212="","",H1212/I1212)</f>
        <v/>
      </c>
      <c r="K1212" s="798"/>
      <c r="O1212" s="779"/>
      <c r="P1212" s="798"/>
      <c r="Q1212" s="798"/>
      <c r="R1212" s="811"/>
    </row>
    <row r="1213" customFormat="false" ht="16.5" hidden="false" customHeight="true" outlineLevel="0" collapsed="false">
      <c r="A1213" s="747"/>
      <c r="B1213" s="798"/>
      <c r="D1213" s="798"/>
      <c r="E1213" s="798"/>
      <c r="F1213" s="798"/>
      <c r="G1213" s="798"/>
      <c r="J1213" s="778" t="str">
        <f aca="false">IF(I1213="","",H1213/I1213)</f>
        <v/>
      </c>
      <c r="K1213" s="798"/>
      <c r="O1213" s="779"/>
      <c r="P1213" s="798"/>
      <c r="Q1213" s="798"/>
      <c r="R1213" s="811"/>
    </row>
    <row r="1214" customFormat="false" ht="16.5" hidden="false" customHeight="true" outlineLevel="0" collapsed="false">
      <c r="A1214" s="747"/>
      <c r="B1214" s="798"/>
      <c r="D1214" s="798"/>
      <c r="E1214" s="798"/>
      <c r="F1214" s="798"/>
      <c r="G1214" s="798"/>
      <c r="J1214" s="778" t="str">
        <f aca="false">IF(I1214="","",H1214/I1214)</f>
        <v/>
      </c>
      <c r="K1214" s="798"/>
      <c r="O1214" s="779"/>
      <c r="P1214" s="798"/>
      <c r="Q1214" s="798"/>
      <c r="R1214" s="811"/>
    </row>
    <row r="1215" customFormat="false" ht="16.5" hidden="false" customHeight="true" outlineLevel="0" collapsed="false">
      <c r="A1215" s="747"/>
      <c r="B1215" s="798"/>
      <c r="D1215" s="798"/>
      <c r="E1215" s="798"/>
      <c r="F1215" s="798"/>
      <c r="G1215" s="798"/>
      <c r="J1215" s="778" t="str">
        <f aca="false">IF(I1215="","",H1215/I1215)</f>
        <v/>
      </c>
      <c r="K1215" s="798"/>
      <c r="O1215" s="779"/>
      <c r="P1215" s="798"/>
      <c r="Q1215" s="798"/>
      <c r="R1215" s="811"/>
    </row>
    <row r="1216" customFormat="false" ht="16.5" hidden="false" customHeight="true" outlineLevel="0" collapsed="false">
      <c r="A1216" s="747"/>
      <c r="B1216" s="798"/>
      <c r="D1216" s="798"/>
      <c r="E1216" s="798"/>
      <c r="F1216" s="798"/>
      <c r="G1216" s="798"/>
      <c r="J1216" s="778" t="str">
        <f aca="false">IF(I1216="","",H1216/I1216)</f>
        <v/>
      </c>
      <c r="K1216" s="798"/>
      <c r="O1216" s="779"/>
      <c r="P1216" s="798"/>
      <c r="Q1216" s="798"/>
      <c r="R1216" s="811"/>
    </row>
    <row r="1217" customFormat="false" ht="16.5" hidden="false" customHeight="true" outlineLevel="0" collapsed="false">
      <c r="A1217" s="747"/>
      <c r="B1217" s="798"/>
      <c r="D1217" s="798"/>
      <c r="E1217" s="798"/>
      <c r="F1217" s="798"/>
      <c r="G1217" s="798"/>
      <c r="J1217" s="778" t="str">
        <f aca="false">IF(I1217="","",H1217/I1217)</f>
        <v/>
      </c>
      <c r="K1217" s="798"/>
      <c r="O1217" s="779"/>
      <c r="P1217" s="798"/>
      <c r="Q1217" s="798"/>
      <c r="R1217" s="811"/>
    </row>
    <row r="1218" customFormat="false" ht="16.5" hidden="false" customHeight="true" outlineLevel="0" collapsed="false">
      <c r="A1218" s="747"/>
      <c r="B1218" s="798"/>
      <c r="D1218" s="798"/>
      <c r="E1218" s="798"/>
      <c r="F1218" s="798"/>
      <c r="G1218" s="798"/>
      <c r="J1218" s="778" t="str">
        <f aca="false">IF(I1218="","",H1218/I1218)</f>
        <v/>
      </c>
      <c r="K1218" s="798"/>
      <c r="O1218" s="779"/>
      <c r="P1218" s="798"/>
      <c r="Q1218" s="798"/>
      <c r="R1218" s="811"/>
    </row>
    <row r="1219" customFormat="false" ht="16.5" hidden="false" customHeight="true" outlineLevel="0" collapsed="false">
      <c r="A1219" s="747"/>
      <c r="B1219" s="798"/>
      <c r="D1219" s="798"/>
      <c r="E1219" s="798"/>
      <c r="F1219" s="798"/>
      <c r="G1219" s="798"/>
      <c r="J1219" s="778" t="str">
        <f aca="false">IF(I1219="","",H1219/I1219)</f>
        <v/>
      </c>
      <c r="K1219" s="798"/>
      <c r="O1219" s="779"/>
      <c r="P1219" s="798"/>
      <c r="Q1219" s="798"/>
      <c r="R1219" s="811"/>
    </row>
    <row r="1220" customFormat="false" ht="16.5" hidden="false" customHeight="true" outlineLevel="0" collapsed="false">
      <c r="A1220" s="747"/>
      <c r="B1220" s="798"/>
      <c r="D1220" s="798"/>
      <c r="E1220" s="798"/>
      <c r="F1220" s="798"/>
      <c r="G1220" s="798"/>
      <c r="J1220" s="778" t="str">
        <f aca="false">IF(I1220="","",H1220/I1220)</f>
        <v/>
      </c>
      <c r="K1220" s="798"/>
      <c r="O1220" s="779"/>
      <c r="P1220" s="798"/>
      <c r="Q1220" s="798"/>
      <c r="R1220" s="811"/>
    </row>
    <row r="1221" customFormat="false" ht="16.5" hidden="false" customHeight="true" outlineLevel="0" collapsed="false">
      <c r="A1221" s="747"/>
      <c r="B1221" s="798"/>
      <c r="D1221" s="798"/>
      <c r="E1221" s="798"/>
      <c r="F1221" s="798"/>
      <c r="G1221" s="798"/>
      <c r="J1221" s="778" t="str">
        <f aca="false">IF(I1221="","",H1221/I1221)</f>
        <v/>
      </c>
      <c r="K1221" s="798"/>
      <c r="O1221" s="779"/>
      <c r="P1221" s="798"/>
      <c r="Q1221" s="798"/>
      <c r="R1221" s="811"/>
    </row>
    <row r="1222" customFormat="false" ht="16.5" hidden="false" customHeight="true" outlineLevel="0" collapsed="false">
      <c r="A1222" s="747"/>
      <c r="B1222" s="798"/>
      <c r="D1222" s="798"/>
      <c r="E1222" s="798"/>
      <c r="F1222" s="798"/>
      <c r="G1222" s="798"/>
      <c r="J1222" s="778" t="str">
        <f aca="false">IF(I1222="","",H1222/I1222)</f>
        <v/>
      </c>
      <c r="K1222" s="798"/>
      <c r="O1222" s="779"/>
      <c r="P1222" s="798"/>
      <c r="Q1222" s="798"/>
      <c r="R1222" s="811"/>
    </row>
    <row r="1223" customFormat="false" ht="16.5" hidden="false" customHeight="true" outlineLevel="0" collapsed="false">
      <c r="A1223" s="747"/>
      <c r="B1223" s="798"/>
      <c r="D1223" s="798"/>
      <c r="E1223" s="798"/>
      <c r="F1223" s="798"/>
      <c r="G1223" s="798"/>
      <c r="J1223" s="778" t="str">
        <f aca="false">IF(I1223="","",H1223/I1223)</f>
        <v/>
      </c>
      <c r="K1223" s="798"/>
      <c r="O1223" s="779"/>
      <c r="P1223" s="798"/>
      <c r="Q1223" s="798"/>
      <c r="R1223" s="811"/>
    </row>
    <row r="1224" customFormat="false" ht="16.5" hidden="false" customHeight="true" outlineLevel="0" collapsed="false">
      <c r="A1224" s="747"/>
      <c r="B1224" s="798"/>
      <c r="D1224" s="798"/>
      <c r="E1224" s="798"/>
      <c r="F1224" s="798"/>
      <c r="G1224" s="798"/>
      <c r="J1224" s="778" t="str">
        <f aca="false">IF(I1224="","",H1224/I1224)</f>
        <v/>
      </c>
      <c r="K1224" s="798"/>
      <c r="O1224" s="779"/>
      <c r="P1224" s="798"/>
      <c r="Q1224" s="798"/>
      <c r="R1224" s="811"/>
    </row>
    <row r="1225" customFormat="false" ht="16.5" hidden="false" customHeight="true" outlineLevel="0" collapsed="false">
      <c r="A1225" s="747"/>
      <c r="B1225" s="798"/>
      <c r="D1225" s="798"/>
      <c r="E1225" s="798"/>
      <c r="F1225" s="798"/>
      <c r="G1225" s="798"/>
      <c r="J1225" s="778" t="str">
        <f aca="false">IF(I1225="","",H1225/I1225)</f>
        <v/>
      </c>
      <c r="K1225" s="798"/>
      <c r="O1225" s="779"/>
      <c r="P1225" s="798"/>
      <c r="Q1225" s="798"/>
      <c r="R1225" s="811"/>
    </row>
    <row r="1226" customFormat="false" ht="16.5" hidden="false" customHeight="true" outlineLevel="0" collapsed="false">
      <c r="A1226" s="747"/>
      <c r="B1226" s="798"/>
      <c r="D1226" s="798"/>
      <c r="E1226" s="798"/>
      <c r="F1226" s="798"/>
      <c r="G1226" s="798"/>
      <c r="J1226" s="778" t="str">
        <f aca="false">IF(I1226="","",H1226/I1226)</f>
        <v/>
      </c>
      <c r="K1226" s="798"/>
      <c r="O1226" s="779"/>
      <c r="P1226" s="798"/>
      <c r="Q1226" s="798"/>
      <c r="R1226" s="811"/>
    </row>
    <row r="1227" customFormat="false" ht="16.5" hidden="false" customHeight="true" outlineLevel="0" collapsed="false">
      <c r="A1227" s="747"/>
      <c r="B1227" s="798"/>
      <c r="D1227" s="798"/>
      <c r="E1227" s="798"/>
      <c r="F1227" s="798"/>
      <c r="G1227" s="798"/>
      <c r="J1227" s="778" t="str">
        <f aca="false">IF(I1227="","",H1227/I1227)</f>
        <v/>
      </c>
      <c r="K1227" s="798"/>
      <c r="O1227" s="779"/>
      <c r="P1227" s="798"/>
      <c r="Q1227" s="798"/>
      <c r="R1227" s="811"/>
    </row>
    <row r="1228" customFormat="false" ht="16.5" hidden="false" customHeight="true" outlineLevel="0" collapsed="false">
      <c r="A1228" s="747"/>
      <c r="B1228" s="798"/>
      <c r="D1228" s="798"/>
      <c r="E1228" s="798"/>
      <c r="F1228" s="798"/>
      <c r="G1228" s="798"/>
      <c r="J1228" s="778" t="str">
        <f aca="false">IF(I1228="","",H1228/I1228)</f>
        <v/>
      </c>
      <c r="K1228" s="798"/>
      <c r="O1228" s="779"/>
      <c r="P1228" s="798"/>
      <c r="Q1228" s="798"/>
      <c r="R1228" s="811"/>
    </row>
    <row r="1229" customFormat="false" ht="16.5" hidden="false" customHeight="true" outlineLevel="0" collapsed="false">
      <c r="A1229" s="747"/>
      <c r="B1229" s="798"/>
      <c r="D1229" s="798"/>
      <c r="E1229" s="798"/>
      <c r="F1229" s="798"/>
      <c r="G1229" s="798"/>
      <c r="J1229" s="778" t="str">
        <f aca="false">IF(I1229="","",H1229/I1229)</f>
        <v/>
      </c>
      <c r="K1229" s="798"/>
      <c r="O1229" s="779"/>
      <c r="P1229" s="798"/>
      <c r="Q1229" s="798"/>
      <c r="R1229" s="811"/>
    </row>
    <row r="1230" customFormat="false" ht="16.5" hidden="false" customHeight="true" outlineLevel="0" collapsed="false">
      <c r="A1230" s="747"/>
      <c r="B1230" s="798"/>
      <c r="D1230" s="798"/>
      <c r="E1230" s="798"/>
      <c r="F1230" s="798"/>
      <c r="G1230" s="798"/>
      <c r="J1230" s="778" t="str">
        <f aca="false">IF(I1230="","",H1230/I1230)</f>
        <v/>
      </c>
      <c r="K1230" s="798"/>
      <c r="O1230" s="779"/>
      <c r="P1230" s="798"/>
      <c r="Q1230" s="798"/>
      <c r="R1230" s="811"/>
    </row>
    <row r="1231" customFormat="false" ht="16.5" hidden="false" customHeight="true" outlineLevel="0" collapsed="false">
      <c r="A1231" s="747"/>
      <c r="B1231" s="798"/>
      <c r="D1231" s="798"/>
      <c r="E1231" s="798"/>
      <c r="F1231" s="798"/>
      <c r="G1231" s="798"/>
      <c r="J1231" s="778" t="str">
        <f aca="false">IF(I1231="","",H1231/I1231)</f>
        <v/>
      </c>
      <c r="K1231" s="798"/>
      <c r="P1231" s="798"/>
      <c r="Q1231" s="798"/>
      <c r="R1231" s="811"/>
    </row>
    <row r="1232" customFormat="false" ht="16.5" hidden="false" customHeight="true" outlineLevel="0" collapsed="false">
      <c r="A1232" s="747"/>
      <c r="B1232" s="798"/>
      <c r="D1232" s="798"/>
      <c r="E1232" s="798"/>
      <c r="F1232" s="798"/>
      <c r="G1232" s="798"/>
      <c r="J1232" s="778" t="str">
        <f aca="false">IF(I1232="","",H1232/I1232)</f>
        <v/>
      </c>
      <c r="K1232" s="798"/>
      <c r="P1232" s="798"/>
      <c r="Q1232" s="798"/>
      <c r="R1232" s="811"/>
    </row>
    <row r="1233" customFormat="false" ht="16.5" hidden="false" customHeight="true" outlineLevel="0" collapsed="false">
      <c r="A1233" s="747"/>
      <c r="B1233" s="798"/>
      <c r="D1233" s="798"/>
      <c r="E1233" s="798"/>
      <c r="F1233" s="798"/>
      <c r="G1233" s="798"/>
      <c r="J1233" s="778" t="str">
        <f aca="false">IF(I1233="","",H1233/I1233)</f>
        <v/>
      </c>
      <c r="K1233" s="798"/>
      <c r="P1233" s="798"/>
      <c r="Q1233" s="798"/>
      <c r="R1233" s="811"/>
    </row>
    <row r="1234" customFormat="false" ht="16.5" hidden="false" customHeight="true" outlineLevel="0" collapsed="false">
      <c r="A1234" s="747"/>
      <c r="B1234" s="798"/>
      <c r="D1234" s="798"/>
      <c r="E1234" s="798"/>
      <c r="F1234" s="798"/>
      <c r="G1234" s="798"/>
      <c r="J1234" s="778" t="str">
        <f aca="false">IF(I1234="","",H1234/I1234)</f>
        <v/>
      </c>
      <c r="K1234" s="798"/>
      <c r="P1234" s="798"/>
      <c r="Q1234" s="798"/>
      <c r="R1234" s="811"/>
    </row>
    <row r="1235" customFormat="false" ht="16.5" hidden="false" customHeight="true" outlineLevel="0" collapsed="false">
      <c r="A1235" s="747"/>
      <c r="B1235" s="798"/>
      <c r="D1235" s="798"/>
      <c r="E1235" s="798"/>
      <c r="F1235" s="798"/>
      <c r="G1235" s="798"/>
      <c r="J1235" s="778" t="str">
        <f aca="false">IF(I1235="","",H1235/I1235)</f>
        <v/>
      </c>
      <c r="K1235" s="798"/>
      <c r="P1235" s="798"/>
      <c r="Q1235" s="798"/>
      <c r="R1235" s="811"/>
    </row>
    <row r="1236" customFormat="false" ht="16.5" hidden="false" customHeight="true" outlineLevel="0" collapsed="false">
      <c r="A1236" s="747"/>
      <c r="B1236" s="798"/>
      <c r="D1236" s="798"/>
      <c r="E1236" s="798"/>
      <c r="F1236" s="798"/>
      <c r="G1236" s="798"/>
      <c r="J1236" s="778" t="str">
        <f aca="false">IF(I1236="","",H1236/I1236)</f>
        <v/>
      </c>
      <c r="K1236" s="798"/>
      <c r="P1236" s="798"/>
      <c r="Q1236" s="798"/>
      <c r="R1236" s="811"/>
    </row>
    <row r="1237" customFormat="false" ht="16.5" hidden="false" customHeight="true" outlineLevel="0" collapsed="false">
      <c r="A1237" s="747"/>
      <c r="B1237" s="798"/>
      <c r="D1237" s="798"/>
      <c r="E1237" s="798"/>
      <c r="F1237" s="798"/>
      <c r="G1237" s="798"/>
      <c r="J1237" s="778" t="str">
        <f aca="false">IF(I1237="","",H1237/I1237)</f>
        <v/>
      </c>
      <c r="K1237" s="798"/>
      <c r="P1237" s="798"/>
      <c r="Q1237" s="798"/>
      <c r="R1237" s="811"/>
    </row>
    <row r="1238" customFormat="false" ht="16.5" hidden="false" customHeight="true" outlineLevel="0" collapsed="false">
      <c r="A1238" s="747"/>
      <c r="B1238" s="798"/>
      <c r="D1238" s="798"/>
      <c r="E1238" s="798"/>
      <c r="F1238" s="798"/>
      <c r="G1238" s="798"/>
      <c r="J1238" s="778" t="str">
        <f aca="false">IF(I1238="","",H1238/I1238)</f>
        <v/>
      </c>
      <c r="K1238" s="798"/>
      <c r="P1238" s="798"/>
      <c r="Q1238" s="798"/>
      <c r="R1238" s="811"/>
    </row>
    <row r="1239" customFormat="false" ht="16.5" hidden="false" customHeight="true" outlineLevel="0" collapsed="false">
      <c r="A1239" s="747"/>
      <c r="B1239" s="798"/>
      <c r="D1239" s="798"/>
      <c r="E1239" s="798"/>
      <c r="F1239" s="798"/>
      <c r="G1239" s="798"/>
      <c r="J1239" s="778" t="str">
        <f aca="false">IF(I1239="","",H1239/I1239)</f>
        <v/>
      </c>
      <c r="K1239" s="798"/>
      <c r="P1239" s="798"/>
      <c r="Q1239" s="798"/>
      <c r="R1239" s="811"/>
    </row>
    <row r="1240" customFormat="false" ht="16.5" hidden="false" customHeight="true" outlineLevel="0" collapsed="false">
      <c r="A1240" s="747"/>
      <c r="B1240" s="798"/>
      <c r="D1240" s="798"/>
      <c r="E1240" s="798"/>
      <c r="F1240" s="798"/>
      <c r="G1240" s="798"/>
      <c r="J1240" s="778" t="str">
        <f aca="false">IF(I1240="","",H1240/I1240)</f>
        <v/>
      </c>
      <c r="K1240" s="798"/>
      <c r="P1240" s="798"/>
      <c r="Q1240" s="798"/>
      <c r="R1240" s="811"/>
    </row>
    <row r="1241" customFormat="false" ht="16.5" hidden="false" customHeight="true" outlineLevel="0" collapsed="false">
      <c r="A1241" s="747"/>
      <c r="B1241" s="798"/>
      <c r="D1241" s="798"/>
      <c r="E1241" s="798"/>
      <c r="F1241" s="798"/>
      <c r="G1241" s="798"/>
      <c r="J1241" s="778" t="str">
        <f aca="false">IF(I1241="","",H1241/I1241)</f>
        <v/>
      </c>
      <c r="K1241" s="798"/>
      <c r="P1241" s="798"/>
      <c r="Q1241" s="798"/>
      <c r="R1241" s="811"/>
    </row>
    <row r="1242" customFormat="false" ht="16.5" hidden="false" customHeight="true" outlineLevel="0" collapsed="false">
      <c r="A1242" s="747"/>
      <c r="B1242" s="798"/>
      <c r="D1242" s="798"/>
      <c r="E1242" s="798"/>
      <c r="F1242" s="798"/>
      <c r="G1242" s="798"/>
      <c r="J1242" s="778" t="str">
        <f aca="false">IF(I1242="","",H1242/I1242)</f>
        <v/>
      </c>
      <c r="K1242" s="798"/>
      <c r="P1242" s="798"/>
      <c r="Q1242" s="798"/>
      <c r="R1242" s="811"/>
    </row>
    <row r="1243" customFormat="false" ht="16.5" hidden="false" customHeight="true" outlineLevel="0" collapsed="false">
      <c r="A1243" s="747"/>
      <c r="B1243" s="798"/>
      <c r="D1243" s="798"/>
      <c r="E1243" s="798"/>
      <c r="F1243" s="798"/>
      <c r="G1243" s="798"/>
      <c r="J1243" s="778" t="str">
        <f aca="false">IF(I1243="","",H1243/I1243)</f>
        <v/>
      </c>
      <c r="K1243" s="798"/>
      <c r="P1243" s="798"/>
      <c r="Q1243" s="798"/>
      <c r="R1243" s="811"/>
    </row>
    <row r="1244" customFormat="false" ht="16.5" hidden="false" customHeight="true" outlineLevel="0" collapsed="false">
      <c r="A1244" s="747"/>
      <c r="B1244" s="798"/>
      <c r="D1244" s="798"/>
      <c r="E1244" s="798"/>
      <c r="F1244" s="798"/>
      <c r="G1244" s="798"/>
      <c r="J1244" s="778" t="str">
        <f aca="false">IF(I1244="","",H1244/I1244)</f>
        <v/>
      </c>
      <c r="K1244" s="798"/>
      <c r="P1244" s="798"/>
      <c r="Q1244" s="798"/>
      <c r="R1244" s="811"/>
    </row>
    <row r="1245" customFormat="false" ht="16.5" hidden="false" customHeight="true" outlineLevel="0" collapsed="false">
      <c r="A1245" s="747"/>
      <c r="B1245" s="798"/>
      <c r="D1245" s="798"/>
      <c r="E1245" s="798"/>
      <c r="F1245" s="798"/>
      <c r="G1245" s="798"/>
      <c r="J1245" s="778" t="str">
        <f aca="false">IF(I1245="","",H1245/I1245)</f>
        <v/>
      </c>
      <c r="K1245" s="798"/>
      <c r="P1245" s="798"/>
      <c r="Q1245" s="798"/>
      <c r="R1245" s="811"/>
    </row>
    <row r="1246" customFormat="false" ht="16.5" hidden="false" customHeight="true" outlineLevel="0" collapsed="false">
      <c r="A1246" s="747"/>
      <c r="B1246" s="798"/>
      <c r="D1246" s="798"/>
      <c r="E1246" s="798"/>
      <c r="F1246" s="798"/>
      <c r="G1246" s="798"/>
      <c r="J1246" s="778" t="str">
        <f aca="false">IF(I1246="","",H1246/I1246)</f>
        <v/>
      </c>
      <c r="K1246" s="798"/>
      <c r="P1246" s="798"/>
      <c r="Q1246" s="798"/>
      <c r="R1246" s="811"/>
    </row>
    <row r="1247" customFormat="false" ht="16.5" hidden="false" customHeight="true" outlineLevel="0" collapsed="false">
      <c r="A1247" s="747"/>
      <c r="B1247" s="798"/>
      <c r="D1247" s="798"/>
      <c r="E1247" s="798"/>
      <c r="F1247" s="798"/>
      <c r="G1247" s="798"/>
      <c r="J1247" s="778" t="str">
        <f aca="false">IF(I1247="","",H1247/I1247)</f>
        <v/>
      </c>
      <c r="K1247" s="798"/>
      <c r="P1247" s="798"/>
      <c r="Q1247" s="798"/>
      <c r="R1247" s="811"/>
    </row>
    <row r="1248" customFormat="false" ht="16.5" hidden="false" customHeight="true" outlineLevel="0" collapsed="false">
      <c r="A1248" s="747"/>
      <c r="B1248" s="798"/>
      <c r="D1248" s="798"/>
      <c r="E1248" s="798"/>
      <c r="F1248" s="798"/>
      <c r="G1248" s="798"/>
      <c r="J1248" s="778" t="str">
        <f aca="false">IF(I1248="","",H1248/I1248)</f>
        <v/>
      </c>
      <c r="K1248" s="798"/>
      <c r="P1248" s="798"/>
      <c r="Q1248" s="798"/>
      <c r="R1248" s="811"/>
    </row>
    <row r="1249" customFormat="false" ht="16.5" hidden="false" customHeight="true" outlineLevel="0" collapsed="false">
      <c r="A1249" s="747"/>
      <c r="B1249" s="798"/>
      <c r="D1249" s="798"/>
      <c r="E1249" s="798"/>
      <c r="F1249" s="798"/>
      <c r="G1249" s="798"/>
      <c r="J1249" s="778" t="str">
        <f aca="false">IF(I1249="","",H1249/I1249)</f>
        <v/>
      </c>
      <c r="K1249" s="798"/>
      <c r="P1249" s="798"/>
      <c r="Q1249" s="798"/>
      <c r="R1249" s="811"/>
    </row>
    <row r="1250" customFormat="false" ht="16.5" hidden="false" customHeight="true" outlineLevel="0" collapsed="false">
      <c r="A1250" s="747"/>
      <c r="B1250" s="798"/>
      <c r="D1250" s="798"/>
      <c r="E1250" s="798"/>
      <c r="F1250" s="798"/>
      <c r="G1250" s="798"/>
      <c r="J1250" s="778" t="str">
        <f aca="false">IF(I1250="","",H1250/I1250)</f>
        <v/>
      </c>
      <c r="K1250" s="798"/>
      <c r="P1250" s="798"/>
      <c r="Q1250" s="798"/>
      <c r="R1250" s="811"/>
    </row>
    <row r="1251" customFormat="false" ht="16.5" hidden="false" customHeight="true" outlineLevel="0" collapsed="false">
      <c r="A1251" s="747"/>
      <c r="B1251" s="798"/>
      <c r="D1251" s="798"/>
      <c r="E1251" s="798"/>
      <c r="F1251" s="798"/>
      <c r="G1251" s="798"/>
      <c r="J1251" s="778" t="str">
        <f aca="false">IF(I1251="","",H1251/I1251)</f>
        <v/>
      </c>
      <c r="K1251" s="798"/>
      <c r="P1251" s="798"/>
      <c r="Q1251" s="798"/>
      <c r="R1251" s="811"/>
    </row>
    <row r="1252" customFormat="false" ht="16.5" hidden="false" customHeight="true" outlineLevel="0" collapsed="false">
      <c r="A1252" s="747"/>
      <c r="B1252" s="798"/>
      <c r="D1252" s="798"/>
      <c r="E1252" s="798"/>
      <c r="F1252" s="798"/>
      <c r="G1252" s="798"/>
      <c r="J1252" s="778" t="str">
        <f aca="false">IF(I1252="","",H1252/I1252)</f>
        <v/>
      </c>
      <c r="K1252" s="798"/>
      <c r="P1252" s="798"/>
      <c r="Q1252" s="798"/>
      <c r="R1252" s="811"/>
    </row>
    <row r="1253" customFormat="false" ht="16.5" hidden="false" customHeight="true" outlineLevel="0" collapsed="false">
      <c r="A1253" s="747"/>
      <c r="B1253" s="798"/>
      <c r="D1253" s="798"/>
      <c r="E1253" s="798"/>
      <c r="F1253" s="798"/>
      <c r="G1253" s="798"/>
      <c r="J1253" s="778" t="str">
        <f aca="false">IF(I1253="","",H1253/I1253)</f>
        <v/>
      </c>
      <c r="K1253" s="798"/>
      <c r="P1253" s="798"/>
      <c r="Q1253" s="798"/>
      <c r="R1253" s="811"/>
    </row>
    <row r="1254" customFormat="false" ht="16.5" hidden="false" customHeight="true" outlineLevel="0" collapsed="false">
      <c r="A1254" s="747"/>
      <c r="B1254" s="798"/>
      <c r="D1254" s="798"/>
      <c r="E1254" s="798"/>
      <c r="F1254" s="798"/>
      <c r="G1254" s="798"/>
      <c r="J1254" s="778" t="str">
        <f aca="false">IF(I1254="","",H1254/I1254)</f>
        <v/>
      </c>
      <c r="K1254" s="798"/>
      <c r="P1254" s="798"/>
      <c r="Q1254" s="798"/>
      <c r="R1254" s="811"/>
    </row>
    <row r="1255" customFormat="false" ht="16.5" hidden="false" customHeight="true" outlineLevel="0" collapsed="false">
      <c r="A1255" s="747"/>
      <c r="B1255" s="798"/>
      <c r="D1255" s="798"/>
      <c r="E1255" s="798"/>
      <c r="F1255" s="798"/>
      <c r="G1255" s="798"/>
      <c r="J1255" s="778" t="str">
        <f aca="false">IF(I1255="","",H1255/I1255)</f>
        <v/>
      </c>
      <c r="K1255" s="798"/>
      <c r="P1255" s="798"/>
      <c r="Q1255" s="798"/>
      <c r="R1255" s="811"/>
    </row>
    <row r="1256" customFormat="false" ht="16.5" hidden="false" customHeight="true" outlineLevel="0" collapsed="false">
      <c r="A1256" s="747"/>
      <c r="B1256" s="798"/>
      <c r="D1256" s="798"/>
      <c r="E1256" s="798"/>
      <c r="F1256" s="798"/>
      <c r="G1256" s="798"/>
      <c r="J1256" s="778" t="str">
        <f aca="false">IF(I1256="","",H1256/I1256)</f>
        <v/>
      </c>
      <c r="K1256" s="798"/>
      <c r="P1256" s="798"/>
      <c r="Q1256" s="798"/>
      <c r="R1256" s="811"/>
    </row>
    <row r="1257" customFormat="false" ht="16.5" hidden="false" customHeight="true" outlineLevel="0" collapsed="false">
      <c r="A1257" s="747"/>
      <c r="B1257" s="798"/>
      <c r="D1257" s="798"/>
      <c r="E1257" s="798"/>
      <c r="F1257" s="798"/>
      <c r="G1257" s="798"/>
      <c r="J1257" s="778" t="str">
        <f aca="false">IF(I1257="","",H1257/I1257)</f>
        <v/>
      </c>
      <c r="K1257" s="798"/>
      <c r="P1257" s="798"/>
      <c r="Q1257" s="798"/>
      <c r="R1257" s="811"/>
    </row>
    <row r="1258" customFormat="false" ht="16.5" hidden="false" customHeight="true" outlineLevel="0" collapsed="false">
      <c r="A1258" s="747"/>
      <c r="B1258" s="798"/>
      <c r="D1258" s="798"/>
      <c r="E1258" s="798"/>
      <c r="F1258" s="798"/>
      <c r="G1258" s="798"/>
      <c r="J1258" s="778" t="str">
        <f aca="false">IF(I1258="","",H1258/I1258)</f>
        <v/>
      </c>
      <c r="K1258" s="798"/>
      <c r="P1258" s="798"/>
      <c r="Q1258" s="798"/>
      <c r="R1258" s="811"/>
    </row>
    <row r="1259" customFormat="false" ht="16.5" hidden="false" customHeight="true" outlineLevel="0" collapsed="false">
      <c r="A1259" s="747"/>
      <c r="B1259" s="798"/>
      <c r="D1259" s="798"/>
      <c r="E1259" s="798"/>
      <c r="F1259" s="798"/>
      <c r="G1259" s="798"/>
      <c r="J1259" s="778" t="str">
        <f aca="false">IF(I1259="","",H1259/I1259)</f>
        <v/>
      </c>
      <c r="K1259" s="798"/>
      <c r="P1259" s="798"/>
      <c r="Q1259" s="798"/>
      <c r="R1259" s="811"/>
    </row>
    <row r="1260" customFormat="false" ht="16.5" hidden="false" customHeight="true" outlineLevel="0" collapsed="false">
      <c r="A1260" s="747"/>
      <c r="B1260" s="798"/>
      <c r="D1260" s="798"/>
      <c r="E1260" s="798"/>
      <c r="F1260" s="798"/>
      <c r="G1260" s="798"/>
      <c r="J1260" s="778" t="str">
        <f aca="false">IF(I1260="","",H1260/I1260)</f>
        <v/>
      </c>
      <c r="K1260" s="798"/>
      <c r="P1260" s="798"/>
      <c r="Q1260" s="798"/>
      <c r="R1260" s="811"/>
    </row>
    <row r="1261" customFormat="false" ht="16.5" hidden="false" customHeight="true" outlineLevel="0" collapsed="false">
      <c r="A1261" s="747"/>
      <c r="B1261" s="798"/>
      <c r="D1261" s="798"/>
      <c r="E1261" s="798"/>
      <c r="F1261" s="798"/>
      <c r="G1261" s="798"/>
      <c r="J1261" s="778" t="str">
        <f aca="false">IF(I1261="","",H1261/I1261)</f>
        <v/>
      </c>
      <c r="K1261" s="798"/>
      <c r="P1261" s="798"/>
      <c r="Q1261" s="798"/>
      <c r="R1261" s="811"/>
    </row>
    <row r="1262" customFormat="false" ht="16.5" hidden="false" customHeight="true" outlineLevel="0" collapsed="false">
      <c r="A1262" s="747"/>
      <c r="B1262" s="798"/>
      <c r="D1262" s="798"/>
      <c r="E1262" s="798"/>
      <c r="F1262" s="798"/>
      <c r="G1262" s="798"/>
      <c r="J1262" s="778" t="str">
        <f aca="false">IF(I1262="","",H1262/I1262)</f>
        <v/>
      </c>
      <c r="K1262" s="798"/>
      <c r="P1262" s="798"/>
      <c r="Q1262" s="798"/>
      <c r="R1262" s="811"/>
    </row>
    <row r="1263" customFormat="false" ht="16.5" hidden="false" customHeight="true" outlineLevel="0" collapsed="false">
      <c r="A1263" s="747"/>
      <c r="B1263" s="798"/>
      <c r="D1263" s="798"/>
      <c r="E1263" s="798"/>
      <c r="F1263" s="798"/>
      <c r="G1263" s="798"/>
      <c r="J1263" s="778" t="str">
        <f aca="false">IF(I1263="","",H1263/I1263)</f>
        <v/>
      </c>
      <c r="K1263" s="798"/>
      <c r="P1263" s="798"/>
      <c r="Q1263" s="798"/>
      <c r="R1263" s="811"/>
    </row>
    <row r="1264" customFormat="false" ht="16.5" hidden="false" customHeight="true" outlineLevel="0" collapsed="false">
      <c r="A1264" s="747"/>
      <c r="B1264" s="798"/>
      <c r="D1264" s="798"/>
      <c r="E1264" s="798"/>
      <c r="F1264" s="798"/>
      <c r="G1264" s="798"/>
      <c r="J1264" s="778" t="str">
        <f aca="false">IF(I1264="","",H1264/I1264)</f>
        <v/>
      </c>
      <c r="K1264" s="798"/>
      <c r="P1264" s="798"/>
      <c r="Q1264" s="798"/>
      <c r="R1264" s="811"/>
    </row>
    <row r="1265" customFormat="false" ht="16.5" hidden="false" customHeight="true" outlineLevel="0" collapsed="false">
      <c r="A1265" s="747"/>
      <c r="B1265" s="798"/>
      <c r="D1265" s="798"/>
      <c r="E1265" s="798"/>
      <c r="F1265" s="798"/>
      <c r="G1265" s="798"/>
      <c r="J1265" s="778" t="str">
        <f aca="false">IF(I1265="","",H1265/I1265)</f>
        <v/>
      </c>
      <c r="K1265" s="798"/>
      <c r="P1265" s="798"/>
      <c r="Q1265" s="798"/>
      <c r="R1265" s="811"/>
    </row>
    <row r="1266" customFormat="false" ht="16.5" hidden="false" customHeight="true" outlineLevel="0" collapsed="false">
      <c r="A1266" s="747"/>
      <c r="B1266" s="798"/>
      <c r="D1266" s="798"/>
      <c r="E1266" s="798"/>
      <c r="F1266" s="798"/>
      <c r="G1266" s="798"/>
      <c r="J1266" s="778" t="str">
        <f aca="false">IF(I1266="","",H1266/I1266)</f>
        <v/>
      </c>
      <c r="K1266" s="798"/>
      <c r="P1266" s="798"/>
      <c r="Q1266" s="798"/>
      <c r="R1266" s="811"/>
    </row>
    <row r="1267" customFormat="false" ht="16.5" hidden="false" customHeight="true" outlineLevel="0" collapsed="false">
      <c r="A1267" s="747"/>
      <c r="B1267" s="798"/>
      <c r="D1267" s="798"/>
      <c r="E1267" s="798"/>
      <c r="F1267" s="798"/>
      <c r="G1267" s="798"/>
      <c r="J1267" s="778" t="str">
        <f aca="false">IF(I1267="","",H1267/I1267)</f>
        <v/>
      </c>
      <c r="K1267" s="798"/>
      <c r="P1267" s="798"/>
      <c r="Q1267" s="798"/>
      <c r="R1267" s="811"/>
    </row>
    <row r="1268" customFormat="false" ht="16.5" hidden="false" customHeight="true" outlineLevel="0" collapsed="false">
      <c r="A1268" s="747"/>
      <c r="B1268" s="798"/>
      <c r="D1268" s="798"/>
      <c r="E1268" s="798"/>
      <c r="F1268" s="798"/>
      <c r="G1268" s="798"/>
      <c r="J1268" s="778" t="str">
        <f aca="false">IF(I1268="","",H1268/I1268)</f>
        <v/>
      </c>
      <c r="K1268" s="798"/>
      <c r="P1268" s="798"/>
      <c r="Q1268" s="798"/>
      <c r="R1268" s="811"/>
    </row>
    <row r="1269" customFormat="false" ht="16.5" hidden="false" customHeight="true" outlineLevel="0" collapsed="false">
      <c r="A1269" s="747"/>
      <c r="B1269" s="798"/>
      <c r="D1269" s="798"/>
      <c r="E1269" s="798"/>
      <c r="F1269" s="798"/>
      <c r="G1269" s="798"/>
      <c r="J1269" s="778" t="str">
        <f aca="false">IF(I1269="","",H1269/I1269)</f>
        <v/>
      </c>
      <c r="K1269" s="798"/>
      <c r="P1269" s="798"/>
      <c r="Q1269" s="798"/>
      <c r="R1269" s="811"/>
    </row>
    <row r="1270" customFormat="false" ht="16.5" hidden="false" customHeight="true" outlineLevel="0" collapsed="false">
      <c r="A1270" s="747"/>
      <c r="B1270" s="798"/>
      <c r="D1270" s="798"/>
      <c r="E1270" s="798"/>
      <c r="F1270" s="798"/>
      <c r="G1270" s="798"/>
      <c r="J1270" s="778" t="str">
        <f aca="false">IF(I1270="","",H1270/I1270)</f>
        <v/>
      </c>
      <c r="K1270" s="798"/>
      <c r="P1270" s="798"/>
      <c r="Q1270" s="798"/>
      <c r="R1270" s="811"/>
    </row>
    <row r="1271" customFormat="false" ht="16.5" hidden="false" customHeight="true" outlineLevel="0" collapsed="false">
      <c r="A1271" s="747"/>
      <c r="B1271" s="798"/>
      <c r="D1271" s="798"/>
      <c r="E1271" s="798"/>
      <c r="F1271" s="798"/>
      <c r="G1271" s="798"/>
      <c r="J1271" s="778" t="str">
        <f aca="false">IF(I1271="","",H1271/I1271)</f>
        <v/>
      </c>
      <c r="K1271" s="798"/>
      <c r="P1271" s="798"/>
      <c r="Q1271" s="798"/>
      <c r="R1271" s="811"/>
    </row>
    <row r="1272" customFormat="false" ht="16.5" hidden="false" customHeight="true" outlineLevel="0" collapsed="false">
      <c r="A1272" s="747"/>
      <c r="B1272" s="798"/>
      <c r="D1272" s="798"/>
      <c r="E1272" s="798"/>
      <c r="F1272" s="798"/>
      <c r="G1272" s="798"/>
      <c r="J1272" s="778" t="str">
        <f aca="false">IF(I1272="","",H1272/I1272)</f>
        <v/>
      </c>
      <c r="K1272" s="798"/>
      <c r="P1272" s="798"/>
      <c r="Q1272" s="798"/>
      <c r="R1272" s="811"/>
    </row>
    <row r="1273" customFormat="false" ht="16.5" hidden="false" customHeight="true" outlineLevel="0" collapsed="false">
      <c r="A1273" s="747"/>
      <c r="B1273" s="798"/>
      <c r="D1273" s="798"/>
      <c r="E1273" s="798"/>
      <c r="F1273" s="798"/>
      <c r="G1273" s="798"/>
      <c r="J1273" s="778" t="str">
        <f aca="false">IF(I1273="","",H1273/I1273)</f>
        <v/>
      </c>
      <c r="K1273" s="798"/>
      <c r="P1273" s="798"/>
      <c r="Q1273" s="798"/>
      <c r="R1273" s="811"/>
    </row>
    <row r="1274" customFormat="false" ht="16.5" hidden="false" customHeight="true" outlineLevel="0" collapsed="false">
      <c r="A1274" s="747"/>
      <c r="B1274" s="798"/>
      <c r="D1274" s="798"/>
      <c r="E1274" s="798"/>
      <c r="F1274" s="798"/>
      <c r="G1274" s="798"/>
      <c r="J1274" s="778" t="str">
        <f aca="false">IF(I1274="","",H1274/I1274)</f>
        <v/>
      </c>
      <c r="K1274" s="798"/>
      <c r="P1274" s="798"/>
      <c r="Q1274" s="798"/>
      <c r="R1274" s="811"/>
    </row>
    <row r="1275" customFormat="false" ht="16.5" hidden="false" customHeight="true" outlineLevel="0" collapsed="false">
      <c r="A1275" s="747"/>
      <c r="B1275" s="798"/>
      <c r="D1275" s="798"/>
      <c r="E1275" s="798"/>
      <c r="F1275" s="798"/>
      <c r="G1275" s="798"/>
      <c r="J1275" s="778" t="str">
        <f aca="false">IF(I1275="","",H1275/I1275)</f>
        <v/>
      </c>
      <c r="K1275" s="798"/>
      <c r="P1275" s="798"/>
      <c r="Q1275" s="798"/>
      <c r="R1275" s="811"/>
    </row>
    <row r="1276" customFormat="false" ht="16.5" hidden="false" customHeight="true" outlineLevel="0" collapsed="false">
      <c r="A1276" s="747"/>
      <c r="B1276" s="798"/>
      <c r="D1276" s="798"/>
      <c r="E1276" s="798"/>
      <c r="F1276" s="798"/>
      <c r="G1276" s="798"/>
      <c r="J1276" s="778" t="str">
        <f aca="false">IF(I1276="","",H1276/I1276)</f>
        <v/>
      </c>
      <c r="K1276" s="798"/>
      <c r="P1276" s="798"/>
      <c r="Q1276" s="798"/>
      <c r="R1276" s="811"/>
    </row>
    <row r="1277" customFormat="false" ht="16.5" hidden="false" customHeight="true" outlineLevel="0" collapsed="false">
      <c r="A1277" s="747"/>
      <c r="B1277" s="798"/>
      <c r="D1277" s="798"/>
      <c r="E1277" s="798"/>
      <c r="F1277" s="798"/>
      <c r="G1277" s="798"/>
      <c r="J1277" s="778" t="str">
        <f aca="false">IF(I1277="","",H1277/I1277)</f>
        <v/>
      </c>
      <c r="K1277" s="798"/>
      <c r="P1277" s="798"/>
      <c r="Q1277" s="798"/>
      <c r="R1277" s="811"/>
    </row>
    <row r="1278" customFormat="false" ht="16.5" hidden="false" customHeight="true" outlineLevel="0" collapsed="false">
      <c r="A1278" s="747"/>
      <c r="B1278" s="798"/>
      <c r="D1278" s="798"/>
      <c r="E1278" s="798"/>
      <c r="F1278" s="798"/>
      <c r="G1278" s="798"/>
      <c r="J1278" s="778" t="str">
        <f aca="false">IF(I1278="","",H1278/I1278)</f>
        <v/>
      </c>
      <c r="K1278" s="798"/>
      <c r="P1278" s="798"/>
      <c r="Q1278" s="798"/>
      <c r="R1278" s="811"/>
    </row>
    <row r="1279" customFormat="false" ht="16.5" hidden="false" customHeight="true" outlineLevel="0" collapsed="false">
      <c r="A1279" s="747"/>
      <c r="B1279" s="798"/>
      <c r="D1279" s="798"/>
      <c r="E1279" s="798"/>
      <c r="F1279" s="798"/>
      <c r="G1279" s="798"/>
      <c r="J1279" s="778" t="str">
        <f aca="false">IF(I1279="","",H1279/I1279)</f>
        <v/>
      </c>
      <c r="K1279" s="798"/>
      <c r="P1279" s="798"/>
      <c r="Q1279" s="798"/>
      <c r="R1279" s="811"/>
    </row>
    <row r="1280" customFormat="false" ht="16.5" hidden="false" customHeight="true" outlineLevel="0" collapsed="false">
      <c r="A1280" s="747"/>
      <c r="B1280" s="798"/>
      <c r="D1280" s="798"/>
      <c r="E1280" s="798"/>
      <c r="F1280" s="798"/>
      <c r="G1280" s="798"/>
      <c r="J1280" s="778" t="str">
        <f aca="false">IF(I1280="","",H1280/I1280)</f>
        <v/>
      </c>
      <c r="K1280" s="798"/>
      <c r="P1280" s="798"/>
      <c r="Q1280" s="798"/>
      <c r="R1280" s="811"/>
    </row>
    <row r="1281" customFormat="false" ht="16.5" hidden="false" customHeight="true" outlineLevel="0" collapsed="false">
      <c r="A1281" s="747"/>
      <c r="B1281" s="798"/>
      <c r="D1281" s="798"/>
      <c r="E1281" s="798"/>
      <c r="F1281" s="798"/>
      <c r="G1281" s="798"/>
      <c r="J1281" s="778" t="str">
        <f aca="false">IF(I1281="","",H1281/I1281)</f>
        <v/>
      </c>
      <c r="K1281" s="798"/>
      <c r="P1281" s="798"/>
      <c r="Q1281" s="798"/>
      <c r="R1281" s="811"/>
    </row>
    <row r="1282" customFormat="false" ht="16.5" hidden="false" customHeight="true" outlineLevel="0" collapsed="false">
      <c r="A1282" s="747"/>
      <c r="B1282" s="798"/>
      <c r="D1282" s="798"/>
      <c r="E1282" s="798"/>
      <c r="F1282" s="798"/>
      <c r="G1282" s="798"/>
      <c r="J1282" s="778" t="str">
        <f aca="false">IF(I1282="","",H1282/I1282)</f>
        <v/>
      </c>
      <c r="K1282" s="798"/>
      <c r="P1282" s="798"/>
      <c r="Q1282" s="798"/>
      <c r="R1282" s="811"/>
    </row>
    <row r="1283" customFormat="false" ht="16.5" hidden="false" customHeight="true" outlineLevel="0" collapsed="false">
      <c r="A1283" s="747"/>
      <c r="B1283" s="798"/>
      <c r="D1283" s="798"/>
      <c r="E1283" s="798"/>
      <c r="F1283" s="798"/>
      <c r="G1283" s="798"/>
      <c r="J1283" s="778" t="str">
        <f aca="false">IF(I1283="","",H1283/I1283)</f>
        <v/>
      </c>
      <c r="K1283" s="798"/>
      <c r="P1283" s="798"/>
      <c r="Q1283" s="798"/>
      <c r="R1283" s="811"/>
    </row>
    <row r="1284" customFormat="false" ht="16.5" hidden="false" customHeight="true" outlineLevel="0" collapsed="false">
      <c r="A1284" s="747"/>
      <c r="B1284" s="798"/>
      <c r="D1284" s="798"/>
      <c r="E1284" s="798"/>
      <c r="F1284" s="798"/>
      <c r="G1284" s="798"/>
      <c r="J1284" s="778" t="str">
        <f aca="false">IF(I1284="","",H1284/I1284)</f>
        <v/>
      </c>
      <c r="K1284" s="798"/>
      <c r="P1284" s="798"/>
      <c r="Q1284" s="798"/>
      <c r="R1284" s="811"/>
    </row>
    <row r="1285" customFormat="false" ht="16.5" hidden="false" customHeight="true" outlineLevel="0" collapsed="false">
      <c r="A1285" s="747"/>
      <c r="B1285" s="798"/>
      <c r="D1285" s="798"/>
      <c r="E1285" s="798"/>
      <c r="F1285" s="798"/>
      <c r="G1285" s="798"/>
      <c r="J1285" s="778" t="str">
        <f aca="false">IF(I1285="","",H1285/I1285)</f>
        <v/>
      </c>
      <c r="K1285" s="798"/>
      <c r="P1285" s="798"/>
      <c r="Q1285" s="798"/>
      <c r="R1285" s="811"/>
    </row>
    <row r="1286" customFormat="false" ht="16.5" hidden="false" customHeight="true" outlineLevel="0" collapsed="false">
      <c r="A1286" s="747"/>
      <c r="B1286" s="798"/>
      <c r="D1286" s="798"/>
      <c r="E1286" s="798"/>
      <c r="F1286" s="798"/>
      <c r="G1286" s="798"/>
      <c r="J1286" s="778" t="str">
        <f aca="false">IF(I1286="","",H1286/I1286)</f>
        <v/>
      </c>
      <c r="K1286" s="798"/>
      <c r="P1286" s="798"/>
      <c r="Q1286" s="798"/>
      <c r="R1286" s="811"/>
    </row>
    <row r="1287" customFormat="false" ht="16.5" hidden="false" customHeight="true" outlineLevel="0" collapsed="false">
      <c r="A1287" s="747"/>
      <c r="B1287" s="798"/>
      <c r="D1287" s="798"/>
      <c r="E1287" s="798"/>
      <c r="F1287" s="798"/>
      <c r="G1287" s="798"/>
      <c r="J1287" s="778" t="str">
        <f aca="false">IF(I1287="","",H1287/I1287)</f>
        <v/>
      </c>
      <c r="K1287" s="798"/>
      <c r="P1287" s="798"/>
      <c r="Q1287" s="798"/>
      <c r="R1287" s="811"/>
    </row>
    <row r="1288" customFormat="false" ht="16.5" hidden="false" customHeight="true" outlineLevel="0" collapsed="false">
      <c r="A1288" s="747"/>
      <c r="B1288" s="798"/>
      <c r="D1288" s="798"/>
      <c r="E1288" s="798"/>
      <c r="F1288" s="798"/>
      <c r="G1288" s="798"/>
      <c r="J1288" s="778" t="str">
        <f aca="false">IF(I1288="","",H1288/I1288)</f>
        <v/>
      </c>
      <c r="K1288" s="798"/>
      <c r="P1288" s="798"/>
      <c r="Q1288" s="798"/>
      <c r="R1288" s="811"/>
    </row>
    <row r="1289" customFormat="false" ht="16.5" hidden="false" customHeight="true" outlineLevel="0" collapsed="false">
      <c r="A1289" s="747"/>
      <c r="B1289" s="798"/>
      <c r="D1289" s="798"/>
      <c r="E1289" s="798"/>
      <c r="F1289" s="798"/>
      <c r="G1289" s="798"/>
      <c r="J1289" s="778" t="str">
        <f aca="false">IF(I1289="","",H1289/I1289)</f>
        <v/>
      </c>
      <c r="K1289" s="798"/>
      <c r="P1289" s="798"/>
      <c r="Q1289" s="798"/>
      <c r="R1289" s="811"/>
    </row>
    <row r="1290" customFormat="false" ht="16.5" hidden="false" customHeight="true" outlineLevel="0" collapsed="false">
      <c r="A1290" s="747"/>
      <c r="B1290" s="798"/>
      <c r="D1290" s="798"/>
      <c r="E1290" s="798"/>
      <c r="F1290" s="798"/>
      <c r="G1290" s="798"/>
      <c r="J1290" s="778" t="str">
        <f aca="false">IF(I1290="","",H1290/I1290)</f>
        <v/>
      </c>
      <c r="K1290" s="798"/>
      <c r="P1290" s="798"/>
      <c r="Q1290" s="798"/>
      <c r="R1290" s="811"/>
    </row>
    <row r="1291" customFormat="false" ht="16.5" hidden="false" customHeight="true" outlineLevel="0" collapsed="false">
      <c r="A1291" s="747"/>
      <c r="B1291" s="798"/>
      <c r="D1291" s="798"/>
      <c r="E1291" s="798"/>
      <c r="F1291" s="798"/>
      <c r="G1291" s="798"/>
      <c r="J1291" s="778" t="str">
        <f aca="false">IF(I1291="","",H1291/I1291)</f>
        <v/>
      </c>
      <c r="K1291" s="798"/>
      <c r="P1291" s="798"/>
      <c r="Q1291" s="798"/>
      <c r="R1291" s="811"/>
    </row>
    <row r="1292" customFormat="false" ht="16.5" hidden="false" customHeight="true" outlineLevel="0" collapsed="false">
      <c r="A1292" s="747"/>
      <c r="B1292" s="798"/>
      <c r="D1292" s="798"/>
      <c r="E1292" s="798"/>
      <c r="F1292" s="798"/>
      <c r="G1292" s="798"/>
      <c r="J1292" s="778" t="str">
        <f aca="false">IF(I1292="","",H1292/I1292)</f>
        <v/>
      </c>
      <c r="K1292" s="798"/>
      <c r="P1292" s="798"/>
      <c r="Q1292" s="798"/>
      <c r="R1292" s="811"/>
    </row>
    <row r="1293" customFormat="false" ht="16.5" hidden="false" customHeight="true" outlineLevel="0" collapsed="false">
      <c r="A1293" s="747"/>
      <c r="B1293" s="798"/>
      <c r="D1293" s="798"/>
      <c r="E1293" s="798"/>
      <c r="F1293" s="798"/>
      <c r="G1293" s="798"/>
      <c r="J1293" s="778" t="str">
        <f aca="false">IF(I1293="","",H1293/I1293)</f>
        <v/>
      </c>
      <c r="K1293" s="798"/>
      <c r="P1293" s="798"/>
      <c r="Q1293" s="798"/>
      <c r="R1293" s="811"/>
    </row>
    <row r="1294" customFormat="false" ht="16.5" hidden="false" customHeight="true" outlineLevel="0" collapsed="false">
      <c r="A1294" s="747"/>
      <c r="B1294" s="798"/>
      <c r="D1294" s="798"/>
      <c r="E1294" s="798"/>
      <c r="F1294" s="798"/>
      <c r="G1294" s="798"/>
      <c r="J1294" s="778" t="str">
        <f aca="false">IF(I1294="","",H1294/I1294)</f>
        <v/>
      </c>
      <c r="K1294" s="798"/>
      <c r="P1294" s="798"/>
      <c r="Q1294" s="798"/>
      <c r="R1294" s="811"/>
    </row>
    <row r="1295" customFormat="false" ht="16.5" hidden="false" customHeight="true" outlineLevel="0" collapsed="false">
      <c r="A1295" s="747"/>
      <c r="B1295" s="798"/>
      <c r="D1295" s="798"/>
      <c r="E1295" s="798"/>
      <c r="F1295" s="798"/>
      <c r="G1295" s="798"/>
      <c r="J1295" s="778" t="str">
        <f aca="false">IF(I1295="","",H1295/I1295)</f>
        <v/>
      </c>
      <c r="K1295" s="798"/>
      <c r="P1295" s="798"/>
      <c r="Q1295" s="798"/>
      <c r="R1295" s="811"/>
    </row>
    <row r="1296" customFormat="false" ht="16.5" hidden="false" customHeight="true" outlineLevel="0" collapsed="false">
      <c r="A1296" s="747"/>
      <c r="B1296" s="798"/>
      <c r="D1296" s="798"/>
      <c r="E1296" s="798"/>
      <c r="F1296" s="798"/>
      <c r="G1296" s="798"/>
      <c r="J1296" s="778" t="str">
        <f aca="false">IF(I1296="","",H1296/I1296)</f>
        <v/>
      </c>
      <c r="K1296" s="798"/>
      <c r="P1296" s="798"/>
      <c r="Q1296" s="798"/>
      <c r="R1296" s="811"/>
    </row>
    <row r="1297" customFormat="false" ht="16.5" hidden="false" customHeight="true" outlineLevel="0" collapsed="false">
      <c r="A1297" s="747"/>
      <c r="B1297" s="798"/>
      <c r="D1297" s="798"/>
      <c r="E1297" s="798"/>
      <c r="F1297" s="798"/>
      <c r="G1297" s="798"/>
      <c r="J1297" s="778" t="str">
        <f aca="false">IF(I1297="","",H1297/I1297)</f>
        <v/>
      </c>
      <c r="K1297" s="798"/>
      <c r="P1297" s="798"/>
      <c r="Q1297" s="798"/>
      <c r="R1297" s="811"/>
    </row>
    <row r="1298" customFormat="false" ht="16.5" hidden="false" customHeight="true" outlineLevel="0" collapsed="false">
      <c r="A1298" s="747"/>
      <c r="B1298" s="798"/>
      <c r="D1298" s="798"/>
      <c r="E1298" s="798"/>
      <c r="F1298" s="798"/>
      <c r="G1298" s="798"/>
      <c r="J1298" s="778" t="str">
        <f aca="false">IF(I1298="","",H1298/I1298)</f>
        <v/>
      </c>
      <c r="K1298" s="798"/>
      <c r="P1298" s="798"/>
      <c r="Q1298" s="798"/>
      <c r="R1298" s="811"/>
    </row>
    <row r="1299" customFormat="false" ht="16.5" hidden="false" customHeight="true" outlineLevel="0" collapsed="false">
      <c r="A1299" s="747"/>
      <c r="B1299" s="798"/>
      <c r="D1299" s="798"/>
      <c r="E1299" s="798"/>
      <c r="F1299" s="798"/>
      <c r="G1299" s="798"/>
      <c r="J1299" s="778" t="str">
        <f aca="false">IF(I1299="","",H1299/I1299)</f>
        <v/>
      </c>
      <c r="K1299" s="798"/>
      <c r="P1299" s="798"/>
      <c r="Q1299" s="798"/>
      <c r="R1299" s="811"/>
    </row>
    <row r="1300" customFormat="false" ht="16.5" hidden="false" customHeight="true" outlineLevel="0" collapsed="false">
      <c r="A1300" s="747"/>
      <c r="B1300" s="798"/>
      <c r="D1300" s="798"/>
      <c r="E1300" s="798"/>
      <c r="F1300" s="798"/>
      <c r="G1300" s="798"/>
      <c r="J1300" s="778" t="str">
        <f aca="false">IF(I1300="","",H1300/I1300)</f>
        <v/>
      </c>
      <c r="K1300" s="798"/>
      <c r="P1300" s="798"/>
      <c r="Q1300" s="798"/>
      <c r="R1300" s="811"/>
    </row>
    <row r="1301" customFormat="false" ht="16.5" hidden="false" customHeight="true" outlineLevel="0" collapsed="false">
      <c r="A1301" s="747"/>
      <c r="B1301" s="798"/>
      <c r="D1301" s="798"/>
      <c r="E1301" s="798"/>
      <c r="F1301" s="798"/>
      <c r="G1301" s="798"/>
      <c r="J1301" s="778" t="str">
        <f aca="false">IF(I1301="","",H1301/I1301)</f>
        <v/>
      </c>
      <c r="K1301" s="798"/>
      <c r="P1301" s="798"/>
      <c r="Q1301" s="798"/>
      <c r="R1301" s="811"/>
    </row>
    <row r="1302" customFormat="false" ht="16.5" hidden="false" customHeight="true" outlineLevel="0" collapsed="false">
      <c r="A1302" s="747"/>
      <c r="B1302" s="798"/>
      <c r="D1302" s="798"/>
      <c r="E1302" s="798"/>
      <c r="F1302" s="798"/>
      <c r="G1302" s="798"/>
      <c r="J1302" s="778" t="str">
        <f aca="false">IF(I1302="","",H1302/I1302)</f>
        <v/>
      </c>
      <c r="K1302" s="798"/>
      <c r="P1302" s="798"/>
      <c r="Q1302" s="798"/>
      <c r="R1302" s="811"/>
    </row>
    <row r="1303" customFormat="false" ht="16.5" hidden="false" customHeight="true" outlineLevel="0" collapsed="false">
      <c r="A1303" s="747"/>
      <c r="B1303" s="798"/>
      <c r="D1303" s="798"/>
      <c r="E1303" s="798"/>
      <c r="F1303" s="798"/>
      <c r="G1303" s="798"/>
      <c r="J1303" s="778" t="str">
        <f aca="false">IF(I1303="","",H1303/I1303)</f>
        <v/>
      </c>
      <c r="K1303" s="798"/>
      <c r="P1303" s="798"/>
      <c r="Q1303" s="798"/>
      <c r="R1303" s="811"/>
    </row>
    <row r="1304" customFormat="false" ht="16.5" hidden="false" customHeight="true" outlineLevel="0" collapsed="false">
      <c r="A1304" s="747"/>
      <c r="B1304" s="798"/>
      <c r="D1304" s="798"/>
      <c r="E1304" s="798"/>
      <c r="F1304" s="798"/>
      <c r="G1304" s="798"/>
      <c r="J1304" s="778" t="str">
        <f aca="false">IF(I1304="","",H1304/I1304)</f>
        <v/>
      </c>
      <c r="K1304" s="798"/>
      <c r="P1304" s="798"/>
      <c r="Q1304" s="798"/>
      <c r="R1304" s="811"/>
    </row>
    <row r="1305" customFormat="false" ht="16.5" hidden="false" customHeight="true" outlineLevel="0" collapsed="false">
      <c r="A1305" s="747"/>
      <c r="B1305" s="798"/>
      <c r="D1305" s="798"/>
      <c r="E1305" s="798"/>
      <c r="F1305" s="798"/>
      <c r="G1305" s="798"/>
      <c r="J1305" s="778" t="str">
        <f aca="false">IF(I1305="","",H1305/I1305)</f>
        <v/>
      </c>
      <c r="K1305" s="798"/>
      <c r="P1305" s="798"/>
      <c r="Q1305" s="798"/>
      <c r="R1305" s="811"/>
    </row>
    <row r="1306" customFormat="false" ht="16.5" hidden="false" customHeight="true" outlineLevel="0" collapsed="false">
      <c r="A1306" s="747"/>
      <c r="B1306" s="798"/>
      <c r="D1306" s="798"/>
      <c r="E1306" s="798"/>
      <c r="F1306" s="798"/>
      <c r="G1306" s="798"/>
      <c r="J1306" s="778" t="str">
        <f aca="false">IF(I1306="","",H1306/I1306)</f>
        <v/>
      </c>
      <c r="K1306" s="798"/>
      <c r="P1306" s="798"/>
      <c r="Q1306" s="798"/>
      <c r="R1306" s="811"/>
    </row>
    <row r="1307" customFormat="false" ht="16.5" hidden="false" customHeight="true" outlineLevel="0" collapsed="false">
      <c r="A1307" s="747"/>
      <c r="B1307" s="798"/>
      <c r="D1307" s="798"/>
      <c r="E1307" s="798"/>
      <c r="F1307" s="798"/>
      <c r="G1307" s="798"/>
      <c r="J1307" s="778" t="str">
        <f aca="false">IF(I1307="","",H1307/I1307)</f>
        <v/>
      </c>
      <c r="K1307" s="798"/>
      <c r="P1307" s="798"/>
      <c r="Q1307" s="798"/>
      <c r="R1307" s="811"/>
    </row>
    <row r="1308" customFormat="false" ht="16.5" hidden="false" customHeight="true" outlineLevel="0" collapsed="false">
      <c r="A1308" s="747"/>
      <c r="B1308" s="798"/>
      <c r="D1308" s="798"/>
      <c r="E1308" s="798"/>
      <c r="F1308" s="798"/>
      <c r="G1308" s="798"/>
      <c r="J1308" s="778" t="str">
        <f aca="false">IF(I1308="","",H1308/I1308)</f>
        <v/>
      </c>
      <c r="K1308" s="798"/>
      <c r="P1308" s="798"/>
      <c r="Q1308" s="798"/>
      <c r="R1308" s="811"/>
    </row>
    <row r="1309" customFormat="false" ht="16.5" hidden="false" customHeight="true" outlineLevel="0" collapsed="false">
      <c r="A1309" s="747"/>
      <c r="B1309" s="798"/>
      <c r="D1309" s="798"/>
      <c r="E1309" s="798"/>
      <c r="F1309" s="798"/>
      <c r="G1309" s="798"/>
      <c r="J1309" s="778" t="str">
        <f aca="false">IF(I1309="","",H1309/I1309)</f>
        <v/>
      </c>
      <c r="K1309" s="798"/>
      <c r="P1309" s="798"/>
      <c r="Q1309" s="798"/>
      <c r="R1309" s="811"/>
    </row>
    <row r="1310" customFormat="false" ht="16.5" hidden="false" customHeight="true" outlineLevel="0" collapsed="false">
      <c r="A1310" s="747"/>
      <c r="B1310" s="798"/>
      <c r="D1310" s="798"/>
      <c r="E1310" s="798"/>
      <c r="F1310" s="798"/>
      <c r="G1310" s="798"/>
      <c r="J1310" s="778" t="str">
        <f aca="false">IF(I1310="","",H1310/I1310)</f>
        <v/>
      </c>
      <c r="K1310" s="798"/>
      <c r="P1310" s="798"/>
      <c r="Q1310" s="798"/>
      <c r="R1310" s="811"/>
    </row>
    <row r="1311" customFormat="false" ht="16.5" hidden="false" customHeight="true" outlineLevel="0" collapsed="false">
      <c r="A1311" s="747"/>
      <c r="B1311" s="798"/>
      <c r="D1311" s="798"/>
      <c r="E1311" s="798"/>
      <c r="F1311" s="798"/>
      <c r="G1311" s="798"/>
      <c r="J1311" s="778" t="str">
        <f aca="false">IF(I1311="","",H1311/I1311)</f>
        <v/>
      </c>
      <c r="K1311" s="798"/>
      <c r="P1311" s="798"/>
      <c r="Q1311" s="798"/>
      <c r="R1311" s="811"/>
    </row>
    <row r="1312" customFormat="false" ht="16.5" hidden="false" customHeight="true" outlineLevel="0" collapsed="false">
      <c r="A1312" s="747"/>
      <c r="B1312" s="798"/>
      <c r="D1312" s="798"/>
      <c r="E1312" s="798"/>
      <c r="F1312" s="798"/>
      <c r="G1312" s="798"/>
      <c r="J1312" s="778" t="str">
        <f aca="false">IF(I1312="","",H1312/I1312)</f>
        <v/>
      </c>
      <c r="K1312" s="798"/>
      <c r="P1312" s="798"/>
      <c r="Q1312" s="798"/>
      <c r="R1312" s="811"/>
    </row>
    <row r="1313" customFormat="false" ht="16.5" hidden="false" customHeight="true" outlineLevel="0" collapsed="false">
      <c r="A1313" s="747"/>
      <c r="B1313" s="798"/>
      <c r="D1313" s="798"/>
      <c r="E1313" s="798"/>
      <c r="F1313" s="798"/>
      <c r="G1313" s="798"/>
      <c r="J1313" s="778" t="str">
        <f aca="false">IF(I1313="","",H1313/I1313)</f>
        <v/>
      </c>
      <c r="K1313" s="798"/>
      <c r="P1313" s="798"/>
      <c r="Q1313" s="798"/>
      <c r="R1313" s="811"/>
    </row>
    <row r="1314" customFormat="false" ht="16.5" hidden="false" customHeight="true" outlineLevel="0" collapsed="false">
      <c r="A1314" s="747"/>
      <c r="B1314" s="798"/>
      <c r="D1314" s="798"/>
      <c r="E1314" s="798"/>
      <c r="F1314" s="798"/>
      <c r="G1314" s="798"/>
      <c r="J1314" s="778" t="str">
        <f aca="false">IF(I1314="","",H1314/I1314)</f>
        <v/>
      </c>
      <c r="K1314" s="798"/>
      <c r="P1314" s="798"/>
      <c r="Q1314" s="798"/>
      <c r="R1314" s="811"/>
    </row>
    <row r="1315" customFormat="false" ht="16.5" hidden="false" customHeight="true" outlineLevel="0" collapsed="false">
      <c r="A1315" s="747"/>
      <c r="B1315" s="798"/>
      <c r="D1315" s="798"/>
      <c r="E1315" s="798"/>
      <c r="F1315" s="798"/>
      <c r="G1315" s="798"/>
      <c r="J1315" s="778" t="str">
        <f aca="false">IF(I1315="","",H1315/I1315)</f>
        <v/>
      </c>
      <c r="K1315" s="798"/>
      <c r="P1315" s="798"/>
      <c r="Q1315" s="798"/>
      <c r="R1315" s="811"/>
    </row>
    <row r="1316" customFormat="false" ht="16.5" hidden="false" customHeight="true" outlineLevel="0" collapsed="false">
      <c r="A1316" s="747"/>
      <c r="B1316" s="798"/>
      <c r="D1316" s="798"/>
      <c r="E1316" s="798"/>
      <c r="F1316" s="798"/>
      <c r="G1316" s="798"/>
      <c r="J1316" s="778" t="str">
        <f aca="false">IF(I1316="","",H1316/I1316)</f>
        <v/>
      </c>
      <c r="K1316" s="798"/>
      <c r="P1316" s="798"/>
      <c r="Q1316" s="798"/>
      <c r="R1316" s="811"/>
    </row>
    <row r="1317" customFormat="false" ht="16.5" hidden="false" customHeight="true" outlineLevel="0" collapsed="false">
      <c r="A1317" s="747"/>
      <c r="B1317" s="798"/>
      <c r="D1317" s="798"/>
      <c r="E1317" s="798"/>
      <c r="F1317" s="798"/>
      <c r="G1317" s="798"/>
      <c r="J1317" s="778" t="str">
        <f aca="false">IF(I1317="","",H1317/I1317)</f>
        <v/>
      </c>
      <c r="K1317" s="798"/>
      <c r="P1317" s="798"/>
      <c r="Q1317" s="798"/>
      <c r="R1317" s="811"/>
    </row>
    <row r="1318" customFormat="false" ht="16.5" hidden="false" customHeight="true" outlineLevel="0" collapsed="false">
      <c r="A1318" s="747"/>
      <c r="B1318" s="798"/>
      <c r="D1318" s="798"/>
      <c r="E1318" s="798"/>
      <c r="F1318" s="798"/>
      <c r="G1318" s="798"/>
      <c r="J1318" s="778" t="str">
        <f aca="false">IF(I1318="","",H1318/I1318)</f>
        <v/>
      </c>
      <c r="K1318" s="798"/>
      <c r="P1318" s="798"/>
      <c r="Q1318" s="798"/>
      <c r="R1318" s="811"/>
    </row>
    <row r="1319" customFormat="false" ht="16.5" hidden="false" customHeight="true" outlineLevel="0" collapsed="false">
      <c r="A1319" s="747"/>
      <c r="B1319" s="798"/>
      <c r="D1319" s="798"/>
      <c r="E1319" s="798"/>
      <c r="F1319" s="798"/>
      <c r="G1319" s="798"/>
      <c r="J1319" s="778" t="str">
        <f aca="false">IF(I1319="","",H1319/I1319)</f>
        <v/>
      </c>
      <c r="K1319" s="798"/>
      <c r="P1319" s="798"/>
      <c r="Q1319" s="798"/>
      <c r="R1319" s="811"/>
    </row>
    <row r="1320" customFormat="false" ht="16.5" hidden="false" customHeight="true" outlineLevel="0" collapsed="false">
      <c r="A1320" s="747"/>
      <c r="B1320" s="798"/>
      <c r="D1320" s="798"/>
      <c r="E1320" s="798"/>
      <c r="F1320" s="798"/>
      <c r="G1320" s="798"/>
      <c r="J1320" s="778" t="str">
        <f aca="false">IF(I1320="","",H1320/I1320)</f>
        <v/>
      </c>
      <c r="K1320" s="798"/>
      <c r="P1320" s="798"/>
      <c r="Q1320" s="798"/>
      <c r="R1320" s="811"/>
    </row>
    <row r="1321" customFormat="false" ht="16.5" hidden="false" customHeight="true" outlineLevel="0" collapsed="false">
      <c r="A1321" s="747"/>
      <c r="B1321" s="798"/>
      <c r="D1321" s="798"/>
      <c r="E1321" s="798"/>
      <c r="F1321" s="798"/>
      <c r="G1321" s="798"/>
      <c r="J1321" s="778" t="str">
        <f aca="false">IF(I1321="","",H1321/I1321)</f>
        <v/>
      </c>
      <c r="K1321" s="798"/>
      <c r="P1321" s="798"/>
      <c r="Q1321" s="798"/>
      <c r="R1321" s="811"/>
    </row>
    <row r="1322" customFormat="false" ht="16.5" hidden="false" customHeight="true" outlineLevel="0" collapsed="false">
      <c r="A1322" s="747"/>
      <c r="B1322" s="798"/>
      <c r="D1322" s="798"/>
      <c r="E1322" s="798"/>
      <c r="F1322" s="798"/>
      <c r="G1322" s="798"/>
      <c r="J1322" s="778" t="str">
        <f aca="false">IF(I1322="","",H1322/I1322)</f>
        <v/>
      </c>
      <c r="K1322" s="798"/>
      <c r="P1322" s="798"/>
      <c r="Q1322" s="798"/>
      <c r="R1322" s="811"/>
    </row>
    <row r="1323" customFormat="false" ht="16.5" hidden="false" customHeight="true" outlineLevel="0" collapsed="false">
      <c r="A1323" s="747"/>
      <c r="B1323" s="798"/>
      <c r="D1323" s="798"/>
      <c r="E1323" s="798"/>
      <c r="F1323" s="798"/>
      <c r="G1323" s="798"/>
      <c r="J1323" s="778" t="str">
        <f aca="false">IF(I1323="","",H1323/I1323)</f>
        <v/>
      </c>
      <c r="K1323" s="798"/>
      <c r="P1323" s="798"/>
      <c r="Q1323" s="798"/>
      <c r="R1323" s="811"/>
    </row>
    <row r="1324" customFormat="false" ht="16.5" hidden="false" customHeight="true" outlineLevel="0" collapsed="false">
      <c r="A1324" s="747"/>
      <c r="B1324" s="798"/>
      <c r="D1324" s="798"/>
      <c r="E1324" s="798"/>
      <c r="F1324" s="798"/>
      <c r="G1324" s="798"/>
      <c r="J1324" s="778" t="str">
        <f aca="false">IF(I1324="","",H1324/I1324)</f>
        <v/>
      </c>
      <c r="K1324" s="798"/>
      <c r="P1324" s="798"/>
      <c r="Q1324" s="798"/>
      <c r="R1324" s="811"/>
    </row>
    <row r="1325" customFormat="false" ht="16.5" hidden="false" customHeight="true" outlineLevel="0" collapsed="false">
      <c r="A1325" s="747"/>
      <c r="B1325" s="798"/>
      <c r="D1325" s="798"/>
      <c r="E1325" s="798"/>
      <c r="F1325" s="798"/>
      <c r="G1325" s="798"/>
      <c r="J1325" s="778" t="str">
        <f aca="false">IF(I1325="","",H1325/I1325)</f>
        <v/>
      </c>
      <c r="K1325" s="798"/>
      <c r="P1325" s="798"/>
      <c r="Q1325" s="798"/>
      <c r="R1325" s="811"/>
    </row>
    <row r="1326" customFormat="false" ht="16.5" hidden="false" customHeight="true" outlineLevel="0" collapsed="false">
      <c r="A1326" s="747"/>
      <c r="B1326" s="798"/>
      <c r="D1326" s="798"/>
      <c r="E1326" s="798"/>
      <c r="F1326" s="798"/>
      <c r="G1326" s="798"/>
      <c r="J1326" s="778" t="str">
        <f aca="false">IF(I1326="","",H1326/I1326)</f>
        <v/>
      </c>
      <c r="K1326" s="798"/>
      <c r="P1326" s="798"/>
      <c r="Q1326" s="798"/>
      <c r="R1326" s="811"/>
    </row>
    <row r="1327" customFormat="false" ht="16.5" hidden="false" customHeight="true" outlineLevel="0" collapsed="false">
      <c r="A1327" s="747"/>
      <c r="B1327" s="798"/>
      <c r="D1327" s="798"/>
      <c r="E1327" s="798"/>
      <c r="F1327" s="798"/>
      <c r="G1327" s="798"/>
      <c r="J1327" s="778" t="str">
        <f aca="false">IF(I1327="","",H1327/I1327)</f>
        <v/>
      </c>
      <c r="K1327" s="798"/>
      <c r="P1327" s="798"/>
      <c r="Q1327" s="798"/>
      <c r="R1327" s="811"/>
    </row>
    <row r="1328" customFormat="false" ht="16.5" hidden="false" customHeight="true" outlineLevel="0" collapsed="false">
      <c r="A1328" s="747"/>
      <c r="B1328" s="798"/>
      <c r="D1328" s="798"/>
      <c r="E1328" s="798"/>
      <c r="F1328" s="798"/>
      <c r="G1328" s="798"/>
      <c r="J1328" s="778" t="str">
        <f aca="false">IF(I1328="","",H1328/I1328)</f>
        <v/>
      </c>
      <c r="K1328" s="798"/>
      <c r="P1328" s="798"/>
      <c r="Q1328" s="798"/>
      <c r="R1328" s="811"/>
    </row>
    <row r="1329" customFormat="false" ht="16.5" hidden="false" customHeight="true" outlineLevel="0" collapsed="false">
      <c r="A1329" s="747"/>
      <c r="B1329" s="798"/>
      <c r="D1329" s="798"/>
      <c r="E1329" s="798"/>
      <c r="F1329" s="798"/>
      <c r="G1329" s="798"/>
      <c r="J1329" s="778" t="str">
        <f aca="false">IF(I1329="","",H1329/I1329)</f>
        <v/>
      </c>
      <c r="K1329" s="798"/>
      <c r="P1329" s="798"/>
      <c r="Q1329" s="798"/>
      <c r="R1329" s="811"/>
    </row>
    <row r="1330" customFormat="false" ht="16.5" hidden="false" customHeight="true" outlineLevel="0" collapsed="false">
      <c r="A1330" s="747"/>
      <c r="B1330" s="798"/>
      <c r="D1330" s="798"/>
      <c r="E1330" s="798"/>
      <c r="F1330" s="798"/>
      <c r="G1330" s="798"/>
      <c r="J1330" s="778" t="str">
        <f aca="false">IF(I1330="","",H1330/I1330)</f>
        <v/>
      </c>
      <c r="K1330" s="798"/>
      <c r="P1330" s="798"/>
      <c r="Q1330" s="798"/>
      <c r="R1330" s="811"/>
    </row>
    <row r="1331" customFormat="false" ht="16.5" hidden="false" customHeight="true" outlineLevel="0" collapsed="false">
      <c r="A1331" s="747"/>
      <c r="B1331" s="798"/>
      <c r="D1331" s="798"/>
      <c r="E1331" s="798"/>
      <c r="F1331" s="798"/>
      <c r="G1331" s="798"/>
      <c r="J1331" s="778" t="str">
        <f aca="false">IF(I1331="","",H1331/I1331)</f>
        <v/>
      </c>
      <c r="K1331" s="798"/>
      <c r="P1331" s="798"/>
      <c r="Q1331" s="798"/>
      <c r="R1331" s="811"/>
    </row>
    <row r="1332" customFormat="false" ht="16.5" hidden="false" customHeight="true" outlineLevel="0" collapsed="false">
      <c r="A1332" s="747"/>
      <c r="B1332" s="798"/>
      <c r="D1332" s="798"/>
      <c r="E1332" s="798"/>
      <c r="F1332" s="798"/>
      <c r="G1332" s="798"/>
      <c r="J1332" s="778" t="str">
        <f aca="false">IF(I1332="","",H1332/I1332)</f>
        <v/>
      </c>
      <c r="K1332" s="798"/>
      <c r="P1332" s="798"/>
      <c r="Q1332" s="798"/>
      <c r="R1332" s="811"/>
    </row>
    <row r="1333" customFormat="false" ht="16.5" hidden="false" customHeight="true" outlineLevel="0" collapsed="false">
      <c r="A1333" s="747"/>
      <c r="B1333" s="798"/>
      <c r="D1333" s="798"/>
      <c r="E1333" s="798"/>
      <c r="F1333" s="798"/>
      <c r="G1333" s="798"/>
      <c r="J1333" s="778" t="str">
        <f aca="false">IF(I1333="","",H1333/I1333)</f>
        <v/>
      </c>
      <c r="K1333" s="798"/>
      <c r="P1333" s="798"/>
      <c r="Q1333" s="798"/>
      <c r="R1333" s="811"/>
    </row>
    <row r="1334" customFormat="false" ht="16.5" hidden="false" customHeight="true" outlineLevel="0" collapsed="false">
      <c r="A1334" s="747"/>
      <c r="B1334" s="798"/>
      <c r="D1334" s="798"/>
      <c r="E1334" s="798"/>
      <c r="F1334" s="798"/>
      <c r="G1334" s="798"/>
      <c r="J1334" s="778" t="str">
        <f aca="false">IF(I1334="","",H1334/I1334)</f>
        <v/>
      </c>
      <c r="K1334" s="798"/>
      <c r="P1334" s="798"/>
      <c r="Q1334" s="798"/>
      <c r="R1334" s="811"/>
    </row>
    <row r="1335" customFormat="false" ht="16.5" hidden="false" customHeight="true" outlineLevel="0" collapsed="false">
      <c r="A1335" s="747"/>
      <c r="B1335" s="798"/>
      <c r="D1335" s="798"/>
      <c r="E1335" s="798"/>
      <c r="F1335" s="798"/>
      <c r="G1335" s="798"/>
      <c r="J1335" s="778" t="str">
        <f aca="false">IF(I1335="","",H1335/I1335)</f>
        <v/>
      </c>
      <c r="K1335" s="798"/>
      <c r="P1335" s="798"/>
      <c r="Q1335" s="798"/>
      <c r="R1335" s="811"/>
    </row>
    <row r="1336" customFormat="false" ht="16.5" hidden="false" customHeight="true" outlineLevel="0" collapsed="false">
      <c r="A1336" s="747"/>
      <c r="B1336" s="798"/>
      <c r="D1336" s="798"/>
      <c r="E1336" s="798"/>
      <c r="F1336" s="798"/>
      <c r="G1336" s="798"/>
      <c r="J1336" s="778" t="str">
        <f aca="false">IF(I1336="","",H1336/I1336)</f>
        <v/>
      </c>
      <c r="K1336" s="798"/>
      <c r="P1336" s="798"/>
      <c r="Q1336" s="798"/>
      <c r="R1336" s="811"/>
    </row>
    <row r="1337" customFormat="false" ht="16.5" hidden="false" customHeight="true" outlineLevel="0" collapsed="false">
      <c r="A1337" s="747"/>
      <c r="B1337" s="798"/>
      <c r="D1337" s="798"/>
      <c r="E1337" s="798"/>
      <c r="F1337" s="798"/>
      <c r="G1337" s="798"/>
      <c r="J1337" s="778" t="str">
        <f aca="false">IF(I1337="","",H1337/I1337)</f>
        <v/>
      </c>
      <c r="K1337" s="798"/>
      <c r="P1337" s="798"/>
      <c r="Q1337" s="798"/>
      <c r="R1337" s="811"/>
    </row>
    <row r="1338" customFormat="false" ht="16.5" hidden="false" customHeight="true" outlineLevel="0" collapsed="false">
      <c r="A1338" s="747"/>
      <c r="B1338" s="798"/>
      <c r="D1338" s="798"/>
      <c r="E1338" s="798"/>
      <c r="F1338" s="798"/>
      <c r="G1338" s="798"/>
      <c r="J1338" s="778" t="str">
        <f aca="false">IF(I1338="","",H1338/I1338)</f>
        <v/>
      </c>
      <c r="K1338" s="798"/>
      <c r="P1338" s="798"/>
      <c r="Q1338" s="798"/>
      <c r="R1338" s="811"/>
    </row>
    <row r="1339" customFormat="false" ht="16.5" hidden="false" customHeight="true" outlineLevel="0" collapsed="false">
      <c r="A1339" s="747"/>
      <c r="B1339" s="798"/>
      <c r="D1339" s="798"/>
      <c r="E1339" s="798"/>
      <c r="F1339" s="798"/>
      <c r="G1339" s="798"/>
      <c r="J1339" s="778" t="str">
        <f aca="false">IF(I1339="","",H1339/I1339)</f>
        <v/>
      </c>
      <c r="K1339" s="798"/>
      <c r="P1339" s="798"/>
      <c r="Q1339" s="798"/>
      <c r="R1339" s="811"/>
    </row>
    <row r="1340" customFormat="false" ht="16.5" hidden="false" customHeight="true" outlineLevel="0" collapsed="false">
      <c r="A1340" s="747"/>
      <c r="B1340" s="798"/>
      <c r="D1340" s="798"/>
      <c r="E1340" s="798"/>
      <c r="F1340" s="798"/>
      <c r="G1340" s="798"/>
      <c r="J1340" s="778" t="str">
        <f aca="false">IF(I1340="","",H1340/I1340)</f>
        <v/>
      </c>
      <c r="K1340" s="798"/>
      <c r="P1340" s="798"/>
      <c r="Q1340" s="798"/>
      <c r="R1340" s="811"/>
    </row>
    <row r="1341" customFormat="false" ht="16.5" hidden="false" customHeight="true" outlineLevel="0" collapsed="false">
      <c r="A1341" s="747"/>
      <c r="B1341" s="798"/>
      <c r="D1341" s="798"/>
      <c r="E1341" s="798"/>
      <c r="F1341" s="798"/>
      <c r="G1341" s="798"/>
      <c r="J1341" s="778" t="str">
        <f aca="false">IF(I1341="","",H1341/I1341)</f>
        <v/>
      </c>
      <c r="K1341" s="798"/>
      <c r="P1341" s="798"/>
      <c r="Q1341" s="798"/>
      <c r="R1341" s="811"/>
    </row>
    <row r="1342" customFormat="false" ht="16.5" hidden="false" customHeight="true" outlineLevel="0" collapsed="false">
      <c r="A1342" s="747"/>
      <c r="B1342" s="798"/>
      <c r="D1342" s="798"/>
      <c r="E1342" s="798"/>
      <c r="F1342" s="798"/>
      <c r="G1342" s="798"/>
      <c r="J1342" s="778" t="str">
        <f aca="false">IF(I1342="","",H1342/I1342)</f>
        <v/>
      </c>
      <c r="K1342" s="798"/>
      <c r="P1342" s="798"/>
      <c r="Q1342" s="798"/>
      <c r="R1342" s="811"/>
    </row>
    <row r="1343" customFormat="false" ht="16.5" hidden="false" customHeight="true" outlineLevel="0" collapsed="false">
      <c r="A1343" s="747"/>
      <c r="B1343" s="798"/>
      <c r="D1343" s="798"/>
      <c r="E1343" s="798"/>
      <c r="F1343" s="798"/>
      <c r="G1343" s="798"/>
      <c r="J1343" s="778" t="str">
        <f aca="false">IF(I1343="","",H1343/I1343)</f>
        <v/>
      </c>
      <c r="K1343" s="798"/>
      <c r="P1343" s="798"/>
      <c r="Q1343" s="798"/>
      <c r="R1343" s="811"/>
    </row>
    <row r="1344" customFormat="false" ht="16.5" hidden="false" customHeight="true" outlineLevel="0" collapsed="false">
      <c r="A1344" s="747"/>
      <c r="B1344" s="798"/>
      <c r="D1344" s="798"/>
      <c r="E1344" s="798"/>
      <c r="F1344" s="798"/>
      <c r="G1344" s="798"/>
      <c r="J1344" s="778" t="str">
        <f aca="false">IF(I1344="","",H1344/I1344)</f>
        <v/>
      </c>
      <c r="K1344" s="798"/>
      <c r="P1344" s="798"/>
      <c r="Q1344" s="798"/>
      <c r="R1344" s="811"/>
    </row>
    <row r="1345" customFormat="false" ht="16.5" hidden="false" customHeight="true" outlineLevel="0" collapsed="false">
      <c r="A1345" s="747"/>
      <c r="B1345" s="798"/>
      <c r="D1345" s="798"/>
      <c r="E1345" s="798"/>
      <c r="F1345" s="798"/>
      <c r="G1345" s="798"/>
      <c r="J1345" s="778" t="str">
        <f aca="false">IF(I1345="","",H1345/I1345)</f>
        <v/>
      </c>
      <c r="K1345" s="798"/>
      <c r="P1345" s="798"/>
      <c r="Q1345" s="798"/>
      <c r="R1345" s="811"/>
    </row>
    <row r="1346" customFormat="false" ht="16.5" hidden="false" customHeight="true" outlineLevel="0" collapsed="false">
      <c r="A1346" s="747"/>
      <c r="B1346" s="798"/>
      <c r="D1346" s="798"/>
      <c r="E1346" s="798"/>
      <c r="F1346" s="798"/>
      <c r="G1346" s="798"/>
      <c r="J1346" s="778" t="str">
        <f aca="false">IF(I1346="","",H1346/I1346)</f>
        <v/>
      </c>
      <c r="K1346" s="798"/>
      <c r="P1346" s="798"/>
      <c r="Q1346" s="798"/>
      <c r="R1346" s="811"/>
    </row>
    <row r="1347" customFormat="false" ht="16.5" hidden="false" customHeight="true" outlineLevel="0" collapsed="false">
      <c r="A1347" s="747"/>
      <c r="B1347" s="798"/>
      <c r="D1347" s="798"/>
      <c r="E1347" s="798"/>
      <c r="F1347" s="798"/>
      <c r="G1347" s="798"/>
      <c r="J1347" s="778" t="str">
        <f aca="false">IF(I1347="","",H1347/I1347)</f>
        <v/>
      </c>
      <c r="K1347" s="798"/>
      <c r="P1347" s="798"/>
      <c r="Q1347" s="798"/>
      <c r="R1347" s="811"/>
    </row>
    <row r="1348" customFormat="false" ht="16.5" hidden="false" customHeight="true" outlineLevel="0" collapsed="false">
      <c r="A1348" s="747"/>
      <c r="B1348" s="798"/>
      <c r="D1348" s="798"/>
      <c r="E1348" s="798"/>
      <c r="F1348" s="798"/>
      <c r="G1348" s="798"/>
      <c r="J1348" s="778" t="str">
        <f aca="false">IF(I1348="","",H1348/I1348)</f>
        <v/>
      </c>
      <c r="K1348" s="798"/>
      <c r="P1348" s="798"/>
      <c r="Q1348" s="798"/>
      <c r="R1348" s="811"/>
    </row>
    <row r="1349" customFormat="false" ht="16.5" hidden="false" customHeight="true" outlineLevel="0" collapsed="false">
      <c r="A1349" s="747"/>
      <c r="B1349" s="798"/>
      <c r="D1349" s="798"/>
      <c r="E1349" s="798"/>
      <c r="F1349" s="798"/>
      <c r="G1349" s="798"/>
      <c r="J1349" s="778" t="str">
        <f aca="false">IF(I1349="","",H1349/I1349)</f>
        <v/>
      </c>
      <c r="K1349" s="798"/>
      <c r="P1349" s="798"/>
      <c r="Q1349" s="798"/>
      <c r="R1349" s="811"/>
    </row>
    <row r="1350" customFormat="false" ht="16.5" hidden="false" customHeight="true" outlineLevel="0" collapsed="false">
      <c r="A1350" s="747"/>
      <c r="B1350" s="798"/>
      <c r="D1350" s="798"/>
      <c r="E1350" s="798"/>
      <c r="F1350" s="798"/>
      <c r="G1350" s="798"/>
      <c r="J1350" s="778" t="str">
        <f aca="false">IF(I1350="","",H1350/I1350)</f>
        <v/>
      </c>
      <c r="K1350" s="798"/>
      <c r="P1350" s="798"/>
      <c r="Q1350" s="798"/>
      <c r="R1350" s="811"/>
    </row>
    <row r="1351" customFormat="false" ht="16.5" hidden="false" customHeight="true" outlineLevel="0" collapsed="false">
      <c r="A1351" s="747"/>
      <c r="B1351" s="798"/>
      <c r="D1351" s="798"/>
      <c r="E1351" s="798"/>
      <c r="F1351" s="798"/>
      <c r="G1351" s="798"/>
      <c r="J1351" s="778" t="str">
        <f aca="false">IF(I1351="","",H1351/I1351)</f>
        <v/>
      </c>
      <c r="K1351" s="798"/>
      <c r="P1351" s="798"/>
      <c r="Q1351" s="798"/>
      <c r="R1351" s="811"/>
    </row>
    <row r="1352" customFormat="false" ht="16.5" hidden="false" customHeight="true" outlineLevel="0" collapsed="false">
      <c r="A1352" s="747"/>
      <c r="B1352" s="798"/>
      <c r="D1352" s="798"/>
      <c r="E1352" s="798"/>
      <c r="F1352" s="798"/>
      <c r="G1352" s="798"/>
      <c r="J1352" s="778" t="str">
        <f aca="false">IF(I1352="","",H1352/I1352)</f>
        <v/>
      </c>
      <c r="K1352" s="798"/>
      <c r="P1352" s="798"/>
      <c r="Q1352" s="798"/>
      <c r="R1352" s="811"/>
    </row>
    <row r="1353" customFormat="false" ht="16.5" hidden="false" customHeight="true" outlineLevel="0" collapsed="false">
      <c r="A1353" s="747"/>
      <c r="B1353" s="798"/>
      <c r="D1353" s="798"/>
      <c r="E1353" s="798"/>
      <c r="F1353" s="798"/>
      <c r="G1353" s="798"/>
      <c r="J1353" s="778" t="str">
        <f aca="false">IF(I1353="","",H1353/I1353)</f>
        <v/>
      </c>
      <c r="K1353" s="798"/>
      <c r="P1353" s="798"/>
      <c r="Q1353" s="798"/>
      <c r="R1353" s="811"/>
    </row>
    <row r="1354" customFormat="false" ht="16.5" hidden="false" customHeight="true" outlineLevel="0" collapsed="false">
      <c r="A1354" s="747"/>
      <c r="B1354" s="798"/>
      <c r="D1354" s="798"/>
      <c r="E1354" s="798"/>
      <c r="F1354" s="798"/>
      <c r="G1354" s="798"/>
      <c r="J1354" s="778" t="str">
        <f aca="false">IF(I1354="","",H1354/I1354)</f>
        <v/>
      </c>
      <c r="K1354" s="798"/>
      <c r="P1354" s="798"/>
      <c r="Q1354" s="798"/>
      <c r="R1354" s="811"/>
    </row>
    <row r="1355" customFormat="false" ht="16.5" hidden="false" customHeight="true" outlineLevel="0" collapsed="false">
      <c r="A1355" s="747"/>
      <c r="B1355" s="798"/>
      <c r="D1355" s="798"/>
      <c r="E1355" s="798"/>
      <c r="F1355" s="798"/>
      <c r="G1355" s="798"/>
      <c r="J1355" s="778" t="str">
        <f aca="false">IF(I1355="","",H1355/I1355)</f>
        <v/>
      </c>
      <c r="K1355" s="798"/>
      <c r="P1355" s="798"/>
      <c r="Q1355" s="798"/>
      <c r="R1355" s="811"/>
    </row>
    <row r="1356" customFormat="false" ht="16.5" hidden="false" customHeight="true" outlineLevel="0" collapsed="false">
      <c r="A1356" s="747"/>
      <c r="B1356" s="798"/>
      <c r="D1356" s="798"/>
      <c r="E1356" s="798"/>
      <c r="F1356" s="798"/>
      <c r="G1356" s="798"/>
      <c r="J1356" s="778" t="str">
        <f aca="false">IF(I1356="","",H1356/I1356)</f>
        <v/>
      </c>
      <c r="K1356" s="798"/>
      <c r="P1356" s="798"/>
      <c r="Q1356" s="798"/>
      <c r="R1356" s="811"/>
    </row>
    <row r="1357" customFormat="false" ht="16.5" hidden="false" customHeight="true" outlineLevel="0" collapsed="false">
      <c r="A1357" s="747"/>
      <c r="B1357" s="798"/>
      <c r="D1357" s="798"/>
      <c r="E1357" s="798"/>
      <c r="F1357" s="798"/>
      <c r="G1357" s="798"/>
      <c r="J1357" s="778" t="str">
        <f aca="false">IF(I1357="","",H1357/I1357)</f>
        <v/>
      </c>
      <c r="K1357" s="798"/>
      <c r="P1357" s="798"/>
      <c r="Q1357" s="798"/>
      <c r="R1357" s="811"/>
    </row>
    <row r="1358" customFormat="false" ht="16.5" hidden="false" customHeight="true" outlineLevel="0" collapsed="false">
      <c r="A1358" s="747"/>
      <c r="B1358" s="798"/>
      <c r="D1358" s="798"/>
      <c r="E1358" s="798"/>
      <c r="F1358" s="798"/>
      <c r="G1358" s="798"/>
      <c r="J1358" s="778" t="str">
        <f aca="false">IF(I1358="","",H1358/I1358)</f>
        <v/>
      </c>
      <c r="K1358" s="798"/>
      <c r="P1358" s="798"/>
      <c r="Q1358" s="798"/>
      <c r="R1358" s="811"/>
    </row>
    <row r="1359" customFormat="false" ht="16.5" hidden="false" customHeight="true" outlineLevel="0" collapsed="false">
      <c r="A1359" s="747"/>
      <c r="B1359" s="798"/>
      <c r="D1359" s="798"/>
      <c r="E1359" s="798"/>
      <c r="F1359" s="798"/>
      <c r="G1359" s="798"/>
      <c r="J1359" s="778" t="str">
        <f aca="false">IF(I1359="","",H1359/I1359)</f>
        <v/>
      </c>
      <c r="K1359" s="798"/>
      <c r="P1359" s="798"/>
      <c r="Q1359" s="798"/>
      <c r="R1359" s="811"/>
    </row>
    <row r="1360" customFormat="false" ht="16.5" hidden="false" customHeight="true" outlineLevel="0" collapsed="false">
      <c r="A1360" s="747"/>
      <c r="B1360" s="798"/>
      <c r="D1360" s="798"/>
      <c r="E1360" s="798"/>
      <c r="F1360" s="798"/>
      <c r="G1360" s="798"/>
      <c r="J1360" s="778" t="str">
        <f aca="false">IF(I1360="","",H1360/I1360)</f>
        <v/>
      </c>
      <c r="K1360" s="798"/>
      <c r="P1360" s="798"/>
      <c r="Q1360" s="798"/>
      <c r="R1360" s="811"/>
    </row>
    <row r="1361" customFormat="false" ht="16.5" hidden="false" customHeight="true" outlineLevel="0" collapsed="false">
      <c r="A1361" s="747"/>
      <c r="B1361" s="798"/>
      <c r="D1361" s="798"/>
      <c r="E1361" s="798"/>
      <c r="F1361" s="798"/>
      <c r="G1361" s="798"/>
      <c r="J1361" s="778" t="str">
        <f aca="false">IF(I1361="","",H1361/I1361)</f>
        <v/>
      </c>
      <c r="K1361" s="798"/>
      <c r="P1361" s="798"/>
      <c r="Q1361" s="798"/>
      <c r="R1361" s="811"/>
    </row>
    <row r="1362" customFormat="false" ht="16.5" hidden="false" customHeight="true" outlineLevel="0" collapsed="false">
      <c r="A1362" s="747"/>
      <c r="B1362" s="798"/>
      <c r="D1362" s="798"/>
      <c r="E1362" s="798"/>
      <c r="F1362" s="798"/>
      <c r="G1362" s="798"/>
      <c r="J1362" s="778" t="str">
        <f aca="false">IF(I1362="","",H1362/I1362)</f>
        <v/>
      </c>
      <c r="K1362" s="798"/>
      <c r="P1362" s="798"/>
      <c r="Q1362" s="798"/>
      <c r="R1362" s="811"/>
    </row>
    <row r="1363" customFormat="false" ht="16.5" hidden="false" customHeight="true" outlineLevel="0" collapsed="false">
      <c r="A1363" s="747"/>
      <c r="B1363" s="798"/>
      <c r="D1363" s="798"/>
      <c r="E1363" s="798"/>
      <c r="F1363" s="798"/>
      <c r="G1363" s="798"/>
      <c r="J1363" s="778" t="str">
        <f aca="false">IF(I1363="","",H1363/I1363)</f>
        <v/>
      </c>
      <c r="K1363" s="798"/>
      <c r="P1363" s="798"/>
      <c r="Q1363" s="798"/>
      <c r="R1363" s="811"/>
    </row>
    <row r="1364" customFormat="false" ht="16.5" hidden="false" customHeight="true" outlineLevel="0" collapsed="false">
      <c r="A1364" s="747"/>
      <c r="B1364" s="798"/>
      <c r="D1364" s="798"/>
      <c r="E1364" s="798"/>
      <c r="F1364" s="798"/>
      <c r="G1364" s="798"/>
      <c r="J1364" s="778" t="str">
        <f aca="false">IF(I1364="","",H1364/I1364)</f>
        <v/>
      </c>
      <c r="K1364" s="798"/>
      <c r="P1364" s="798"/>
      <c r="Q1364" s="798"/>
      <c r="R1364" s="811"/>
    </row>
    <row r="1365" customFormat="false" ht="16.5" hidden="false" customHeight="true" outlineLevel="0" collapsed="false">
      <c r="A1365" s="747"/>
      <c r="B1365" s="798"/>
      <c r="D1365" s="798"/>
      <c r="E1365" s="798"/>
      <c r="F1365" s="798"/>
      <c r="G1365" s="798"/>
      <c r="J1365" s="778" t="str">
        <f aca="false">IF(I1365="","",H1365/I1365)</f>
        <v/>
      </c>
      <c r="K1365" s="798"/>
      <c r="P1365" s="798"/>
      <c r="Q1365" s="798"/>
      <c r="R1365" s="811"/>
    </row>
    <row r="1366" customFormat="false" ht="16.5" hidden="false" customHeight="true" outlineLevel="0" collapsed="false">
      <c r="A1366" s="747"/>
      <c r="B1366" s="798"/>
      <c r="D1366" s="798"/>
      <c r="E1366" s="798"/>
      <c r="F1366" s="798"/>
      <c r="G1366" s="798"/>
      <c r="J1366" s="778" t="str">
        <f aca="false">IF(I1366="","",H1366/I1366)</f>
        <v/>
      </c>
      <c r="K1366" s="798"/>
      <c r="P1366" s="798"/>
      <c r="Q1366" s="798"/>
      <c r="R1366" s="811"/>
    </row>
    <row r="1367" customFormat="false" ht="16.5" hidden="false" customHeight="true" outlineLevel="0" collapsed="false">
      <c r="A1367" s="747"/>
      <c r="B1367" s="798"/>
      <c r="D1367" s="798"/>
      <c r="E1367" s="798"/>
      <c r="F1367" s="798"/>
      <c r="G1367" s="798"/>
      <c r="J1367" s="778" t="str">
        <f aca="false">IF(I1367="","",H1367/I1367)</f>
        <v/>
      </c>
      <c r="K1367" s="798"/>
      <c r="P1367" s="798"/>
      <c r="Q1367" s="798"/>
      <c r="R1367" s="811"/>
    </row>
    <row r="1368" customFormat="false" ht="16.5" hidden="false" customHeight="true" outlineLevel="0" collapsed="false">
      <c r="A1368" s="747"/>
      <c r="B1368" s="798"/>
      <c r="D1368" s="798"/>
      <c r="E1368" s="798"/>
      <c r="F1368" s="798"/>
      <c r="G1368" s="798"/>
      <c r="J1368" s="778" t="str">
        <f aca="false">IF(I1368="","",H1368/I1368)</f>
        <v/>
      </c>
      <c r="K1368" s="798"/>
      <c r="P1368" s="798"/>
      <c r="Q1368" s="798"/>
      <c r="R1368" s="811"/>
    </row>
    <row r="1369" customFormat="false" ht="16.5" hidden="false" customHeight="true" outlineLevel="0" collapsed="false">
      <c r="A1369" s="747"/>
      <c r="B1369" s="798"/>
      <c r="D1369" s="798"/>
      <c r="E1369" s="798"/>
      <c r="F1369" s="798"/>
      <c r="G1369" s="798"/>
      <c r="J1369" s="778" t="str">
        <f aca="false">IF(I1369="","",H1369/I1369)</f>
        <v/>
      </c>
      <c r="K1369" s="798"/>
      <c r="P1369" s="798"/>
      <c r="Q1369" s="798"/>
      <c r="R1369" s="811"/>
    </row>
    <row r="1370" customFormat="false" ht="16.5" hidden="false" customHeight="true" outlineLevel="0" collapsed="false">
      <c r="A1370" s="747"/>
      <c r="B1370" s="798"/>
      <c r="D1370" s="798"/>
      <c r="E1370" s="798"/>
      <c r="F1370" s="798"/>
      <c r="G1370" s="798"/>
      <c r="J1370" s="778" t="str">
        <f aca="false">IF(I1370="","",H1370/I1370)</f>
        <v/>
      </c>
      <c r="K1370" s="798"/>
      <c r="P1370" s="798"/>
      <c r="Q1370" s="798"/>
      <c r="R1370" s="811"/>
    </row>
    <row r="1371" customFormat="false" ht="16.5" hidden="false" customHeight="true" outlineLevel="0" collapsed="false">
      <c r="A1371" s="747"/>
      <c r="B1371" s="798"/>
      <c r="D1371" s="798"/>
      <c r="E1371" s="798"/>
      <c r="F1371" s="798"/>
      <c r="G1371" s="798"/>
      <c r="J1371" s="778" t="str">
        <f aca="false">IF(I1371="","",H1371/I1371)</f>
        <v/>
      </c>
      <c r="K1371" s="798"/>
      <c r="P1371" s="798"/>
      <c r="Q1371" s="798"/>
      <c r="R1371" s="811"/>
    </row>
    <row r="1372" customFormat="false" ht="16.5" hidden="false" customHeight="true" outlineLevel="0" collapsed="false">
      <c r="A1372" s="747"/>
      <c r="B1372" s="798"/>
      <c r="D1372" s="798"/>
      <c r="E1372" s="798"/>
      <c r="F1372" s="798"/>
      <c r="G1372" s="798"/>
      <c r="J1372" s="778" t="str">
        <f aca="false">IF(I1372="","",H1372/I1372)</f>
        <v/>
      </c>
      <c r="K1372" s="798"/>
      <c r="P1372" s="798"/>
      <c r="Q1372" s="798"/>
      <c r="R1372" s="811"/>
    </row>
    <row r="1373" customFormat="false" ht="16.5" hidden="false" customHeight="true" outlineLevel="0" collapsed="false">
      <c r="A1373" s="747"/>
      <c r="B1373" s="798"/>
      <c r="D1373" s="798"/>
      <c r="E1373" s="798"/>
      <c r="F1373" s="798"/>
      <c r="G1373" s="798"/>
      <c r="J1373" s="778" t="str">
        <f aca="false">IF(I1373="","",H1373/I1373)</f>
        <v/>
      </c>
      <c r="K1373" s="798"/>
      <c r="P1373" s="798"/>
      <c r="Q1373" s="798"/>
      <c r="R1373" s="811"/>
    </row>
    <row r="1374" customFormat="false" ht="16.5" hidden="false" customHeight="true" outlineLevel="0" collapsed="false">
      <c r="A1374" s="747"/>
      <c r="B1374" s="798"/>
      <c r="D1374" s="798"/>
      <c r="E1374" s="798"/>
      <c r="F1374" s="798"/>
      <c r="G1374" s="798"/>
      <c r="J1374" s="778" t="str">
        <f aca="false">IF(I1374="","",H1374/I1374)</f>
        <v/>
      </c>
      <c r="K1374" s="798"/>
      <c r="P1374" s="798"/>
      <c r="Q1374" s="798"/>
      <c r="R1374" s="811"/>
    </row>
    <row r="1375" customFormat="false" ht="16.5" hidden="false" customHeight="true" outlineLevel="0" collapsed="false">
      <c r="A1375" s="747"/>
      <c r="B1375" s="798"/>
      <c r="D1375" s="798"/>
      <c r="E1375" s="798"/>
      <c r="F1375" s="798"/>
      <c r="G1375" s="798"/>
      <c r="J1375" s="778" t="str">
        <f aca="false">IF(I1375="","",H1375/I1375)</f>
        <v/>
      </c>
      <c r="K1375" s="798"/>
      <c r="P1375" s="798"/>
      <c r="Q1375" s="798"/>
      <c r="R1375" s="811"/>
    </row>
    <row r="1376" customFormat="false" ht="16.5" hidden="false" customHeight="true" outlineLevel="0" collapsed="false">
      <c r="A1376" s="747"/>
      <c r="B1376" s="798"/>
      <c r="D1376" s="798"/>
      <c r="E1376" s="798"/>
      <c r="F1376" s="798"/>
      <c r="G1376" s="798"/>
      <c r="J1376" s="778" t="str">
        <f aca="false">IF(I1376="","",H1376/I1376)</f>
        <v/>
      </c>
      <c r="K1376" s="798"/>
      <c r="P1376" s="798"/>
      <c r="Q1376" s="798"/>
      <c r="R1376" s="811"/>
    </row>
    <row r="1377" customFormat="false" ht="16.5" hidden="false" customHeight="true" outlineLevel="0" collapsed="false">
      <c r="A1377" s="747"/>
      <c r="B1377" s="798"/>
      <c r="D1377" s="798"/>
      <c r="E1377" s="798"/>
      <c r="F1377" s="798"/>
      <c r="G1377" s="798"/>
      <c r="J1377" s="778" t="str">
        <f aca="false">IF(I1377="","",H1377/I1377)</f>
        <v/>
      </c>
      <c r="K1377" s="798"/>
      <c r="P1377" s="798"/>
      <c r="Q1377" s="798"/>
      <c r="R1377" s="811"/>
    </row>
    <row r="1378" customFormat="false" ht="16.5" hidden="false" customHeight="true" outlineLevel="0" collapsed="false">
      <c r="A1378" s="747"/>
      <c r="B1378" s="798"/>
      <c r="D1378" s="798"/>
      <c r="E1378" s="798"/>
      <c r="F1378" s="798"/>
      <c r="G1378" s="798"/>
      <c r="J1378" s="778" t="str">
        <f aca="false">IF(I1378="","",H1378/I1378)</f>
        <v/>
      </c>
      <c r="K1378" s="798"/>
      <c r="P1378" s="798"/>
      <c r="Q1378" s="798"/>
      <c r="R1378" s="811"/>
    </row>
    <row r="1379" customFormat="false" ht="16.5" hidden="false" customHeight="true" outlineLevel="0" collapsed="false">
      <c r="A1379" s="747"/>
      <c r="B1379" s="798"/>
      <c r="D1379" s="798"/>
      <c r="E1379" s="798"/>
      <c r="F1379" s="798"/>
      <c r="G1379" s="798"/>
      <c r="J1379" s="778" t="str">
        <f aca="false">IF(I1379="","",H1379/I1379)</f>
        <v/>
      </c>
      <c r="K1379" s="798"/>
      <c r="P1379" s="798"/>
      <c r="Q1379" s="798"/>
      <c r="R1379" s="811"/>
    </row>
    <row r="1380" customFormat="false" ht="16.5" hidden="false" customHeight="true" outlineLevel="0" collapsed="false">
      <c r="A1380" s="747"/>
      <c r="B1380" s="798"/>
      <c r="D1380" s="798"/>
      <c r="E1380" s="798"/>
      <c r="F1380" s="798"/>
      <c r="G1380" s="798"/>
      <c r="J1380" s="778" t="str">
        <f aca="false">IF(I1380="","",H1380/I1380)</f>
        <v/>
      </c>
      <c r="K1380" s="798"/>
      <c r="P1380" s="798"/>
      <c r="Q1380" s="798"/>
      <c r="R1380" s="811"/>
    </row>
    <row r="1381" customFormat="false" ht="16.5" hidden="false" customHeight="true" outlineLevel="0" collapsed="false">
      <c r="A1381" s="747"/>
      <c r="B1381" s="798"/>
      <c r="D1381" s="798"/>
      <c r="E1381" s="798"/>
      <c r="F1381" s="798"/>
      <c r="G1381" s="798"/>
      <c r="J1381" s="778" t="str">
        <f aca="false">IF(I1381="","",H1381/I1381)</f>
        <v/>
      </c>
      <c r="K1381" s="798"/>
      <c r="P1381" s="798"/>
      <c r="Q1381" s="798"/>
      <c r="R1381" s="811"/>
    </row>
    <row r="1382" customFormat="false" ht="16.5" hidden="false" customHeight="true" outlineLevel="0" collapsed="false">
      <c r="A1382" s="747"/>
      <c r="B1382" s="798"/>
      <c r="D1382" s="798"/>
      <c r="E1382" s="798"/>
      <c r="F1382" s="798"/>
      <c r="G1382" s="798"/>
      <c r="J1382" s="778" t="str">
        <f aca="false">IF(I1382="","",H1382/I1382)</f>
        <v/>
      </c>
      <c r="K1382" s="798"/>
      <c r="P1382" s="798"/>
      <c r="Q1382" s="798"/>
      <c r="R1382" s="811"/>
    </row>
    <row r="1383" customFormat="false" ht="16.5" hidden="false" customHeight="true" outlineLevel="0" collapsed="false">
      <c r="A1383" s="747"/>
      <c r="B1383" s="798"/>
      <c r="D1383" s="798"/>
      <c r="E1383" s="798"/>
      <c r="F1383" s="798"/>
      <c r="G1383" s="798"/>
      <c r="J1383" s="778" t="str">
        <f aca="false">IF(I1383="","",H1383/I1383)</f>
        <v/>
      </c>
      <c r="K1383" s="798"/>
      <c r="P1383" s="798"/>
      <c r="Q1383" s="798"/>
      <c r="R1383" s="811"/>
    </row>
    <row r="1384" customFormat="false" ht="16.5" hidden="false" customHeight="true" outlineLevel="0" collapsed="false">
      <c r="A1384" s="747"/>
      <c r="B1384" s="798"/>
      <c r="D1384" s="798"/>
      <c r="E1384" s="798"/>
      <c r="F1384" s="798"/>
      <c r="G1384" s="798"/>
      <c r="J1384" s="778" t="str">
        <f aca="false">IF(I1384="","",H1384/I1384)</f>
        <v/>
      </c>
      <c r="K1384" s="798"/>
      <c r="P1384" s="798"/>
      <c r="Q1384" s="798"/>
      <c r="R1384" s="811"/>
    </row>
    <row r="1385" customFormat="false" ht="16.5" hidden="false" customHeight="true" outlineLevel="0" collapsed="false">
      <c r="A1385" s="747"/>
      <c r="B1385" s="798"/>
      <c r="D1385" s="798"/>
      <c r="E1385" s="798"/>
      <c r="F1385" s="798"/>
      <c r="G1385" s="798"/>
      <c r="J1385" s="778" t="str">
        <f aca="false">IF(I1385="","",H1385/I1385)</f>
        <v/>
      </c>
      <c r="K1385" s="798"/>
      <c r="P1385" s="798"/>
      <c r="Q1385" s="798"/>
      <c r="R1385" s="811"/>
    </row>
    <row r="1386" customFormat="false" ht="16.5" hidden="false" customHeight="true" outlineLevel="0" collapsed="false">
      <c r="A1386" s="747"/>
      <c r="B1386" s="798"/>
      <c r="D1386" s="798"/>
      <c r="E1386" s="798"/>
      <c r="F1386" s="798"/>
      <c r="G1386" s="798"/>
      <c r="J1386" s="778" t="str">
        <f aca="false">IF(I1386="","",H1386/I1386)</f>
        <v/>
      </c>
      <c r="K1386" s="798"/>
      <c r="P1386" s="798"/>
      <c r="Q1386" s="798"/>
      <c r="R1386" s="811"/>
    </row>
    <row r="1387" customFormat="false" ht="16.5" hidden="false" customHeight="true" outlineLevel="0" collapsed="false">
      <c r="A1387" s="747"/>
      <c r="B1387" s="798"/>
      <c r="D1387" s="798"/>
      <c r="E1387" s="798"/>
      <c r="F1387" s="798"/>
      <c r="G1387" s="798"/>
      <c r="J1387" s="778" t="str">
        <f aca="false">IF(I1387="","",H1387/I1387)</f>
        <v/>
      </c>
      <c r="K1387" s="798"/>
      <c r="P1387" s="798"/>
      <c r="Q1387" s="798"/>
      <c r="R1387" s="811"/>
    </row>
    <row r="1388" customFormat="false" ht="16.5" hidden="false" customHeight="true" outlineLevel="0" collapsed="false">
      <c r="A1388" s="747"/>
      <c r="B1388" s="798"/>
      <c r="D1388" s="798"/>
      <c r="E1388" s="798"/>
      <c r="F1388" s="798"/>
      <c r="G1388" s="798"/>
      <c r="J1388" s="778" t="str">
        <f aca="false">IF(I1388="","",H1388/I1388)</f>
        <v/>
      </c>
      <c r="K1388" s="798"/>
      <c r="P1388" s="798"/>
      <c r="Q1388" s="798"/>
      <c r="R1388" s="811"/>
    </row>
    <row r="1389" customFormat="false" ht="16.5" hidden="false" customHeight="true" outlineLevel="0" collapsed="false">
      <c r="A1389" s="747"/>
      <c r="B1389" s="798"/>
      <c r="D1389" s="798"/>
      <c r="E1389" s="798"/>
      <c r="F1389" s="798"/>
      <c r="G1389" s="798"/>
      <c r="J1389" s="778" t="str">
        <f aca="false">IF(I1389="","",H1389/I1389)</f>
        <v/>
      </c>
      <c r="K1389" s="798"/>
      <c r="P1389" s="798"/>
      <c r="Q1389" s="798"/>
      <c r="R1389" s="811"/>
    </row>
    <row r="1390" customFormat="false" ht="16.5" hidden="false" customHeight="true" outlineLevel="0" collapsed="false">
      <c r="A1390" s="747"/>
      <c r="B1390" s="798"/>
      <c r="D1390" s="798"/>
      <c r="E1390" s="798"/>
      <c r="F1390" s="798"/>
      <c r="G1390" s="798"/>
      <c r="J1390" s="778" t="str">
        <f aca="false">IF(I1390="","",H1390/I1390)</f>
        <v/>
      </c>
      <c r="K1390" s="798"/>
      <c r="P1390" s="798"/>
      <c r="Q1390" s="798"/>
      <c r="R1390" s="811"/>
    </row>
    <row r="1391" customFormat="false" ht="16.5" hidden="false" customHeight="true" outlineLevel="0" collapsed="false">
      <c r="A1391" s="747"/>
      <c r="B1391" s="798"/>
      <c r="D1391" s="798"/>
      <c r="E1391" s="798"/>
      <c r="F1391" s="798"/>
      <c r="G1391" s="798"/>
      <c r="J1391" s="778" t="str">
        <f aca="false">IF(I1391="","",H1391/I1391)</f>
        <v/>
      </c>
      <c r="K1391" s="798"/>
      <c r="P1391" s="798"/>
      <c r="Q1391" s="798"/>
      <c r="R1391" s="811"/>
    </row>
    <row r="1392" customFormat="false" ht="16.5" hidden="false" customHeight="true" outlineLevel="0" collapsed="false">
      <c r="A1392" s="747"/>
      <c r="B1392" s="798"/>
      <c r="D1392" s="798"/>
      <c r="E1392" s="798"/>
      <c r="F1392" s="798"/>
      <c r="G1392" s="798"/>
      <c r="J1392" s="778" t="str">
        <f aca="false">IF(I1392="","",H1392/I1392)</f>
        <v/>
      </c>
      <c r="K1392" s="798"/>
      <c r="P1392" s="798"/>
      <c r="Q1392" s="798"/>
      <c r="R1392" s="811"/>
    </row>
    <row r="1393" customFormat="false" ht="16.5" hidden="false" customHeight="true" outlineLevel="0" collapsed="false">
      <c r="A1393" s="747"/>
      <c r="B1393" s="798"/>
      <c r="D1393" s="798"/>
      <c r="E1393" s="798"/>
      <c r="F1393" s="798"/>
      <c r="G1393" s="798"/>
      <c r="J1393" s="778" t="str">
        <f aca="false">IF(I1393="","",H1393/I1393)</f>
        <v/>
      </c>
      <c r="K1393" s="798"/>
      <c r="P1393" s="798"/>
      <c r="Q1393" s="798"/>
      <c r="R1393" s="811"/>
    </row>
    <row r="1394" customFormat="false" ht="16.5" hidden="false" customHeight="true" outlineLevel="0" collapsed="false">
      <c r="A1394" s="747"/>
      <c r="B1394" s="798"/>
      <c r="D1394" s="798"/>
      <c r="E1394" s="798"/>
      <c r="F1394" s="798"/>
      <c r="G1394" s="798"/>
      <c r="J1394" s="778" t="str">
        <f aca="false">IF(I1394="","",H1394/I1394)</f>
        <v/>
      </c>
      <c r="K1394" s="798"/>
      <c r="P1394" s="798"/>
      <c r="Q1394" s="798"/>
      <c r="R1394" s="811"/>
    </row>
    <row r="1395" customFormat="false" ht="16.5" hidden="false" customHeight="true" outlineLevel="0" collapsed="false">
      <c r="A1395" s="747"/>
      <c r="B1395" s="798"/>
      <c r="D1395" s="798"/>
      <c r="E1395" s="798"/>
      <c r="F1395" s="798"/>
      <c r="G1395" s="798"/>
      <c r="J1395" s="778" t="str">
        <f aca="false">IF(I1395="","",H1395/I1395)</f>
        <v/>
      </c>
      <c r="K1395" s="798"/>
      <c r="P1395" s="798"/>
      <c r="Q1395" s="798"/>
      <c r="R1395" s="811"/>
    </row>
    <row r="1396" customFormat="false" ht="16.5" hidden="false" customHeight="true" outlineLevel="0" collapsed="false">
      <c r="A1396" s="747"/>
      <c r="B1396" s="798"/>
      <c r="D1396" s="798"/>
      <c r="E1396" s="798"/>
      <c r="F1396" s="798"/>
      <c r="G1396" s="798"/>
      <c r="J1396" s="778" t="str">
        <f aca="false">IF(I1396="","",H1396/I1396)</f>
        <v/>
      </c>
      <c r="K1396" s="798"/>
      <c r="P1396" s="798"/>
      <c r="Q1396" s="798"/>
      <c r="R1396" s="811"/>
    </row>
    <row r="1397" customFormat="false" ht="16.5" hidden="false" customHeight="true" outlineLevel="0" collapsed="false">
      <c r="A1397" s="747"/>
      <c r="B1397" s="798"/>
      <c r="D1397" s="798"/>
      <c r="E1397" s="798"/>
      <c r="F1397" s="798"/>
      <c r="G1397" s="798"/>
      <c r="J1397" s="778" t="str">
        <f aca="false">IF(I1397="","",H1397/I1397)</f>
        <v/>
      </c>
      <c r="K1397" s="798"/>
      <c r="P1397" s="798"/>
      <c r="Q1397" s="798"/>
      <c r="R1397" s="811"/>
    </row>
    <row r="1398" customFormat="false" ht="16.5" hidden="false" customHeight="true" outlineLevel="0" collapsed="false">
      <c r="A1398" s="747"/>
      <c r="B1398" s="798"/>
      <c r="D1398" s="798"/>
      <c r="E1398" s="798"/>
      <c r="F1398" s="798"/>
      <c r="G1398" s="798"/>
      <c r="J1398" s="778" t="str">
        <f aca="false">IF(I1398="","",H1398/I1398)</f>
        <v/>
      </c>
      <c r="K1398" s="798"/>
      <c r="P1398" s="798"/>
      <c r="Q1398" s="798"/>
      <c r="R1398" s="811"/>
    </row>
    <row r="1399" customFormat="false" ht="16.5" hidden="false" customHeight="true" outlineLevel="0" collapsed="false">
      <c r="A1399" s="747"/>
      <c r="B1399" s="798"/>
      <c r="D1399" s="798"/>
      <c r="E1399" s="798"/>
      <c r="F1399" s="798"/>
      <c r="G1399" s="798"/>
      <c r="J1399" s="778" t="str">
        <f aca="false">IF(I1399="","",H1399/I1399)</f>
        <v/>
      </c>
      <c r="K1399" s="798"/>
      <c r="P1399" s="798"/>
      <c r="Q1399" s="798"/>
      <c r="R1399" s="811"/>
    </row>
    <row r="1400" customFormat="false" ht="16.5" hidden="false" customHeight="true" outlineLevel="0" collapsed="false">
      <c r="A1400" s="747"/>
      <c r="B1400" s="798"/>
      <c r="D1400" s="798"/>
      <c r="E1400" s="798"/>
      <c r="F1400" s="798"/>
      <c r="G1400" s="798"/>
      <c r="J1400" s="778" t="str">
        <f aca="false">IF(I1400="","",H1400/I1400)</f>
        <v/>
      </c>
      <c r="K1400" s="798"/>
      <c r="P1400" s="798"/>
      <c r="Q1400" s="798"/>
      <c r="R1400" s="811"/>
    </row>
    <row r="1401" customFormat="false" ht="16.5" hidden="false" customHeight="true" outlineLevel="0" collapsed="false">
      <c r="A1401" s="747"/>
      <c r="B1401" s="798"/>
      <c r="D1401" s="798"/>
      <c r="E1401" s="798"/>
      <c r="F1401" s="798"/>
      <c r="G1401" s="798"/>
      <c r="J1401" s="778" t="str">
        <f aca="false">IF(I1401="","",H1401/I1401)</f>
        <v/>
      </c>
      <c r="K1401" s="798"/>
      <c r="P1401" s="798"/>
      <c r="Q1401" s="798"/>
      <c r="R1401" s="811"/>
    </row>
    <row r="1402" customFormat="false" ht="16.5" hidden="false" customHeight="true" outlineLevel="0" collapsed="false">
      <c r="A1402" s="747"/>
      <c r="B1402" s="798"/>
      <c r="D1402" s="798"/>
      <c r="E1402" s="798"/>
      <c r="F1402" s="798"/>
      <c r="G1402" s="798"/>
      <c r="J1402" s="778" t="str">
        <f aca="false">IF(I1402="","",H1402/I1402)</f>
        <v/>
      </c>
      <c r="K1402" s="798"/>
      <c r="P1402" s="798"/>
      <c r="Q1402" s="798"/>
      <c r="R1402" s="811"/>
    </row>
    <row r="1403" customFormat="false" ht="16.5" hidden="false" customHeight="true" outlineLevel="0" collapsed="false">
      <c r="A1403" s="747"/>
      <c r="B1403" s="798"/>
      <c r="D1403" s="798"/>
      <c r="E1403" s="798"/>
      <c r="F1403" s="798"/>
      <c r="G1403" s="798"/>
      <c r="J1403" s="778" t="str">
        <f aca="false">IF(I1403="","",H1403/I1403)</f>
        <v/>
      </c>
      <c r="K1403" s="798"/>
      <c r="P1403" s="798"/>
      <c r="Q1403" s="798"/>
      <c r="R1403" s="811"/>
    </row>
    <row r="1404" customFormat="false" ht="16.5" hidden="false" customHeight="true" outlineLevel="0" collapsed="false">
      <c r="A1404" s="747"/>
      <c r="B1404" s="798"/>
      <c r="D1404" s="798"/>
      <c r="E1404" s="798"/>
      <c r="F1404" s="798"/>
      <c r="G1404" s="798"/>
      <c r="J1404" s="778" t="str">
        <f aca="false">IF(I1404="","",H1404/I1404)</f>
        <v/>
      </c>
      <c r="K1404" s="798"/>
      <c r="P1404" s="798"/>
      <c r="Q1404" s="798"/>
      <c r="R1404" s="811"/>
    </row>
    <row r="1405" customFormat="false" ht="16.5" hidden="false" customHeight="true" outlineLevel="0" collapsed="false">
      <c r="A1405" s="747"/>
      <c r="B1405" s="798"/>
      <c r="D1405" s="798"/>
      <c r="E1405" s="798"/>
      <c r="F1405" s="798"/>
      <c r="G1405" s="798"/>
      <c r="J1405" s="778" t="str">
        <f aca="false">IF(I1405="","",H1405/I1405)</f>
        <v/>
      </c>
      <c r="K1405" s="798"/>
      <c r="P1405" s="798"/>
      <c r="Q1405" s="798"/>
      <c r="R1405" s="811"/>
    </row>
    <row r="1406" customFormat="false" ht="16.5" hidden="false" customHeight="true" outlineLevel="0" collapsed="false">
      <c r="A1406" s="747"/>
      <c r="B1406" s="798"/>
      <c r="D1406" s="798"/>
      <c r="E1406" s="798"/>
      <c r="F1406" s="798"/>
      <c r="G1406" s="798"/>
      <c r="J1406" s="778" t="str">
        <f aca="false">IF(I1406="","",H1406/I1406)</f>
        <v/>
      </c>
      <c r="K1406" s="798"/>
      <c r="P1406" s="798"/>
      <c r="Q1406" s="798"/>
      <c r="R1406" s="811"/>
    </row>
    <row r="1407" customFormat="false" ht="16.5" hidden="false" customHeight="true" outlineLevel="0" collapsed="false">
      <c r="A1407" s="747"/>
      <c r="B1407" s="798"/>
      <c r="D1407" s="798"/>
      <c r="E1407" s="798"/>
      <c r="F1407" s="798"/>
      <c r="G1407" s="798"/>
      <c r="J1407" s="778" t="str">
        <f aca="false">IF(I1407="","",H1407/I1407)</f>
        <v/>
      </c>
      <c r="K1407" s="798"/>
      <c r="P1407" s="798"/>
      <c r="Q1407" s="798"/>
      <c r="R1407" s="811"/>
    </row>
    <row r="1408" customFormat="false" ht="16.5" hidden="false" customHeight="true" outlineLevel="0" collapsed="false">
      <c r="A1408" s="747"/>
      <c r="B1408" s="798"/>
      <c r="D1408" s="798"/>
      <c r="E1408" s="798"/>
      <c r="F1408" s="798"/>
      <c r="G1408" s="798"/>
      <c r="J1408" s="778" t="str">
        <f aca="false">IF(I1408="","",H1408/I1408)</f>
        <v/>
      </c>
      <c r="K1408" s="798"/>
      <c r="P1408" s="798"/>
      <c r="Q1408" s="798"/>
      <c r="R1408" s="811"/>
    </row>
    <row r="1409" customFormat="false" ht="16.5" hidden="false" customHeight="true" outlineLevel="0" collapsed="false">
      <c r="A1409" s="747"/>
      <c r="B1409" s="798"/>
      <c r="D1409" s="798"/>
      <c r="E1409" s="798"/>
      <c r="F1409" s="798"/>
      <c r="G1409" s="798"/>
      <c r="J1409" s="778" t="str">
        <f aca="false">IF(I1409="","",H1409/I1409)</f>
        <v/>
      </c>
      <c r="K1409" s="798"/>
      <c r="P1409" s="798"/>
      <c r="Q1409" s="798"/>
      <c r="R1409" s="811"/>
    </row>
    <row r="1410" customFormat="false" ht="16.5" hidden="false" customHeight="true" outlineLevel="0" collapsed="false">
      <c r="A1410" s="747"/>
      <c r="B1410" s="798"/>
      <c r="D1410" s="798"/>
      <c r="E1410" s="798"/>
      <c r="F1410" s="798"/>
      <c r="G1410" s="798"/>
      <c r="J1410" s="778" t="str">
        <f aca="false">IF(I1410="","",H1410/I1410)</f>
        <v/>
      </c>
      <c r="K1410" s="798"/>
      <c r="P1410" s="798"/>
      <c r="Q1410" s="798"/>
      <c r="R1410" s="811"/>
    </row>
    <row r="1411" customFormat="false" ht="16.5" hidden="false" customHeight="true" outlineLevel="0" collapsed="false">
      <c r="A1411" s="747"/>
      <c r="B1411" s="798"/>
      <c r="D1411" s="798"/>
      <c r="E1411" s="798"/>
      <c r="F1411" s="798"/>
      <c r="G1411" s="798"/>
      <c r="J1411" s="778" t="str">
        <f aca="false">IF(I1411="","",H1411/I1411)</f>
        <v/>
      </c>
      <c r="K1411" s="798"/>
      <c r="P1411" s="798"/>
      <c r="Q1411" s="798"/>
      <c r="R1411" s="811"/>
    </row>
    <row r="1412" customFormat="false" ht="16.5" hidden="false" customHeight="true" outlineLevel="0" collapsed="false">
      <c r="A1412" s="747"/>
      <c r="B1412" s="798"/>
      <c r="D1412" s="798"/>
      <c r="E1412" s="798"/>
      <c r="F1412" s="798"/>
      <c r="G1412" s="798"/>
      <c r="J1412" s="778" t="str">
        <f aca="false">IF(I1412="","",H1412/I1412)</f>
        <v/>
      </c>
      <c r="K1412" s="798"/>
      <c r="P1412" s="798"/>
      <c r="Q1412" s="798"/>
      <c r="R1412" s="811"/>
    </row>
    <row r="1413" customFormat="false" ht="16.5" hidden="false" customHeight="true" outlineLevel="0" collapsed="false">
      <c r="A1413" s="747"/>
      <c r="B1413" s="798"/>
      <c r="D1413" s="798"/>
      <c r="E1413" s="798"/>
      <c r="F1413" s="798"/>
      <c r="G1413" s="798"/>
      <c r="J1413" s="778" t="str">
        <f aca="false">IF(I1413="","",H1413/I1413)</f>
        <v/>
      </c>
      <c r="K1413" s="798"/>
      <c r="P1413" s="798"/>
      <c r="Q1413" s="798"/>
      <c r="R1413" s="811"/>
    </row>
    <row r="1414" customFormat="false" ht="16.5" hidden="false" customHeight="true" outlineLevel="0" collapsed="false">
      <c r="A1414" s="747"/>
      <c r="B1414" s="798"/>
      <c r="D1414" s="798"/>
      <c r="E1414" s="798"/>
      <c r="F1414" s="798"/>
      <c r="G1414" s="798"/>
      <c r="J1414" s="778" t="str">
        <f aca="false">IF(I1414="","",H1414/I1414)</f>
        <v/>
      </c>
      <c r="K1414" s="798"/>
      <c r="P1414" s="798"/>
      <c r="Q1414" s="798"/>
      <c r="R1414" s="811"/>
    </row>
    <row r="1415" customFormat="false" ht="16.5" hidden="false" customHeight="true" outlineLevel="0" collapsed="false">
      <c r="A1415" s="747"/>
      <c r="B1415" s="798"/>
      <c r="D1415" s="798"/>
      <c r="E1415" s="798"/>
      <c r="F1415" s="798"/>
      <c r="G1415" s="798"/>
      <c r="J1415" s="778" t="str">
        <f aca="false">IF(I1415="","",H1415/I1415)</f>
        <v/>
      </c>
      <c r="K1415" s="798"/>
      <c r="P1415" s="798"/>
      <c r="Q1415" s="798"/>
      <c r="R1415" s="811"/>
    </row>
    <row r="1416" customFormat="false" ht="16.5" hidden="false" customHeight="true" outlineLevel="0" collapsed="false">
      <c r="A1416" s="747"/>
      <c r="B1416" s="798"/>
      <c r="D1416" s="798"/>
      <c r="E1416" s="798"/>
      <c r="F1416" s="798"/>
      <c r="G1416" s="798"/>
      <c r="J1416" s="778" t="str">
        <f aca="false">IF(I1416="","",H1416/I1416)</f>
        <v/>
      </c>
      <c r="K1416" s="798"/>
      <c r="P1416" s="798"/>
      <c r="Q1416" s="798"/>
      <c r="R1416" s="811"/>
    </row>
    <row r="1417" customFormat="false" ht="16.5" hidden="false" customHeight="true" outlineLevel="0" collapsed="false">
      <c r="A1417" s="747"/>
      <c r="B1417" s="798"/>
      <c r="D1417" s="798"/>
      <c r="E1417" s="798"/>
      <c r="F1417" s="798"/>
      <c r="G1417" s="798"/>
      <c r="J1417" s="778" t="str">
        <f aca="false">IF(I1417="","",H1417/I1417)</f>
        <v/>
      </c>
      <c r="K1417" s="798"/>
      <c r="P1417" s="798"/>
      <c r="Q1417" s="798"/>
      <c r="R1417" s="811"/>
    </row>
    <row r="1418" customFormat="false" ht="16.5" hidden="false" customHeight="true" outlineLevel="0" collapsed="false">
      <c r="A1418" s="747"/>
      <c r="B1418" s="798"/>
      <c r="D1418" s="798"/>
      <c r="E1418" s="798"/>
      <c r="F1418" s="798"/>
      <c r="G1418" s="798"/>
      <c r="J1418" s="778" t="str">
        <f aca="false">IF(I1418="","",H1418/I1418)</f>
        <v/>
      </c>
      <c r="K1418" s="798"/>
      <c r="P1418" s="798"/>
      <c r="Q1418" s="798"/>
      <c r="R1418" s="811"/>
    </row>
    <row r="1419" customFormat="false" ht="16.5" hidden="false" customHeight="true" outlineLevel="0" collapsed="false">
      <c r="A1419" s="747"/>
      <c r="B1419" s="798"/>
      <c r="D1419" s="798"/>
      <c r="E1419" s="798"/>
      <c r="F1419" s="798"/>
      <c r="G1419" s="798"/>
      <c r="J1419" s="778" t="str">
        <f aca="false">IF(I1419="","",H1419/I1419)</f>
        <v/>
      </c>
      <c r="K1419" s="798"/>
      <c r="P1419" s="798"/>
      <c r="Q1419" s="798"/>
      <c r="R1419" s="811"/>
    </row>
    <row r="1420" customFormat="false" ht="16.5" hidden="false" customHeight="true" outlineLevel="0" collapsed="false">
      <c r="A1420" s="747"/>
      <c r="B1420" s="798"/>
      <c r="D1420" s="798"/>
      <c r="E1420" s="798"/>
      <c r="F1420" s="798"/>
      <c r="G1420" s="798"/>
      <c r="J1420" s="778" t="str">
        <f aca="false">IF(I1420="","",H1420/I1420)</f>
        <v/>
      </c>
      <c r="K1420" s="798"/>
      <c r="P1420" s="798"/>
      <c r="Q1420" s="798"/>
      <c r="R1420" s="811"/>
    </row>
    <row r="1421" customFormat="false" ht="16.5" hidden="false" customHeight="true" outlineLevel="0" collapsed="false">
      <c r="A1421" s="747"/>
      <c r="B1421" s="798"/>
      <c r="D1421" s="798"/>
      <c r="E1421" s="798"/>
      <c r="F1421" s="798"/>
      <c r="G1421" s="798"/>
      <c r="J1421" s="778" t="str">
        <f aca="false">IF(I1421="","",H1421/I1421)</f>
        <v/>
      </c>
      <c r="K1421" s="798"/>
      <c r="P1421" s="798"/>
      <c r="Q1421" s="798"/>
      <c r="R1421" s="811"/>
    </row>
    <row r="1422" customFormat="false" ht="16.5" hidden="false" customHeight="true" outlineLevel="0" collapsed="false">
      <c r="A1422" s="747"/>
      <c r="B1422" s="798"/>
      <c r="D1422" s="798"/>
      <c r="E1422" s="798"/>
      <c r="F1422" s="798"/>
      <c r="G1422" s="798"/>
      <c r="J1422" s="778" t="str">
        <f aca="false">IF(I1422="","",H1422/I1422)</f>
        <v/>
      </c>
      <c r="K1422" s="798"/>
      <c r="P1422" s="798"/>
      <c r="Q1422" s="798"/>
      <c r="R1422" s="811"/>
    </row>
    <row r="1423" customFormat="false" ht="16.5" hidden="false" customHeight="true" outlineLevel="0" collapsed="false">
      <c r="A1423" s="747"/>
      <c r="B1423" s="798"/>
      <c r="D1423" s="798"/>
      <c r="E1423" s="798"/>
      <c r="F1423" s="798"/>
      <c r="G1423" s="798"/>
      <c r="J1423" s="778" t="str">
        <f aca="false">IF(I1423="","",H1423/I1423)</f>
        <v/>
      </c>
      <c r="K1423" s="798"/>
      <c r="P1423" s="798"/>
      <c r="Q1423" s="798"/>
      <c r="R1423" s="811"/>
    </row>
    <row r="1424" customFormat="false" ht="16.5" hidden="false" customHeight="true" outlineLevel="0" collapsed="false">
      <c r="A1424" s="747"/>
      <c r="B1424" s="798"/>
      <c r="D1424" s="798"/>
      <c r="E1424" s="798"/>
      <c r="F1424" s="798"/>
      <c r="G1424" s="798"/>
      <c r="J1424" s="778" t="str">
        <f aca="false">IF(I1424="","",H1424/I1424)</f>
        <v/>
      </c>
      <c r="K1424" s="798"/>
      <c r="P1424" s="798"/>
      <c r="Q1424" s="798"/>
      <c r="R1424" s="811"/>
    </row>
    <row r="1425" customFormat="false" ht="16.5" hidden="false" customHeight="true" outlineLevel="0" collapsed="false">
      <c r="A1425" s="747"/>
      <c r="B1425" s="798"/>
      <c r="D1425" s="798"/>
      <c r="E1425" s="798"/>
      <c r="F1425" s="798"/>
      <c r="G1425" s="798"/>
      <c r="J1425" s="778" t="str">
        <f aca="false">IF(I1425="","",H1425/I1425)</f>
        <v/>
      </c>
      <c r="K1425" s="798"/>
      <c r="P1425" s="798"/>
      <c r="Q1425" s="798"/>
      <c r="R1425" s="811"/>
    </row>
    <row r="1426" customFormat="false" ht="16.5" hidden="false" customHeight="true" outlineLevel="0" collapsed="false">
      <c r="A1426" s="747"/>
      <c r="B1426" s="798"/>
      <c r="D1426" s="798"/>
      <c r="E1426" s="798"/>
      <c r="F1426" s="798"/>
      <c r="G1426" s="798"/>
      <c r="J1426" s="778" t="str">
        <f aca="false">IF(I1426="","",H1426/I1426)</f>
        <v/>
      </c>
      <c r="K1426" s="798"/>
      <c r="P1426" s="798"/>
      <c r="Q1426" s="798"/>
      <c r="R1426" s="811"/>
    </row>
    <row r="1427" customFormat="false" ht="16.5" hidden="false" customHeight="true" outlineLevel="0" collapsed="false">
      <c r="A1427" s="747"/>
      <c r="B1427" s="798"/>
      <c r="D1427" s="798"/>
      <c r="E1427" s="798"/>
      <c r="F1427" s="798"/>
      <c r="G1427" s="798"/>
      <c r="J1427" s="778" t="str">
        <f aca="false">IF(I1427="","",H1427/I1427)</f>
        <v/>
      </c>
      <c r="K1427" s="798"/>
      <c r="P1427" s="798"/>
      <c r="Q1427" s="798"/>
      <c r="R1427" s="811"/>
    </row>
    <row r="1428" customFormat="false" ht="16.5" hidden="false" customHeight="true" outlineLevel="0" collapsed="false">
      <c r="A1428" s="747"/>
      <c r="B1428" s="798"/>
      <c r="D1428" s="798"/>
      <c r="E1428" s="798"/>
      <c r="F1428" s="798"/>
      <c r="G1428" s="798"/>
      <c r="J1428" s="778" t="str">
        <f aca="false">IF(I1428="","",H1428/I1428)</f>
        <v/>
      </c>
      <c r="K1428" s="798"/>
      <c r="P1428" s="798"/>
      <c r="Q1428" s="798"/>
      <c r="R1428" s="811"/>
    </row>
    <row r="1429" customFormat="false" ht="16.5" hidden="false" customHeight="true" outlineLevel="0" collapsed="false">
      <c r="A1429" s="747"/>
      <c r="B1429" s="798"/>
      <c r="D1429" s="798"/>
      <c r="E1429" s="798"/>
      <c r="F1429" s="798"/>
      <c r="G1429" s="798"/>
      <c r="J1429" s="778" t="str">
        <f aca="false">IF(I1429="","",H1429/I1429)</f>
        <v/>
      </c>
      <c r="K1429" s="798"/>
      <c r="P1429" s="798"/>
      <c r="Q1429" s="798"/>
      <c r="R1429" s="811"/>
    </row>
    <row r="1430" customFormat="false" ht="16.5" hidden="false" customHeight="true" outlineLevel="0" collapsed="false">
      <c r="A1430" s="747"/>
      <c r="B1430" s="798"/>
      <c r="D1430" s="798"/>
      <c r="E1430" s="798"/>
      <c r="F1430" s="798"/>
      <c r="G1430" s="798"/>
      <c r="J1430" s="778" t="str">
        <f aca="false">IF(I1430="","",H1430/I1430)</f>
        <v/>
      </c>
      <c r="K1430" s="798"/>
      <c r="P1430" s="798"/>
      <c r="Q1430" s="798"/>
      <c r="R1430" s="811"/>
    </row>
    <row r="1431" customFormat="false" ht="16.5" hidden="false" customHeight="true" outlineLevel="0" collapsed="false">
      <c r="A1431" s="747"/>
      <c r="B1431" s="798"/>
      <c r="D1431" s="798"/>
      <c r="E1431" s="798"/>
      <c r="F1431" s="798"/>
      <c r="G1431" s="798"/>
      <c r="J1431" s="778" t="str">
        <f aca="false">IF(I1431="","",H1431/I1431)</f>
        <v/>
      </c>
      <c r="K1431" s="798"/>
      <c r="P1431" s="798"/>
      <c r="Q1431" s="798"/>
      <c r="R1431" s="811"/>
    </row>
    <row r="1432" customFormat="false" ht="16.5" hidden="false" customHeight="true" outlineLevel="0" collapsed="false">
      <c r="A1432" s="747"/>
      <c r="B1432" s="798"/>
      <c r="D1432" s="798"/>
      <c r="E1432" s="798"/>
      <c r="F1432" s="798"/>
      <c r="G1432" s="798"/>
      <c r="J1432" s="778" t="str">
        <f aca="false">IF(I1432="","",H1432/I1432)</f>
        <v/>
      </c>
      <c r="K1432" s="798"/>
      <c r="P1432" s="798"/>
      <c r="Q1432" s="798"/>
      <c r="R1432" s="811"/>
    </row>
    <row r="1433" customFormat="false" ht="16.5" hidden="false" customHeight="true" outlineLevel="0" collapsed="false">
      <c r="A1433" s="747"/>
      <c r="B1433" s="798"/>
      <c r="D1433" s="798"/>
      <c r="E1433" s="798"/>
      <c r="F1433" s="798"/>
      <c r="G1433" s="798"/>
      <c r="J1433" s="778" t="str">
        <f aca="false">IF(I1433="","",H1433/I1433)</f>
        <v/>
      </c>
      <c r="K1433" s="798"/>
      <c r="P1433" s="798"/>
      <c r="Q1433" s="798"/>
      <c r="R1433" s="811"/>
    </row>
    <row r="1434" customFormat="false" ht="16.5" hidden="false" customHeight="true" outlineLevel="0" collapsed="false">
      <c r="A1434" s="747"/>
      <c r="B1434" s="798"/>
      <c r="D1434" s="798"/>
      <c r="E1434" s="798"/>
      <c r="F1434" s="798"/>
      <c r="G1434" s="798"/>
      <c r="J1434" s="778" t="str">
        <f aca="false">IF(I1434="","",H1434/I1434)</f>
        <v/>
      </c>
      <c r="K1434" s="798"/>
      <c r="P1434" s="798"/>
      <c r="Q1434" s="798"/>
      <c r="R1434" s="811"/>
    </row>
    <row r="1435" customFormat="false" ht="16.5" hidden="false" customHeight="true" outlineLevel="0" collapsed="false">
      <c r="A1435" s="747"/>
      <c r="B1435" s="798"/>
      <c r="D1435" s="798"/>
      <c r="E1435" s="798"/>
      <c r="F1435" s="798"/>
      <c r="G1435" s="798"/>
      <c r="J1435" s="778" t="str">
        <f aca="false">IF(I1435="","",H1435/I1435)</f>
        <v/>
      </c>
      <c r="K1435" s="798"/>
      <c r="P1435" s="798"/>
      <c r="Q1435" s="798"/>
      <c r="R1435" s="811"/>
    </row>
    <row r="1436" customFormat="false" ht="16.5" hidden="false" customHeight="true" outlineLevel="0" collapsed="false">
      <c r="A1436" s="747"/>
      <c r="B1436" s="798"/>
      <c r="D1436" s="798"/>
      <c r="E1436" s="798"/>
      <c r="F1436" s="798"/>
      <c r="G1436" s="798"/>
      <c r="J1436" s="778" t="str">
        <f aca="false">IF(I1436="","",H1436/I1436)</f>
        <v/>
      </c>
      <c r="K1436" s="798"/>
      <c r="P1436" s="798"/>
      <c r="Q1436" s="798"/>
      <c r="R1436" s="811"/>
    </row>
    <row r="1437" customFormat="false" ht="16.5" hidden="false" customHeight="true" outlineLevel="0" collapsed="false">
      <c r="A1437" s="747"/>
      <c r="B1437" s="798"/>
      <c r="D1437" s="798"/>
      <c r="E1437" s="798"/>
      <c r="F1437" s="798"/>
      <c r="G1437" s="798"/>
      <c r="J1437" s="778" t="str">
        <f aca="false">IF(I1437="","",H1437/I1437)</f>
        <v/>
      </c>
      <c r="K1437" s="798"/>
      <c r="P1437" s="798"/>
      <c r="Q1437" s="798"/>
      <c r="R1437" s="811"/>
    </row>
    <row r="1438" customFormat="false" ht="16.5" hidden="false" customHeight="true" outlineLevel="0" collapsed="false">
      <c r="A1438" s="747"/>
      <c r="B1438" s="798"/>
      <c r="D1438" s="798"/>
      <c r="E1438" s="798"/>
      <c r="F1438" s="798"/>
      <c r="G1438" s="798"/>
      <c r="J1438" s="778" t="str">
        <f aca="false">IF(I1438="","",H1438/I1438)</f>
        <v/>
      </c>
      <c r="K1438" s="798"/>
      <c r="P1438" s="798"/>
      <c r="Q1438" s="798"/>
      <c r="R1438" s="811"/>
    </row>
    <row r="1439" customFormat="false" ht="16.5" hidden="false" customHeight="true" outlineLevel="0" collapsed="false">
      <c r="A1439" s="747"/>
      <c r="B1439" s="798"/>
      <c r="D1439" s="798"/>
      <c r="E1439" s="798"/>
      <c r="F1439" s="798"/>
      <c r="G1439" s="798"/>
      <c r="J1439" s="778" t="str">
        <f aca="false">IF(I1439="","",H1439/I1439)</f>
        <v/>
      </c>
      <c r="K1439" s="798"/>
      <c r="P1439" s="798"/>
      <c r="Q1439" s="798"/>
      <c r="R1439" s="811"/>
    </row>
    <row r="1440" customFormat="false" ht="16.5" hidden="false" customHeight="true" outlineLevel="0" collapsed="false">
      <c r="A1440" s="747"/>
      <c r="B1440" s="798"/>
      <c r="D1440" s="798"/>
      <c r="E1440" s="798"/>
      <c r="F1440" s="798"/>
      <c r="G1440" s="798"/>
      <c r="J1440" s="778" t="str">
        <f aca="false">IF(I1440="","",H1440/I1440)</f>
        <v/>
      </c>
      <c r="K1440" s="798"/>
      <c r="P1440" s="798"/>
      <c r="Q1440" s="798"/>
      <c r="R1440" s="811"/>
    </row>
    <row r="1441" customFormat="false" ht="16.5" hidden="false" customHeight="true" outlineLevel="0" collapsed="false">
      <c r="A1441" s="747"/>
      <c r="B1441" s="798"/>
      <c r="D1441" s="798"/>
      <c r="E1441" s="798"/>
      <c r="F1441" s="798"/>
      <c r="G1441" s="798"/>
      <c r="J1441" s="778" t="str">
        <f aca="false">IF(I1441="","",H1441/I1441)</f>
        <v/>
      </c>
      <c r="K1441" s="798"/>
      <c r="P1441" s="798"/>
      <c r="Q1441" s="798"/>
      <c r="R1441" s="811"/>
    </row>
    <row r="1442" customFormat="false" ht="16.5" hidden="false" customHeight="true" outlineLevel="0" collapsed="false">
      <c r="A1442" s="747"/>
      <c r="B1442" s="798"/>
      <c r="D1442" s="798"/>
      <c r="E1442" s="798"/>
      <c r="F1442" s="798"/>
      <c r="G1442" s="798"/>
      <c r="J1442" s="778" t="str">
        <f aca="false">IF(I1442="","",H1442/I1442)</f>
        <v/>
      </c>
      <c r="K1442" s="798"/>
      <c r="P1442" s="798"/>
      <c r="Q1442" s="798"/>
      <c r="R1442" s="811"/>
    </row>
    <row r="1443" customFormat="false" ht="16.5" hidden="false" customHeight="true" outlineLevel="0" collapsed="false">
      <c r="A1443" s="747"/>
      <c r="B1443" s="798"/>
      <c r="D1443" s="798"/>
      <c r="E1443" s="798"/>
      <c r="F1443" s="798"/>
      <c r="G1443" s="798"/>
      <c r="J1443" s="778" t="str">
        <f aca="false">IF(I1443="","",H1443/I1443)</f>
        <v/>
      </c>
      <c r="K1443" s="798"/>
      <c r="P1443" s="798"/>
      <c r="Q1443" s="798"/>
      <c r="R1443" s="811"/>
    </row>
    <row r="1444" customFormat="false" ht="16.5" hidden="false" customHeight="true" outlineLevel="0" collapsed="false">
      <c r="A1444" s="747"/>
      <c r="B1444" s="798"/>
      <c r="D1444" s="798"/>
      <c r="E1444" s="798"/>
      <c r="F1444" s="798"/>
      <c r="G1444" s="798"/>
      <c r="J1444" s="778" t="str">
        <f aca="false">IF(I1444="","",H1444/I1444)</f>
        <v/>
      </c>
      <c r="K1444" s="798"/>
      <c r="P1444" s="798"/>
      <c r="Q1444" s="798"/>
      <c r="R1444" s="811"/>
    </row>
    <row r="1445" customFormat="false" ht="16.5" hidden="false" customHeight="true" outlineLevel="0" collapsed="false">
      <c r="A1445" s="747"/>
      <c r="B1445" s="798"/>
      <c r="D1445" s="798"/>
      <c r="E1445" s="798"/>
      <c r="F1445" s="798"/>
      <c r="G1445" s="798"/>
      <c r="J1445" s="778" t="str">
        <f aca="false">IF(I1445="","",H1445/I1445)</f>
        <v/>
      </c>
      <c r="K1445" s="798"/>
      <c r="P1445" s="798"/>
      <c r="Q1445" s="798"/>
      <c r="R1445" s="811"/>
    </row>
    <row r="1446" customFormat="false" ht="16.5" hidden="false" customHeight="true" outlineLevel="0" collapsed="false">
      <c r="A1446" s="747"/>
      <c r="B1446" s="798"/>
      <c r="D1446" s="798"/>
      <c r="E1446" s="798"/>
      <c r="F1446" s="798"/>
      <c r="G1446" s="798"/>
      <c r="J1446" s="778" t="str">
        <f aca="false">IF(I1446="","",H1446/I1446)</f>
        <v/>
      </c>
      <c r="K1446" s="798"/>
      <c r="P1446" s="798"/>
      <c r="Q1446" s="798"/>
      <c r="R1446" s="811"/>
    </row>
    <row r="1447" customFormat="false" ht="16.5" hidden="false" customHeight="true" outlineLevel="0" collapsed="false">
      <c r="A1447" s="747"/>
      <c r="B1447" s="798"/>
      <c r="D1447" s="798"/>
      <c r="E1447" s="798"/>
      <c r="F1447" s="798"/>
      <c r="G1447" s="798"/>
      <c r="J1447" s="778" t="str">
        <f aca="false">IF(I1447="","",H1447/I1447)</f>
        <v/>
      </c>
      <c r="K1447" s="798"/>
      <c r="P1447" s="798"/>
      <c r="Q1447" s="798"/>
      <c r="R1447" s="811"/>
    </row>
    <row r="1448" customFormat="false" ht="16.5" hidden="false" customHeight="true" outlineLevel="0" collapsed="false">
      <c r="A1448" s="747"/>
      <c r="B1448" s="798"/>
      <c r="D1448" s="798"/>
      <c r="E1448" s="798"/>
      <c r="F1448" s="798"/>
      <c r="G1448" s="798"/>
      <c r="J1448" s="778" t="str">
        <f aca="false">IF(I1448="","",H1448/I1448)</f>
        <v/>
      </c>
      <c r="K1448" s="798"/>
      <c r="P1448" s="798"/>
      <c r="Q1448" s="798"/>
      <c r="R1448" s="811"/>
    </row>
    <row r="1449" customFormat="false" ht="16.5" hidden="false" customHeight="true" outlineLevel="0" collapsed="false">
      <c r="A1449" s="747"/>
      <c r="B1449" s="798"/>
      <c r="D1449" s="798"/>
      <c r="E1449" s="798"/>
      <c r="F1449" s="798"/>
      <c r="G1449" s="798"/>
      <c r="J1449" s="778" t="str">
        <f aca="false">IF(I1449="","",H1449/I1449)</f>
        <v/>
      </c>
      <c r="K1449" s="798"/>
      <c r="P1449" s="798"/>
      <c r="Q1449" s="798"/>
      <c r="R1449" s="811"/>
    </row>
    <row r="1450" customFormat="false" ht="16.5" hidden="false" customHeight="true" outlineLevel="0" collapsed="false">
      <c r="A1450" s="747"/>
      <c r="B1450" s="798"/>
      <c r="D1450" s="798"/>
      <c r="E1450" s="798"/>
      <c r="F1450" s="798"/>
      <c r="G1450" s="798"/>
      <c r="J1450" s="778" t="str">
        <f aca="false">IF(I1450="","",H1450/I1450)</f>
        <v/>
      </c>
      <c r="K1450" s="798"/>
      <c r="P1450" s="798"/>
      <c r="Q1450" s="798"/>
      <c r="R1450" s="811"/>
    </row>
    <row r="1451" customFormat="false" ht="16.5" hidden="false" customHeight="true" outlineLevel="0" collapsed="false">
      <c r="A1451" s="747"/>
      <c r="B1451" s="798"/>
      <c r="D1451" s="798"/>
      <c r="E1451" s="798"/>
      <c r="F1451" s="798"/>
      <c r="G1451" s="798"/>
      <c r="J1451" s="778" t="str">
        <f aca="false">IF(I1451="","",H1451/I1451)</f>
        <v/>
      </c>
      <c r="K1451" s="798"/>
      <c r="P1451" s="798"/>
      <c r="Q1451" s="798"/>
      <c r="R1451" s="811"/>
    </row>
    <row r="1452" customFormat="false" ht="16.5" hidden="false" customHeight="true" outlineLevel="0" collapsed="false">
      <c r="A1452" s="747"/>
      <c r="B1452" s="798"/>
      <c r="D1452" s="798"/>
      <c r="E1452" s="798"/>
      <c r="F1452" s="798"/>
      <c r="G1452" s="798"/>
      <c r="J1452" s="778" t="str">
        <f aca="false">IF(I1452="","",H1452/I1452)</f>
        <v/>
      </c>
      <c r="K1452" s="798"/>
      <c r="P1452" s="798"/>
      <c r="Q1452" s="798"/>
      <c r="R1452" s="811"/>
    </row>
    <row r="1453" customFormat="false" ht="16.5" hidden="false" customHeight="true" outlineLevel="0" collapsed="false">
      <c r="A1453" s="747"/>
      <c r="B1453" s="798"/>
      <c r="D1453" s="798"/>
      <c r="E1453" s="798"/>
      <c r="F1453" s="798"/>
      <c r="G1453" s="798"/>
      <c r="J1453" s="778" t="str">
        <f aca="false">IF(I1453="","",H1453/I1453)</f>
        <v/>
      </c>
      <c r="K1453" s="798"/>
      <c r="P1453" s="798"/>
      <c r="Q1453" s="798"/>
      <c r="R1453" s="811"/>
    </row>
    <row r="1454" customFormat="false" ht="16.5" hidden="false" customHeight="true" outlineLevel="0" collapsed="false">
      <c r="A1454" s="747"/>
      <c r="B1454" s="798"/>
      <c r="D1454" s="798"/>
      <c r="E1454" s="798"/>
      <c r="F1454" s="798"/>
      <c r="G1454" s="798"/>
      <c r="J1454" s="778" t="str">
        <f aca="false">IF(I1454="","",H1454/I1454)</f>
        <v/>
      </c>
      <c r="K1454" s="798"/>
      <c r="P1454" s="798"/>
      <c r="Q1454" s="798"/>
      <c r="R1454" s="811"/>
    </row>
    <row r="1455" customFormat="false" ht="16.5" hidden="false" customHeight="true" outlineLevel="0" collapsed="false">
      <c r="A1455" s="747"/>
      <c r="B1455" s="798"/>
      <c r="D1455" s="798"/>
      <c r="E1455" s="798"/>
      <c r="F1455" s="798"/>
      <c r="G1455" s="798"/>
      <c r="J1455" s="778" t="str">
        <f aca="false">IF(I1455="","",H1455/I1455)</f>
        <v/>
      </c>
      <c r="K1455" s="798"/>
      <c r="P1455" s="798"/>
      <c r="Q1455" s="798"/>
      <c r="R1455" s="811"/>
    </row>
    <row r="1456" customFormat="false" ht="16.5" hidden="false" customHeight="true" outlineLevel="0" collapsed="false">
      <c r="A1456" s="747"/>
      <c r="B1456" s="798"/>
      <c r="D1456" s="798"/>
      <c r="E1456" s="798"/>
      <c r="F1456" s="798"/>
      <c r="G1456" s="798"/>
      <c r="J1456" s="778" t="str">
        <f aca="false">IF(I1456="","",H1456/I1456)</f>
        <v/>
      </c>
      <c r="K1456" s="798"/>
      <c r="P1456" s="798"/>
      <c r="Q1456" s="798"/>
      <c r="R1456" s="811"/>
    </row>
    <row r="1457" customFormat="false" ht="16.5" hidden="false" customHeight="true" outlineLevel="0" collapsed="false">
      <c r="A1457" s="747"/>
      <c r="B1457" s="798"/>
      <c r="D1457" s="798"/>
      <c r="E1457" s="798"/>
      <c r="F1457" s="798"/>
      <c r="G1457" s="798"/>
      <c r="J1457" s="778" t="str">
        <f aca="false">IF(I1457="","",H1457/I1457)</f>
        <v/>
      </c>
      <c r="K1457" s="798"/>
      <c r="P1457" s="798"/>
      <c r="Q1457" s="798"/>
      <c r="R1457" s="811"/>
    </row>
    <row r="1458" customFormat="false" ht="16.5" hidden="false" customHeight="true" outlineLevel="0" collapsed="false">
      <c r="A1458" s="747"/>
      <c r="B1458" s="798"/>
      <c r="D1458" s="798"/>
      <c r="E1458" s="798"/>
      <c r="F1458" s="798"/>
      <c r="G1458" s="798"/>
      <c r="J1458" s="778" t="str">
        <f aca="false">IF(I1458="","",H1458/I1458)</f>
        <v/>
      </c>
      <c r="K1458" s="798"/>
      <c r="P1458" s="798"/>
      <c r="Q1458" s="798"/>
      <c r="R1458" s="811"/>
    </row>
    <row r="1459" customFormat="false" ht="16.5" hidden="false" customHeight="true" outlineLevel="0" collapsed="false">
      <c r="A1459" s="747"/>
      <c r="B1459" s="798"/>
      <c r="D1459" s="798"/>
      <c r="E1459" s="798"/>
      <c r="F1459" s="798"/>
      <c r="G1459" s="798"/>
      <c r="J1459" s="778" t="str">
        <f aca="false">IF(I1459="","",H1459/I1459)</f>
        <v/>
      </c>
      <c r="K1459" s="798"/>
      <c r="P1459" s="798"/>
      <c r="Q1459" s="798"/>
      <c r="R1459" s="811"/>
    </row>
    <row r="1460" customFormat="false" ht="16.5" hidden="false" customHeight="true" outlineLevel="0" collapsed="false">
      <c r="A1460" s="747"/>
      <c r="B1460" s="798"/>
      <c r="D1460" s="798"/>
      <c r="E1460" s="798"/>
      <c r="F1460" s="798"/>
      <c r="G1460" s="798"/>
      <c r="J1460" s="778" t="str">
        <f aca="false">IF(I1460="","",H1460/I1460)</f>
        <v/>
      </c>
      <c r="K1460" s="798"/>
      <c r="P1460" s="798"/>
      <c r="Q1460" s="798"/>
      <c r="R1460" s="811"/>
    </row>
    <row r="1461" customFormat="false" ht="16.5" hidden="false" customHeight="true" outlineLevel="0" collapsed="false">
      <c r="A1461" s="747"/>
      <c r="B1461" s="798"/>
      <c r="D1461" s="798"/>
      <c r="E1461" s="798"/>
      <c r="F1461" s="798"/>
      <c r="G1461" s="798"/>
      <c r="J1461" s="778" t="str">
        <f aca="false">IF(I1461="","",H1461/I1461)</f>
        <v/>
      </c>
      <c r="K1461" s="798"/>
      <c r="P1461" s="798"/>
      <c r="Q1461" s="798"/>
      <c r="R1461" s="811"/>
    </row>
    <row r="1462" customFormat="false" ht="16.5" hidden="false" customHeight="true" outlineLevel="0" collapsed="false">
      <c r="A1462" s="747"/>
      <c r="B1462" s="798"/>
      <c r="D1462" s="798"/>
      <c r="E1462" s="798"/>
      <c r="F1462" s="798"/>
      <c r="G1462" s="798"/>
      <c r="J1462" s="778" t="str">
        <f aca="false">IF(I1462="","",H1462/I1462)</f>
        <v/>
      </c>
      <c r="K1462" s="798"/>
      <c r="P1462" s="798"/>
      <c r="Q1462" s="798"/>
      <c r="R1462" s="811"/>
    </row>
    <row r="1463" customFormat="false" ht="16.5" hidden="false" customHeight="true" outlineLevel="0" collapsed="false">
      <c r="A1463" s="747"/>
      <c r="B1463" s="798"/>
      <c r="D1463" s="798"/>
      <c r="E1463" s="798"/>
      <c r="F1463" s="798"/>
      <c r="G1463" s="798"/>
      <c r="J1463" s="778" t="str">
        <f aca="false">IF(I1463="","",H1463/I1463)</f>
        <v/>
      </c>
      <c r="K1463" s="798"/>
      <c r="P1463" s="798"/>
      <c r="Q1463" s="798"/>
      <c r="R1463" s="811"/>
    </row>
    <row r="1464" customFormat="false" ht="16.5" hidden="false" customHeight="true" outlineLevel="0" collapsed="false">
      <c r="A1464" s="747"/>
      <c r="B1464" s="798"/>
      <c r="D1464" s="798"/>
      <c r="E1464" s="798"/>
      <c r="F1464" s="798"/>
      <c r="G1464" s="798"/>
      <c r="J1464" s="778" t="str">
        <f aca="false">IF(I1464="","",H1464/I1464)</f>
        <v/>
      </c>
      <c r="K1464" s="798"/>
      <c r="P1464" s="798"/>
      <c r="Q1464" s="798"/>
      <c r="R1464" s="811"/>
    </row>
    <row r="1465" customFormat="false" ht="16.5" hidden="false" customHeight="true" outlineLevel="0" collapsed="false">
      <c r="A1465" s="747"/>
      <c r="B1465" s="798"/>
      <c r="D1465" s="798"/>
      <c r="E1465" s="798"/>
      <c r="F1465" s="798"/>
      <c r="G1465" s="798"/>
      <c r="J1465" s="778" t="str">
        <f aca="false">IF(I1465="","",H1465/I1465)</f>
        <v/>
      </c>
      <c r="K1465" s="798"/>
      <c r="P1465" s="798"/>
      <c r="Q1465" s="798"/>
      <c r="R1465" s="811"/>
    </row>
    <row r="1466" customFormat="false" ht="16.5" hidden="false" customHeight="true" outlineLevel="0" collapsed="false">
      <c r="A1466" s="747"/>
      <c r="B1466" s="798"/>
      <c r="D1466" s="798"/>
      <c r="E1466" s="798"/>
      <c r="F1466" s="798"/>
      <c r="G1466" s="798"/>
      <c r="J1466" s="778" t="str">
        <f aca="false">IF(I1466="","",H1466/I1466)</f>
        <v/>
      </c>
      <c r="K1466" s="798"/>
      <c r="P1466" s="798"/>
      <c r="Q1466" s="798"/>
      <c r="R1466" s="811"/>
    </row>
    <row r="1467" customFormat="false" ht="16.5" hidden="false" customHeight="true" outlineLevel="0" collapsed="false">
      <c r="A1467" s="747"/>
      <c r="B1467" s="798"/>
      <c r="D1467" s="798"/>
      <c r="E1467" s="798"/>
      <c r="F1467" s="798"/>
      <c r="G1467" s="798"/>
      <c r="J1467" s="778" t="str">
        <f aca="false">IF(I1467="","",H1467/I1467)</f>
        <v/>
      </c>
      <c r="K1467" s="798"/>
      <c r="P1467" s="798"/>
      <c r="Q1467" s="798"/>
      <c r="R1467" s="811"/>
    </row>
    <row r="1468" customFormat="false" ht="16.5" hidden="false" customHeight="true" outlineLevel="0" collapsed="false">
      <c r="A1468" s="747"/>
      <c r="B1468" s="798"/>
      <c r="D1468" s="798"/>
      <c r="E1468" s="798"/>
      <c r="F1468" s="798"/>
      <c r="G1468" s="798"/>
      <c r="J1468" s="778" t="str">
        <f aca="false">IF(I1468="","",H1468/I1468)</f>
        <v/>
      </c>
      <c r="K1468" s="798"/>
      <c r="P1468" s="798"/>
      <c r="Q1468" s="798"/>
      <c r="R1468" s="811"/>
    </row>
    <row r="1469" customFormat="false" ht="16.5" hidden="false" customHeight="true" outlineLevel="0" collapsed="false">
      <c r="A1469" s="747"/>
      <c r="B1469" s="798"/>
      <c r="D1469" s="798"/>
      <c r="E1469" s="798"/>
      <c r="F1469" s="798"/>
      <c r="G1469" s="798"/>
      <c r="J1469" s="778" t="str">
        <f aca="false">IF(I1469="","",H1469/I1469)</f>
        <v/>
      </c>
      <c r="K1469" s="798"/>
      <c r="P1469" s="798"/>
      <c r="Q1469" s="798"/>
      <c r="R1469" s="811"/>
    </row>
    <row r="1470" customFormat="false" ht="16.5" hidden="false" customHeight="true" outlineLevel="0" collapsed="false">
      <c r="A1470" s="747"/>
      <c r="B1470" s="798"/>
      <c r="D1470" s="798"/>
      <c r="E1470" s="798"/>
      <c r="F1470" s="798"/>
      <c r="G1470" s="798"/>
      <c r="J1470" s="778" t="str">
        <f aca="false">IF(I1470="","",H1470/I1470)</f>
        <v/>
      </c>
      <c r="K1470" s="798"/>
      <c r="P1470" s="798"/>
      <c r="Q1470" s="798"/>
      <c r="R1470" s="811"/>
    </row>
    <row r="1471" customFormat="false" ht="16.5" hidden="false" customHeight="true" outlineLevel="0" collapsed="false">
      <c r="A1471" s="747"/>
      <c r="B1471" s="798"/>
      <c r="D1471" s="798"/>
      <c r="E1471" s="798"/>
      <c r="F1471" s="798"/>
      <c r="G1471" s="798"/>
      <c r="J1471" s="778" t="str">
        <f aca="false">IF(I1471="","",H1471/I1471)</f>
        <v/>
      </c>
      <c r="K1471" s="798"/>
      <c r="P1471" s="798"/>
      <c r="Q1471" s="798"/>
      <c r="R1471" s="811"/>
    </row>
    <row r="1472" customFormat="false" ht="16.5" hidden="false" customHeight="true" outlineLevel="0" collapsed="false">
      <c r="A1472" s="747"/>
      <c r="B1472" s="798"/>
      <c r="D1472" s="798"/>
      <c r="E1472" s="798"/>
      <c r="F1472" s="798"/>
      <c r="G1472" s="798"/>
      <c r="J1472" s="778" t="str">
        <f aca="false">IF(I1472="","",H1472/I1472)</f>
        <v/>
      </c>
      <c r="K1472" s="798"/>
      <c r="P1472" s="798"/>
      <c r="Q1472" s="798"/>
      <c r="R1472" s="811"/>
    </row>
    <row r="1473" customFormat="false" ht="16.5" hidden="false" customHeight="true" outlineLevel="0" collapsed="false">
      <c r="A1473" s="747"/>
      <c r="B1473" s="798"/>
      <c r="D1473" s="798"/>
      <c r="E1473" s="798"/>
      <c r="F1473" s="798"/>
      <c r="G1473" s="798"/>
      <c r="J1473" s="778" t="str">
        <f aca="false">IF(I1473="","",H1473/I1473)</f>
        <v/>
      </c>
      <c r="K1473" s="798"/>
      <c r="P1473" s="798"/>
      <c r="Q1473" s="798"/>
      <c r="R1473" s="811"/>
    </row>
    <row r="1474" customFormat="false" ht="16.5" hidden="false" customHeight="true" outlineLevel="0" collapsed="false">
      <c r="A1474" s="747"/>
      <c r="B1474" s="798"/>
      <c r="D1474" s="798"/>
      <c r="E1474" s="798"/>
      <c r="F1474" s="798"/>
      <c r="G1474" s="798"/>
      <c r="J1474" s="778" t="str">
        <f aca="false">IF(I1474="","",H1474/I1474)</f>
        <v/>
      </c>
      <c r="K1474" s="798"/>
      <c r="P1474" s="798"/>
      <c r="Q1474" s="798"/>
      <c r="R1474" s="811"/>
    </row>
    <row r="1475" customFormat="false" ht="16.5" hidden="false" customHeight="true" outlineLevel="0" collapsed="false">
      <c r="A1475" s="747"/>
      <c r="B1475" s="798"/>
      <c r="D1475" s="798"/>
      <c r="E1475" s="798"/>
      <c r="F1475" s="798"/>
      <c r="G1475" s="798"/>
      <c r="J1475" s="778" t="str">
        <f aca="false">IF(I1475="","",H1475/I1475)</f>
        <v/>
      </c>
      <c r="K1475" s="798"/>
      <c r="P1475" s="798"/>
      <c r="Q1475" s="798"/>
      <c r="R1475" s="811"/>
    </row>
    <row r="1476" customFormat="false" ht="16.5" hidden="false" customHeight="true" outlineLevel="0" collapsed="false">
      <c r="A1476" s="747"/>
      <c r="B1476" s="798"/>
      <c r="D1476" s="798"/>
      <c r="E1476" s="798"/>
      <c r="F1476" s="798"/>
      <c r="G1476" s="798"/>
      <c r="J1476" s="778" t="str">
        <f aca="false">IF(I1476="","",H1476/I1476)</f>
        <v/>
      </c>
      <c r="K1476" s="798"/>
      <c r="P1476" s="798"/>
      <c r="Q1476" s="798"/>
      <c r="R1476" s="811"/>
    </row>
    <row r="1477" customFormat="false" ht="16.5" hidden="false" customHeight="true" outlineLevel="0" collapsed="false">
      <c r="A1477" s="747"/>
      <c r="B1477" s="798"/>
      <c r="D1477" s="798"/>
      <c r="E1477" s="798"/>
      <c r="F1477" s="798"/>
      <c r="G1477" s="798"/>
      <c r="J1477" s="778" t="str">
        <f aca="false">IF(I1477="","",H1477/I1477)</f>
        <v/>
      </c>
      <c r="K1477" s="798"/>
      <c r="P1477" s="798"/>
      <c r="Q1477" s="798"/>
      <c r="R1477" s="811"/>
    </row>
    <row r="1478" customFormat="false" ht="16.5" hidden="false" customHeight="true" outlineLevel="0" collapsed="false">
      <c r="A1478" s="747"/>
      <c r="B1478" s="798"/>
      <c r="D1478" s="798"/>
      <c r="E1478" s="798"/>
      <c r="F1478" s="798"/>
      <c r="G1478" s="798"/>
      <c r="J1478" s="778" t="str">
        <f aca="false">IF(I1478="","",H1478/I1478)</f>
        <v/>
      </c>
      <c r="K1478" s="798"/>
      <c r="P1478" s="798"/>
      <c r="Q1478" s="798"/>
      <c r="R1478" s="811"/>
    </row>
    <row r="1479" customFormat="false" ht="16.5" hidden="false" customHeight="true" outlineLevel="0" collapsed="false">
      <c r="A1479" s="747"/>
      <c r="B1479" s="798"/>
      <c r="D1479" s="798"/>
      <c r="E1479" s="798"/>
      <c r="F1479" s="798"/>
      <c r="G1479" s="798"/>
      <c r="J1479" s="778" t="str">
        <f aca="false">IF(I1479="","",H1479/I1479)</f>
        <v/>
      </c>
      <c r="K1479" s="798"/>
      <c r="P1479" s="798"/>
      <c r="Q1479" s="798"/>
      <c r="R1479" s="811"/>
    </row>
    <row r="1480" customFormat="false" ht="16.5" hidden="false" customHeight="true" outlineLevel="0" collapsed="false">
      <c r="A1480" s="747"/>
      <c r="B1480" s="798"/>
      <c r="D1480" s="798"/>
      <c r="E1480" s="798"/>
      <c r="F1480" s="798"/>
      <c r="G1480" s="798"/>
      <c r="J1480" s="778" t="str">
        <f aca="false">IF(I1480="","",H1480/I1480)</f>
        <v/>
      </c>
      <c r="K1480" s="798"/>
      <c r="P1480" s="798"/>
      <c r="Q1480" s="798"/>
      <c r="R1480" s="811"/>
    </row>
    <row r="1481" customFormat="false" ht="16.5" hidden="false" customHeight="true" outlineLevel="0" collapsed="false">
      <c r="A1481" s="747"/>
      <c r="B1481" s="798"/>
      <c r="D1481" s="798"/>
      <c r="E1481" s="798"/>
      <c r="F1481" s="798"/>
      <c r="G1481" s="798"/>
      <c r="J1481" s="778" t="str">
        <f aca="false">IF(I1481="","",H1481/I1481)</f>
        <v/>
      </c>
      <c r="K1481" s="798"/>
      <c r="P1481" s="798"/>
      <c r="Q1481" s="798"/>
      <c r="R1481" s="811"/>
    </row>
    <row r="1482" customFormat="false" ht="16.5" hidden="false" customHeight="true" outlineLevel="0" collapsed="false">
      <c r="A1482" s="747"/>
      <c r="B1482" s="798"/>
      <c r="D1482" s="798"/>
      <c r="E1482" s="798"/>
      <c r="F1482" s="798"/>
      <c r="G1482" s="798"/>
      <c r="J1482" s="778" t="str">
        <f aca="false">IF(I1482="","",H1482/I1482)</f>
        <v/>
      </c>
      <c r="K1482" s="798"/>
      <c r="P1482" s="798"/>
      <c r="Q1482" s="798"/>
      <c r="R1482" s="811"/>
    </row>
    <row r="1483" customFormat="false" ht="16.5" hidden="false" customHeight="true" outlineLevel="0" collapsed="false">
      <c r="A1483" s="747"/>
      <c r="B1483" s="798"/>
      <c r="D1483" s="798"/>
      <c r="E1483" s="798"/>
      <c r="F1483" s="798"/>
      <c r="G1483" s="798"/>
      <c r="J1483" s="778" t="str">
        <f aca="false">IF(I1483="","",H1483/I1483)</f>
        <v/>
      </c>
      <c r="K1483" s="798"/>
      <c r="P1483" s="798"/>
      <c r="Q1483" s="798"/>
      <c r="R1483" s="811"/>
    </row>
    <row r="1484" customFormat="false" ht="16.5" hidden="false" customHeight="true" outlineLevel="0" collapsed="false">
      <c r="A1484" s="747"/>
      <c r="B1484" s="798"/>
      <c r="D1484" s="798"/>
      <c r="E1484" s="798"/>
      <c r="F1484" s="798"/>
      <c r="G1484" s="798"/>
      <c r="J1484" s="778" t="str">
        <f aca="false">IF(I1484="","",H1484/I1484)</f>
        <v/>
      </c>
      <c r="K1484" s="798"/>
      <c r="P1484" s="798"/>
      <c r="Q1484" s="798"/>
      <c r="R1484" s="811"/>
    </row>
    <row r="1485" customFormat="false" ht="16.5" hidden="false" customHeight="true" outlineLevel="0" collapsed="false">
      <c r="A1485" s="747"/>
      <c r="B1485" s="798"/>
      <c r="D1485" s="798"/>
      <c r="E1485" s="798"/>
      <c r="F1485" s="798"/>
      <c r="G1485" s="798"/>
      <c r="J1485" s="778" t="str">
        <f aca="false">IF(I1485="","",H1485/I1485)</f>
        <v/>
      </c>
      <c r="K1485" s="798"/>
      <c r="P1485" s="798"/>
      <c r="Q1485" s="798"/>
      <c r="R1485" s="811"/>
    </row>
    <row r="1486" customFormat="false" ht="16.5" hidden="false" customHeight="true" outlineLevel="0" collapsed="false">
      <c r="A1486" s="747"/>
      <c r="B1486" s="798"/>
      <c r="D1486" s="798"/>
      <c r="E1486" s="798"/>
      <c r="F1486" s="798"/>
      <c r="G1486" s="798"/>
      <c r="J1486" s="778" t="str">
        <f aca="false">IF(I1486="","",H1486/I1486)</f>
        <v/>
      </c>
      <c r="K1486" s="798"/>
      <c r="P1486" s="798"/>
      <c r="Q1486" s="798"/>
      <c r="R1486" s="811"/>
    </row>
    <row r="1487" customFormat="false" ht="16.5" hidden="false" customHeight="true" outlineLevel="0" collapsed="false">
      <c r="A1487" s="747"/>
      <c r="B1487" s="798"/>
      <c r="D1487" s="798"/>
      <c r="E1487" s="798"/>
      <c r="F1487" s="798"/>
      <c r="G1487" s="798"/>
      <c r="J1487" s="778" t="str">
        <f aca="false">IF(I1487="","",H1487/I1487)</f>
        <v/>
      </c>
      <c r="K1487" s="798"/>
      <c r="P1487" s="798"/>
      <c r="Q1487" s="798"/>
      <c r="R1487" s="811"/>
    </row>
    <row r="1488" customFormat="false" ht="16.5" hidden="false" customHeight="true" outlineLevel="0" collapsed="false">
      <c r="A1488" s="747"/>
      <c r="B1488" s="798"/>
      <c r="D1488" s="798"/>
      <c r="E1488" s="798"/>
      <c r="F1488" s="798"/>
      <c r="G1488" s="798"/>
      <c r="J1488" s="778" t="str">
        <f aca="false">IF(I1488="","",H1488/I1488)</f>
        <v/>
      </c>
      <c r="K1488" s="798"/>
      <c r="P1488" s="798"/>
      <c r="Q1488" s="798"/>
      <c r="R1488" s="811"/>
    </row>
    <row r="1489" customFormat="false" ht="16.5" hidden="false" customHeight="true" outlineLevel="0" collapsed="false">
      <c r="A1489" s="747"/>
      <c r="B1489" s="798"/>
      <c r="D1489" s="798"/>
      <c r="E1489" s="798"/>
      <c r="F1489" s="798"/>
      <c r="G1489" s="798"/>
      <c r="J1489" s="778" t="str">
        <f aca="false">IF(I1489="","",H1489/I1489)</f>
        <v/>
      </c>
      <c r="K1489" s="798"/>
      <c r="P1489" s="798"/>
      <c r="Q1489" s="798"/>
      <c r="R1489" s="811"/>
    </row>
    <row r="1490" customFormat="false" ht="16.5" hidden="false" customHeight="true" outlineLevel="0" collapsed="false">
      <c r="A1490" s="747"/>
      <c r="B1490" s="798"/>
      <c r="D1490" s="798"/>
      <c r="E1490" s="798"/>
      <c r="F1490" s="798"/>
      <c r="G1490" s="798"/>
      <c r="J1490" s="778" t="str">
        <f aca="false">IF(I1490="","",H1490/I1490)</f>
        <v/>
      </c>
      <c r="K1490" s="798"/>
      <c r="P1490" s="798"/>
      <c r="Q1490" s="798"/>
      <c r="R1490" s="811"/>
    </row>
    <row r="1491" customFormat="false" ht="16.5" hidden="false" customHeight="true" outlineLevel="0" collapsed="false">
      <c r="A1491" s="747"/>
      <c r="B1491" s="798"/>
      <c r="D1491" s="798"/>
      <c r="E1491" s="798"/>
      <c r="F1491" s="798"/>
      <c r="G1491" s="798"/>
      <c r="J1491" s="778" t="str">
        <f aca="false">IF(I1491="","",H1491/I1491)</f>
        <v/>
      </c>
      <c r="K1491" s="798"/>
      <c r="P1491" s="798"/>
      <c r="Q1491" s="798"/>
      <c r="R1491" s="811"/>
    </row>
    <row r="1492" customFormat="false" ht="16.5" hidden="false" customHeight="true" outlineLevel="0" collapsed="false">
      <c r="A1492" s="747"/>
      <c r="B1492" s="798"/>
      <c r="D1492" s="798"/>
      <c r="E1492" s="798"/>
      <c r="F1492" s="798"/>
      <c r="G1492" s="798"/>
      <c r="J1492" s="778" t="str">
        <f aca="false">IF(I1492="","",H1492/I1492)</f>
        <v/>
      </c>
      <c r="K1492" s="798"/>
      <c r="P1492" s="798"/>
      <c r="Q1492" s="798"/>
      <c r="R1492" s="811"/>
    </row>
    <row r="1493" customFormat="false" ht="16.5" hidden="false" customHeight="true" outlineLevel="0" collapsed="false">
      <c r="A1493" s="747"/>
      <c r="B1493" s="798"/>
      <c r="D1493" s="798"/>
      <c r="E1493" s="798"/>
      <c r="F1493" s="798"/>
      <c r="G1493" s="798"/>
      <c r="J1493" s="778" t="str">
        <f aca="false">IF(I1493="","",H1493/I1493)</f>
        <v/>
      </c>
      <c r="K1493" s="798"/>
      <c r="P1493" s="798"/>
      <c r="Q1493" s="798"/>
      <c r="R1493" s="811"/>
    </row>
    <row r="1494" customFormat="false" ht="16.5" hidden="false" customHeight="true" outlineLevel="0" collapsed="false">
      <c r="A1494" s="747"/>
      <c r="B1494" s="798"/>
      <c r="D1494" s="798"/>
      <c r="E1494" s="798"/>
      <c r="F1494" s="798"/>
      <c r="G1494" s="798"/>
      <c r="J1494" s="778" t="str">
        <f aca="false">IF(I1494="","",H1494/I1494)</f>
        <v/>
      </c>
      <c r="K1494" s="798"/>
      <c r="P1494" s="798"/>
      <c r="Q1494" s="798"/>
      <c r="R1494" s="811"/>
    </row>
    <row r="1495" customFormat="false" ht="16.5" hidden="false" customHeight="true" outlineLevel="0" collapsed="false">
      <c r="A1495" s="747"/>
      <c r="B1495" s="798"/>
      <c r="D1495" s="798"/>
      <c r="E1495" s="798"/>
      <c r="F1495" s="798"/>
      <c r="G1495" s="798"/>
      <c r="J1495" s="778" t="str">
        <f aca="false">IF(I1495="","",H1495/I1495)</f>
        <v/>
      </c>
      <c r="K1495" s="798"/>
      <c r="P1495" s="798"/>
      <c r="Q1495" s="798"/>
      <c r="R1495" s="811"/>
    </row>
    <row r="1496" customFormat="false" ht="16.5" hidden="false" customHeight="true" outlineLevel="0" collapsed="false">
      <c r="A1496" s="747"/>
      <c r="B1496" s="798"/>
      <c r="D1496" s="798"/>
      <c r="E1496" s="798"/>
      <c r="F1496" s="798"/>
      <c r="G1496" s="798"/>
      <c r="J1496" s="778" t="str">
        <f aca="false">IF(I1496="","",H1496/I1496)</f>
        <v/>
      </c>
      <c r="K1496" s="798"/>
      <c r="P1496" s="798"/>
      <c r="Q1496" s="798"/>
      <c r="R1496" s="811"/>
    </row>
    <row r="1497" customFormat="false" ht="16.5" hidden="false" customHeight="true" outlineLevel="0" collapsed="false">
      <c r="A1497" s="747"/>
      <c r="B1497" s="798"/>
      <c r="D1497" s="798"/>
      <c r="E1497" s="798"/>
      <c r="F1497" s="798"/>
      <c r="G1497" s="798"/>
      <c r="J1497" s="778" t="str">
        <f aca="false">IF(I1497="","",H1497/I1497)</f>
        <v/>
      </c>
      <c r="K1497" s="798"/>
      <c r="P1497" s="798"/>
      <c r="Q1497" s="798"/>
      <c r="R1497" s="811"/>
    </row>
    <row r="1498" customFormat="false" ht="16.5" hidden="false" customHeight="true" outlineLevel="0" collapsed="false">
      <c r="A1498" s="747"/>
      <c r="B1498" s="798"/>
      <c r="D1498" s="798"/>
      <c r="E1498" s="798"/>
      <c r="F1498" s="798"/>
      <c r="G1498" s="798"/>
      <c r="J1498" s="778" t="str">
        <f aca="false">IF(I1498="","",H1498/I1498)</f>
        <v/>
      </c>
      <c r="K1498" s="798"/>
      <c r="P1498" s="798"/>
      <c r="Q1498" s="798"/>
      <c r="R1498" s="811"/>
    </row>
    <row r="1499" customFormat="false" ht="16.5" hidden="false" customHeight="true" outlineLevel="0" collapsed="false">
      <c r="A1499" s="747"/>
      <c r="B1499" s="798"/>
      <c r="D1499" s="798"/>
      <c r="E1499" s="798"/>
      <c r="F1499" s="798"/>
      <c r="G1499" s="798"/>
      <c r="J1499" s="778" t="str">
        <f aca="false">IF(I1499="","",H1499/I1499)</f>
        <v/>
      </c>
      <c r="K1499" s="798"/>
      <c r="P1499" s="798"/>
      <c r="Q1499" s="798"/>
      <c r="R1499" s="811"/>
    </row>
    <row r="1500" customFormat="false" ht="16.5" hidden="false" customHeight="true" outlineLevel="0" collapsed="false">
      <c r="A1500" s="747"/>
      <c r="B1500" s="798"/>
      <c r="D1500" s="798"/>
      <c r="E1500" s="798"/>
      <c r="F1500" s="798"/>
      <c r="G1500" s="798"/>
      <c r="J1500" s="778" t="str">
        <f aca="false">IF(I1500="","",H1500/I1500)</f>
        <v/>
      </c>
      <c r="K1500" s="798"/>
      <c r="P1500" s="798"/>
      <c r="Q1500" s="798"/>
      <c r="R1500" s="811"/>
    </row>
    <row r="1501" customFormat="false" ht="16.5" hidden="false" customHeight="true" outlineLevel="0" collapsed="false">
      <c r="A1501" s="747"/>
      <c r="B1501" s="798"/>
      <c r="D1501" s="798"/>
      <c r="E1501" s="798"/>
      <c r="F1501" s="798"/>
      <c r="G1501" s="798"/>
      <c r="J1501" s="778" t="str">
        <f aca="false">IF(I1501="","",H1501/I1501)</f>
        <v/>
      </c>
      <c r="K1501" s="798"/>
      <c r="P1501" s="798"/>
      <c r="Q1501" s="798"/>
      <c r="R1501" s="811"/>
    </row>
    <row r="1502" customFormat="false" ht="16.5" hidden="false" customHeight="true" outlineLevel="0" collapsed="false">
      <c r="A1502" s="747"/>
      <c r="B1502" s="798"/>
      <c r="D1502" s="798"/>
      <c r="E1502" s="798"/>
      <c r="F1502" s="798"/>
      <c r="G1502" s="798"/>
      <c r="J1502" s="778" t="str">
        <f aca="false">IF(I1502="","",H1502/I1502)</f>
        <v/>
      </c>
      <c r="K1502" s="798"/>
      <c r="P1502" s="798"/>
      <c r="Q1502" s="798"/>
      <c r="R1502" s="811"/>
    </row>
    <row r="1503" customFormat="false" ht="16.5" hidden="false" customHeight="true" outlineLevel="0" collapsed="false">
      <c r="A1503" s="747"/>
      <c r="B1503" s="798"/>
      <c r="D1503" s="798"/>
      <c r="E1503" s="798"/>
      <c r="F1503" s="798"/>
      <c r="G1503" s="798"/>
      <c r="J1503" s="778" t="str">
        <f aca="false">IF(I1503="","",H1503/I1503)</f>
        <v/>
      </c>
      <c r="K1503" s="798"/>
      <c r="P1503" s="798"/>
      <c r="Q1503" s="798"/>
      <c r="R1503" s="811"/>
    </row>
    <row r="1504" customFormat="false" ht="16.5" hidden="false" customHeight="true" outlineLevel="0" collapsed="false">
      <c r="A1504" s="747"/>
      <c r="B1504" s="798"/>
      <c r="D1504" s="798"/>
      <c r="E1504" s="798"/>
      <c r="F1504" s="798"/>
      <c r="G1504" s="798"/>
      <c r="J1504" s="778" t="str">
        <f aca="false">IF(I1504="","",H1504/I1504)</f>
        <v/>
      </c>
      <c r="K1504" s="798"/>
      <c r="P1504" s="798"/>
      <c r="Q1504" s="798"/>
      <c r="R1504" s="811"/>
    </row>
    <row r="1505" customFormat="false" ht="16.5" hidden="false" customHeight="true" outlineLevel="0" collapsed="false">
      <c r="A1505" s="747"/>
      <c r="B1505" s="798"/>
      <c r="D1505" s="798"/>
      <c r="E1505" s="798"/>
      <c r="F1505" s="798"/>
      <c r="G1505" s="798"/>
      <c r="J1505" s="778" t="str">
        <f aca="false">IF(I1505="","",H1505/I1505)</f>
        <v/>
      </c>
      <c r="K1505" s="798"/>
      <c r="P1505" s="798"/>
      <c r="Q1505" s="798"/>
      <c r="R1505" s="811"/>
    </row>
    <row r="1506" customFormat="false" ht="16.5" hidden="false" customHeight="true" outlineLevel="0" collapsed="false">
      <c r="A1506" s="747"/>
      <c r="B1506" s="798"/>
      <c r="D1506" s="798"/>
      <c r="E1506" s="798"/>
      <c r="F1506" s="798"/>
      <c r="G1506" s="798"/>
      <c r="J1506" s="778" t="str">
        <f aca="false">IF(I1506="","",H1506/I1506)</f>
        <v/>
      </c>
      <c r="K1506" s="798"/>
      <c r="P1506" s="798"/>
      <c r="Q1506" s="798"/>
      <c r="R1506" s="811"/>
    </row>
    <row r="1507" customFormat="false" ht="16.5" hidden="false" customHeight="true" outlineLevel="0" collapsed="false">
      <c r="A1507" s="747"/>
      <c r="B1507" s="798"/>
      <c r="D1507" s="798"/>
      <c r="E1507" s="798"/>
      <c r="F1507" s="798"/>
      <c r="G1507" s="798"/>
      <c r="J1507" s="778" t="str">
        <f aca="false">IF(I1507="","",H1507/I1507)</f>
        <v/>
      </c>
      <c r="K1507" s="798"/>
      <c r="P1507" s="798"/>
      <c r="Q1507" s="798"/>
      <c r="R1507" s="811"/>
    </row>
    <row r="1508" customFormat="false" ht="16.5" hidden="false" customHeight="true" outlineLevel="0" collapsed="false">
      <c r="A1508" s="747"/>
      <c r="B1508" s="798"/>
      <c r="D1508" s="798"/>
      <c r="E1508" s="798"/>
      <c r="F1508" s="798"/>
      <c r="G1508" s="798"/>
      <c r="J1508" s="778" t="str">
        <f aca="false">IF(I1508="","",H1508/I1508)</f>
        <v/>
      </c>
      <c r="K1508" s="798"/>
      <c r="P1508" s="798"/>
      <c r="Q1508" s="798"/>
      <c r="R1508" s="811"/>
    </row>
    <row r="1509" customFormat="false" ht="16.5" hidden="false" customHeight="true" outlineLevel="0" collapsed="false">
      <c r="A1509" s="747"/>
      <c r="B1509" s="798"/>
      <c r="D1509" s="798"/>
      <c r="E1509" s="798"/>
      <c r="F1509" s="798"/>
      <c r="G1509" s="798"/>
      <c r="J1509" s="778" t="str">
        <f aca="false">IF(I1509="","",H1509/I1509)</f>
        <v/>
      </c>
      <c r="K1509" s="798"/>
      <c r="P1509" s="798"/>
      <c r="Q1509" s="798"/>
      <c r="R1509" s="811"/>
    </row>
    <row r="1510" customFormat="false" ht="16.5" hidden="false" customHeight="true" outlineLevel="0" collapsed="false">
      <c r="A1510" s="747"/>
      <c r="B1510" s="798"/>
      <c r="D1510" s="798"/>
      <c r="E1510" s="798"/>
      <c r="F1510" s="798"/>
      <c r="G1510" s="798"/>
      <c r="J1510" s="778" t="str">
        <f aca="false">IF(I1510="","",H1510/I1510)</f>
        <v/>
      </c>
      <c r="K1510" s="798"/>
      <c r="P1510" s="798"/>
      <c r="Q1510" s="798"/>
      <c r="R1510" s="811"/>
    </row>
    <row r="1511" customFormat="false" ht="16.5" hidden="false" customHeight="true" outlineLevel="0" collapsed="false">
      <c r="A1511" s="747"/>
      <c r="B1511" s="798"/>
      <c r="D1511" s="798"/>
      <c r="E1511" s="798"/>
      <c r="F1511" s="798"/>
      <c r="G1511" s="798"/>
      <c r="J1511" s="778" t="str">
        <f aca="false">IF(I1511="","",H1511/I1511)</f>
        <v/>
      </c>
      <c r="K1511" s="798"/>
      <c r="P1511" s="798"/>
      <c r="Q1511" s="798"/>
      <c r="R1511" s="811"/>
    </row>
    <row r="1512" customFormat="false" ht="16.5" hidden="false" customHeight="true" outlineLevel="0" collapsed="false">
      <c r="A1512" s="747"/>
      <c r="B1512" s="798"/>
      <c r="D1512" s="798"/>
      <c r="E1512" s="798"/>
      <c r="F1512" s="798"/>
      <c r="G1512" s="798"/>
      <c r="J1512" s="778" t="str">
        <f aca="false">IF(I1512="","",H1512/I1512)</f>
        <v/>
      </c>
      <c r="K1512" s="798"/>
      <c r="P1512" s="798"/>
      <c r="Q1512" s="798"/>
      <c r="R1512" s="811"/>
    </row>
    <row r="1513" customFormat="false" ht="16.5" hidden="false" customHeight="true" outlineLevel="0" collapsed="false">
      <c r="A1513" s="747"/>
      <c r="B1513" s="798"/>
      <c r="D1513" s="798"/>
      <c r="E1513" s="798"/>
      <c r="F1513" s="798"/>
      <c r="G1513" s="798"/>
      <c r="J1513" s="778" t="str">
        <f aca="false">IF(I1513="","",H1513/I1513)</f>
        <v/>
      </c>
      <c r="K1513" s="798"/>
      <c r="P1513" s="798"/>
      <c r="Q1513" s="798"/>
      <c r="R1513" s="811"/>
    </row>
    <row r="1514" customFormat="false" ht="16.5" hidden="false" customHeight="true" outlineLevel="0" collapsed="false">
      <c r="A1514" s="747"/>
      <c r="B1514" s="798"/>
      <c r="D1514" s="798"/>
      <c r="E1514" s="798"/>
      <c r="F1514" s="798"/>
      <c r="G1514" s="798"/>
      <c r="J1514" s="778" t="str">
        <f aca="false">IF(I1514="","",H1514/I1514)</f>
        <v/>
      </c>
      <c r="K1514" s="798"/>
      <c r="P1514" s="798"/>
      <c r="Q1514" s="798"/>
      <c r="R1514" s="811"/>
    </row>
    <row r="1515" customFormat="false" ht="16.5" hidden="false" customHeight="true" outlineLevel="0" collapsed="false">
      <c r="A1515" s="747"/>
      <c r="B1515" s="798"/>
      <c r="D1515" s="798"/>
      <c r="E1515" s="798"/>
      <c r="F1515" s="798"/>
      <c r="G1515" s="798"/>
      <c r="J1515" s="778" t="str">
        <f aca="false">IF(I1515="","",H1515/I1515)</f>
        <v/>
      </c>
      <c r="K1515" s="798"/>
      <c r="P1515" s="798"/>
      <c r="Q1515" s="798"/>
      <c r="R1515" s="811"/>
    </row>
    <row r="1516" customFormat="false" ht="16.5" hidden="false" customHeight="true" outlineLevel="0" collapsed="false">
      <c r="A1516" s="747"/>
      <c r="B1516" s="798"/>
      <c r="D1516" s="798"/>
      <c r="E1516" s="798"/>
      <c r="F1516" s="798"/>
      <c r="G1516" s="798"/>
      <c r="J1516" s="778" t="str">
        <f aca="false">IF(I1516="","",H1516/I1516)</f>
        <v/>
      </c>
      <c r="K1516" s="798"/>
      <c r="P1516" s="798"/>
      <c r="Q1516" s="798"/>
      <c r="R1516" s="811"/>
    </row>
    <row r="1517" customFormat="false" ht="16.5" hidden="false" customHeight="true" outlineLevel="0" collapsed="false">
      <c r="A1517" s="747"/>
      <c r="B1517" s="798"/>
      <c r="D1517" s="798"/>
      <c r="E1517" s="798"/>
      <c r="F1517" s="798"/>
      <c r="G1517" s="798"/>
      <c r="J1517" s="778" t="str">
        <f aca="false">IF(I1517="","",H1517/I1517)</f>
        <v/>
      </c>
      <c r="K1517" s="798"/>
      <c r="P1517" s="798"/>
      <c r="Q1517" s="798"/>
      <c r="R1517" s="811"/>
    </row>
    <row r="1518" customFormat="false" ht="16.5" hidden="false" customHeight="true" outlineLevel="0" collapsed="false">
      <c r="A1518" s="747"/>
      <c r="B1518" s="798"/>
      <c r="D1518" s="798"/>
      <c r="E1518" s="798"/>
      <c r="F1518" s="798"/>
      <c r="G1518" s="798"/>
      <c r="J1518" s="778" t="str">
        <f aca="false">IF(I1518="","",H1518/I1518)</f>
        <v/>
      </c>
      <c r="K1518" s="798"/>
      <c r="P1518" s="798"/>
      <c r="Q1518" s="798"/>
      <c r="R1518" s="811"/>
    </row>
    <row r="1519" customFormat="false" ht="16.5" hidden="false" customHeight="true" outlineLevel="0" collapsed="false">
      <c r="A1519" s="747"/>
      <c r="B1519" s="798"/>
      <c r="D1519" s="798"/>
      <c r="E1519" s="798"/>
      <c r="F1519" s="798"/>
      <c r="G1519" s="798"/>
      <c r="J1519" s="778" t="str">
        <f aca="false">IF(I1519="","",H1519/I1519)</f>
        <v/>
      </c>
      <c r="K1519" s="798"/>
      <c r="P1519" s="798"/>
      <c r="Q1519" s="798"/>
      <c r="R1519" s="811"/>
    </row>
    <row r="1520" customFormat="false" ht="16.5" hidden="false" customHeight="true" outlineLevel="0" collapsed="false">
      <c r="A1520" s="747"/>
      <c r="B1520" s="798"/>
      <c r="D1520" s="798"/>
      <c r="E1520" s="798"/>
      <c r="F1520" s="798"/>
      <c r="G1520" s="798"/>
      <c r="J1520" s="778" t="str">
        <f aca="false">IF(I1520="","",H1520/I1520)</f>
        <v/>
      </c>
      <c r="K1520" s="798"/>
      <c r="P1520" s="798"/>
      <c r="Q1520" s="798"/>
      <c r="R1520" s="811"/>
    </row>
    <row r="1521" customFormat="false" ht="16.5" hidden="false" customHeight="true" outlineLevel="0" collapsed="false">
      <c r="A1521" s="747"/>
      <c r="B1521" s="798"/>
      <c r="D1521" s="798"/>
      <c r="E1521" s="798"/>
      <c r="F1521" s="798"/>
      <c r="G1521" s="798"/>
      <c r="J1521" s="778" t="str">
        <f aca="false">IF(I1521="","",H1521/I1521)</f>
        <v/>
      </c>
      <c r="K1521" s="798"/>
      <c r="P1521" s="798"/>
      <c r="Q1521" s="798"/>
      <c r="R1521" s="811"/>
    </row>
    <row r="1522" customFormat="false" ht="16.5" hidden="false" customHeight="true" outlineLevel="0" collapsed="false">
      <c r="A1522" s="747"/>
      <c r="B1522" s="798"/>
      <c r="D1522" s="798"/>
      <c r="E1522" s="798"/>
      <c r="F1522" s="798"/>
      <c r="G1522" s="798"/>
      <c r="J1522" s="778" t="str">
        <f aca="false">IF(I1522="","",H1522/I1522)</f>
        <v/>
      </c>
      <c r="K1522" s="798"/>
      <c r="P1522" s="798"/>
      <c r="Q1522" s="798"/>
      <c r="R1522" s="811"/>
    </row>
    <row r="1523" customFormat="false" ht="16.5" hidden="false" customHeight="true" outlineLevel="0" collapsed="false">
      <c r="A1523" s="747"/>
      <c r="B1523" s="798"/>
      <c r="D1523" s="798"/>
      <c r="E1523" s="798"/>
      <c r="F1523" s="798"/>
      <c r="G1523" s="798"/>
      <c r="J1523" s="778" t="str">
        <f aca="false">IF(I1523="","",H1523/I1523)</f>
        <v/>
      </c>
      <c r="K1523" s="798"/>
      <c r="P1523" s="798"/>
      <c r="Q1523" s="798"/>
      <c r="R1523" s="811"/>
    </row>
    <row r="1524" customFormat="false" ht="16.5" hidden="false" customHeight="true" outlineLevel="0" collapsed="false">
      <c r="A1524" s="747"/>
      <c r="B1524" s="798"/>
      <c r="D1524" s="798"/>
      <c r="E1524" s="798"/>
      <c r="F1524" s="798"/>
      <c r="G1524" s="798"/>
      <c r="J1524" s="778" t="str">
        <f aca="false">IF(I1524="","",H1524/I1524)</f>
        <v/>
      </c>
      <c r="K1524" s="798"/>
      <c r="P1524" s="798"/>
      <c r="Q1524" s="798"/>
      <c r="R1524" s="811"/>
    </row>
    <row r="1525" customFormat="false" ht="16.5" hidden="false" customHeight="true" outlineLevel="0" collapsed="false">
      <c r="A1525" s="747"/>
      <c r="B1525" s="798"/>
      <c r="D1525" s="798"/>
      <c r="E1525" s="798"/>
      <c r="F1525" s="798"/>
      <c r="G1525" s="798"/>
      <c r="J1525" s="778" t="str">
        <f aca="false">IF(I1525="","",H1525/I1525)</f>
        <v/>
      </c>
      <c r="K1525" s="798"/>
      <c r="P1525" s="798"/>
      <c r="Q1525" s="798"/>
      <c r="R1525" s="811"/>
    </row>
    <row r="1526" customFormat="false" ht="16.5" hidden="false" customHeight="true" outlineLevel="0" collapsed="false">
      <c r="A1526" s="747"/>
      <c r="B1526" s="798"/>
      <c r="D1526" s="798"/>
      <c r="E1526" s="798"/>
      <c r="F1526" s="798"/>
      <c r="G1526" s="798"/>
      <c r="J1526" s="778" t="str">
        <f aca="false">IF(I1526="","",H1526/I1526)</f>
        <v/>
      </c>
      <c r="K1526" s="798"/>
      <c r="P1526" s="798"/>
      <c r="Q1526" s="798"/>
      <c r="R1526" s="811"/>
    </row>
    <row r="1527" customFormat="false" ht="16.5" hidden="false" customHeight="true" outlineLevel="0" collapsed="false">
      <c r="A1527" s="747"/>
      <c r="B1527" s="798"/>
      <c r="D1527" s="798"/>
      <c r="E1527" s="798"/>
      <c r="F1527" s="798"/>
      <c r="G1527" s="798"/>
      <c r="J1527" s="778" t="str">
        <f aca="false">IF(I1527="","",H1527/I1527)</f>
        <v/>
      </c>
      <c r="K1527" s="798"/>
      <c r="P1527" s="798"/>
      <c r="Q1527" s="798"/>
      <c r="R1527" s="811"/>
    </row>
    <row r="1528" customFormat="false" ht="16.5" hidden="false" customHeight="true" outlineLevel="0" collapsed="false">
      <c r="A1528" s="747"/>
      <c r="B1528" s="798"/>
      <c r="D1528" s="798"/>
      <c r="E1528" s="798"/>
      <c r="F1528" s="798"/>
      <c r="G1528" s="798"/>
      <c r="J1528" s="778" t="str">
        <f aca="false">IF(I1528="","",H1528/I1528)</f>
        <v/>
      </c>
      <c r="K1528" s="798"/>
      <c r="P1528" s="798"/>
      <c r="Q1528" s="798"/>
      <c r="R1528" s="811"/>
    </row>
    <row r="1529" customFormat="false" ht="16.5" hidden="false" customHeight="true" outlineLevel="0" collapsed="false">
      <c r="A1529" s="747"/>
      <c r="B1529" s="798"/>
      <c r="D1529" s="798"/>
      <c r="E1529" s="798"/>
      <c r="F1529" s="798"/>
      <c r="G1529" s="798"/>
      <c r="J1529" s="778" t="str">
        <f aca="false">IF(I1529="","",H1529/I1529)</f>
        <v/>
      </c>
      <c r="K1529" s="798"/>
      <c r="P1529" s="798"/>
      <c r="Q1529" s="798"/>
      <c r="R1529" s="811"/>
    </row>
    <row r="1530" customFormat="false" ht="16.5" hidden="false" customHeight="true" outlineLevel="0" collapsed="false">
      <c r="A1530" s="747"/>
      <c r="B1530" s="798"/>
      <c r="D1530" s="798"/>
      <c r="E1530" s="798"/>
      <c r="F1530" s="798"/>
      <c r="G1530" s="798"/>
      <c r="J1530" s="778" t="str">
        <f aca="false">IF(I1530="","",H1530/I1530)</f>
        <v/>
      </c>
      <c r="K1530" s="798"/>
      <c r="P1530" s="798"/>
      <c r="Q1530" s="798"/>
      <c r="R1530" s="811"/>
    </row>
    <row r="1531" customFormat="false" ht="16.5" hidden="false" customHeight="true" outlineLevel="0" collapsed="false">
      <c r="A1531" s="747"/>
      <c r="B1531" s="798"/>
      <c r="D1531" s="798"/>
      <c r="E1531" s="798"/>
      <c r="F1531" s="798"/>
      <c r="G1531" s="798"/>
      <c r="J1531" s="778" t="str">
        <f aca="false">IF(I1531="","",H1531/I1531)</f>
        <v/>
      </c>
      <c r="K1531" s="798"/>
      <c r="P1531" s="798"/>
      <c r="Q1531" s="798"/>
      <c r="R1531" s="811"/>
    </row>
    <row r="1532" customFormat="false" ht="16.5" hidden="false" customHeight="true" outlineLevel="0" collapsed="false">
      <c r="A1532" s="747"/>
      <c r="B1532" s="798"/>
      <c r="D1532" s="798"/>
      <c r="E1532" s="798"/>
      <c r="F1532" s="798"/>
      <c r="G1532" s="798"/>
      <c r="J1532" s="778" t="str">
        <f aca="false">IF(I1532="","",H1532/I1532)</f>
        <v/>
      </c>
      <c r="K1532" s="798"/>
      <c r="P1532" s="798"/>
      <c r="Q1532" s="798"/>
      <c r="R1532" s="811"/>
    </row>
    <row r="1533" customFormat="false" ht="16.5" hidden="false" customHeight="true" outlineLevel="0" collapsed="false">
      <c r="A1533" s="747"/>
      <c r="B1533" s="798"/>
      <c r="D1533" s="798"/>
      <c r="E1533" s="798"/>
      <c r="F1533" s="798"/>
      <c r="G1533" s="798"/>
      <c r="J1533" s="778" t="str">
        <f aca="false">IF(I1533="","",H1533/I1533)</f>
        <v/>
      </c>
      <c r="K1533" s="798"/>
      <c r="P1533" s="798"/>
      <c r="Q1533" s="798"/>
      <c r="R1533" s="811"/>
    </row>
    <row r="1534" customFormat="false" ht="16.5" hidden="false" customHeight="true" outlineLevel="0" collapsed="false">
      <c r="A1534" s="747"/>
      <c r="B1534" s="798"/>
      <c r="D1534" s="798"/>
      <c r="E1534" s="798"/>
      <c r="F1534" s="798"/>
      <c r="G1534" s="798"/>
      <c r="J1534" s="778" t="str">
        <f aca="false">IF(I1534="","",H1534/I1534)</f>
        <v/>
      </c>
      <c r="K1534" s="798"/>
      <c r="P1534" s="798"/>
      <c r="Q1534" s="798"/>
      <c r="R1534" s="811"/>
    </row>
    <row r="1535" customFormat="false" ht="16.5" hidden="false" customHeight="true" outlineLevel="0" collapsed="false">
      <c r="A1535" s="747"/>
      <c r="B1535" s="798"/>
      <c r="D1535" s="798"/>
      <c r="E1535" s="798"/>
      <c r="F1535" s="798"/>
      <c r="G1535" s="798"/>
      <c r="J1535" s="778" t="str">
        <f aca="false">IF(I1535="","",H1535/I1535)</f>
        <v/>
      </c>
      <c r="K1535" s="798"/>
      <c r="P1535" s="798"/>
      <c r="Q1535" s="798"/>
      <c r="R1535" s="811"/>
    </row>
    <row r="1536" customFormat="false" ht="16.5" hidden="false" customHeight="true" outlineLevel="0" collapsed="false">
      <c r="A1536" s="747"/>
      <c r="B1536" s="798"/>
      <c r="D1536" s="798"/>
      <c r="E1536" s="798"/>
      <c r="F1536" s="798"/>
      <c r="G1536" s="798"/>
      <c r="J1536" s="778" t="str">
        <f aca="false">IF(I1536="","",H1536/I1536)</f>
        <v/>
      </c>
      <c r="K1536" s="798"/>
      <c r="P1536" s="798"/>
      <c r="Q1536" s="798"/>
      <c r="R1536" s="811"/>
    </row>
    <row r="1537" customFormat="false" ht="16.5" hidden="false" customHeight="true" outlineLevel="0" collapsed="false">
      <c r="A1537" s="747"/>
      <c r="B1537" s="798"/>
      <c r="D1537" s="798"/>
      <c r="E1537" s="798"/>
      <c r="F1537" s="798"/>
      <c r="G1537" s="798"/>
      <c r="J1537" s="778" t="str">
        <f aca="false">IF(I1537="","",H1537/I1537)</f>
        <v/>
      </c>
      <c r="K1537" s="798"/>
      <c r="P1537" s="798"/>
      <c r="Q1537" s="798"/>
      <c r="R1537" s="811"/>
    </row>
    <row r="1538" customFormat="false" ht="16.5" hidden="false" customHeight="true" outlineLevel="0" collapsed="false">
      <c r="A1538" s="747"/>
      <c r="B1538" s="798"/>
      <c r="D1538" s="798"/>
      <c r="E1538" s="798"/>
      <c r="F1538" s="798"/>
      <c r="G1538" s="798"/>
      <c r="J1538" s="778" t="str">
        <f aca="false">IF(I1538="","",H1538/I1538)</f>
        <v/>
      </c>
      <c r="K1538" s="798"/>
      <c r="P1538" s="798"/>
      <c r="Q1538" s="798"/>
      <c r="R1538" s="811"/>
    </row>
    <row r="1539" customFormat="false" ht="16.5" hidden="false" customHeight="true" outlineLevel="0" collapsed="false">
      <c r="A1539" s="747"/>
      <c r="B1539" s="798"/>
      <c r="D1539" s="798"/>
      <c r="E1539" s="798"/>
      <c r="F1539" s="798"/>
      <c r="G1539" s="798"/>
      <c r="J1539" s="778" t="str">
        <f aca="false">IF(I1539="","",H1539/I1539)</f>
        <v/>
      </c>
      <c r="K1539" s="798"/>
      <c r="P1539" s="798"/>
      <c r="Q1539" s="798"/>
      <c r="R1539" s="811"/>
    </row>
    <row r="1540" customFormat="false" ht="16.5" hidden="false" customHeight="true" outlineLevel="0" collapsed="false">
      <c r="A1540" s="747"/>
      <c r="B1540" s="798"/>
      <c r="D1540" s="798"/>
      <c r="E1540" s="798"/>
      <c r="F1540" s="798"/>
      <c r="G1540" s="798"/>
      <c r="J1540" s="778" t="str">
        <f aca="false">IF(I1540="","",H1540/I1540)</f>
        <v/>
      </c>
      <c r="K1540" s="798"/>
      <c r="P1540" s="798"/>
      <c r="Q1540" s="798"/>
      <c r="R1540" s="811"/>
    </row>
    <row r="1541" customFormat="false" ht="16.5" hidden="false" customHeight="true" outlineLevel="0" collapsed="false">
      <c r="A1541" s="747"/>
      <c r="B1541" s="798"/>
      <c r="D1541" s="798"/>
      <c r="E1541" s="798"/>
      <c r="F1541" s="798"/>
      <c r="G1541" s="798"/>
      <c r="J1541" s="778" t="str">
        <f aca="false">IF(I1541="","",H1541/I1541)</f>
        <v/>
      </c>
      <c r="K1541" s="798"/>
      <c r="P1541" s="798"/>
      <c r="Q1541" s="798"/>
      <c r="R1541" s="811"/>
    </row>
    <row r="1542" customFormat="false" ht="16.5" hidden="false" customHeight="true" outlineLevel="0" collapsed="false">
      <c r="A1542" s="747"/>
      <c r="B1542" s="798"/>
      <c r="D1542" s="798"/>
      <c r="E1542" s="798"/>
      <c r="F1542" s="798"/>
      <c r="G1542" s="798"/>
      <c r="J1542" s="778" t="str">
        <f aca="false">IF(I1542="","",H1542/I1542)</f>
        <v/>
      </c>
      <c r="K1542" s="798"/>
      <c r="P1542" s="798"/>
      <c r="Q1542" s="798"/>
      <c r="R1542" s="811"/>
    </row>
    <row r="1543" customFormat="false" ht="16.5" hidden="false" customHeight="true" outlineLevel="0" collapsed="false">
      <c r="A1543" s="747"/>
      <c r="B1543" s="798"/>
      <c r="D1543" s="798"/>
      <c r="E1543" s="798"/>
      <c r="F1543" s="798"/>
      <c r="G1543" s="798"/>
      <c r="J1543" s="778" t="str">
        <f aca="false">IF(I1543="","",H1543/I1543)</f>
        <v/>
      </c>
      <c r="K1543" s="798"/>
      <c r="P1543" s="798"/>
      <c r="Q1543" s="798"/>
      <c r="R1543" s="811"/>
    </row>
    <row r="1544" customFormat="false" ht="16.5" hidden="false" customHeight="true" outlineLevel="0" collapsed="false">
      <c r="A1544" s="747"/>
      <c r="B1544" s="798"/>
      <c r="D1544" s="798"/>
      <c r="E1544" s="798"/>
      <c r="F1544" s="798"/>
      <c r="G1544" s="798"/>
      <c r="J1544" s="778" t="str">
        <f aca="false">IF(I1544="","",H1544/I1544)</f>
        <v/>
      </c>
      <c r="K1544" s="798"/>
      <c r="P1544" s="798"/>
      <c r="Q1544" s="798"/>
      <c r="R1544" s="811"/>
    </row>
    <row r="1545" customFormat="false" ht="16.5" hidden="false" customHeight="true" outlineLevel="0" collapsed="false">
      <c r="A1545" s="747"/>
      <c r="B1545" s="798"/>
      <c r="D1545" s="798"/>
      <c r="E1545" s="798"/>
      <c r="F1545" s="798"/>
      <c r="G1545" s="798"/>
      <c r="J1545" s="778" t="str">
        <f aca="false">IF(I1545="","",H1545/I1545)</f>
        <v/>
      </c>
      <c r="K1545" s="798"/>
      <c r="P1545" s="798"/>
      <c r="Q1545" s="798"/>
      <c r="R1545" s="811"/>
    </row>
    <row r="1546" customFormat="false" ht="16.5" hidden="false" customHeight="true" outlineLevel="0" collapsed="false">
      <c r="A1546" s="747"/>
      <c r="B1546" s="798"/>
      <c r="D1546" s="798"/>
      <c r="E1546" s="798"/>
      <c r="F1546" s="798"/>
      <c r="G1546" s="798"/>
      <c r="J1546" s="778" t="str">
        <f aca="false">IF(I1546="","",H1546/I1546)</f>
        <v/>
      </c>
      <c r="K1546" s="798"/>
      <c r="P1546" s="798"/>
      <c r="Q1546" s="798"/>
      <c r="R1546" s="811"/>
    </row>
    <row r="1547" customFormat="false" ht="16.5" hidden="false" customHeight="true" outlineLevel="0" collapsed="false">
      <c r="A1547" s="747"/>
      <c r="B1547" s="798"/>
      <c r="D1547" s="798"/>
      <c r="E1547" s="798"/>
      <c r="F1547" s="798"/>
      <c r="G1547" s="798"/>
      <c r="J1547" s="778" t="str">
        <f aca="false">IF(I1547="","",H1547/I1547)</f>
        <v/>
      </c>
      <c r="K1547" s="798"/>
      <c r="P1547" s="798"/>
      <c r="Q1547" s="798"/>
      <c r="R1547" s="811"/>
    </row>
    <row r="1548" customFormat="false" ht="16.5" hidden="false" customHeight="true" outlineLevel="0" collapsed="false">
      <c r="A1548" s="747"/>
      <c r="B1548" s="798"/>
      <c r="D1548" s="798"/>
      <c r="E1548" s="798"/>
      <c r="F1548" s="798"/>
      <c r="G1548" s="798"/>
      <c r="J1548" s="778" t="str">
        <f aca="false">IF(I1548="","",H1548/I1548)</f>
        <v/>
      </c>
      <c r="K1548" s="798"/>
      <c r="P1548" s="798"/>
      <c r="Q1548" s="798"/>
      <c r="R1548" s="811"/>
    </row>
    <row r="1549" customFormat="false" ht="16.5" hidden="false" customHeight="true" outlineLevel="0" collapsed="false">
      <c r="A1549" s="747"/>
      <c r="B1549" s="798"/>
      <c r="D1549" s="798"/>
      <c r="E1549" s="798"/>
      <c r="F1549" s="798"/>
      <c r="G1549" s="798"/>
      <c r="J1549" s="778" t="str">
        <f aca="false">IF(I1549="","",H1549/I1549)</f>
        <v/>
      </c>
      <c r="K1549" s="798"/>
      <c r="P1549" s="798"/>
      <c r="Q1549" s="798"/>
      <c r="R1549" s="811"/>
    </row>
    <row r="1550" customFormat="false" ht="16.5" hidden="false" customHeight="true" outlineLevel="0" collapsed="false">
      <c r="A1550" s="747"/>
      <c r="B1550" s="798"/>
      <c r="D1550" s="798"/>
      <c r="E1550" s="798"/>
      <c r="F1550" s="798"/>
      <c r="G1550" s="798"/>
      <c r="J1550" s="778" t="str">
        <f aca="false">IF(I1550="","",H1550/I1550)</f>
        <v/>
      </c>
      <c r="K1550" s="798"/>
      <c r="P1550" s="798"/>
      <c r="Q1550" s="798"/>
      <c r="R1550" s="811"/>
    </row>
    <row r="1551" customFormat="false" ht="16.5" hidden="false" customHeight="true" outlineLevel="0" collapsed="false">
      <c r="A1551" s="747"/>
      <c r="B1551" s="798"/>
      <c r="D1551" s="798"/>
      <c r="E1551" s="798"/>
      <c r="F1551" s="798"/>
      <c r="G1551" s="798"/>
      <c r="J1551" s="778" t="str">
        <f aca="false">IF(I1551="","",H1551/I1551)</f>
        <v/>
      </c>
      <c r="K1551" s="798"/>
      <c r="P1551" s="798"/>
      <c r="Q1551" s="798"/>
      <c r="R1551" s="811"/>
    </row>
    <row r="1552" customFormat="false" ht="16.5" hidden="false" customHeight="true" outlineLevel="0" collapsed="false">
      <c r="A1552" s="747"/>
      <c r="B1552" s="798"/>
      <c r="D1552" s="798"/>
      <c r="E1552" s="798"/>
      <c r="F1552" s="798"/>
      <c r="G1552" s="798"/>
      <c r="J1552" s="778" t="str">
        <f aca="false">IF(I1552="","",H1552/I1552)</f>
        <v/>
      </c>
      <c r="K1552" s="798"/>
      <c r="P1552" s="798"/>
      <c r="Q1552" s="798"/>
      <c r="R1552" s="811"/>
    </row>
    <row r="1553" customFormat="false" ht="16.5" hidden="false" customHeight="true" outlineLevel="0" collapsed="false">
      <c r="A1553" s="747"/>
      <c r="B1553" s="798"/>
      <c r="D1553" s="798"/>
      <c r="E1553" s="798"/>
      <c r="F1553" s="798"/>
      <c r="G1553" s="798"/>
      <c r="J1553" s="778" t="str">
        <f aca="false">IF(I1553="","",H1553/I1553)</f>
        <v/>
      </c>
      <c r="K1553" s="798"/>
      <c r="P1553" s="798"/>
      <c r="Q1553" s="798"/>
      <c r="R1553" s="811"/>
    </row>
    <row r="1554" customFormat="false" ht="16.5" hidden="false" customHeight="true" outlineLevel="0" collapsed="false">
      <c r="A1554" s="747"/>
      <c r="B1554" s="798"/>
      <c r="D1554" s="798"/>
      <c r="E1554" s="798"/>
      <c r="F1554" s="798"/>
      <c r="G1554" s="798"/>
      <c r="J1554" s="778" t="str">
        <f aca="false">IF(I1554="","",H1554/I1554)</f>
        <v/>
      </c>
      <c r="K1554" s="798"/>
      <c r="P1554" s="798"/>
      <c r="Q1554" s="798"/>
      <c r="R1554" s="811"/>
    </row>
    <row r="1555" customFormat="false" ht="16.5" hidden="false" customHeight="true" outlineLevel="0" collapsed="false">
      <c r="A1555" s="747"/>
      <c r="B1555" s="798"/>
      <c r="D1555" s="798"/>
      <c r="E1555" s="798"/>
      <c r="F1555" s="798"/>
      <c r="G1555" s="798"/>
      <c r="J1555" s="778" t="str">
        <f aca="false">IF(I1555="","",H1555/I1555)</f>
        <v/>
      </c>
      <c r="K1555" s="798"/>
      <c r="P1555" s="798"/>
      <c r="Q1555" s="798"/>
      <c r="R1555" s="811"/>
    </row>
    <row r="1556" customFormat="false" ht="16.5" hidden="false" customHeight="true" outlineLevel="0" collapsed="false">
      <c r="A1556" s="747"/>
      <c r="B1556" s="798"/>
      <c r="D1556" s="798"/>
      <c r="E1556" s="798"/>
      <c r="F1556" s="798"/>
      <c r="G1556" s="798"/>
      <c r="J1556" s="778" t="str">
        <f aca="false">IF(I1556="","",H1556/I1556)</f>
        <v/>
      </c>
      <c r="K1556" s="798"/>
      <c r="P1556" s="798"/>
      <c r="Q1556" s="798"/>
      <c r="R1556" s="811"/>
    </row>
    <row r="1557" customFormat="false" ht="16.5" hidden="false" customHeight="true" outlineLevel="0" collapsed="false">
      <c r="A1557" s="747"/>
      <c r="B1557" s="798"/>
      <c r="D1557" s="798"/>
      <c r="E1557" s="798"/>
      <c r="F1557" s="798"/>
      <c r="G1557" s="798"/>
      <c r="J1557" s="778" t="str">
        <f aca="false">IF(I1557="","",H1557/I1557)</f>
        <v/>
      </c>
      <c r="K1557" s="798"/>
      <c r="P1557" s="798"/>
      <c r="Q1557" s="798"/>
      <c r="R1557" s="811"/>
    </row>
    <row r="1558" customFormat="false" ht="16.5" hidden="false" customHeight="true" outlineLevel="0" collapsed="false">
      <c r="A1558" s="747"/>
      <c r="B1558" s="798"/>
      <c r="D1558" s="798"/>
      <c r="E1558" s="798"/>
      <c r="F1558" s="798"/>
      <c r="G1558" s="798"/>
      <c r="J1558" s="778" t="str">
        <f aca="false">IF(I1558="","",H1558/I1558)</f>
        <v/>
      </c>
      <c r="K1558" s="798"/>
      <c r="P1558" s="798"/>
      <c r="Q1558" s="798"/>
      <c r="R1558" s="811"/>
    </row>
    <row r="1559" customFormat="false" ht="16.5" hidden="false" customHeight="true" outlineLevel="0" collapsed="false">
      <c r="A1559" s="747"/>
      <c r="B1559" s="798"/>
      <c r="D1559" s="798"/>
      <c r="E1559" s="798"/>
      <c r="F1559" s="798"/>
      <c r="G1559" s="798"/>
      <c r="J1559" s="778" t="str">
        <f aca="false">IF(I1559="","",H1559/I1559)</f>
        <v/>
      </c>
      <c r="K1559" s="798"/>
      <c r="P1559" s="798"/>
      <c r="Q1559" s="798"/>
      <c r="R1559" s="811"/>
    </row>
    <row r="1560" customFormat="false" ht="16.5" hidden="false" customHeight="true" outlineLevel="0" collapsed="false">
      <c r="A1560" s="747"/>
      <c r="B1560" s="798"/>
      <c r="D1560" s="798"/>
      <c r="E1560" s="798"/>
      <c r="F1560" s="798"/>
      <c r="G1560" s="798"/>
      <c r="J1560" s="778" t="str">
        <f aca="false">IF(I1560="","",H1560/I1560)</f>
        <v/>
      </c>
      <c r="K1560" s="798"/>
      <c r="P1560" s="798"/>
      <c r="Q1560" s="798"/>
      <c r="R1560" s="811"/>
    </row>
    <row r="1561" customFormat="false" ht="16.5" hidden="false" customHeight="true" outlineLevel="0" collapsed="false">
      <c r="A1561" s="747"/>
      <c r="B1561" s="798"/>
      <c r="D1561" s="798"/>
      <c r="E1561" s="798"/>
      <c r="F1561" s="798"/>
      <c r="G1561" s="798"/>
      <c r="J1561" s="778" t="str">
        <f aca="false">IF(I1561="","",H1561/I1561)</f>
        <v/>
      </c>
      <c r="K1561" s="798"/>
      <c r="P1561" s="798"/>
      <c r="Q1561" s="798"/>
      <c r="R1561" s="811"/>
    </row>
    <row r="1562" customFormat="false" ht="16.5" hidden="false" customHeight="true" outlineLevel="0" collapsed="false">
      <c r="A1562" s="747"/>
      <c r="B1562" s="798"/>
      <c r="D1562" s="798"/>
      <c r="E1562" s="798"/>
      <c r="F1562" s="798"/>
      <c r="G1562" s="798"/>
      <c r="J1562" s="778" t="str">
        <f aca="false">IF(I1562="","",H1562/I1562)</f>
        <v/>
      </c>
      <c r="K1562" s="798"/>
      <c r="P1562" s="798"/>
      <c r="Q1562" s="798"/>
      <c r="R1562" s="811"/>
    </row>
    <row r="1563" customFormat="false" ht="16.5" hidden="false" customHeight="true" outlineLevel="0" collapsed="false">
      <c r="A1563" s="747"/>
      <c r="B1563" s="798"/>
      <c r="D1563" s="798"/>
      <c r="E1563" s="798"/>
      <c r="F1563" s="798"/>
      <c r="G1563" s="798"/>
      <c r="J1563" s="778" t="str">
        <f aca="false">IF(I1563="","",H1563/I1563)</f>
        <v/>
      </c>
      <c r="K1563" s="798"/>
      <c r="P1563" s="798"/>
      <c r="Q1563" s="798"/>
      <c r="R1563" s="811"/>
    </row>
    <row r="1564" customFormat="false" ht="16.5" hidden="false" customHeight="true" outlineLevel="0" collapsed="false">
      <c r="A1564" s="747"/>
      <c r="B1564" s="798"/>
      <c r="D1564" s="798"/>
      <c r="E1564" s="798"/>
      <c r="F1564" s="798"/>
      <c r="G1564" s="798"/>
      <c r="J1564" s="778" t="str">
        <f aca="false">IF(I1564="","",H1564/I1564)</f>
        <v/>
      </c>
      <c r="K1564" s="798"/>
      <c r="P1564" s="798"/>
      <c r="Q1564" s="798"/>
      <c r="R1564" s="811"/>
    </row>
    <row r="1565" customFormat="false" ht="16.5" hidden="false" customHeight="true" outlineLevel="0" collapsed="false">
      <c r="A1565" s="747"/>
      <c r="B1565" s="798"/>
      <c r="D1565" s="798"/>
      <c r="E1565" s="798"/>
      <c r="F1565" s="798"/>
      <c r="G1565" s="798"/>
      <c r="J1565" s="778" t="str">
        <f aca="false">IF(I1565="","",H1565/I1565)</f>
        <v/>
      </c>
      <c r="K1565" s="798"/>
      <c r="P1565" s="798"/>
      <c r="Q1565" s="798"/>
      <c r="R1565" s="811"/>
    </row>
    <row r="1566" customFormat="false" ht="16.5" hidden="false" customHeight="true" outlineLevel="0" collapsed="false">
      <c r="A1566" s="747"/>
      <c r="B1566" s="798"/>
      <c r="D1566" s="798"/>
      <c r="E1566" s="798"/>
      <c r="F1566" s="798"/>
      <c r="G1566" s="798"/>
      <c r="J1566" s="778" t="str">
        <f aca="false">IF(I1566="","",H1566/I1566)</f>
        <v/>
      </c>
      <c r="K1566" s="798"/>
      <c r="P1566" s="798"/>
      <c r="Q1566" s="798"/>
      <c r="R1566" s="811"/>
    </row>
    <row r="1567" customFormat="false" ht="16.5" hidden="false" customHeight="true" outlineLevel="0" collapsed="false">
      <c r="A1567" s="747"/>
      <c r="B1567" s="798"/>
      <c r="D1567" s="798"/>
      <c r="E1567" s="798"/>
      <c r="F1567" s="798"/>
      <c r="G1567" s="798"/>
      <c r="J1567" s="778" t="str">
        <f aca="false">IF(I1567="","",H1567/I1567)</f>
        <v/>
      </c>
      <c r="K1567" s="798"/>
      <c r="P1567" s="798"/>
      <c r="Q1567" s="798"/>
      <c r="R1567" s="811"/>
    </row>
    <row r="1568" customFormat="false" ht="16.5" hidden="false" customHeight="true" outlineLevel="0" collapsed="false">
      <c r="A1568" s="747"/>
      <c r="B1568" s="798"/>
      <c r="D1568" s="798"/>
      <c r="E1568" s="798"/>
      <c r="F1568" s="798"/>
      <c r="G1568" s="798"/>
      <c r="J1568" s="778" t="str">
        <f aca="false">IF(I1568="","",H1568/I1568)</f>
        <v/>
      </c>
      <c r="K1568" s="798"/>
      <c r="P1568" s="798"/>
      <c r="Q1568" s="798"/>
      <c r="R1568" s="811"/>
    </row>
    <row r="1569" customFormat="false" ht="16.5" hidden="false" customHeight="true" outlineLevel="0" collapsed="false">
      <c r="A1569" s="747"/>
      <c r="B1569" s="798"/>
      <c r="D1569" s="798"/>
      <c r="E1569" s="798"/>
      <c r="F1569" s="798"/>
      <c r="G1569" s="798"/>
      <c r="J1569" s="778" t="str">
        <f aca="false">IF(I1569="","",H1569/I1569)</f>
        <v/>
      </c>
      <c r="K1569" s="798"/>
      <c r="P1569" s="798"/>
      <c r="Q1569" s="798"/>
      <c r="R1569" s="811"/>
    </row>
    <row r="1570" customFormat="false" ht="16.5" hidden="false" customHeight="true" outlineLevel="0" collapsed="false">
      <c r="A1570" s="747"/>
      <c r="B1570" s="798"/>
      <c r="D1570" s="798"/>
      <c r="E1570" s="798"/>
      <c r="F1570" s="798"/>
      <c r="G1570" s="798"/>
      <c r="J1570" s="778" t="str">
        <f aca="false">IF(I1570="","",H1570/I1570)</f>
        <v/>
      </c>
      <c r="K1570" s="798"/>
      <c r="P1570" s="798"/>
      <c r="Q1570" s="798"/>
      <c r="R1570" s="811"/>
    </row>
    <row r="1571" customFormat="false" ht="16.5" hidden="false" customHeight="true" outlineLevel="0" collapsed="false">
      <c r="A1571" s="747"/>
      <c r="B1571" s="798"/>
      <c r="D1571" s="798"/>
      <c r="E1571" s="798"/>
      <c r="F1571" s="798"/>
      <c r="G1571" s="798"/>
      <c r="J1571" s="778" t="str">
        <f aca="false">IF(I1571="","",H1571/I1571)</f>
        <v/>
      </c>
      <c r="K1571" s="798"/>
      <c r="P1571" s="798"/>
      <c r="Q1571" s="798"/>
      <c r="R1571" s="811"/>
    </row>
    <row r="1572" customFormat="false" ht="16.5" hidden="false" customHeight="true" outlineLevel="0" collapsed="false">
      <c r="A1572" s="747"/>
      <c r="B1572" s="798"/>
      <c r="D1572" s="798"/>
      <c r="E1572" s="798"/>
      <c r="F1572" s="798"/>
      <c r="G1572" s="798"/>
      <c r="J1572" s="778" t="str">
        <f aca="false">IF(I1572="","",H1572/I1572)</f>
        <v/>
      </c>
      <c r="K1572" s="798"/>
      <c r="P1572" s="798"/>
      <c r="Q1572" s="798"/>
      <c r="R1572" s="811"/>
    </row>
    <row r="1573" customFormat="false" ht="16.5" hidden="false" customHeight="true" outlineLevel="0" collapsed="false">
      <c r="A1573" s="747"/>
      <c r="B1573" s="798"/>
      <c r="D1573" s="798"/>
      <c r="E1573" s="798"/>
      <c r="F1573" s="798"/>
      <c r="G1573" s="798"/>
      <c r="J1573" s="778" t="str">
        <f aca="false">IF(I1573="","",H1573/I1573)</f>
        <v/>
      </c>
      <c r="K1573" s="798"/>
      <c r="P1573" s="798"/>
      <c r="Q1573" s="798"/>
      <c r="R1573" s="811"/>
    </row>
    <row r="1574" customFormat="false" ht="16.5" hidden="false" customHeight="true" outlineLevel="0" collapsed="false">
      <c r="A1574" s="747"/>
      <c r="B1574" s="798"/>
      <c r="D1574" s="798"/>
      <c r="E1574" s="798"/>
      <c r="F1574" s="798"/>
      <c r="G1574" s="798"/>
      <c r="J1574" s="778" t="str">
        <f aca="false">IF(I1574="","",H1574/I1574)</f>
        <v/>
      </c>
      <c r="K1574" s="798"/>
      <c r="P1574" s="798"/>
      <c r="Q1574" s="798"/>
      <c r="R1574" s="811"/>
    </row>
    <row r="1575" customFormat="false" ht="16.5" hidden="false" customHeight="true" outlineLevel="0" collapsed="false">
      <c r="A1575" s="747"/>
      <c r="B1575" s="798"/>
      <c r="D1575" s="798"/>
      <c r="E1575" s="798"/>
      <c r="F1575" s="798"/>
      <c r="G1575" s="798"/>
      <c r="J1575" s="778" t="str">
        <f aca="false">IF(I1575="","",H1575/I1575)</f>
        <v/>
      </c>
      <c r="K1575" s="798"/>
      <c r="P1575" s="798"/>
      <c r="Q1575" s="798"/>
      <c r="R1575" s="811"/>
    </row>
    <row r="1576" customFormat="false" ht="16.5" hidden="false" customHeight="true" outlineLevel="0" collapsed="false">
      <c r="A1576" s="747"/>
      <c r="B1576" s="798"/>
      <c r="D1576" s="798"/>
      <c r="E1576" s="798"/>
      <c r="F1576" s="798"/>
      <c r="G1576" s="798"/>
      <c r="J1576" s="778" t="str">
        <f aca="false">IF(I1576="","",H1576/I1576)</f>
        <v/>
      </c>
      <c r="K1576" s="798"/>
      <c r="P1576" s="798"/>
      <c r="Q1576" s="798"/>
      <c r="R1576" s="811"/>
    </row>
    <row r="1577" customFormat="false" ht="16.5" hidden="false" customHeight="true" outlineLevel="0" collapsed="false">
      <c r="A1577" s="747"/>
      <c r="B1577" s="798"/>
      <c r="D1577" s="798"/>
      <c r="E1577" s="798"/>
      <c r="F1577" s="798"/>
      <c r="G1577" s="798"/>
      <c r="J1577" s="778" t="str">
        <f aca="false">IF(I1577="","",H1577/I1577)</f>
        <v/>
      </c>
      <c r="K1577" s="798"/>
      <c r="P1577" s="798"/>
      <c r="Q1577" s="798"/>
      <c r="R1577" s="811"/>
    </row>
    <row r="1578" customFormat="false" ht="16.5" hidden="false" customHeight="true" outlineLevel="0" collapsed="false">
      <c r="A1578" s="747"/>
      <c r="B1578" s="798"/>
      <c r="D1578" s="798"/>
      <c r="E1578" s="798"/>
      <c r="F1578" s="798"/>
      <c r="G1578" s="798"/>
      <c r="J1578" s="778" t="str">
        <f aca="false">IF(I1578="","",H1578/I1578)</f>
        <v/>
      </c>
      <c r="K1578" s="798"/>
      <c r="P1578" s="798"/>
      <c r="Q1578" s="798"/>
      <c r="R1578" s="811"/>
    </row>
    <row r="1579" customFormat="false" ht="16.5" hidden="false" customHeight="true" outlineLevel="0" collapsed="false">
      <c r="A1579" s="747"/>
      <c r="B1579" s="798"/>
      <c r="D1579" s="798"/>
      <c r="E1579" s="798"/>
      <c r="F1579" s="798"/>
      <c r="G1579" s="798"/>
      <c r="J1579" s="778" t="str">
        <f aca="false">IF(I1579="","",H1579/I1579)</f>
        <v/>
      </c>
      <c r="K1579" s="798"/>
      <c r="P1579" s="798"/>
      <c r="Q1579" s="798"/>
      <c r="R1579" s="811"/>
    </row>
    <row r="1580" customFormat="false" ht="16.5" hidden="false" customHeight="true" outlineLevel="0" collapsed="false">
      <c r="A1580" s="747"/>
      <c r="B1580" s="798"/>
      <c r="D1580" s="798"/>
      <c r="E1580" s="798"/>
      <c r="F1580" s="798"/>
      <c r="G1580" s="798"/>
      <c r="J1580" s="778" t="str">
        <f aca="false">IF(I1580="","",H1580/I1580)</f>
        <v/>
      </c>
      <c r="K1580" s="798"/>
      <c r="P1580" s="798"/>
      <c r="Q1580" s="798"/>
      <c r="R1580" s="811"/>
    </row>
    <row r="1581" customFormat="false" ht="16.5" hidden="false" customHeight="true" outlineLevel="0" collapsed="false">
      <c r="A1581" s="747"/>
      <c r="B1581" s="798"/>
      <c r="D1581" s="798"/>
      <c r="E1581" s="798"/>
      <c r="F1581" s="798"/>
      <c r="G1581" s="798"/>
      <c r="J1581" s="778" t="str">
        <f aca="false">IF(I1581="","",H1581/I1581)</f>
        <v/>
      </c>
      <c r="K1581" s="798"/>
      <c r="P1581" s="798"/>
      <c r="Q1581" s="798"/>
      <c r="R1581" s="811"/>
    </row>
    <row r="1582" customFormat="false" ht="16.5" hidden="false" customHeight="true" outlineLevel="0" collapsed="false">
      <c r="A1582" s="747"/>
      <c r="B1582" s="798"/>
      <c r="D1582" s="798"/>
      <c r="E1582" s="798"/>
      <c r="F1582" s="798"/>
      <c r="G1582" s="798"/>
      <c r="J1582" s="778" t="str">
        <f aca="false">IF(I1582="","",H1582/I1582)</f>
        <v/>
      </c>
      <c r="K1582" s="798"/>
      <c r="P1582" s="798"/>
      <c r="Q1582" s="798"/>
      <c r="R1582" s="811"/>
    </row>
    <row r="1583" customFormat="false" ht="16.5" hidden="false" customHeight="true" outlineLevel="0" collapsed="false">
      <c r="A1583" s="747"/>
      <c r="B1583" s="798"/>
      <c r="D1583" s="798"/>
      <c r="E1583" s="798"/>
      <c r="F1583" s="798"/>
      <c r="G1583" s="798"/>
      <c r="J1583" s="778" t="str">
        <f aca="false">IF(I1583="","",H1583/I1583)</f>
        <v/>
      </c>
      <c r="K1583" s="798"/>
      <c r="P1583" s="798"/>
      <c r="Q1583" s="798"/>
      <c r="R1583" s="811"/>
    </row>
    <row r="1584" customFormat="false" ht="16.5" hidden="false" customHeight="true" outlineLevel="0" collapsed="false">
      <c r="A1584" s="747"/>
      <c r="B1584" s="798"/>
      <c r="D1584" s="798"/>
      <c r="E1584" s="798"/>
      <c r="F1584" s="798"/>
      <c r="G1584" s="798"/>
      <c r="J1584" s="778" t="str">
        <f aca="false">IF(I1584="","",H1584/I1584)</f>
        <v/>
      </c>
      <c r="K1584" s="798"/>
      <c r="P1584" s="798"/>
      <c r="Q1584" s="798"/>
      <c r="R1584" s="811"/>
    </row>
    <row r="1585" customFormat="false" ht="16.5" hidden="false" customHeight="true" outlineLevel="0" collapsed="false">
      <c r="A1585" s="747"/>
      <c r="B1585" s="798"/>
      <c r="D1585" s="798"/>
      <c r="E1585" s="798"/>
      <c r="F1585" s="798"/>
      <c r="G1585" s="798"/>
      <c r="J1585" s="778" t="str">
        <f aca="false">IF(I1585="","",H1585/I1585)</f>
        <v/>
      </c>
      <c r="K1585" s="798"/>
      <c r="P1585" s="798"/>
      <c r="Q1585" s="798"/>
      <c r="R1585" s="811"/>
    </row>
    <row r="1586" customFormat="false" ht="16.5" hidden="false" customHeight="true" outlineLevel="0" collapsed="false">
      <c r="A1586" s="747"/>
      <c r="B1586" s="798"/>
      <c r="D1586" s="798"/>
      <c r="E1586" s="798"/>
      <c r="F1586" s="798"/>
      <c r="G1586" s="798"/>
      <c r="J1586" s="778" t="str">
        <f aca="false">IF(I1586="","",H1586/I1586)</f>
        <v/>
      </c>
      <c r="K1586" s="798"/>
      <c r="P1586" s="798"/>
      <c r="Q1586" s="798"/>
      <c r="R1586" s="811"/>
    </row>
    <row r="1587" customFormat="false" ht="16.5" hidden="false" customHeight="true" outlineLevel="0" collapsed="false">
      <c r="A1587" s="747"/>
      <c r="B1587" s="798"/>
      <c r="D1587" s="798"/>
      <c r="E1587" s="798"/>
      <c r="F1587" s="798"/>
      <c r="G1587" s="798"/>
      <c r="J1587" s="778" t="str">
        <f aca="false">IF(I1587="","",H1587/I1587)</f>
        <v/>
      </c>
      <c r="K1587" s="798"/>
      <c r="P1587" s="798"/>
      <c r="Q1587" s="798"/>
      <c r="R1587" s="811"/>
    </row>
    <row r="1588" customFormat="false" ht="16.5" hidden="false" customHeight="true" outlineLevel="0" collapsed="false">
      <c r="A1588" s="747"/>
      <c r="B1588" s="798"/>
      <c r="D1588" s="798"/>
      <c r="E1588" s="798"/>
      <c r="F1588" s="798"/>
      <c r="G1588" s="798"/>
      <c r="J1588" s="778" t="str">
        <f aca="false">IF(I1588="","",H1588/I1588)</f>
        <v/>
      </c>
      <c r="K1588" s="798"/>
      <c r="P1588" s="798"/>
      <c r="Q1588" s="798"/>
      <c r="R1588" s="811"/>
    </row>
    <row r="1589" customFormat="false" ht="16.5" hidden="false" customHeight="true" outlineLevel="0" collapsed="false">
      <c r="A1589" s="747"/>
      <c r="B1589" s="798"/>
      <c r="D1589" s="798"/>
      <c r="E1589" s="798"/>
      <c r="F1589" s="798"/>
      <c r="G1589" s="798"/>
      <c r="J1589" s="778" t="str">
        <f aca="false">IF(I1589="","",H1589/I1589)</f>
        <v/>
      </c>
      <c r="K1589" s="798"/>
      <c r="P1589" s="798"/>
      <c r="Q1589" s="798"/>
      <c r="R1589" s="811"/>
    </row>
    <row r="1590" customFormat="false" ht="16.5" hidden="false" customHeight="true" outlineLevel="0" collapsed="false">
      <c r="A1590" s="747"/>
      <c r="B1590" s="798"/>
      <c r="D1590" s="798"/>
      <c r="E1590" s="798"/>
      <c r="F1590" s="798"/>
      <c r="G1590" s="798"/>
      <c r="J1590" s="778" t="str">
        <f aca="false">IF(I1590="","",H1590/I1590)</f>
        <v/>
      </c>
      <c r="K1590" s="798"/>
      <c r="P1590" s="798"/>
      <c r="Q1590" s="798"/>
      <c r="R1590" s="811"/>
    </row>
    <row r="1591" customFormat="false" ht="16.5" hidden="false" customHeight="true" outlineLevel="0" collapsed="false">
      <c r="A1591" s="747"/>
      <c r="B1591" s="798"/>
      <c r="D1591" s="798"/>
      <c r="E1591" s="798"/>
      <c r="F1591" s="798"/>
      <c r="G1591" s="798"/>
      <c r="J1591" s="778" t="str">
        <f aca="false">IF(I1591="","",H1591/I1591)</f>
        <v/>
      </c>
      <c r="K1591" s="798"/>
      <c r="P1591" s="798"/>
      <c r="Q1591" s="798"/>
      <c r="R1591" s="811"/>
    </row>
    <row r="1592" customFormat="false" ht="16.5" hidden="false" customHeight="true" outlineLevel="0" collapsed="false">
      <c r="A1592" s="747"/>
      <c r="B1592" s="798"/>
      <c r="D1592" s="798"/>
      <c r="E1592" s="798"/>
      <c r="F1592" s="798"/>
      <c r="G1592" s="798"/>
      <c r="J1592" s="778" t="str">
        <f aca="false">IF(I1592="","",H1592/I1592)</f>
        <v/>
      </c>
      <c r="K1592" s="798"/>
      <c r="P1592" s="798"/>
      <c r="Q1592" s="798"/>
      <c r="R1592" s="811"/>
    </row>
    <row r="1593" customFormat="false" ht="16.5" hidden="false" customHeight="true" outlineLevel="0" collapsed="false">
      <c r="A1593" s="747"/>
      <c r="B1593" s="798"/>
      <c r="D1593" s="798"/>
      <c r="E1593" s="798"/>
      <c r="F1593" s="798"/>
      <c r="G1593" s="798"/>
      <c r="J1593" s="778" t="str">
        <f aca="false">IF(I1593="","",H1593/I1593)</f>
        <v/>
      </c>
      <c r="K1593" s="798"/>
      <c r="P1593" s="798"/>
      <c r="Q1593" s="798"/>
      <c r="R1593" s="811"/>
    </row>
    <row r="1594" customFormat="false" ht="16.5" hidden="false" customHeight="true" outlineLevel="0" collapsed="false">
      <c r="A1594" s="747"/>
      <c r="B1594" s="798"/>
      <c r="D1594" s="798"/>
      <c r="E1594" s="798"/>
      <c r="F1594" s="798"/>
      <c r="G1594" s="798"/>
      <c r="J1594" s="778" t="str">
        <f aca="false">IF(I1594="","",H1594/I1594)</f>
        <v/>
      </c>
      <c r="K1594" s="798"/>
      <c r="P1594" s="798"/>
      <c r="Q1594" s="798"/>
      <c r="R1594" s="811"/>
    </row>
    <row r="1595" customFormat="false" ht="16.5" hidden="false" customHeight="true" outlineLevel="0" collapsed="false">
      <c r="A1595" s="747"/>
      <c r="B1595" s="798"/>
      <c r="D1595" s="798"/>
      <c r="E1595" s="798"/>
      <c r="F1595" s="798"/>
      <c r="G1595" s="798"/>
      <c r="J1595" s="778" t="str">
        <f aca="false">IF(I1595="","",H1595/I1595)</f>
        <v/>
      </c>
      <c r="K1595" s="798"/>
      <c r="P1595" s="798"/>
      <c r="Q1595" s="798"/>
      <c r="R1595" s="811"/>
    </row>
    <row r="1596" customFormat="false" ht="16.5" hidden="false" customHeight="true" outlineLevel="0" collapsed="false">
      <c r="A1596" s="747"/>
      <c r="B1596" s="798"/>
      <c r="D1596" s="798"/>
      <c r="E1596" s="798"/>
      <c r="F1596" s="798"/>
      <c r="G1596" s="798"/>
      <c r="J1596" s="778" t="str">
        <f aca="false">IF(I1596="","",H1596/I1596)</f>
        <v/>
      </c>
      <c r="K1596" s="798"/>
      <c r="P1596" s="798"/>
      <c r="Q1596" s="798"/>
      <c r="R1596" s="811"/>
    </row>
    <row r="1597" customFormat="false" ht="16.5" hidden="false" customHeight="true" outlineLevel="0" collapsed="false">
      <c r="A1597" s="747"/>
      <c r="B1597" s="798"/>
      <c r="D1597" s="798"/>
      <c r="E1597" s="798"/>
      <c r="F1597" s="798"/>
      <c r="G1597" s="798"/>
      <c r="J1597" s="778" t="str">
        <f aca="false">IF(I1597="","",H1597/I1597)</f>
        <v/>
      </c>
      <c r="K1597" s="798"/>
      <c r="P1597" s="798"/>
      <c r="Q1597" s="798"/>
      <c r="R1597" s="811"/>
    </row>
    <row r="1598" customFormat="false" ht="16.5" hidden="false" customHeight="true" outlineLevel="0" collapsed="false">
      <c r="A1598" s="747"/>
      <c r="B1598" s="798"/>
      <c r="D1598" s="798"/>
      <c r="E1598" s="798"/>
      <c r="F1598" s="798"/>
      <c r="G1598" s="798"/>
      <c r="J1598" s="778" t="str">
        <f aca="false">IF(I1598="","",H1598/I1598)</f>
        <v/>
      </c>
      <c r="K1598" s="798"/>
      <c r="P1598" s="798"/>
      <c r="Q1598" s="798"/>
      <c r="R1598" s="811"/>
    </row>
    <row r="1599" customFormat="false" ht="16.5" hidden="false" customHeight="true" outlineLevel="0" collapsed="false">
      <c r="A1599" s="747"/>
      <c r="B1599" s="798"/>
      <c r="D1599" s="798"/>
      <c r="E1599" s="798"/>
      <c r="F1599" s="798"/>
      <c r="G1599" s="798"/>
      <c r="J1599" s="778" t="str">
        <f aca="false">IF(I1599="","",H1599/I1599)</f>
        <v/>
      </c>
      <c r="K1599" s="798"/>
      <c r="P1599" s="798"/>
      <c r="Q1599" s="798"/>
      <c r="R1599" s="811"/>
    </row>
    <row r="1600" customFormat="false" ht="16.5" hidden="false" customHeight="true" outlineLevel="0" collapsed="false">
      <c r="A1600" s="747"/>
      <c r="B1600" s="798"/>
      <c r="D1600" s="798"/>
      <c r="E1600" s="798"/>
      <c r="F1600" s="798"/>
      <c r="G1600" s="798"/>
      <c r="J1600" s="778" t="str">
        <f aca="false">IF(I1600="","",H1600/I1600)</f>
        <v/>
      </c>
      <c r="K1600" s="798"/>
      <c r="P1600" s="798"/>
      <c r="Q1600" s="798"/>
      <c r="R1600" s="811"/>
    </row>
    <row r="1601" customFormat="false" ht="16.5" hidden="false" customHeight="true" outlineLevel="0" collapsed="false">
      <c r="A1601" s="747"/>
      <c r="B1601" s="798"/>
      <c r="D1601" s="798"/>
      <c r="E1601" s="798"/>
      <c r="F1601" s="798"/>
      <c r="G1601" s="798"/>
      <c r="J1601" s="778" t="str">
        <f aca="false">IF(I1601="","",H1601/I1601)</f>
        <v/>
      </c>
      <c r="K1601" s="798"/>
      <c r="P1601" s="798"/>
      <c r="Q1601" s="798"/>
      <c r="R1601" s="811"/>
    </row>
    <row r="1602" customFormat="false" ht="16.5" hidden="false" customHeight="true" outlineLevel="0" collapsed="false">
      <c r="A1602" s="747"/>
      <c r="B1602" s="798"/>
      <c r="D1602" s="798"/>
      <c r="E1602" s="798"/>
      <c r="F1602" s="798"/>
      <c r="G1602" s="798"/>
      <c r="J1602" s="778" t="str">
        <f aca="false">IF(I1602="","",H1602/I1602)</f>
        <v/>
      </c>
      <c r="K1602" s="798"/>
      <c r="P1602" s="798"/>
      <c r="Q1602" s="798"/>
      <c r="R1602" s="811"/>
    </row>
    <row r="1603" customFormat="false" ht="16.5" hidden="false" customHeight="true" outlineLevel="0" collapsed="false">
      <c r="A1603" s="747"/>
      <c r="B1603" s="798"/>
      <c r="D1603" s="798"/>
      <c r="E1603" s="798"/>
      <c r="F1603" s="798"/>
      <c r="G1603" s="798"/>
      <c r="J1603" s="778" t="str">
        <f aca="false">IF(I1603="","",H1603/I1603)</f>
        <v/>
      </c>
      <c r="K1603" s="798"/>
      <c r="P1603" s="798"/>
      <c r="Q1603" s="798"/>
      <c r="R1603" s="811"/>
    </row>
    <row r="1604" customFormat="false" ht="16.5" hidden="false" customHeight="true" outlineLevel="0" collapsed="false">
      <c r="A1604" s="747"/>
      <c r="B1604" s="798"/>
      <c r="D1604" s="798"/>
      <c r="E1604" s="798"/>
      <c r="F1604" s="798"/>
      <c r="G1604" s="798"/>
      <c r="J1604" s="778" t="str">
        <f aca="false">IF(I1604="","",H1604/I1604)</f>
        <v/>
      </c>
      <c r="K1604" s="798"/>
      <c r="P1604" s="798"/>
      <c r="Q1604" s="798"/>
      <c r="R1604" s="811"/>
    </row>
    <row r="1605" customFormat="false" ht="16.5" hidden="false" customHeight="true" outlineLevel="0" collapsed="false">
      <c r="A1605" s="747"/>
      <c r="B1605" s="798"/>
      <c r="D1605" s="798"/>
      <c r="E1605" s="798"/>
      <c r="F1605" s="798"/>
      <c r="G1605" s="798"/>
      <c r="J1605" s="778" t="str">
        <f aca="false">IF(I1605="","",H1605/I1605)</f>
        <v/>
      </c>
      <c r="K1605" s="798"/>
      <c r="P1605" s="798"/>
      <c r="Q1605" s="798"/>
      <c r="R1605" s="811"/>
    </row>
    <row r="1606" customFormat="false" ht="16.5" hidden="false" customHeight="true" outlineLevel="0" collapsed="false">
      <c r="A1606" s="747"/>
      <c r="B1606" s="798"/>
      <c r="D1606" s="798"/>
      <c r="E1606" s="798"/>
      <c r="F1606" s="798"/>
      <c r="G1606" s="798"/>
      <c r="J1606" s="778" t="str">
        <f aca="false">IF(I1606="","",H1606/I1606)</f>
        <v/>
      </c>
      <c r="K1606" s="798"/>
      <c r="P1606" s="798"/>
      <c r="Q1606" s="798"/>
      <c r="R1606" s="811"/>
    </row>
    <row r="1607" customFormat="false" ht="16.5" hidden="false" customHeight="true" outlineLevel="0" collapsed="false">
      <c r="A1607" s="747"/>
      <c r="B1607" s="798"/>
      <c r="D1607" s="798"/>
      <c r="E1607" s="798"/>
      <c r="F1607" s="798"/>
      <c r="G1607" s="798"/>
      <c r="J1607" s="778" t="str">
        <f aca="false">IF(I1607="","",H1607/I1607)</f>
        <v/>
      </c>
      <c r="K1607" s="798"/>
      <c r="P1607" s="798"/>
      <c r="Q1607" s="798"/>
      <c r="R1607" s="811"/>
    </row>
    <row r="1608" customFormat="false" ht="16.5" hidden="false" customHeight="true" outlineLevel="0" collapsed="false">
      <c r="A1608" s="747"/>
      <c r="B1608" s="798"/>
      <c r="D1608" s="798"/>
      <c r="E1608" s="798"/>
      <c r="F1608" s="798"/>
      <c r="G1608" s="798"/>
      <c r="J1608" s="778" t="str">
        <f aca="false">IF(I1608="","",H1608/I1608)</f>
        <v/>
      </c>
      <c r="K1608" s="798"/>
      <c r="P1608" s="798"/>
      <c r="Q1608" s="798"/>
      <c r="R1608" s="811"/>
    </row>
    <row r="1609" customFormat="false" ht="16.5" hidden="false" customHeight="true" outlineLevel="0" collapsed="false">
      <c r="A1609" s="747"/>
      <c r="B1609" s="798"/>
      <c r="D1609" s="798"/>
      <c r="E1609" s="798"/>
      <c r="F1609" s="798"/>
      <c r="G1609" s="798"/>
      <c r="J1609" s="778" t="str">
        <f aca="false">IF(I1609="","",H1609/I1609)</f>
        <v/>
      </c>
      <c r="K1609" s="798"/>
      <c r="P1609" s="798"/>
      <c r="Q1609" s="798"/>
      <c r="R1609" s="811"/>
    </row>
    <row r="1610" customFormat="false" ht="16.5" hidden="false" customHeight="true" outlineLevel="0" collapsed="false">
      <c r="A1610" s="747"/>
      <c r="B1610" s="798"/>
      <c r="D1610" s="798"/>
      <c r="E1610" s="798"/>
      <c r="F1610" s="798"/>
      <c r="G1610" s="798"/>
      <c r="J1610" s="778" t="str">
        <f aca="false">IF(I1610="","",H1610/I1610)</f>
        <v/>
      </c>
      <c r="K1610" s="798"/>
      <c r="P1610" s="798"/>
      <c r="Q1610" s="798"/>
      <c r="R1610" s="811"/>
    </row>
    <row r="1611" customFormat="false" ht="16.5" hidden="false" customHeight="true" outlineLevel="0" collapsed="false">
      <c r="A1611" s="747"/>
      <c r="B1611" s="798"/>
      <c r="D1611" s="798"/>
      <c r="E1611" s="798"/>
      <c r="F1611" s="798"/>
      <c r="G1611" s="798"/>
      <c r="J1611" s="778" t="str">
        <f aca="false">IF(I1611="","",H1611/I1611)</f>
        <v/>
      </c>
      <c r="K1611" s="798"/>
      <c r="P1611" s="798"/>
      <c r="Q1611" s="798"/>
      <c r="R1611" s="811"/>
    </row>
    <row r="1612" customFormat="false" ht="16.5" hidden="false" customHeight="true" outlineLevel="0" collapsed="false">
      <c r="A1612" s="747"/>
      <c r="B1612" s="798"/>
      <c r="D1612" s="798"/>
      <c r="E1612" s="798"/>
      <c r="F1612" s="798"/>
      <c r="G1612" s="798"/>
      <c r="J1612" s="778" t="str">
        <f aca="false">IF(I1612="","",H1612/I1612)</f>
        <v/>
      </c>
      <c r="K1612" s="798"/>
      <c r="P1612" s="798"/>
      <c r="Q1612" s="798"/>
      <c r="R1612" s="811"/>
    </row>
    <row r="1613" customFormat="false" ht="16.5" hidden="false" customHeight="true" outlineLevel="0" collapsed="false">
      <c r="A1613" s="747"/>
      <c r="B1613" s="798"/>
      <c r="D1613" s="798"/>
      <c r="E1613" s="798"/>
      <c r="F1613" s="798"/>
      <c r="G1613" s="798"/>
      <c r="J1613" s="778" t="str">
        <f aca="false">IF(I1613="","",H1613/I1613)</f>
        <v/>
      </c>
      <c r="K1613" s="798"/>
      <c r="P1613" s="798"/>
      <c r="Q1613" s="798"/>
      <c r="R1613" s="811"/>
    </row>
    <row r="1614" customFormat="false" ht="16.5" hidden="false" customHeight="true" outlineLevel="0" collapsed="false">
      <c r="A1614" s="747"/>
      <c r="B1614" s="798"/>
      <c r="D1614" s="798"/>
      <c r="E1614" s="798"/>
      <c r="F1614" s="798"/>
      <c r="G1614" s="798"/>
      <c r="J1614" s="778" t="str">
        <f aca="false">IF(I1614="","",H1614/I1614)</f>
        <v/>
      </c>
      <c r="K1614" s="798"/>
      <c r="P1614" s="798"/>
      <c r="Q1614" s="798"/>
      <c r="R1614" s="811"/>
    </row>
    <row r="1615" customFormat="false" ht="16.5" hidden="false" customHeight="true" outlineLevel="0" collapsed="false">
      <c r="A1615" s="747"/>
      <c r="B1615" s="798"/>
      <c r="D1615" s="798"/>
      <c r="E1615" s="798"/>
      <c r="F1615" s="798"/>
      <c r="G1615" s="798"/>
      <c r="J1615" s="778" t="str">
        <f aca="false">IF(I1615="","",H1615/I1615)</f>
        <v/>
      </c>
      <c r="K1615" s="798"/>
      <c r="P1615" s="798"/>
      <c r="Q1615" s="798"/>
      <c r="R1615" s="811"/>
    </row>
    <row r="1616" customFormat="false" ht="16.5" hidden="false" customHeight="true" outlineLevel="0" collapsed="false">
      <c r="A1616" s="747"/>
      <c r="B1616" s="798"/>
      <c r="D1616" s="798"/>
      <c r="E1616" s="798"/>
      <c r="F1616" s="798"/>
      <c r="G1616" s="798"/>
      <c r="J1616" s="778" t="str">
        <f aca="false">IF(I1616="","",H1616/I1616)</f>
        <v/>
      </c>
      <c r="K1616" s="798"/>
      <c r="P1616" s="798"/>
      <c r="Q1616" s="798"/>
      <c r="R1616" s="811"/>
    </row>
    <row r="1617" customFormat="false" ht="16.5" hidden="false" customHeight="true" outlineLevel="0" collapsed="false">
      <c r="A1617" s="747"/>
      <c r="B1617" s="798"/>
      <c r="D1617" s="798"/>
      <c r="E1617" s="798"/>
      <c r="F1617" s="798"/>
      <c r="G1617" s="798"/>
      <c r="J1617" s="778" t="str">
        <f aca="false">IF(I1617="","",H1617/I1617)</f>
        <v/>
      </c>
      <c r="K1617" s="798"/>
      <c r="P1617" s="798"/>
      <c r="Q1617" s="798"/>
      <c r="R1617" s="811"/>
    </row>
    <row r="1618" customFormat="false" ht="16.5" hidden="false" customHeight="true" outlineLevel="0" collapsed="false">
      <c r="A1618" s="747"/>
      <c r="B1618" s="798"/>
      <c r="D1618" s="798"/>
      <c r="E1618" s="798"/>
      <c r="F1618" s="798"/>
      <c r="G1618" s="798"/>
      <c r="J1618" s="778" t="str">
        <f aca="false">IF(I1618="","",H1618/I1618)</f>
        <v/>
      </c>
      <c r="K1618" s="798"/>
      <c r="P1618" s="798"/>
      <c r="Q1618" s="798"/>
      <c r="R1618" s="811"/>
    </row>
    <row r="1619" customFormat="false" ht="16.5" hidden="false" customHeight="true" outlineLevel="0" collapsed="false">
      <c r="A1619" s="747"/>
      <c r="B1619" s="798"/>
      <c r="D1619" s="798"/>
      <c r="E1619" s="798"/>
      <c r="F1619" s="798"/>
      <c r="G1619" s="798"/>
      <c r="J1619" s="778" t="str">
        <f aca="false">IF(I1619="","",H1619/I1619)</f>
        <v/>
      </c>
      <c r="K1619" s="798"/>
      <c r="P1619" s="798"/>
      <c r="Q1619" s="798"/>
      <c r="R1619" s="811"/>
    </row>
    <row r="1620" customFormat="false" ht="16.5" hidden="false" customHeight="true" outlineLevel="0" collapsed="false">
      <c r="A1620" s="747"/>
      <c r="B1620" s="798"/>
      <c r="D1620" s="798"/>
      <c r="E1620" s="798"/>
      <c r="F1620" s="798"/>
      <c r="G1620" s="798"/>
      <c r="J1620" s="778" t="str">
        <f aca="false">IF(I1620="","",H1620/I1620)</f>
        <v/>
      </c>
      <c r="K1620" s="798"/>
      <c r="P1620" s="798"/>
      <c r="Q1620" s="798"/>
      <c r="R1620" s="811"/>
    </row>
    <row r="1621" customFormat="false" ht="16.5" hidden="false" customHeight="true" outlineLevel="0" collapsed="false">
      <c r="A1621" s="747"/>
      <c r="B1621" s="798"/>
      <c r="D1621" s="798"/>
      <c r="E1621" s="798"/>
      <c r="F1621" s="798"/>
      <c r="G1621" s="798"/>
      <c r="J1621" s="778" t="str">
        <f aca="false">IF(I1621="","",H1621/I1621)</f>
        <v/>
      </c>
      <c r="K1621" s="798"/>
      <c r="P1621" s="798"/>
      <c r="Q1621" s="798"/>
      <c r="R1621" s="811"/>
    </row>
    <row r="1622" customFormat="false" ht="16.5" hidden="false" customHeight="true" outlineLevel="0" collapsed="false">
      <c r="A1622" s="747"/>
      <c r="B1622" s="798"/>
      <c r="D1622" s="798"/>
      <c r="E1622" s="798"/>
      <c r="F1622" s="798"/>
      <c r="G1622" s="798"/>
      <c r="J1622" s="778" t="str">
        <f aca="false">IF(I1622="","",H1622/I1622)</f>
        <v/>
      </c>
      <c r="K1622" s="798"/>
      <c r="P1622" s="798"/>
      <c r="Q1622" s="798"/>
      <c r="R1622" s="811"/>
    </row>
    <row r="1623" customFormat="false" ht="16.5" hidden="false" customHeight="true" outlineLevel="0" collapsed="false">
      <c r="A1623" s="747"/>
      <c r="B1623" s="798"/>
      <c r="D1623" s="798"/>
      <c r="E1623" s="798"/>
      <c r="F1623" s="798"/>
      <c r="G1623" s="798"/>
      <c r="J1623" s="778" t="str">
        <f aca="false">IF(I1623="","",H1623/I1623)</f>
        <v/>
      </c>
      <c r="K1623" s="798"/>
      <c r="P1623" s="798"/>
      <c r="Q1623" s="798"/>
      <c r="R1623" s="811"/>
    </row>
    <row r="1624" customFormat="false" ht="16.5" hidden="false" customHeight="true" outlineLevel="0" collapsed="false">
      <c r="A1624" s="747"/>
      <c r="B1624" s="798"/>
      <c r="D1624" s="798"/>
      <c r="E1624" s="798"/>
      <c r="F1624" s="798"/>
      <c r="G1624" s="798"/>
      <c r="J1624" s="778" t="str">
        <f aca="false">IF(I1624="","",H1624/I1624)</f>
        <v/>
      </c>
      <c r="K1624" s="798"/>
      <c r="P1624" s="798"/>
      <c r="Q1624" s="798"/>
      <c r="R1624" s="811"/>
    </row>
    <row r="1625" customFormat="false" ht="16.5" hidden="false" customHeight="true" outlineLevel="0" collapsed="false">
      <c r="A1625" s="747"/>
      <c r="B1625" s="798"/>
      <c r="D1625" s="798"/>
      <c r="E1625" s="798"/>
      <c r="F1625" s="798"/>
      <c r="G1625" s="798"/>
      <c r="J1625" s="778" t="str">
        <f aca="false">IF(I1625="","",H1625/I1625)</f>
        <v/>
      </c>
      <c r="K1625" s="798"/>
      <c r="P1625" s="798"/>
      <c r="Q1625" s="798"/>
      <c r="R1625" s="811"/>
    </row>
    <row r="1626" customFormat="false" ht="16.5" hidden="false" customHeight="true" outlineLevel="0" collapsed="false">
      <c r="A1626" s="747"/>
      <c r="B1626" s="798"/>
      <c r="D1626" s="798"/>
      <c r="E1626" s="798"/>
      <c r="F1626" s="798"/>
      <c r="G1626" s="798"/>
      <c r="J1626" s="778" t="str">
        <f aca="false">IF(I1626="","",H1626/I1626)</f>
        <v/>
      </c>
      <c r="K1626" s="798"/>
      <c r="P1626" s="798"/>
      <c r="Q1626" s="798"/>
      <c r="R1626" s="811"/>
    </row>
    <row r="1627" customFormat="false" ht="16.5" hidden="false" customHeight="true" outlineLevel="0" collapsed="false">
      <c r="A1627" s="747"/>
      <c r="B1627" s="798"/>
      <c r="D1627" s="798"/>
      <c r="E1627" s="798"/>
      <c r="F1627" s="798"/>
      <c r="G1627" s="798"/>
      <c r="J1627" s="778" t="str">
        <f aca="false">IF(I1627="","",H1627/I1627)</f>
        <v/>
      </c>
      <c r="K1627" s="798"/>
      <c r="P1627" s="798"/>
      <c r="Q1627" s="798"/>
      <c r="R1627" s="811"/>
    </row>
    <row r="1628" customFormat="false" ht="16.5" hidden="false" customHeight="true" outlineLevel="0" collapsed="false">
      <c r="A1628" s="747"/>
      <c r="B1628" s="798"/>
      <c r="D1628" s="798"/>
      <c r="E1628" s="798"/>
      <c r="F1628" s="798"/>
      <c r="G1628" s="798"/>
      <c r="J1628" s="778" t="str">
        <f aca="false">IF(I1628="","",H1628/I1628)</f>
        <v/>
      </c>
      <c r="K1628" s="798"/>
      <c r="P1628" s="798"/>
      <c r="Q1628" s="798"/>
      <c r="R1628" s="811"/>
    </row>
    <row r="1629" customFormat="false" ht="16.5" hidden="false" customHeight="true" outlineLevel="0" collapsed="false">
      <c r="A1629" s="747"/>
      <c r="B1629" s="798"/>
      <c r="D1629" s="798"/>
      <c r="E1629" s="798"/>
      <c r="F1629" s="798"/>
      <c r="G1629" s="798"/>
      <c r="J1629" s="778" t="str">
        <f aca="false">IF(I1629="","",H1629/I1629)</f>
        <v/>
      </c>
      <c r="K1629" s="798"/>
      <c r="P1629" s="798"/>
      <c r="Q1629" s="798"/>
      <c r="R1629" s="811"/>
    </row>
    <row r="1630" customFormat="false" ht="16.5" hidden="false" customHeight="true" outlineLevel="0" collapsed="false">
      <c r="A1630" s="747"/>
      <c r="B1630" s="798"/>
      <c r="D1630" s="798"/>
      <c r="E1630" s="798"/>
      <c r="F1630" s="798"/>
      <c r="G1630" s="798"/>
      <c r="J1630" s="778" t="str">
        <f aca="false">IF(I1630="","",H1630/I1630)</f>
        <v/>
      </c>
      <c r="K1630" s="798"/>
      <c r="P1630" s="798"/>
      <c r="Q1630" s="798"/>
      <c r="R1630" s="811"/>
    </row>
    <row r="1631" customFormat="false" ht="16.5" hidden="false" customHeight="true" outlineLevel="0" collapsed="false">
      <c r="A1631" s="747"/>
      <c r="B1631" s="798"/>
      <c r="D1631" s="798"/>
      <c r="E1631" s="798"/>
      <c r="F1631" s="798"/>
      <c r="G1631" s="798"/>
      <c r="J1631" s="778" t="str">
        <f aca="false">IF(I1631="","",H1631/I1631)</f>
        <v/>
      </c>
      <c r="K1631" s="798"/>
      <c r="P1631" s="798"/>
      <c r="Q1631" s="798"/>
      <c r="R1631" s="811"/>
    </row>
    <row r="1632" customFormat="false" ht="16.5" hidden="false" customHeight="true" outlineLevel="0" collapsed="false">
      <c r="A1632" s="747"/>
      <c r="B1632" s="798"/>
      <c r="D1632" s="798"/>
      <c r="E1632" s="798"/>
      <c r="F1632" s="798"/>
      <c r="G1632" s="798"/>
      <c r="J1632" s="778" t="str">
        <f aca="false">IF(I1632="","",H1632/I1632)</f>
        <v/>
      </c>
      <c r="K1632" s="798"/>
      <c r="P1632" s="798"/>
      <c r="Q1632" s="798"/>
      <c r="R1632" s="811"/>
    </row>
    <row r="1633" customFormat="false" ht="16.5" hidden="false" customHeight="true" outlineLevel="0" collapsed="false">
      <c r="A1633" s="747"/>
      <c r="B1633" s="798"/>
      <c r="D1633" s="798"/>
      <c r="E1633" s="798"/>
      <c r="F1633" s="798"/>
      <c r="G1633" s="798"/>
      <c r="J1633" s="778" t="str">
        <f aca="false">IF(I1633="","",H1633/I1633)</f>
        <v/>
      </c>
      <c r="K1633" s="798"/>
      <c r="P1633" s="798"/>
      <c r="Q1633" s="798"/>
      <c r="R1633" s="811"/>
    </row>
    <row r="1634" customFormat="false" ht="16.5" hidden="false" customHeight="true" outlineLevel="0" collapsed="false">
      <c r="A1634" s="747"/>
      <c r="B1634" s="798"/>
      <c r="D1634" s="798"/>
      <c r="E1634" s="798"/>
      <c r="F1634" s="798"/>
      <c r="G1634" s="798"/>
      <c r="J1634" s="778" t="str">
        <f aca="false">IF(I1634="","",H1634/I1634)</f>
        <v/>
      </c>
      <c r="K1634" s="798"/>
      <c r="P1634" s="798"/>
      <c r="Q1634" s="798"/>
      <c r="R1634" s="811"/>
    </row>
    <row r="1635" customFormat="false" ht="16.5" hidden="false" customHeight="true" outlineLevel="0" collapsed="false">
      <c r="A1635" s="747"/>
      <c r="B1635" s="798"/>
      <c r="D1635" s="798"/>
      <c r="E1635" s="798"/>
      <c r="F1635" s="798"/>
      <c r="G1635" s="798"/>
      <c r="J1635" s="778" t="str">
        <f aca="false">IF(I1635="","",H1635/I1635)</f>
        <v/>
      </c>
      <c r="K1635" s="798"/>
      <c r="P1635" s="798"/>
      <c r="Q1635" s="798"/>
      <c r="R1635" s="811"/>
    </row>
    <row r="1636" customFormat="false" ht="16.5" hidden="false" customHeight="true" outlineLevel="0" collapsed="false">
      <c r="A1636" s="747"/>
      <c r="B1636" s="798"/>
      <c r="D1636" s="798"/>
      <c r="E1636" s="798"/>
      <c r="F1636" s="798"/>
      <c r="G1636" s="798"/>
      <c r="J1636" s="778" t="str">
        <f aca="false">IF(I1636="","",H1636/I1636)</f>
        <v/>
      </c>
      <c r="K1636" s="798"/>
      <c r="P1636" s="798"/>
      <c r="Q1636" s="798"/>
      <c r="R1636" s="811"/>
    </row>
    <row r="1637" customFormat="false" ht="16.5" hidden="false" customHeight="true" outlineLevel="0" collapsed="false">
      <c r="A1637" s="747"/>
      <c r="B1637" s="798"/>
      <c r="D1637" s="798"/>
      <c r="E1637" s="798"/>
      <c r="F1637" s="798"/>
      <c r="G1637" s="798"/>
      <c r="J1637" s="778" t="str">
        <f aca="false">IF(I1637="","",H1637/I1637)</f>
        <v/>
      </c>
      <c r="K1637" s="798"/>
      <c r="P1637" s="798"/>
      <c r="Q1637" s="798"/>
      <c r="R1637" s="811"/>
    </row>
    <row r="1638" customFormat="false" ht="16.5" hidden="false" customHeight="true" outlineLevel="0" collapsed="false">
      <c r="A1638" s="747"/>
      <c r="B1638" s="798"/>
      <c r="D1638" s="798"/>
      <c r="E1638" s="798"/>
      <c r="F1638" s="798"/>
      <c r="G1638" s="798"/>
      <c r="J1638" s="778" t="str">
        <f aca="false">IF(I1638="","",H1638/I1638)</f>
        <v/>
      </c>
      <c r="K1638" s="798"/>
      <c r="P1638" s="798"/>
      <c r="Q1638" s="798"/>
      <c r="R1638" s="811"/>
    </row>
    <row r="1639" customFormat="false" ht="16.5" hidden="false" customHeight="true" outlineLevel="0" collapsed="false">
      <c r="A1639" s="747"/>
      <c r="B1639" s="798"/>
      <c r="D1639" s="798"/>
      <c r="E1639" s="798"/>
      <c r="F1639" s="798"/>
      <c r="G1639" s="798"/>
      <c r="J1639" s="778" t="str">
        <f aca="false">IF(I1639="","",H1639/I1639)</f>
        <v/>
      </c>
      <c r="K1639" s="798"/>
      <c r="P1639" s="798"/>
      <c r="Q1639" s="798"/>
      <c r="R1639" s="811"/>
    </row>
    <row r="1640" customFormat="false" ht="16.5" hidden="false" customHeight="true" outlineLevel="0" collapsed="false">
      <c r="A1640" s="747"/>
      <c r="B1640" s="798"/>
      <c r="D1640" s="798"/>
      <c r="E1640" s="798"/>
      <c r="F1640" s="798"/>
      <c r="G1640" s="798"/>
      <c r="J1640" s="778" t="str">
        <f aca="false">IF(I1640="","",H1640/I1640)</f>
        <v/>
      </c>
      <c r="K1640" s="798"/>
      <c r="P1640" s="798"/>
      <c r="Q1640" s="798"/>
      <c r="R1640" s="811"/>
    </row>
    <row r="1641" customFormat="false" ht="16.5" hidden="false" customHeight="true" outlineLevel="0" collapsed="false">
      <c r="A1641" s="747"/>
      <c r="B1641" s="798"/>
      <c r="D1641" s="798"/>
      <c r="E1641" s="798"/>
      <c r="F1641" s="798"/>
      <c r="G1641" s="798"/>
      <c r="J1641" s="778" t="str">
        <f aca="false">IF(I1641="","",H1641/I1641)</f>
        <v/>
      </c>
      <c r="K1641" s="798"/>
      <c r="P1641" s="798"/>
      <c r="Q1641" s="798"/>
      <c r="R1641" s="811"/>
    </row>
    <row r="1642" customFormat="false" ht="16.5" hidden="false" customHeight="true" outlineLevel="0" collapsed="false">
      <c r="A1642" s="747"/>
      <c r="B1642" s="798"/>
      <c r="D1642" s="798"/>
      <c r="E1642" s="798"/>
      <c r="F1642" s="798"/>
      <c r="G1642" s="798"/>
      <c r="J1642" s="778" t="str">
        <f aca="false">IF(I1642="","",H1642/I1642)</f>
        <v/>
      </c>
      <c r="K1642" s="798"/>
      <c r="P1642" s="798"/>
      <c r="Q1642" s="798"/>
      <c r="R1642" s="811"/>
    </row>
    <row r="1643" customFormat="false" ht="16.5" hidden="false" customHeight="true" outlineLevel="0" collapsed="false">
      <c r="A1643" s="747"/>
      <c r="B1643" s="798"/>
      <c r="D1643" s="798"/>
      <c r="E1643" s="798"/>
      <c r="F1643" s="798"/>
      <c r="G1643" s="798"/>
      <c r="J1643" s="778" t="str">
        <f aca="false">IF(I1643="","",H1643/I1643)</f>
        <v/>
      </c>
      <c r="K1643" s="798"/>
      <c r="P1643" s="798"/>
      <c r="Q1643" s="798"/>
      <c r="R1643" s="811"/>
    </row>
    <row r="1644" customFormat="false" ht="16.5" hidden="false" customHeight="true" outlineLevel="0" collapsed="false">
      <c r="A1644" s="747"/>
      <c r="B1644" s="798"/>
      <c r="D1644" s="798"/>
      <c r="E1644" s="798"/>
      <c r="F1644" s="798"/>
      <c r="G1644" s="798"/>
      <c r="J1644" s="778" t="str">
        <f aca="false">IF(I1644="","",H1644/I1644)</f>
        <v/>
      </c>
      <c r="K1644" s="798"/>
      <c r="P1644" s="798"/>
      <c r="Q1644" s="798"/>
      <c r="R1644" s="811"/>
    </row>
    <row r="1645" customFormat="false" ht="16.5" hidden="false" customHeight="true" outlineLevel="0" collapsed="false">
      <c r="A1645" s="747"/>
      <c r="B1645" s="798"/>
      <c r="D1645" s="798"/>
      <c r="E1645" s="798"/>
      <c r="F1645" s="798"/>
      <c r="G1645" s="798"/>
      <c r="J1645" s="778" t="str">
        <f aca="false">IF(I1645="","",H1645/I1645)</f>
        <v/>
      </c>
      <c r="K1645" s="798"/>
      <c r="P1645" s="798"/>
      <c r="Q1645" s="798"/>
      <c r="R1645" s="811"/>
    </row>
    <row r="1646" customFormat="false" ht="16.5" hidden="false" customHeight="true" outlineLevel="0" collapsed="false">
      <c r="A1646" s="747"/>
      <c r="B1646" s="798"/>
      <c r="D1646" s="798"/>
      <c r="E1646" s="798"/>
      <c r="F1646" s="798"/>
      <c r="G1646" s="798"/>
      <c r="J1646" s="778" t="str">
        <f aca="false">IF(I1646="","",H1646/I1646)</f>
        <v/>
      </c>
      <c r="K1646" s="798"/>
      <c r="P1646" s="798"/>
      <c r="Q1646" s="798"/>
      <c r="R1646" s="811"/>
    </row>
    <row r="1647" customFormat="false" ht="16.5" hidden="false" customHeight="true" outlineLevel="0" collapsed="false">
      <c r="A1647" s="747"/>
      <c r="B1647" s="798"/>
      <c r="D1647" s="798"/>
      <c r="E1647" s="798"/>
      <c r="F1647" s="798"/>
      <c r="G1647" s="798"/>
      <c r="J1647" s="778" t="str">
        <f aca="false">IF(I1647="","",H1647/I1647)</f>
        <v/>
      </c>
      <c r="K1647" s="798"/>
      <c r="P1647" s="798"/>
      <c r="Q1647" s="798"/>
      <c r="R1647" s="811"/>
    </row>
    <row r="1648" customFormat="false" ht="16.5" hidden="false" customHeight="true" outlineLevel="0" collapsed="false">
      <c r="A1648" s="747"/>
      <c r="B1648" s="798"/>
      <c r="D1648" s="798"/>
      <c r="E1648" s="798"/>
      <c r="F1648" s="798"/>
      <c r="G1648" s="798"/>
      <c r="J1648" s="778" t="str">
        <f aca="false">IF(I1648="","",H1648/I1648)</f>
        <v/>
      </c>
      <c r="K1648" s="798"/>
      <c r="P1648" s="798"/>
      <c r="Q1648" s="798"/>
      <c r="R1648" s="811"/>
    </row>
    <row r="1649" customFormat="false" ht="16.5" hidden="false" customHeight="true" outlineLevel="0" collapsed="false">
      <c r="A1649" s="747"/>
      <c r="B1649" s="798"/>
      <c r="D1649" s="798"/>
      <c r="E1649" s="798"/>
      <c r="F1649" s="798"/>
      <c r="G1649" s="798"/>
      <c r="J1649" s="778" t="str">
        <f aca="false">IF(I1649="","",H1649/I1649)</f>
        <v/>
      </c>
      <c r="K1649" s="798"/>
      <c r="P1649" s="798"/>
      <c r="Q1649" s="798"/>
      <c r="R1649" s="811"/>
    </row>
    <row r="1650" customFormat="false" ht="16.5" hidden="false" customHeight="true" outlineLevel="0" collapsed="false">
      <c r="A1650" s="747"/>
      <c r="B1650" s="798"/>
      <c r="D1650" s="798"/>
      <c r="E1650" s="798"/>
      <c r="F1650" s="798"/>
      <c r="G1650" s="798"/>
      <c r="J1650" s="778" t="str">
        <f aca="false">IF(I1650="","",H1650/I1650)</f>
        <v/>
      </c>
      <c r="K1650" s="798"/>
      <c r="P1650" s="798"/>
      <c r="Q1650" s="798"/>
      <c r="R1650" s="811"/>
    </row>
    <row r="1651" customFormat="false" ht="16.5" hidden="false" customHeight="true" outlineLevel="0" collapsed="false">
      <c r="A1651" s="747"/>
      <c r="B1651" s="798"/>
      <c r="D1651" s="798"/>
      <c r="E1651" s="798"/>
      <c r="F1651" s="798"/>
      <c r="G1651" s="798"/>
      <c r="J1651" s="778" t="str">
        <f aca="false">IF(I1651="","",H1651/I1651)</f>
        <v/>
      </c>
      <c r="K1651" s="798"/>
      <c r="P1651" s="798"/>
      <c r="Q1651" s="798"/>
      <c r="R1651" s="811"/>
    </row>
    <row r="1652" customFormat="false" ht="16.5" hidden="false" customHeight="true" outlineLevel="0" collapsed="false">
      <c r="A1652" s="747"/>
      <c r="B1652" s="798"/>
      <c r="D1652" s="798"/>
      <c r="E1652" s="798"/>
      <c r="F1652" s="798"/>
      <c r="G1652" s="798"/>
      <c r="J1652" s="778" t="str">
        <f aca="false">IF(I1652="","",H1652/I1652)</f>
        <v/>
      </c>
      <c r="K1652" s="798"/>
      <c r="P1652" s="798"/>
      <c r="Q1652" s="798"/>
      <c r="R1652" s="811"/>
    </row>
    <row r="1653" customFormat="false" ht="16.5" hidden="false" customHeight="true" outlineLevel="0" collapsed="false">
      <c r="A1653" s="747"/>
      <c r="B1653" s="798"/>
      <c r="D1653" s="798"/>
      <c r="E1653" s="798"/>
      <c r="F1653" s="798"/>
      <c r="G1653" s="798"/>
      <c r="J1653" s="778" t="str">
        <f aca="false">IF(I1653="","",H1653/I1653)</f>
        <v/>
      </c>
      <c r="K1653" s="798"/>
      <c r="P1653" s="798"/>
      <c r="Q1653" s="798"/>
      <c r="R1653" s="811"/>
    </row>
    <row r="1654" customFormat="false" ht="16.5" hidden="false" customHeight="true" outlineLevel="0" collapsed="false">
      <c r="A1654" s="747"/>
      <c r="B1654" s="798"/>
      <c r="D1654" s="798"/>
      <c r="E1654" s="798"/>
      <c r="F1654" s="798"/>
      <c r="G1654" s="798"/>
      <c r="J1654" s="778" t="str">
        <f aca="false">IF(I1654="","",H1654/I1654)</f>
        <v/>
      </c>
      <c r="K1654" s="798"/>
      <c r="P1654" s="798"/>
      <c r="Q1654" s="798"/>
      <c r="R1654" s="811"/>
    </row>
    <row r="1655" customFormat="false" ht="16.5" hidden="false" customHeight="true" outlineLevel="0" collapsed="false">
      <c r="A1655" s="747"/>
      <c r="B1655" s="798"/>
      <c r="D1655" s="798"/>
      <c r="E1655" s="798"/>
      <c r="F1655" s="798"/>
      <c r="G1655" s="798"/>
      <c r="J1655" s="778" t="str">
        <f aca="false">IF(I1655="","",H1655/I1655)</f>
        <v/>
      </c>
      <c r="K1655" s="798"/>
      <c r="P1655" s="798"/>
      <c r="Q1655" s="798"/>
      <c r="R1655" s="811"/>
    </row>
    <row r="1656" customFormat="false" ht="16.5" hidden="false" customHeight="true" outlineLevel="0" collapsed="false">
      <c r="A1656" s="747"/>
      <c r="B1656" s="798"/>
      <c r="D1656" s="798"/>
      <c r="E1656" s="798"/>
      <c r="F1656" s="798"/>
      <c r="G1656" s="798"/>
      <c r="J1656" s="778" t="str">
        <f aca="false">IF(I1656="","",H1656/I1656)</f>
        <v/>
      </c>
      <c r="K1656" s="798"/>
      <c r="P1656" s="798"/>
      <c r="Q1656" s="798"/>
      <c r="R1656" s="811"/>
    </row>
    <row r="1657" customFormat="false" ht="16.5" hidden="false" customHeight="true" outlineLevel="0" collapsed="false">
      <c r="A1657" s="747"/>
      <c r="B1657" s="798"/>
      <c r="D1657" s="798"/>
      <c r="E1657" s="798"/>
      <c r="F1657" s="798"/>
      <c r="G1657" s="798"/>
      <c r="J1657" s="778" t="str">
        <f aca="false">IF(I1657="","",H1657/I1657)</f>
        <v/>
      </c>
      <c r="K1657" s="798"/>
      <c r="P1657" s="798"/>
      <c r="Q1657" s="798"/>
      <c r="R1657" s="811"/>
    </row>
    <row r="1658" customFormat="false" ht="16.5" hidden="false" customHeight="true" outlineLevel="0" collapsed="false">
      <c r="A1658" s="747"/>
      <c r="B1658" s="798"/>
      <c r="D1658" s="798"/>
      <c r="E1658" s="798"/>
      <c r="F1658" s="798"/>
      <c r="G1658" s="798"/>
      <c r="J1658" s="778" t="str">
        <f aca="false">IF(I1658="","",H1658/I1658)</f>
        <v/>
      </c>
      <c r="K1658" s="798"/>
      <c r="P1658" s="798"/>
      <c r="Q1658" s="798"/>
      <c r="R1658" s="811"/>
    </row>
    <row r="1659" customFormat="false" ht="16.5" hidden="false" customHeight="true" outlineLevel="0" collapsed="false">
      <c r="A1659" s="747"/>
      <c r="B1659" s="798"/>
      <c r="D1659" s="798"/>
      <c r="E1659" s="798"/>
      <c r="F1659" s="798"/>
      <c r="G1659" s="798"/>
      <c r="J1659" s="778" t="str">
        <f aca="false">IF(I1659="","",H1659/I1659)</f>
        <v/>
      </c>
      <c r="K1659" s="798"/>
      <c r="P1659" s="798"/>
      <c r="Q1659" s="798"/>
      <c r="R1659" s="811"/>
    </row>
    <row r="1660" customFormat="false" ht="16.5" hidden="false" customHeight="true" outlineLevel="0" collapsed="false">
      <c r="A1660" s="747"/>
      <c r="B1660" s="798"/>
      <c r="D1660" s="798"/>
      <c r="E1660" s="798"/>
      <c r="F1660" s="798"/>
      <c r="G1660" s="798"/>
      <c r="J1660" s="778" t="str">
        <f aca="false">IF(I1660="","",H1660/I1660)</f>
        <v/>
      </c>
      <c r="K1660" s="798"/>
      <c r="P1660" s="798"/>
      <c r="Q1660" s="798"/>
      <c r="R1660" s="811"/>
    </row>
    <row r="1661" customFormat="false" ht="16.5" hidden="false" customHeight="true" outlineLevel="0" collapsed="false">
      <c r="A1661" s="747"/>
      <c r="B1661" s="798"/>
      <c r="D1661" s="798"/>
      <c r="E1661" s="798"/>
      <c r="F1661" s="798"/>
      <c r="G1661" s="798"/>
      <c r="J1661" s="778" t="str">
        <f aca="false">IF(I1661="","",H1661/I1661)</f>
        <v/>
      </c>
      <c r="K1661" s="798"/>
      <c r="P1661" s="798"/>
      <c r="Q1661" s="798"/>
      <c r="R1661" s="811"/>
    </row>
    <row r="1662" customFormat="false" ht="16.5" hidden="false" customHeight="true" outlineLevel="0" collapsed="false">
      <c r="A1662" s="747"/>
      <c r="B1662" s="798"/>
      <c r="D1662" s="798"/>
      <c r="E1662" s="798"/>
      <c r="F1662" s="798"/>
      <c r="G1662" s="798"/>
      <c r="J1662" s="778" t="str">
        <f aca="false">IF(I1662="","",H1662/I1662)</f>
        <v/>
      </c>
      <c r="K1662" s="798"/>
      <c r="P1662" s="798"/>
      <c r="Q1662" s="798"/>
      <c r="R1662" s="811"/>
    </row>
    <row r="1663" customFormat="false" ht="16.5" hidden="false" customHeight="true" outlineLevel="0" collapsed="false">
      <c r="A1663" s="747"/>
      <c r="B1663" s="798"/>
      <c r="D1663" s="798"/>
      <c r="E1663" s="798"/>
      <c r="F1663" s="798"/>
      <c r="G1663" s="798"/>
      <c r="J1663" s="778" t="str">
        <f aca="false">IF(I1663="","",H1663/I1663)</f>
        <v/>
      </c>
      <c r="K1663" s="798"/>
      <c r="P1663" s="798"/>
      <c r="Q1663" s="798"/>
      <c r="R1663" s="811"/>
    </row>
    <row r="1664" customFormat="false" ht="16.5" hidden="false" customHeight="true" outlineLevel="0" collapsed="false">
      <c r="A1664" s="747"/>
      <c r="B1664" s="798"/>
      <c r="D1664" s="798"/>
      <c r="E1664" s="798"/>
      <c r="F1664" s="798"/>
      <c r="G1664" s="798"/>
      <c r="J1664" s="778" t="str">
        <f aca="false">IF(I1664="","",H1664/I1664)</f>
        <v/>
      </c>
      <c r="K1664" s="798"/>
      <c r="P1664" s="798"/>
      <c r="Q1664" s="798"/>
      <c r="R1664" s="811"/>
    </row>
    <row r="1665" customFormat="false" ht="16.5" hidden="false" customHeight="true" outlineLevel="0" collapsed="false">
      <c r="A1665" s="747"/>
      <c r="B1665" s="798"/>
      <c r="D1665" s="798"/>
      <c r="E1665" s="798"/>
      <c r="F1665" s="798"/>
      <c r="G1665" s="798"/>
      <c r="J1665" s="778" t="str">
        <f aca="false">IF(I1665="","",H1665/I1665)</f>
        <v/>
      </c>
      <c r="K1665" s="798"/>
      <c r="P1665" s="798"/>
      <c r="Q1665" s="798"/>
      <c r="R1665" s="811"/>
    </row>
    <row r="1666" customFormat="false" ht="16.5" hidden="false" customHeight="true" outlineLevel="0" collapsed="false">
      <c r="A1666" s="747"/>
      <c r="B1666" s="798"/>
      <c r="D1666" s="798"/>
      <c r="E1666" s="798"/>
      <c r="F1666" s="798"/>
      <c r="G1666" s="798"/>
      <c r="J1666" s="778" t="str">
        <f aca="false">IF(I1666="","",H1666/I1666)</f>
        <v/>
      </c>
      <c r="K1666" s="798"/>
      <c r="P1666" s="798"/>
      <c r="Q1666" s="798"/>
      <c r="R1666" s="811"/>
    </row>
    <row r="1667" customFormat="false" ht="16.5" hidden="false" customHeight="true" outlineLevel="0" collapsed="false">
      <c r="A1667" s="747"/>
      <c r="B1667" s="798"/>
      <c r="D1667" s="798"/>
      <c r="E1667" s="798"/>
      <c r="F1667" s="798"/>
      <c r="G1667" s="798"/>
      <c r="J1667" s="778" t="str">
        <f aca="false">IF(I1667="","",H1667/I1667)</f>
        <v/>
      </c>
      <c r="K1667" s="798"/>
      <c r="P1667" s="798"/>
      <c r="Q1667" s="798"/>
      <c r="R1667" s="811"/>
    </row>
    <row r="1668" customFormat="false" ht="16.5" hidden="false" customHeight="true" outlineLevel="0" collapsed="false">
      <c r="A1668" s="747"/>
      <c r="B1668" s="798"/>
      <c r="D1668" s="798"/>
      <c r="E1668" s="798"/>
      <c r="F1668" s="798"/>
      <c r="G1668" s="798"/>
      <c r="J1668" s="778" t="str">
        <f aca="false">IF(I1668="","",H1668/I1668)</f>
        <v/>
      </c>
      <c r="K1668" s="798"/>
      <c r="P1668" s="798"/>
      <c r="Q1668" s="798"/>
      <c r="R1668" s="811"/>
    </row>
    <row r="1669" customFormat="false" ht="16.5" hidden="false" customHeight="true" outlineLevel="0" collapsed="false">
      <c r="A1669" s="747"/>
      <c r="B1669" s="798"/>
      <c r="D1669" s="798"/>
      <c r="E1669" s="798"/>
      <c r="F1669" s="798"/>
      <c r="G1669" s="798"/>
      <c r="J1669" s="778" t="str">
        <f aca="false">IF(I1669="","",H1669/I1669)</f>
        <v/>
      </c>
      <c r="K1669" s="798"/>
      <c r="P1669" s="798"/>
      <c r="Q1669" s="798"/>
      <c r="R1669" s="811"/>
    </row>
    <row r="1670" customFormat="false" ht="16.5" hidden="false" customHeight="true" outlineLevel="0" collapsed="false">
      <c r="A1670" s="747"/>
      <c r="B1670" s="798"/>
      <c r="D1670" s="798"/>
      <c r="E1670" s="798"/>
      <c r="F1670" s="798"/>
      <c r="G1670" s="798"/>
      <c r="J1670" s="778" t="str">
        <f aca="false">IF(I1670="","",H1670/I1670)</f>
        <v/>
      </c>
      <c r="K1670" s="798"/>
      <c r="P1670" s="798"/>
      <c r="Q1670" s="798"/>
      <c r="R1670" s="811"/>
    </row>
    <row r="1671" customFormat="false" ht="16.5" hidden="false" customHeight="true" outlineLevel="0" collapsed="false">
      <c r="A1671" s="747"/>
      <c r="B1671" s="798"/>
      <c r="D1671" s="798"/>
      <c r="E1671" s="798"/>
      <c r="F1671" s="798"/>
      <c r="G1671" s="798"/>
      <c r="J1671" s="778" t="str">
        <f aca="false">IF(I1671="","",H1671/I1671)</f>
        <v/>
      </c>
      <c r="K1671" s="798"/>
      <c r="P1671" s="798"/>
      <c r="Q1671" s="798"/>
      <c r="R1671" s="811"/>
    </row>
    <row r="1672" customFormat="false" ht="16.5" hidden="false" customHeight="true" outlineLevel="0" collapsed="false">
      <c r="A1672" s="747"/>
      <c r="B1672" s="798"/>
      <c r="D1672" s="798"/>
      <c r="E1672" s="798"/>
      <c r="F1672" s="798"/>
      <c r="G1672" s="798"/>
      <c r="J1672" s="778" t="str">
        <f aca="false">IF(I1672="","",H1672/I1672)</f>
        <v/>
      </c>
      <c r="K1672" s="798"/>
      <c r="P1672" s="798"/>
      <c r="Q1672" s="798"/>
      <c r="R1672" s="811"/>
    </row>
    <row r="1673" customFormat="false" ht="16.5" hidden="false" customHeight="true" outlineLevel="0" collapsed="false">
      <c r="A1673" s="747"/>
      <c r="B1673" s="798"/>
      <c r="D1673" s="798"/>
      <c r="E1673" s="798"/>
      <c r="F1673" s="798"/>
      <c r="G1673" s="798"/>
      <c r="J1673" s="778" t="str">
        <f aca="false">IF(I1673="","",H1673/I1673)</f>
        <v/>
      </c>
      <c r="K1673" s="798"/>
      <c r="P1673" s="798"/>
      <c r="Q1673" s="798"/>
      <c r="R1673" s="811"/>
    </row>
    <row r="1674" customFormat="false" ht="16.5" hidden="false" customHeight="true" outlineLevel="0" collapsed="false">
      <c r="A1674" s="747"/>
      <c r="B1674" s="798"/>
      <c r="D1674" s="798"/>
      <c r="E1674" s="798"/>
      <c r="F1674" s="798"/>
      <c r="G1674" s="798"/>
      <c r="J1674" s="778" t="str">
        <f aca="false">IF(I1674="","",H1674/I1674)</f>
        <v/>
      </c>
      <c r="K1674" s="798"/>
      <c r="P1674" s="798"/>
      <c r="Q1674" s="798"/>
      <c r="R1674" s="811"/>
    </row>
    <row r="1675" customFormat="false" ht="16.5" hidden="false" customHeight="true" outlineLevel="0" collapsed="false">
      <c r="A1675" s="747"/>
      <c r="B1675" s="798"/>
      <c r="D1675" s="798"/>
      <c r="E1675" s="798"/>
      <c r="F1675" s="798"/>
      <c r="G1675" s="798"/>
      <c r="J1675" s="778" t="str">
        <f aca="false">IF(I1675="","",H1675/I1675)</f>
        <v/>
      </c>
      <c r="K1675" s="798"/>
      <c r="P1675" s="798"/>
      <c r="Q1675" s="798"/>
      <c r="R1675" s="811"/>
    </row>
    <row r="1676" customFormat="false" ht="16.5" hidden="false" customHeight="true" outlineLevel="0" collapsed="false">
      <c r="A1676" s="747"/>
      <c r="B1676" s="798"/>
      <c r="D1676" s="798"/>
      <c r="E1676" s="798"/>
      <c r="F1676" s="798"/>
      <c r="G1676" s="798"/>
      <c r="J1676" s="778" t="str">
        <f aca="false">IF(I1676="","",H1676/I1676)</f>
        <v/>
      </c>
      <c r="K1676" s="798"/>
      <c r="P1676" s="798"/>
      <c r="Q1676" s="798"/>
      <c r="R1676" s="811"/>
    </row>
    <row r="1677" customFormat="false" ht="16.5" hidden="false" customHeight="true" outlineLevel="0" collapsed="false">
      <c r="A1677" s="747"/>
      <c r="B1677" s="798"/>
      <c r="D1677" s="798"/>
      <c r="E1677" s="798"/>
      <c r="F1677" s="798"/>
      <c r="G1677" s="798"/>
      <c r="J1677" s="778" t="str">
        <f aca="false">IF(I1677="","",H1677/I1677)</f>
        <v/>
      </c>
      <c r="K1677" s="798"/>
      <c r="P1677" s="798"/>
      <c r="Q1677" s="798"/>
      <c r="R1677" s="811"/>
    </row>
    <row r="1678" customFormat="false" ht="16.5" hidden="false" customHeight="true" outlineLevel="0" collapsed="false">
      <c r="A1678" s="747"/>
      <c r="B1678" s="798"/>
      <c r="D1678" s="798"/>
      <c r="E1678" s="798"/>
      <c r="F1678" s="798"/>
      <c r="G1678" s="798"/>
      <c r="J1678" s="778" t="str">
        <f aca="false">IF(I1678="","",H1678/I1678)</f>
        <v/>
      </c>
      <c r="K1678" s="798"/>
      <c r="P1678" s="798"/>
      <c r="Q1678" s="798"/>
      <c r="R1678" s="811"/>
    </row>
    <row r="1679" customFormat="false" ht="16.5" hidden="false" customHeight="true" outlineLevel="0" collapsed="false">
      <c r="A1679" s="747"/>
      <c r="B1679" s="798"/>
      <c r="D1679" s="798"/>
      <c r="E1679" s="798"/>
      <c r="F1679" s="798"/>
      <c r="G1679" s="798"/>
      <c r="J1679" s="778" t="str">
        <f aca="false">IF(I1679="","",H1679/I1679)</f>
        <v/>
      </c>
      <c r="K1679" s="798"/>
      <c r="P1679" s="798"/>
      <c r="Q1679" s="798"/>
      <c r="R1679" s="811"/>
    </row>
    <row r="1680" customFormat="false" ht="16.5" hidden="false" customHeight="true" outlineLevel="0" collapsed="false">
      <c r="A1680" s="747"/>
      <c r="B1680" s="798"/>
      <c r="D1680" s="798"/>
      <c r="E1680" s="798"/>
      <c r="F1680" s="798"/>
      <c r="G1680" s="798"/>
      <c r="J1680" s="778" t="str">
        <f aca="false">IF(I1680="","",H1680/I1680)</f>
        <v/>
      </c>
      <c r="K1680" s="798"/>
      <c r="P1680" s="798"/>
      <c r="Q1680" s="798"/>
      <c r="R1680" s="811"/>
    </row>
    <row r="1681" customFormat="false" ht="16.5" hidden="false" customHeight="true" outlineLevel="0" collapsed="false">
      <c r="A1681" s="747"/>
      <c r="B1681" s="798"/>
      <c r="D1681" s="798"/>
      <c r="E1681" s="798"/>
      <c r="F1681" s="798"/>
      <c r="G1681" s="798"/>
      <c r="J1681" s="778" t="str">
        <f aca="false">IF(I1681="","",H1681/I1681)</f>
        <v/>
      </c>
      <c r="K1681" s="798"/>
      <c r="P1681" s="798"/>
      <c r="Q1681" s="798"/>
      <c r="R1681" s="811"/>
    </row>
    <row r="1682" customFormat="false" ht="16.5" hidden="false" customHeight="true" outlineLevel="0" collapsed="false">
      <c r="A1682" s="747"/>
      <c r="B1682" s="798"/>
      <c r="D1682" s="798"/>
      <c r="E1682" s="798"/>
      <c r="F1682" s="798"/>
      <c r="G1682" s="798"/>
      <c r="J1682" s="778" t="str">
        <f aca="false">IF(I1682="","",H1682/I1682)</f>
        <v/>
      </c>
      <c r="K1682" s="798"/>
      <c r="P1682" s="798"/>
      <c r="Q1682" s="798"/>
      <c r="R1682" s="811"/>
    </row>
    <row r="1683" customFormat="false" ht="16.5" hidden="false" customHeight="true" outlineLevel="0" collapsed="false">
      <c r="A1683" s="747"/>
      <c r="B1683" s="798"/>
      <c r="D1683" s="798"/>
      <c r="E1683" s="798"/>
      <c r="F1683" s="798"/>
      <c r="G1683" s="798"/>
      <c r="J1683" s="778" t="str">
        <f aca="false">IF(I1683="","",H1683/I1683)</f>
        <v/>
      </c>
      <c r="K1683" s="798"/>
      <c r="P1683" s="798"/>
      <c r="Q1683" s="798"/>
      <c r="R1683" s="811"/>
    </row>
    <row r="1684" customFormat="false" ht="16.5" hidden="false" customHeight="true" outlineLevel="0" collapsed="false">
      <c r="A1684" s="747"/>
      <c r="B1684" s="798"/>
      <c r="D1684" s="798"/>
      <c r="E1684" s="798"/>
      <c r="F1684" s="798"/>
      <c r="G1684" s="798"/>
      <c r="J1684" s="778" t="str">
        <f aca="false">IF(I1684="","",H1684/I1684)</f>
        <v/>
      </c>
      <c r="K1684" s="798"/>
      <c r="P1684" s="798"/>
      <c r="Q1684" s="798"/>
      <c r="R1684" s="811"/>
    </row>
    <row r="1685" customFormat="false" ht="16.5" hidden="false" customHeight="true" outlineLevel="0" collapsed="false">
      <c r="A1685" s="747"/>
      <c r="B1685" s="798"/>
      <c r="D1685" s="798"/>
      <c r="E1685" s="798"/>
      <c r="F1685" s="798"/>
      <c r="G1685" s="798"/>
      <c r="J1685" s="778" t="str">
        <f aca="false">IF(I1685="","",H1685/I1685)</f>
        <v/>
      </c>
      <c r="K1685" s="798"/>
      <c r="P1685" s="798"/>
      <c r="Q1685" s="798"/>
      <c r="R1685" s="811"/>
    </row>
    <row r="1686" customFormat="false" ht="16.5" hidden="false" customHeight="true" outlineLevel="0" collapsed="false">
      <c r="A1686" s="747"/>
      <c r="B1686" s="798"/>
      <c r="D1686" s="798"/>
      <c r="E1686" s="798"/>
      <c r="F1686" s="798"/>
      <c r="G1686" s="798"/>
      <c r="J1686" s="778" t="str">
        <f aca="false">IF(I1686="","",H1686/I1686)</f>
        <v/>
      </c>
      <c r="K1686" s="798"/>
      <c r="P1686" s="798"/>
      <c r="Q1686" s="798"/>
      <c r="R1686" s="811"/>
    </row>
    <row r="1687" customFormat="false" ht="16.5" hidden="false" customHeight="true" outlineLevel="0" collapsed="false">
      <c r="A1687" s="747"/>
      <c r="B1687" s="798"/>
      <c r="D1687" s="798"/>
      <c r="E1687" s="798"/>
      <c r="F1687" s="798"/>
      <c r="G1687" s="798"/>
      <c r="J1687" s="778" t="str">
        <f aca="false">IF(I1687="","",H1687/I1687)</f>
        <v/>
      </c>
      <c r="K1687" s="798"/>
      <c r="P1687" s="798"/>
      <c r="Q1687" s="798"/>
      <c r="R1687" s="811"/>
    </row>
    <row r="1688" customFormat="false" ht="16.5" hidden="false" customHeight="true" outlineLevel="0" collapsed="false">
      <c r="A1688" s="747"/>
      <c r="B1688" s="798"/>
      <c r="D1688" s="798"/>
      <c r="E1688" s="798"/>
      <c r="F1688" s="798"/>
      <c r="G1688" s="798"/>
      <c r="J1688" s="778" t="str">
        <f aca="false">IF(I1688="","",H1688/I1688)</f>
        <v/>
      </c>
      <c r="K1688" s="798"/>
      <c r="P1688" s="798"/>
      <c r="Q1688" s="798"/>
      <c r="R1688" s="811"/>
    </row>
    <row r="1689" customFormat="false" ht="16.5" hidden="false" customHeight="true" outlineLevel="0" collapsed="false">
      <c r="A1689" s="747"/>
      <c r="B1689" s="798"/>
      <c r="D1689" s="798"/>
      <c r="E1689" s="798"/>
      <c r="F1689" s="798"/>
      <c r="G1689" s="798"/>
      <c r="J1689" s="778" t="str">
        <f aca="false">IF(I1689="","",H1689/I1689)</f>
        <v/>
      </c>
      <c r="K1689" s="798"/>
      <c r="P1689" s="798"/>
      <c r="Q1689" s="798"/>
      <c r="R1689" s="811"/>
    </row>
    <row r="1690" customFormat="false" ht="16.5" hidden="false" customHeight="true" outlineLevel="0" collapsed="false">
      <c r="A1690" s="747"/>
      <c r="B1690" s="798"/>
      <c r="D1690" s="798"/>
      <c r="E1690" s="798"/>
      <c r="F1690" s="798"/>
      <c r="G1690" s="798"/>
      <c r="J1690" s="778" t="str">
        <f aca="false">IF(I1690="","",H1690/I1690)</f>
        <v/>
      </c>
      <c r="K1690" s="798"/>
      <c r="P1690" s="798"/>
      <c r="Q1690" s="798"/>
      <c r="R1690" s="811"/>
    </row>
    <row r="1691" customFormat="false" ht="16.5" hidden="false" customHeight="true" outlineLevel="0" collapsed="false">
      <c r="A1691" s="747"/>
      <c r="B1691" s="798"/>
      <c r="D1691" s="798"/>
      <c r="E1691" s="798"/>
      <c r="F1691" s="798"/>
      <c r="G1691" s="798"/>
      <c r="J1691" s="778" t="str">
        <f aca="false">IF(I1691="","",H1691/I1691)</f>
        <v/>
      </c>
      <c r="K1691" s="798"/>
      <c r="P1691" s="798"/>
      <c r="Q1691" s="798"/>
      <c r="R1691" s="811"/>
    </row>
    <row r="1692" customFormat="false" ht="16.5" hidden="false" customHeight="true" outlineLevel="0" collapsed="false">
      <c r="A1692" s="747"/>
      <c r="B1692" s="798"/>
      <c r="D1692" s="798"/>
      <c r="E1692" s="798"/>
      <c r="F1692" s="798"/>
      <c r="G1692" s="798"/>
      <c r="J1692" s="778" t="str">
        <f aca="false">IF(I1692="","",H1692/I1692)</f>
        <v/>
      </c>
      <c r="K1692" s="798"/>
      <c r="P1692" s="798"/>
      <c r="Q1692" s="798"/>
      <c r="R1692" s="811"/>
    </row>
    <row r="1693" customFormat="false" ht="16.5" hidden="false" customHeight="true" outlineLevel="0" collapsed="false">
      <c r="A1693" s="747"/>
      <c r="B1693" s="798"/>
      <c r="D1693" s="798"/>
      <c r="E1693" s="798"/>
      <c r="F1693" s="798"/>
      <c r="G1693" s="798"/>
      <c r="J1693" s="778" t="str">
        <f aca="false">IF(I1693="","",H1693/I1693)</f>
        <v/>
      </c>
      <c r="K1693" s="798"/>
      <c r="P1693" s="798"/>
      <c r="Q1693" s="798"/>
      <c r="R1693" s="811"/>
    </row>
    <row r="1694" customFormat="false" ht="16.5" hidden="false" customHeight="true" outlineLevel="0" collapsed="false">
      <c r="A1694" s="747"/>
      <c r="B1694" s="798"/>
      <c r="D1694" s="798"/>
      <c r="E1694" s="798"/>
      <c r="F1694" s="798"/>
      <c r="G1694" s="798"/>
      <c r="J1694" s="778" t="str">
        <f aca="false">IF(I1694="","",H1694/I1694)</f>
        <v/>
      </c>
      <c r="K1694" s="798"/>
      <c r="P1694" s="798"/>
      <c r="Q1694" s="798"/>
      <c r="R1694" s="811"/>
    </row>
    <row r="1695" customFormat="false" ht="16.5" hidden="false" customHeight="true" outlineLevel="0" collapsed="false">
      <c r="A1695" s="747"/>
      <c r="B1695" s="798"/>
      <c r="D1695" s="798"/>
      <c r="E1695" s="798"/>
      <c r="F1695" s="798"/>
      <c r="G1695" s="798"/>
      <c r="J1695" s="778" t="str">
        <f aca="false">IF(I1695="","",H1695/I1695)</f>
        <v/>
      </c>
      <c r="K1695" s="798"/>
      <c r="P1695" s="798"/>
      <c r="Q1695" s="798"/>
      <c r="R1695" s="811"/>
    </row>
    <row r="1696" customFormat="false" ht="16.5" hidden="false" customHeight="true" outlineLevel="0" collapsed="false">
      <c r="A1696" s="747"/>
      <c r="B1696" s="798"/>
      <c r="D1696" s="798"/>
      <c r="E1696" s="798"/>
      <c r="F1696" s="798"/>
      <c r="G1696" s="798"/>
      <c r="J1696" s="778" t="str">
        <f aca="false">IF(I1696="","",H1696/I1696)</f>
        <v/>
      </c>
      <c r="K1696" s="798"/>
      <c r="P1696" s="798"/>
      <c r="Q1696" s="798"/>
      <c r="R1696" s="811"/>
    </row>
    <row r="1697" customFormat="false" ht="16.5" hidden="false" customHeight="true" outlineLevel="0" collapsed="false">
      <c r="A1697" s="747"/>
      <c r="B1697" s="798"/>
      <c r="D1697" s="798"/>
      <c r="E1697" s="798"/>
      <c r="F1697" s="798"/>
      <c r="G1697" s="798"/>
      <c r="J1697" s="778" t="str">
        <f aca="false">IF(I1697="","",H1697/I1697)</f>
        <v/>
      </c>
      <c r="K1697" s="798"/>
      <c r="P1697" s="798"/>
      <c r="Q1697" s="798"/>
      <c r="R1697" s="811"/>
    </row>
    <row r="1698" customFormat="false" ht="16.5" hidden="false" customHeight="true" outlineLevel="0" collapsed="false">
      <c r="A1698" s="747"/>
      <c r="B1698" s="798"/>
      <c r="D1698" s="798"/>
      <c r="E1698" s="798"/>
      <c r="F1698" s="798"/>
      <c r="G1698" s="798"/>
      <c r="J1698" s="778" t="str">
        <f aca="false">IF(I1698="","",H1698/I1698)</f>
        <v/>
      </c>
      <c r="K1698" s="798"/>
      <c r="P1698" s="798"/>
      <c r="Q1698" s="798"/>
      <c r="R1698" s="811"/>
    </row>
    <row r="1699" customFormat="false" ht="16.5" hidden="false" customHeight="true" outlineLevel="0" collapsed="false">
      <c r="A1699" s="747"/>
      <c r="B1699" s="798"/>
      <c r="D1699" s="798"/>
      <c r="E1699" s="798"/>
      <c r="F1699" s="798"/>
      <c r="G1699" s="798"/>
      <c r="J1699" s="778" t="str">
        <f aca="false">IF(I1699="","",H1699/I1699)</f>
        <v/>
      </c>
      <c r="K1699" s="798"/>
      <c r="P1699" s="798"/>
      <c r="Q1699" s="798"/>
      <c r="R1699" s="811"/>
    </row>
    <row r="1700" customFormat="false" ht="16.5" hidden="false" customHeight="true" outlineLevel="0" collapsed="false">
      <c r="A1700" s="747"/>
      <c r="B1700" s="798"/>
      <c r="D1700" s="798"/>
      <c r="E1700" s="798"/>
      <c r="F1700" s="798"/>
      <c r="G1700" s="798"/>
      <c r="J1700" s="778" t="str">
        <f aca="false">IF(I1700="","",H1700/I1700)</f>
        <v/>
      </c>
      <c r="K1700" s="798"/>
      <c r="P1700" s="798"/>
      <c r="Q1700" s="798"/>
      <c r="R1700" s="811"/>
    </row>
    <row r="1701" customFormat="false" ht="16.5" hidden="false" customHeight="true" outlineLevel="0" collapsed="false">
      <c r="A1701" s="747"/>
      <c r="B1701" s="798"/>
      <c r="D1701" s="798"/>
      <c r="E1701" s="798"/>
      <c r="F1701" s="798"/>
      <c r="G1701" s="798"/>
      <c r="J1701" s="778" t="str">
        <f aca="false">IF(I1701="","",H1701/I1701)</f>
        <v/>
      </c>
      <c r="K1701" s="798"/>
      <c r="P1701" s="798"/>
      <c r="Q1701" s="798"/>
      <c r="R1701" s="811"/>
    </row>
    <row r="1702" customFormat="false" ht="16.5" hidden="false" customHeight="true" outlineLevel="0" collapsed="false">
      <c r="A1702" s="747"/>
      <c r="B1702" s="798"/>
      <c r="D1702" s="798"/>
      <c r="E1702" s="798"/>
      <c r="F1702" s="798"/>
      <c r="G1702" s="798"/>
      <c r="J1702" s="778" t="str">
        <f aca="false">IF(I1702="","",H1702/I1702)</f>
        <v/>
      </c>
      <c r="K1702" s="798"/>
      <c r="P1702" s="798"/>
      <c r="Q1702" s="798"/>
      <c r="R1702" s="811"/>
    </row>
    <row r="1703" customFormat="false" ht="16.5" hidden="false" customHeight="true" outlineLevel="0" collapsed="false">
      <c r="A1703" s="747"/>
      <c r="B1703" s="798"/>
      <c r="D1703" s="798"/>
      <c r="E1703" s="798"/>
      <c r="F1703" s="798"/>
      <c r="G1703" s="798"/>
      <c r="J1703" s="778" t="str">
        <f aca="false">IF(I1703="","",H1703/I1703)</f>
        <v/>
      </c>
      <c r="K1703" s="798"/>
      <c r="P1703" s="798"/>
      <c r="Q1703" s="798"/>
      <c r="R1703" s="811"/>
    </row>
    <row r="1704" customFormat="false" ht="16.5" hidden="false" customHeight="true" outlineLevel="0" collapsed="false">
      <c r="A1704" s="747"/>
      <c r="B1704" s="798"/>
      <c r="D1704" s="798"/>
      <c r="E1704" s="798"/>
      <c r="F1704" s="798"/>
      <c r="G1704" s="798"/>
      <c r="J1704" s="778" t="str">
        <f aca="false">IF(I1704="","",H1704/I1704)</f>
        <v/>
      </c>
      <c r="K1704" s="798"/>
      <c r="P1704" s="798"/>
      <c r="Q1704" s="798"/>
      <c r="R1704" s="811"/>
    </row>
    <row r="1705" customFormat="false" ht="16.5" hidden="false" customHeight="true" outlineLevel="0" collapsed="false">
      <c r="A1705" s="747"/>
      <c r="B1705" s="798"/>
      <c r="D1705" s="798"/>
      <c r="E1705" s="798"/>
      <c r="F1705" s="798"/>
      <c r="G1705" s="798"/>
      <c r="J1705" s="778" t="str">
        <f aca="false">IF(I1705="","",H1705/I1705)</f>
        <v/>
      </c>
      <c r="K1705" s="798"/>
      <c r="P1705" s="798"/>
      <c r="Q1705" s="798"/>
      <c r="R1705" s="811"/>
    </row>
    <row r="1706" customFormat="false" ht="16.5" hidden="false" customHeight="true" outlineLevel="0" collapsed="false">
      <c r="A1706" s="747"/>
      <c r="B1706" s="798"/>
      <c r="D1706" s="798"/>
      <c r="E1706" s="798"/>
      <c r="F1706" s="798"/>
      <c r="G1706" s="798"/>
      <c r="J1706" s="778" t="str">
        <f aca="false">IF(I1706="","",H1706/I1706)</f>
        <v/>
      </c>
      <c r="K1706" s="798"/>
      <c r="P1706" s="798"/>
      <c r="Q1706" s="798"/>
      <c r="R1706" s="811"/>
    </row>
    <row r="1707" customFormat="false" ht="16.5" hidden="false" customHeight="true" outlineLevel="0" collapsed="false">
      <c r="A1707" s="747"/>
      <c r="B1707" s="798"/>
      <c r="D1707" s="798"/>
      <c r="E1707" s="798"/>
      <c r="F1707" s="798"/>
      <c r="G1707" s="798"/>
      <c r="J1707" s="778" t="str">
        <f aca="false">IF(I1707="","",H1707/I1707)</f>
        <v/>
      </c>
      <c r="K1707" s="798"/>
      <c r="P1707" s="798"/>
      <c r="Q1707" s="798"/>
      <c r="R1707" s="811"/>
    </row>
    <row r="1708" customFormat="false" ht="16.5" hidden="false" customHeight="true" outlineLevel="0" collapsed="false">
      <c r="A1708" s="747"/>
      <c r="B1708" s="798"/>
      <c r="D1708" s="798"/>
      <c r="E1708" s="798"/>
      <c r="F1708" s="798"/>
      <c r="G1708" s="798"/>
      <c r="J1708" s="778" t="str">
        <f aca="false">IF(I1708="","",H1708/I1708)</f>
        <v/>
      </c>
      <c r="K1708" s="798"/>
      <c r="P1708" s="798"/>
      <c r="Q1708" s="798"/>
      <c r="R1708" s="811"/>
    </row>
    <row r="1709" customFormat="false" ht="16.5" hidden="false" customHeight="true" outlineLevel="0" collapsed="false">
      <c r="A1709" s="747"/>
      <c r="B1709" s="798"/>
      <c r="D1709" s="798"/>
      <c r="E1709" s="798"/>
      <c r="F1709" s="798"/>
      <c r="G1709" s="798"/>
      <c r="J1709" s="778" t="str">
        <f aca="false">IF(I1709="","",H1709/I1709)</f>
        <v/>
      </c>
      <c r="K1709" s="798"/>
      <c r="P1709" s="798"/>
      <c r="Q1709" s="798"/>
      <c r="R1709" s="811"/>
    </row>
    <row r="1710" customFormat="false" ht="16.5" hidden="false" customHeight="true" outlineLevel="0" collapsed="false">
      <c r="A1710" s="747"/>
      <c r="B1710" s="798"/>
      <c r="D1710" s="798"/>
      <c r="E1710" s="798"/>
      <c r="F1710" s="798"/>
      <c r="G1710" s="798"/>
      <c r="J1710" s="778" t="str">
        <f aca="false">IF(I1710="","",H1710/I1710)</f>
        <v/>
      </c>
      <c r="K1710" s="798"/>
      <c r="P1710" s="798"/>
      <c r="Q1710" s="798"/>
      <c r="R1710" s="811"/>
    </row>
    <row r="1711" customFormat="false" ht="16.5" hidden="false" customHeight="true" outlineLevel="0" collapsed="false">
      <c r="A1711" s="747"/>
      <c r="B1711" s="798"/>
      <c r="D1711" s="798"/>
      <c r="E1711" s="798"/>
      <c r="F1711" s="798"/>
      <c r="G1711" s="798"/>
      <c r="J1711" s="778" t="str">
        <f aca="false">IF(I1711="","",H1711/I1711)</f>
        <v/>
      </c>
      <c r="K1711" s="798"/>
      <c r="P1711" s="798"/>
      <c r="Q1711" s="798"/>
      <c r="R1711" s="811"/>
    </row>
    <row r="1712" customFormat="false" ht="16.5" hidden="false" customHeight="true" outlineLevel="0" collapsed="false">
      <c r="A1712" s="747"/>
      <c r="B1712" s="798"/>
      <c r="D1712" s="798"/>
      <c r="E1712" s="798"/>
      <c r="F1712" s="798"/>
      <c r="G1712" s="798"/>
      <c r="J1712" s="778" t="str">
        <f aca="false">IF(I1712="","",H1712/I1712)</f>
        <v/>
      </c>
      <c r="K1712" s="798"/>
      <c r="P1712" s="798"/>
      <c r="Q1712" s="798"/>
      <c r="R1712" s="811"/>
    </row>
    <row r="1713" customFormat="false" ht="16.5" hidden="false" customHeight="true" outlineLevel="0" collapsed="false">
      <c r="A1713" s="747"/>
      <c r="B1713" s="798"/>
      <c r="D1713" s="798"/>
      <c r="E1713" s="798"/>
      <c r="F1713" s="798"/>
      <c r="G1713" s="798"/>
      <c r="J1713" s="778" t="str">
        <f aca="false">IF(I1713="","",H1713/I1713)</f>
        <v/>
      </c>
      <c r="K1713" s="798"/>
      <c r="P1713" s="798"/>
      <c r="Q1713" s="798"/>
      <c r="R1713" s="811"/>
    </row>
    <row r="1714" customFormat="false" ht="16.5" hidden="false" customHeight="true" outlineLevel="0" collapsed="false">
      <c r="A1714" s="747"/>
      <c r="B1714" s="798"/>
      <c r="D1714" s="798"/>
      <c r="E1714" s="798"/>
      <c r="F1714" s="798"/>
      <c r="G1714" s="798"/>
      <c r="J1714" s="778" t="str">
        <f aca="false">IF(I1714="","",H1714/I1714)</f>
        <v/>
      </c>
      <c r="K1714" s="798"/>
      <c r="P1714" s="798"/>
      <c r="Q1714" s="798"/>
      <c r="R1714" s="811"/>
    </row>
    <row r="1715" customFormat="false" ht="16.5" hidden="false" customHeight="true" outlineLevel="0" collapsed="false">
      <c r="A1715" s="747"/>
      <c r="B1715" s="798"/>
      <c r="D1715" s="798"/>
      <c r="E1715" s="798"/>
      <c r="F1715" s="798"/>
      <c r="G1715" s="798"/>
      <c r="J1715" s="778" t="str">
        <f aca="false">IF(I1715="","",H1715/I1715)</f>
        <v/>
      </c>
      <c r="K1715" s="798"/>
      <c r="P1715" s="798"/>
      <c r="Q1715" s="798"/>
      <c r="R1715" s="811"/>
    </row>
    <row r="1716" customFormat="false" ht="16.5" hidden="false" customHeight="true" outlineLevel="0" collapsed="false">
      <c r="A1716" s="747"/>
      <c r="B1716" s="798"/>
      <c r="D1716" s="798"/>
      <c r="E1716" s="798"/>
      <c r="F1716" s="798"/>
      <c r="G1716" s="798"/>
      <c r="J1716" s="778" t="str">
        <f aca="false">IF(I1716="","",H1716/I1716)</f>
        <v/>
      </c>
      <c r="K1716" s="798"/>
      <c r="P1716" s="798"/>
      <c r="Q1716" s="798"/>
      <c r="R1716" s="811"/>
    </row>
    <row r="1717" customFormat="false" ht="16.5" hidden="false" customHeight="true" outlineLevel="0" collapsed="false">
      <c r="A1717" s="747"/>
      <c r="B1717" s="798"/>
      <c r="D1717" s="798"/>
      <c r="E1717" s="798"/>
      <c r="F1717" s="798"/>
      <c r="G1717" s="798"/>
      <c r="J1717" s="778" t="str">
        <f aca="false">IF(I1717="","",H1717/I1717)</f>
        <v/>
      </c>
      <c r="K1717" s="798"/>
      <c r="P1717" s="798"/>
      <c r="Q1717" s="798"/>
      <c r="R1717" s="811"/>
    </row>
    <row r="1718" customFormat="false" ht="16.5" hidden="false" customHeight="true" outlineLevel="0" collapsed="false">
      <c r="A1718" s="747"/>
      <c r="B1718" s="798"/>
      <c r="D1718" s="798"/>
      <c r="E1718" s="798"/>
      <c r="F1718" s="798"/>
      <c r="G1718" s="798"/>
      <c r="J1718" s="778" t="str">
        <f aca="false">IF(I1718="","",H1718/I1718)</f>
        <v/>
      </c>
      <c r="K1718" s="798"/>
      <c r="P1718" s="798"/>
      <c r="Q1718" s="798"/>
      <c r="R1718" s="811"/>
    </row>
    <row r="1719" customFormat="false" ht="16.5" hidden="false" customHeight="true" outlineLevel="0" collapsed="false">
      <c r="A1719" s="747"/>
      <c r="B1719" s="798"/>
      <c r="D1719" s="798"/>
      <c r="E1719" s="798"/>
      <c r="F1719" s="798"/>
      <c r="G1719" s="798"/>
      <c r="J1719" s="778" t="str">
        <f aca="false">IF(I1719="","",H1719/I1719)</f>
        <v/>
      </c>
      <c r="K1719" s="798"/>
      <c r="P1719" s="798"/>
      <c r="Q1719" s="798"/>
      <c r="R1719" s="811"/>
    </row>
    <row r="1720" customFormat="false" ht="16.5" hidden="false" customHeight="true" outlineLevel="0" collapsed="false">
      <c r="A1720" s="747"/>
      <c r="B1720" s="798"/>
      <c r="D1720" s="798"/>
      <c r="E1720" s="798"/>
      <c r="F1720" s="798"/>
      <c r="G1720" s="798"/>
      <c r="J1720" s="778" t="str">
        <f aca="false">IF(I1720="","",H1720/I1720)</f>
        <v/>
      </c>
      <c r="K1720" s="798"/>
      <c r="P1720" s="798"/>
      <c r="Q1720" s="798"/>
      <c r="R1720" s="811"/>
    </row>
    <row r="1721" customFormat="false" ht="16.5" hidden="false" customHeight="true" outlineLevel="0" collapsed="false">
      <c r="A1721" s="747"/>
      <c r="B1721" s="798"/>
      <c r="D1721" s="798"/>
      <c r="E1721" s="798"/>
      <c r="F1721" s="798"/>
      <c r="G1721" s="798"/>
      <c r="J1721" s="778" t="str">
        <f aca="false">IF(I1721="","",H1721/I1721)</f>
        <v/>
      </c>
      <c r="K1721" s="798"/>
      <c r="P1721" s="798"/>
      <c r="Q1721" s="798"/>
      <c r="R1721" s="811"/>
    </row>
    <row r="1722" customFormat="false" ht="16.5" hidden="false" customHeight="true" outlineLevel="0" collapsed="false">
      <c r="A1722" s="747"/>
      <c r="B1722" s="798"/>
      <c r="D1722" s="798"/>
      <c r="E1722" s="798"/>
      <c r="F1722" s="798"/>
      <c r="G1722" s="798"/>
      <c r="J1722" s="778" t="str">
        <f aca="false">IF(I1722="","",H1722/I1722)</f>
        <v/>
      </c>
      <c r="K1722" s="798"/>
      <c r="P1722" s="798"/>
      <c r="Q1722" s="798"/>
      <c r="R1722" s="811"/>
    </row>
    <row r="1723" customFormat="false" ht="16.5" hidden="false" customHeight="true" outlineLevel="0" collapsed="false">
      <c r="A1723" s="747"/>
      <c r="B1723" s="798"/>
      <c r="D1723" s="798"/>
      <c r="E1723" s="798"/>
      <c r="F1723" s="798"/>
      <c r="G1723" s="798"/>
      <c r="J1723" s="778" t="str">
        <f aca="false">IF(I1723="","",H1723/I1723)</f>
        <v/>
      </c>
      <c r="K1723" s="798"/>
      <c r="P1723" s="798"/>
      <c r="Q1723" s="798"/>
      <c r="R1723" s="811"/>
    </row>
    <row r="1724" customFormat="false" ht="16.5" hidden="false" customHeight="true" outlineLevel="0" collapsed="false">
      <c r="A1724" s="747"/>
      <c r="B1724" s="798"/>
      <c r="D1724" s="798"/>
      <c r="E1724" s="798"/>
      <c r="F1724" s="798"/>
      <c r="G1724" s="798"/>
      <c r="J1724" s="778" t="str">
        <f aca="false">IF(I1724="","",H1724/I1724)</f>
        <v/>
      </c>
      <c r="K1724" s="798"/>
      <c r="P1724" s="798"/>
      <c r="Q1724" s="798"/>
      <c r="R1724" s="811"/>
    </row>
    <row r="1725" customFormat="false" ht="16.5" hidden="false" customHeight="true" outlineLevel="0" collapsed="false">
      <c r="A1725" s="747"/>
      <c r="B1725" s="798"/>
      <c r="D1725" s="798"/>
      <c r="E1725" s="798"/>
      <c r="F1725" s="798"/>
      <c r="G1725" s="798"/>
      <c r="J1725" s="778" t="str">
        <f aca="false">IF(I1725="","",H1725/I1725)</f>
        <v/>
      </c>
      <c r="K1725" s="798"/>
      <c r="P1725" s="798"/>
      <c r="Q1725" s="798"/>
      <c r="R1725" s="811"/>
    </row>
    <row r="1726" customFormat="false" ht="16.5" hidden="false" customHeight="true" outlineLevel="0" collapsed="false">
      <c r="A1726" s="747"/>
      <c r="B1726" s="798"/>
      <c r="D1726" s="798"/>
      <c r="E1726" s="798"/>
      <c r="F1726" s="798"/>
      <c r="G1726" s="798"/>
      <c r="J1726" s="778" t="str">
        <f aca="false">IF(I1726="","",H1726/I1726)</f>
        <v/>
      </c>
      <c r="K1726" s="798"/>
      <c r="P1726" s="798"/>
      <c r="Q1726" s="798"/>
      <c r="R1726" s="811"/>
    </row>
    <row r="1727" customFormat="false" ht="16.5" hidden="false" customHeight="true" outlineLevel="0" collapsed="false">
      <c r="A1727" s="747"/>
      <c r="B1727" s="798"/>
      <c r="D1727" s="798"/>
      <c r="E1727" s="798"/>
      <c r="F1727" s="798"/>
      <c r="G1727" s="798"/>
      <c r="J1727" s="778" t="str">
        <f aca="false">IF(I1727="","",H1727/I1727)</f>
        <v/>
      </c>
      <c r="K1727" s="798"/>
      <c r="P1727" s="798"/>
      <c r="Q1727" s="798"/>
      <c r="R1727" s="811"/>
    </row>
    <row r="1728" customFormat="false" ht="16.5" hidden="false" customHeight="true" outlineLevel="0" collapsed="false">
      <c r="A1728" s="747"/>
      <c r="B1728" s="798"/>
      <c r="D1728" s="798"/>
      <c r="E1728" s="798"/>
      <c r="F1728" s="798"/>
      <c r="G1728" s="798"/>
      <c r="J1728" s="778" t="str">
        <f aca="false">IF(I1728="","",H1728/I1728)</f>
        <v/>
      </c>
      <c r="K1728" s="798"/>
      <c r="P1728" s="798"/>
      <c r="Q1728" s="798"/>
      <c r="R1728" s="811"/>
    </row>
    <row r="1729" customFormat="false" ht="16.5" hidden="false" customHeight="true" outlineLevel="0" collapsed="false">
      <c r="A1729" s="747"/>
      <c r="B1729" s="798"/>
      <c r="D1729" s="798"/>
      <c r="E1729" s="798"/>
      <c r="F1729" s="798"/>
      <c r="G1729" s="798"/>
      <c r="J1729" s="778" t="str">
        <f aca="false">IF(I1729="","",H1729/I1729)</f>
        <v/>
      </c>
      <c r="K1729" s="798"/>
      <c r="P1729" s="798"/>
      <c r="Q1729" s="798"/>
      <c r="R1729" s="811"/>
    </row>
    <row r="1730" customFormat="false" ht="16.5" hidden="false" customHeight="true" outlineLevel="0" collapsed="false">
      <c r="A1730" s="747"/>
      <c r="B1730" s="798"/>
      <c r="D1730" s="798"/>
      <c r="E1730" s="798"/>
      <c r="F1730" s="798"/>
      <c r="G1730" s="798"/>
      <c r="J1730" s="778" t="str">
        <f aca="false">IF(I1730="","",H1730/I1730)</f>
        <v/>
      </c>
      <c r="K1730" s="798"/>
      <c r="P1730" s="798"/>
      <c r="Q1730" s="798"/>
      <c r="R1730" s="811"/>
    </row>
    <row r="1731" customFormat="false" ht="16.5" hidden="false" customHeight="true" outlineLevel="0" collapsed="false">
      <c r="A1731" s="747"/>
      <c r="B1731" s="798"/>
      <c r="D1731" s="798"/>
      <c r="E1731" s="798"/>
      <c r="F1731" s="798"/>
      <c r="G1731" s="798"/>
      <c r="J1731" s="778" t="str">
        <f aca="false">IF(I1731="","",H1731/I1731)</f>
        <v/>
      </c>
      <c r="K1731" s="798"/>
      <c r="P1731" s="798"/>
      <c r="Q1731" s="798"/>
      <c r="R1731" s="811"/>
    </row>
    <row r="1732" customFormat="false" ht="16.5" hidden="false" customHeight="true" outlineLevel="0" collapsed="false">
      <c r="A1732" s="747"/>
      <c r="B1732" s="798"/>
      <c r="D1732" s="798"/>
      <c r="E1732" s="798"/>
      <c r="F1732" s="798"/>
      <c r="G1732" s="798"/>
      <c r="J1732" s="778" t="str">
        <f aca="false">IF(I1732="","",H1732/I1732)</f>
        <v/>
      </c>
      <c r="K1732" s="798"/>
      <c r="P1732" s="798"/>
      <c r="Q1732" s="798"/>
      <c r="R1732" s="811"/>
    </row>
    <row r="1733" customFormat="false" ht="16.5" hidden="false" customHeight="true" outlineLevel="0" collapsed="false">
      <c r="A1733" s="747"/>
      <c r="B1733" s="798"/>
      <c r="D1733" s="798"/>
      <c r="E1733" s="798"/>
      <c r="F1733" s="798"/>
      <c r="G1733" s="798"/>
      <c r="J1733" s="778" t="str">
        <f aca="false">IF(I1733="","",H1733/I1733)</f>
        <v/>
      </c>
      <c r="K1733" s="798"/>
      <c r="P1733" s="798"/>
      <c r="Q1733" s="798"/>
      <c r="R1733" s="811"/>
    </row>
    <row r="1734" customFormat="false" ht="16.5" hidden="false" customHeight="true" outlineLevel="0" collapsed="false">
      <c r="A1734" s="747"/>
      <c r="B1734" s="798"/>
      <c r="D1734" s="798"/>
      <c r="E1734" s="798"/>
      <c r="F1734" s="798"/>
      <c r="G1734" s="798"/>
      <c r="J1734" s="778" t="str">
        <f aca="false">IF(I1734="","",H1734/I1734)</f>
        <v/>
      </c>
      <c r="K1734" s="798"/>
      <c r="P1734" s="798"/>
      <c r="Q1734" s="798"/>
      <c r="R1734" s="811"/>
    </row>
    <row r="1735" customFormat="false" ht="16.5" hidden="false" customHeight="true" outlineLevel="0" collapsed="false">
      <c r="A1735" s="747"/>
      <c r="B1735" s="798"/>
      <c r="D1735" s="798"/>
      <c r="E1735" s="798"/>
      <c r="F1735" s="798"/>
      <c r="G1735" s="798"/>
      <c r="J1735" s="778" t="str">
        <f aca="false">IF(I1735="","",H1735/I1735)</f>
        <v/>
      </c>
      <c r="K1735" s="798"/>
      <c r="P1735" s="798"/>
      <c r="Q1735" s="798"/>
      <c r="R1735" s="811"/>
    </row>
    <row r="1736" customFormat="false" ht="16.5" hidden="false" customHeight="true" outlineLevel="0" collapsed="false">
      <c r="A1736" s="747"/>
      <c r="B1736" s="798"/>
      <c r="D1736" s="798"/>
      <c r="E1736" s="798"/>
      <c r="F1736" s="798"/>
      <c r="G1736" s="798"/>
      <c r="J1736" s="778" t="str">
        <f aca="false">IF(I1736="","",H1736/I1736)</f>
        <v/>
      </c>
      <c r="K1736" s="798"/>
      <c r="P1736" s="798"/>
      <c r="Q1736" s="798"/>
      <c r="R1736" s="811"/>
    </row>
    <row r="1737" customFormat="false" ht="16.5" hidden="false" customHeight="true" outlineLevel="0" collapsed="false">
      <c r="A1737" s="747"/>
      <c r="B1737" s="798"/>
      <c r="D1737" s="798"/>
      <c r="E1737" s="798"/>
      <c r="F1737" s="798"/>
      <c r="G1737" s="798"/>
      <c r="J1737" s="778" t="str">
        <f aca="false">IF(I1737="","",H1737/I1737)</f>
        <v/>
      </c>
      <c r="K1737" s="798"/>
      <c r="P1737" s="798"/>
      <c r="Q1737" s="798"/>
      <c r="R1737" s="811"/>
    </row>
    <row r="1738" customFormat="false" ht="16.5" hidden="false" customHeight="true" outlineLevel="0" collapsed="false">
      <c r="A1738" s="747"/>
      <c r="B1738" s="798"/>
      <c r="D1738" s="798"/>
      <c r="E1738" s="798"/>
      <c r="F1738" s="798"/>
      <c r="G1738" s="798"/>
      <c r="J1738" s="778" t="str">
        <f aca="false">IF(I1738="","",H1738/I1738)</f>
        <v/>
      </c>
      <c r="K1738" s="798"/>
      <c r="P1738" s="798"/>
      <c r="Q1738" s="798"/>
      <c r="R1738" s="811"/>
    </row>
    <row r="1739" customFormat="false" ht="16.5" hidden="false" customHeight="true" outlineLevel="0" collapsed="false">
      <c r="A1739" s="747"/>
      <c r="B1739" s="798"/>
      <c r="D1739" s="798"/>
      <c r="E1739" s="798"/>
      <c r="F1739" s="798"/>
      <c r="G1739" s="798"/>
      <c r="J1739" s="778" t="str">
        <f aca="false">IF(I1739="","",H1739/I1739)</f>
        <v/>
      </c>
      <c r="K1739" s="798"/>
      <c r="P1739" s="798"/>
      <c r="Q1739" s="798"/>
      <c r="R1739" s="811"/>
    </row>
    <row r="1740" customFormat="false" ht="16.5" hidden="false" customHeight="true" outlineLevel="0" collapsed="false">
      <c r="A1740" s="747"/>
      <c r="B1740" s="798"/>
      <c r="D1740" s="798"/>
      <c r="E1740" s="798"/>
      <c r="F1740" s="798"/>
      <c r="G1740" s="798"/>
      <c r="J1740" s="778" t="str">
        <f aca="false">IF(I1740="","",H1740/I1740)</f>
        <v/>
      </c>
      <c r="K1740" s="798"/>
      <c r="P1740" s="798"/>
      <c r="Q1740" s="798"/>
      <c r="R1740" s="811"/>
    </row>
    <row r="1741" customFormat="false" ht="16.5" hidden="false" customHeight="true" outlineLevel="0" collapsed="false">
      <c r="A1741" s="747"/>
      <c r="B1741" s="798"/>
      <c r="D1741" s="798"/>
      <c r="E1741" s="798"/>
      <c r="F1741" s="798"/>
      <c r="G1741" s="798"/>
      <c r="J1741" s="778" t="str">
        <f aca="false">IF(I1741="","",H1741/I1741)</f>
        <v/>
      </c>
      <c r="K1741" s="798"/>
      <c r="P1741" s="798"/>
      <c r="Q1741" s="798"/>
      <c r="R1741" s="811"/>
    </row>
    <row r="1742" customFormat="false" ht="16.5" hidden="false" customHeight="true" outlineLevel="0" collapsed="false">
      <c r="A1742" s="747"/>
      <c r="B1742" s="798"/>
      <c r="D1742" s="798"/>
      <c r="E1742" s="798"/>
      <c r="F1742" s="798"/>
      <c r="G1742" s="798"/>
      <c r="J1742" s="778" t="str">
        <f aca="false">IF(I1742="","",H1742/I1742)</f>
        <v/>
      </c>
      <c r="K1742" s="798"/>
      <c r="P1742" s="798"/>
      <c r="Q1742" s="798"/>
      <c r="R1742" s="811"/>
    </row>
    <row r="1743" customFormat="false" ht="16.5" hidden="false" customHeight="true" outlineLevel="0" collapsed="false">
      <c r="A1743" s="747"/>
      <c r="B1743" s="798"/>
      <c r="D1743" s="798"/>
      <c r="E1743" s="798"/>
      <c r="F1743" s="798"/>
      <c r="G1743" s="798"/>
      <c r="J1743" s="778" t="str">
        <f aca="false">IF(I1743="","",H1743/I1743)</f>
        <v/>
      </c>
      <c r="K1743" s="798"/>
      <c r="P1743" s="798"/>
      <c r="Q1743" s="798"/>
      <c r="R1743" s="811"/>
    </row>
    <row r="1744" customFormat="false" ht="16.5" hidden="false" customHeight="true" outlineLevel="0" collapsed="false">
      <c r="A1744" s="747"/>
      <c r="B1744" s="798"/>
      <c r="D1744" s="798"/>
      <c r="E1744" s="798"/>
      <c r="F1744" s="798"/>
      <c r="G1744" s="798"/>
      <c r="J1744" s="778" t="str">
        <f aca="false">IF(I1744="","",H1744/I1744)</f>
        <v/>
      </c>
      <c r="K1744" s="798"/>
      <c r="P1744" s="798"/>
      <c r="Q1744" s="798"/>
      <c r="R1744" s="811"/>
    </row>
    <row r="1745" customFormat="false" ht="16.5" hidden="false" customHeight="true" outlineLevel="0" collapsed="false">
      <c r="A1745" s="747"/>
      <c r="B1745" s="798"/>
      <c r="D1745" s="798"/>
      <c r="E1745" s="798"/>
      <c r="F1745" s="798"/>
      <c r="G1745" s="798"/>
      <c r="J1745" s="778" t="str">
        <f aca="false">IF(I1745="","",H1745/I1745)</f>
        <v/>
      </c>
      <c r="K1745" s="798"/>
      <c r="P1745" s="798"/>
      <c r="Q1745" s="798"/>
      <c r="R1745" s="811"/>
    </row>
    <row r="1746" customFormat="false" ht="16.5" hidden="false" customHeight="true" outlineLevel="0" collapsed="false">
      <c r="A1746" s="747"/>
      <c r="B1746" s="798"/>
      <c r="D1746" s="798"/>
      <c r="E1746" s="798"/>
      <c r="F1746" s="798"/>
      <c r="G1746" s="798"/>
      <c r="J1746" s="778" t="str">
        <f aca="false">IF(I1746="","",H1746/I1746)</f>
        <v/>
      </c>
      <c r="K1746" s="798"/>
      <c r="P1746" s="798"/>
      <c r="Q1746" s="798"/>
      <c r="R1746" s="811"/>
    </row>
    <row r="1747" customFormat="false" ht="16.5" hidden="false" customHeight="true" outlineLevel="0" collapsed="false">
      <c r="A1747" s="747"/>
      <c r="B1747" s="798"/>
      <c r="D1747" s="798"/>
      <c r="E1747" s="798"/>
      <c r="F1747" s="798"/>
      <c r="G1747" s="798"/>
      <c r="J1747" s="778" t="str">
        <f aca="false">IF(I1747="","",H1747/I1747)</f>
        <v/>
      </c>
      <c r="K1747" s="798"/>
      <c r="P1747" s="798"/>
      <c r="Q1747" s="798"/>
      <c r="R1747" s="811"/>
    </row>
    <row r="1748" customFormat="false" ht="16.5" hidden="false" customHeight="true" outlineLevel="0" collapsed="false">
      <c r="A1748" s="747"/>
      <c r="B1748" s="798"/>
      <c r="D1748" s="798"/>
      <c r="E1748" s="798"/>
      <c r="F1748" s="798"/>
      <c r="G1748" s="798"/>
      <c r="J1748" s="778" t="str">
        <f aca="false">IF(I1748="","",H1748/I1748)</f>
        <v/>
      </c>
      <c r="K1748" s="798"/>
      <c r="P1748" s="798"/>
      <c r="Q1748" s="798"/>
      <c r="R1748" s="811"/>
    </row>
    <row r="1749" customFormat="false" ht="16.5" hidden="false" customHeight="true" outlineLevel="0" collapsed="false">
      <c r="A1749" s="747"/>
      <c r="B1749" s="798"/>
      <c r="D1749" s="798"/>
      <c r="E1749" s="798"/>
      <c r="F1749" s="798"/>
      <c r="G1749" s="798"/>
      <c r="J1749" s="778" t="str">
        <f aca="false">IF(I1749="","",H1749/I1749)</f>
        <v/>
      </c>
      <c r="K1749" s="798"/>
      <c r="P1749" s="798"/>
      <c r="Q1749" s="798"/>
      <c r="R1749" s="811"/>
    </row>
    <row r="1750" customFormat="false" ht="16.5" hidden="false" customHeight="true" outlineLevel="0" collapsed="false">
      <c r="A1750" s="747"/>
      <c r="B1750" s="798"/>
      <c r="D1750" s="798"/>
      <c r="E1750" s="798"/>
      <c r="F1750" s="798"/>
      <c r="G1750" s="798"/>
      <c r="J1750" s="778" t="str">
        <f aca="false">IF(I1750="","",H1750/I1750)</f>
        <v/>
      </c>
      <c r="K1750" s="798"/>
      <c r="P1750" s="798"/>
      <c r="Q1750" s="798"/>
      <c r="R1750" s="811"/>
    </row>
    <row r="1751" customFormat="false" ht="16.5" hidden="false" customHeight="true" outlineLevel="0" collapsed="false">
      <c r="A1751" s="747"/>
      <c r="B1751" s="798"/>
      <c r="D1751" s="798"/>
      <c r="E1751" s="798"/>
      <c r="F1751" s="798"/>
      <c r="G1751" s="798"/>
      <c r="J1751" s="778" t="str">
        <f aca="false">IF(I1751="","",H1751/I1751)</f>
        <v/>
      </c>
      <c r="K1751" s="798"/>
      <c r="P1751" s="798"/>
      <c r="Q1751" s="798"/>
      <c r="R1751" s="811"/>
    </row>
    <row r="1752" customFormat="false" ht="16.5" hidden="false" customHeight="true" outlineLevel="0" collapsed="false">
      <c r="A1752" s="747"/>
      <c r="B1752" s="798"/>
      <c r="D1752" s="798"/>
      <c r="E1752" s="798"/>
      <c r="F1752" s="798"/>
      <c r="G1752" s="798"/>
      <c r="J1752" s="778" t="str">
        <f aca="false">IF(I1752="","",H1752/I1752)</f>
        <v/>
      </c>
      <c r="K1752" s="798"/>
      <c r="P1752" s="798"/>
      <c r="Q1752" s="798"/>
      <c r="R1752" s="811"/>
    </row>
    <row r="1753" customFormat="false" ht="16.5" hidden="false" customHeight="true" outlineLevel="0" collapsed="false">
      <c r="A1753" s="747"/>
      <c r="B1753" s="798"/>
      <c r="D1753" s="798"/>
      <c r="E1753" s="798"/>
      <c r="F1753" s="798"/>
      <c r="G1753" s="798"/>
      <c r="J1753" s="778" t="str">
        <f aca="false">IF(I1753="","",H1753/I1753)</f>
        <v/>
      </c>
      <c r="K1753" s="798"/>
      <c r="P1753" s="798"/>
      <c r="Q1753" s="798"/>
      <c r="R1753" s="811"/>
    </row>
    <row r="1754" customFormat="false" ht="16.5" hidden="false" customHeight="true" outlineLevel="0" collapsed="false">
      <c r="A1754" s="747"/>
      <c r="B1754" s="798"/>
      <c r="D1754" s="798"/>
      <c r="E1754" s="798"/>
      <c r="F1754" s="798"/>
      <c r="G1754" s="798"/>
      <c r="J1754" s="778" t="str">
        <f aca="false">IF(I1754="","",H1754/I1754)</f>
        <v/>
      </c>
      <c r="K1754" s="798"/>
      <c r="P1754" s="798"/>
      <c r="Q1754" s="798"/>
      <c r="R1754" s="811"/>
    </row>
    <row r="1755" customFormat="false" ht="16.5" hidden="false" customHeight="true" outlineLevel="0" collapsed="false">
      <c r="A1755" s="747"/>
      <c r="B1755" s="798"/>
      <c r="D1755" s="798"/>
      <c r="E1755" s="798"/>
      <c r="F1755" s="798"/>
      <c r="G1755" s="798"/>
      <c r="J1755" s="778" t="str">
        <f aca="false">IF(I1755="","",H1755/I1755)</f>
        <v/>
      </c>
      <c r="K1755" s="798"/>
      <c r="P1755" s="798"/>
      <c r="Q1755" s="798"/>
      <c r="R1755" s="811"/>
    </row>
    <row r="1756" customFormat="false" ht="16.5" hidden="false" customHeight="true" outlineLevel="0" collapsed="false">
      <c r="A1756" s="747"/>
      <c r="B1756" s="798"/>
      <c r="D1756" s="798"/>
      <c r="E1756" s="798"/>
      <c r="F1756" s="798"/>
      <c r="G1756" s="798"/>
      <c r="J1756" s="778" t="str">
        <f aca="false">IF(I1756="","",H1756/I1756)</f>
        <v/>
      </c>
      <c r="K1756" s="798"/>
      <c r="P1756" s="798"/>
      <c r="Q1756" s="798"/>
      <c r="R1756" s="811"/>
    </row>
    <row r="1757" customFormat="false" ht="16.5" hidden="false" customHeight="true" outlineLevel="0" collapsed="false">
      <c r="A1757" s="747"/>
      <c r="B1757" s="798"/>
      <c r="D1757" s="798"/>
      <c r="E1757" s="798"/>
      <c r="F1757" s="798"/>
      <c r="G1757" s="798"/>
      <c r="J1757" s="778" t="str">
        <f aca="false">IF(I1757="","",H1757/I1757)</f>
        <v/>
      </c>
      <c r="K1757" s="798"/>
      <c r="P1757" s="798"/>
      <c r="Q1757" s="798"/>
      <c r="R1757" s="811"/>
    </row>
    <row r="1758" customFormat="false" ht="16.5" hidden="false" customHeight="true" outlineLevel="0" collapsed="false">
      <c r="A1758" s="747"/>
      <c r="B1758" s="798"/>
      <c r="D1758" s="798"/>
      <c r="E1758" s="798"/>
      <c r="F1758" s="798"/>
      <c r="G1758" s="798"/>
      <c r="J1758" s="778" t="str">
        <f aca="false">IF(I1758="","",H1758/I1758)</f>
        <v/>
      </c>
      <c r="K1758" s="798"/>
      <c r="P1758" s="798"/>
      <c r="Q1758" s="798"/>
      <c r="R1758" s="811"/>
    </row>
    <row r="1759" customFormat="false" ht="16.5" hidden="false" customHeight="true" outlineLevel="0" collapsed="false">
      <c r="A1759" s="747"/>
      <c r="B1759" s="798"/>
      <c r="D1759" s="798"/>
      <c r="E1759" s="798"/>
      <c r="F1759" s="798"/>
      <c r="G1759" s="798"/>
      <c r="J1759" s="778" t="str">
        <f aca="false">IF(I1759="","",H1759/I1759)</f>
        <v/>
      </c>
      <c r="K1759" s="798"/>
      <c r="P1759" s="798"/>
      <c r="Q1759" s="798"/>
      <c r="R1759" s="811"/>
    </row>
    <row r="1760" customFormat="false" ht="16.5" hidden="false" customHeight="true" outlineLevel="0" collapsed="false">
      <c r="A1760" s="747"/>
      <c r="B1760" s="798"/>
      <c r="D1760" s="798"/>
      <c r="E1760" s="798"/>
      <c r="F1760" s="798"/>
      <c r="G1760" s="798"/>
      <c r="J1760" s="778" t="str">
        <f aca="false">IF(I1760="","",H1760/I1760)</f>
        <v/>
      </c>
      <c r="K1760" s="798"/>
      <c r="P1760" s="798"/>
      <c r="Q1760" s="798"/>
      <c r="R1760" s="811"/>
    </row>
    <row r="1761" customFormat="false" ht="16.5" hidden="false" customHeight="true" outlineLevel="0" collapsed="false">
      <c r="A1761" s="747"/>
      <c r="B1761" s="798"/>
      <c r="D1761" s="798"/>
      <c r="E1761" s="798"/>
      <c r="F1761" s="798"/>
      <c r="G1761" s="798"/>
      <c r="J1761" s="778" t="str">
        <f aca="false">IF(I1761="","",H1761/I1761)</f>
        <v/>
      </c>
      <c r="K1761" s="798"/>
      <c r="P1761" s="798"/>
      <c r="Q1761" s="798"/>
      <c r="R1761" s="811"/>
    </row>
    <row r="1762" customFormat="false" ht="16.5" hidden="false" customHeight="true" outlineLevel="0" collapsed="false">
      <c r="A1762" s="747"/>
      <c r="B1762" s="798"/>
      <c r="D1762" s="798"/>
      <c r="E1762" s="798"/>
      <c r="F1762" s="798"/>
      <c r="G1762" s="798"/>
      <c r="J1762" s="778" t="str">
        <f aca="false">IF(I1762="","",H1762/I1762)</f>
        <v/>
      </c>
      <c r="K1762" s="798"/>
      <c r="P1762" s="798"/>
      <c r="Q1762" s="798"/>
      <c r="R1762" s="811"/>
    </row>
    <row r="1763" customFormat="false" ht="16.5" hidden="false" customHeight="true" outlineLevel="0" collapsed="false">
      <c r="A1763" s="747"/>
      <c r="B1763" s="798"/>
      <c r="D1763" s="798"/>
      <c r="E1763" s="798"/>
      <c r="F1763" s="798"/>
      <c r="G1763" s="798"/>
      <c r="J1763" s="778" t="str">
        <f aca="false">IF(I1763="","",H1763/I1763)</f>
        <v/>
      </c>
      <c r="K1763" s="798"/>
      <c r="P1763" s="798"/>
      <c r="Q1763" s="798"/>
      <c r="R1763" s="811"/>
    </row>
    <row r="1764" customFormat="false" ht="16.5" hidden="false" customHeight="true" outlineLevel="0" collapsed="false">
      <c r="A1764" s="747"/>
      <c r="B1764" s="798"/>
      <c r="D1764" s="798"/>
      <c r="E1764" s="798"/>
      <c r="F1764" s="798"/>
      <c r="G1764" s="798"/>
      <c r="J1764" s="778" t="str">
        <f aca="false">IF(I1764="","",H1764/I1764)</f>
        <v/>
      </c>
      <c r="K1764" s="798"/>
      <c r="P1764" s="798"/>
      <c r="Q1764" s="798"/>
      <c r="R1764" s="811"/>
    </row>
    <row r="1765" customFormat="false" ht="16.5" hidden="false" customHeight="true" outlineLevel="0" collapsed="false">
      <c r="A1765" s="747"/>
      <c r="B1765" s="798"/>
      <c r="D1765" s="798"/>
      <c r="E1765" s="798"/>
      <c r="F1765" s="798"/>
      <c r="G1765" s="798"/>
      <c r="J1765" s="778" t="str">
        <f aca="false">IF(I1765="","",H1765/I1765)</f>
        <v/>
      </c>
      <c r="K1765" s="798"/>
      <c r="P1765" s="798"/>
      <c r="Q1765" s="798"/>
      <c r="R1765" s="811"/>
    </row>
    <row r="1766" customFormat="false" ht="16.5" hidden="false" customHeight="true" outlineLevel="0" collapsed="false">
      <c r="A1766" s="747"/>
      <c r="B1766" s="798"/>
      <c r="D1766" s="798"/>
      <c r="E1766" s="798"/>
      <c r="F1766" s="798"/>
      <c r="G1766" s="798"/>
      <c r="J1766" s="778" t="str">
        <f aca="false">IF(I1766="","",H1766/I1766)</f>
        <v/>
      </c>
      <c r="K1766" s="798"/>
      <c r="P1766" s="798"/>
      <c r="Q1766" s="798"/>
      <c r="R1766" s="811"/>
    </row>
    <row r="1767" customFormat="false" ht="16.5" hidden="false" customHeight="true" outlineLevel="0" collapsed="false">
      <c r="A1767" s="747"/>
      <c r="B1767" s="798"/>
      <c r="D1767" s="798"/>
      <c r="E1767" s="798"/>
      <c r="F1767" s="798"/>
      <c r="G1767" s="798"/>
      <c r="J1767" s="778" t="str">
        <f aca="false">IF(I1767="","",H1767/I1767)</f>
        <v/>
      </c>
      <c r="K1767" s="798"/>
      <c r="P1767" s="798"/>
      <c r="Q1767" s="798"/>
      <c r="R1767" s="811"/>
    </row>
    <row r="1768" customFormat="false" ht="16.5" hidden="false" customHeight="true" outlineLevel="0" collapsed="false">
      <c r="A1768" s="747"/>
      <c r="B1768" s="798"/>
      <c r="D1768" s="798"/>
      <c r="E1768" s="798"/>
      <c r="F1768" s="798"/>
      <c r="G1768" s="798"/>
      <c r="J1768" s="778" t="str">
        <f aca="false">IF(I1768="","",H1768/I1768)</f>
        <v/>
      </c>
      <c r="K1768" s="798"/>
      <c r="P1768" s="798"/>
      <c r="Q1768" s="798"/>
      <c r="R1768" s="811"/>
    </row>
    <row r="1769" customFormat="false" ht="16.5" hidden="false" customHeight="true" outlineLevel="0" collapsed="false">
      <c r="A1769" s="747"/>
      <c r="B1769" s="798"/>
      <c r="D1769" s="798"/>
      <c r="E1769" s="798"/>
      <c r="F1769" s="798"/>
      <c r="G1769" s="798"/>
      <c r="J1769" s="778" t="str">
        <f aca="false">IF(I1769="","",H1769/I1769)</f>
        <v/>
      </c>
      <c r="K1769" s="798"/>
      <c r="P1769" s="798"/>
      <c r="Q1769" s="798"/>
      <c r="R1769" s="811"/>
    </row>
    <row r="1770" customFormat="false" ht="16.5" hidden="false" customHeight="true" outlineLevel="0" collapsed="false">
      <c r="A1770" s="747"/>
      <c r="B1770" s="798"/>
      <c r="D1770" s="798"/>
      <c r="E1770" s="798"/>
      <c r="F1770" s="798"/>
      <c r="G1770" s="798"/>
      <c r="J1770" s="778" t="str">
        <f aca="false">IF(I1770="","",H1770/I1770)</f>
        <v/>
      </c>
      <c r="K1770" s="798"/>
      <c r="P1770" s="798"/>
      <c r="Q1770" s="798"/>
      <c r="R1770" s="811"/>
    </row>
    <row r="1771" customFormat="false" ht="16.5" hidden="false" customHeight="true" outlineLevel="0" collapsed="false">
      <c r="A1771" s="747"/>
      <c r="B1771" s="798"/>
      <c r="D1771" s="798"/>
      <c r="E1771" s="798"/>
      <c r="F1771" s="798"/>
      <c r="G1771" s="798"/>
      <c r="J1771" s="778" t="str">
        <f aca="false">IF(I1771="","",H1771/I1771)</f>
        <v/>
      </c>
      <c r="K1771" s="798"/>
      <c r="P1771" s="798"/>
      <c r="Q1771" s="798"/>
      <c r="R1771" s="811"/>
    </row>
    <row r="1772" customFormat="false" ht="16.5" hidden="false" customHeight="true" outlineLevel="0" collapsed="false">
      <c r="A1772" s="747"/>
      <c r="B1772" s="798"/>
      <c r="D1772" s="798"/>
      <c r="E1772" s="798"/>
      <c r="F1772" s="798"/>
      <c r="G1772" s="798"/>
      <c r="J1772" s="778" t="str">
        <f aca="false">IF(I1772="","",H1772/I1772)</f>
        <v/>
      </c>
      <c r="K1772" s="798"/>
      <c r="P1772" s="798"/>
      <c r="Q1772" s="798"/>
      <c r="R1772" s="811"/>
    </row>
    <row r="1773" customFormat="false" ht="16.5" hidden="false" customHeight="true" outlineLevel="0" collapsed="false">
      <c r="A1773" s="747"/>
      <c r="B1773" s="798"/>
      <c r="D1773" s="798"/>
      <c r="E1773" s="798"/>
      <c r="F1773" s="798"/>
      <c r="G1773" s="798"/>
      <c r="J1773" s="778" t="str">
        <f aca="false">IF(I1773="","",H1773/I1773)</f>
        <v/>
      </c>
      <c r="K1773" s="798"/>
      <c r="P1773" s="798"/>
      <c r="Q1773" s="798"/>
      <c r="R1773" s="811"/>
    </row>
    <row r="1774" customFormat="false" ht="16.5" hidden="false" customHeight="true" outlineLevel="0" collapsed="false">
      <c r="A1774" s="747"/>
      <c r="B1774" s="798"/>
      <c r="D1774" s="798"/>
      <c r="E1774" s="798"/>
      <c r="F1774" s="798"/>
      <c r="G1774" s="798"/>
      <c r="J1774" s="778" t="str">
        <f aca="false">IF(I1774="","",H1774/I1774)</f>
        <v/>
      </c>
      <c r="K1774" s="798"/>
      <c r="P1774" s="798"/>
      <c r="Q1774" s="798"/>
      <c r="R1774" s="811"/>
    </row>
    <row r="1775" customFormat="false" ht="16.5" hidden="false" customHeight="true" outlineLevel="0" collapsed="false">
      <c r="A1775" s="747"/>
      <c r="B1775" s="798"/>
      <c r="D1775" s="798"/>
      <c r="E1775" s="798"/>
      <c r="F1775" s="798"/>
      <c r="G1775" s="798"/>
      <c r="J1775" s="778" t="str">
        <f aca="false">IF(I1775="","",H1775/I1775)</f>
        <v/>
      </c>
      <c r="K1775" s="798"/>
      <c r="P1775" s="798"/>
      <c r="Q1775" s="798"/>
      <c r="R1775" s="811"/>
    </row>
    <row r="1776" customFormat="false" ht="16.5" hidden="false" customHeight="true" outlineLevel="0" collapsed="false">
      <c r="A1776" s="747"/>
      <c r="B1776" s="798"/>
      <c r="D1776" s="798"/>
      <c r="E1776" s="798"/>
      <c r="F1776" s="798"/>
      <c r="G1776" s="798"/>
      <c r="J1776" s="778" t="str">
        <f aca="false">IF(I1776="","",H1776/I1776)</f>
        <v/>
      </c>
      <c r="K1776" s="798"/>
      <c r="P1776" s="798"/>
      <c r="Q1776" s="798"/>
      <c r="R1776" s="811"/>
    </row>
    <row r="1777" customFormat="false" ht="16.5" hidden="false" customHeight="true" outlineLevel="0" collapsed="false">
      <c r="A1777" s="747"/>
      <c r="B1777" s="798"/>
      <c r="D1777" s="798"/>
      <c r="E1777" s="798"/>
      <c r="F1777" s="798"/>
      <c r="G1777" s="798"/>
      <c r="J1777" s="778" t="str">
        <f aca="false">IF(I1777="","",H1777/I1777)</f>
        <v/>
      </c>
      <c r="K1777" s="798"/>
      <c r="P1777" s="798"/>
      <c r="Q1777" s="798"/>
      <c r="R1777" s="811"/>
    </row>
    <row r="1778" customFormat="false" ht="16.5" hidden="false" customHeight="true" outlineLevel="0" collapsed="false">
      <c r="A1778" s="747"/>
      <c r="B1778" s="798"/>
      <c r="D1778" s="798"/>
      <c r="E1778" s="798"/>
      <c r="F1778" s="798"/>
      <c r="G1778" s="798"/>
      <c r="J1778" s="778" t="str">
        <f aca="false">IF(I1778="","",H1778/I1778)</f>
        <v/>
      </c>
      <c r="K1778" s="798"/>
      <c r="P1778" s="798"/>
      <c r="Q1778" s="798"/>
      <c r="R1778" s="811"/>
    </row>
    <row r="1779" customFormat="false" ht="16.5" hidden="false" customHeight="true" outlineLevel="0" collapsed="false">
      <c r="A1779" s="747"/>
      <c r="B1779" s="798"/>
      <c r="D1779" s="798"/>
      <c r="E1779" s="798"/>
      <c r="F1779" s="798"/>
      <c r="G1779" s="798"/>
      <c r="J1779" s="778" t="str">
        <f aca="false">IF(I1779="","",H1779/I1779)</f>
        <v/>
      </c>
      <c r="K1779" s="798"/>
      <c r="P1779" s="798"/>
      <c r="Q1779" s="798"/>
      <c r="R1779" s="811"/>
    </row>
    <row r="1780" customFormat="false" ht="16.5" hidden="false" customHeight="true" outlineLevel="0" collapsed="false">
      <c r="A1780" s="747"/>
      <c r="B1780" s="798"/>
      <c r="D1780" s="798"/>
      <c r="E1780" s="798"/>
      <c r="F1780" s="798"/>
      <c r="G1780" s="798"/>
      <c r="J1780" s="778" t="str">
        <f aca="false">IF(I1780="","",H1780/I1780)</f>
        <v/>
      </c>
      <c r="K1780" s="798"/>
      <c r="P1780" s="798"/>
      <c r="Q1780" s="798"/>
      <c r="R1780" s="811"/>
    </row>
    <row r="1781" customFormat="false" ht="16.5" hidden="false" customHeight="true" outlineLevel="0" collapsed="false">
      <c r="A1781" s="747"/>
      <c r="B1781" s="798"/>
      <c r="D1781" s="798"/>
      <c r="E1781" s="798"/>
      <c r="F1781" s="798"/>
      <c r="G1781" s="798"/>
      <c r="J1781" s="778" t="str">
        <f aca="false">IF(I1781="","",H1781/I1781)</f>
        <v/>
      </c>
      <c r="K1781" s="798"/>
      <c r="P1781" s="798"/>
      <c r="Q1781" s="798"/>
      <c r="R1781" s="811"/>
    </row>
    <row r="1782" customFormat="false" ht="16.5" hidden="false" customHeight="true" outlineLevel="0" collapsed="false">
      <c r="A1782" s="747"/>
      <c r="B1782" s="798"/>
      <c r="D1782" s="798"/>
      <c r="E1782" s="798"/>
      <c r="F1782" s="798"/>
      <c r="G1782" s="798"/>
      <c r="J1782" s="778" t="str">
        <f aca="false">IF(I1782="","",H1782/I1782)</f>
        <v/>
      </c>
      <c r="K1782" s="798"/>
      <c r="P1782" s="798"/>
      <c r="Q1782" s="798"/>
      <c r="R1782" s="811"/>
    </row>
    <row r="1783" customFormat="false" ht="16.5" hidden="false" customHeight="true" outlineLevel="0" collapsed="false">
      <c r="A1783" s="747"/>
      <c r="B1783" s="798"/>
      <c r="D1783" s="798"/>
      <c r="E1783" s="798"/>
      <c r="F1783" s="798"/>
      <c r="G1783" s="798"/>
      <c r="J1783" s="778" t="str">
        <f aca="false">IF(I1783="","",H1783/I1783)</f>
        <v/>
      </c>
      <c r="K1783" s="798"/>
      <c r="P1783" s="798"/>
      <c r="Q1783" s="798"/>
      <c r="R1783" s="811"/>
    </row>
    <row r="1784" customFormat="false" ht="16.5" hidden="false" customHeight="true" outlineLevel="0" collapsed="false">
      <c r="A1784" s="747"/>
      <c r="B1784" s="798"/>
      <c r="D1784" s="798"/>
      <c r="E1784" s="798"/>
      <c r="F1784" s="798"/>
      <c r="G1784" s="798"/>
      <c r="J1784" s="778" t="str">
        <f aca="false">IF(I1784="","",H1784/I1784)</f>
        <v/>
      </c>
      <c r="K1784" s="798"/>
      <c r="P1784" s="798"/>
      <c r="Q1784" s="798"/>
      <c r="R1784" s="811"/>
    </row>
    <row r="1785" customFormat="false" ht="16.5" hidden="false" customHeight="true" outlineLevel="0" collapsed="false">
      <c r="A1785" s="747"/>
      <c r="B1785" s="798"/>
      <c r="D1785" s="798"/>
      <c r="E1785" s="798"/>
      <c r="F1785" s="798"/>
      <c r="G1785" s="798"/>
      <c r="J1785" s="778" t="str">
        <f aca="false">IF(I1785="","",H1785/I1785)</f>
        <v/>
      </c>
      <c r="K1785" s="798"/>
      <c r="P1785" s="798"/>
      <c r="Q1785" s="798"/>
      <c r="R1785" s="811"/>
    </row>
    <row r="1786" customFormat="false" ht="16.5" hidden="false" customHeight="true" outlineLevel="0" collapsed="false">
      <c r="A1786" s="747"/>
      <c r="B1786" s="798"/>
      <c r="D1786" s="798"/>
      <c r="E1786" s="798"/>
      <c r="F1786" s="798"/>
      <c r="G1786" s="798"/>
      <c r="J1786" s="778" t="str">
        <f aca="false">IF(I1786="","",H1786/I1786)</f>
        <v/>
      </c>
      <c r="K1786" s="798"/>
      <c r="P1786" s="798"/>
      <c r="Q1786" s="798"/>
      <c r="R1786" s="811"/>
    </row>
    <row r="1787" customFormat="false" ht="16.5" hidden="false" customHeight="true" outlineLevel="0" collapsed="false">
      <c r="A1787" s="747"/>
      <c r="B1787" s="798"/>
      <c r="D1787" s="798"/>
      <c r="E1787" s="798"/>
      <c r="F1787" s="798"/>
      <c r="G1787" s="798"/>
      <c r="J1787" s="778" t="str">
        <f aca="false">IF(I1787="","",H1787/I1787)</f>
        <v/>
      </c>
      <c r="K1787" s="798"/>
      <c r="P1787" s="798"/>
      <c r="Q1787" s="798"/>
      <c r="R1787" s="811"/>
    </row>
    <row r="1788" customFormat="false" ht="16.5" hidden="false" customHeight="true" outlineLevel="0" collapsed="false">
      <c r="A1788" s="747"/>
      <c r="B1788" s="798"/>
      <c r="D1788" s="798"/>
      <c r="E1788" s="798"/>
      <c r="F1788" s="798"/>
      <c r="G1788" s="798"/>
      <c r="J1788" s="778" t="str">
        <f aca="false">IF(I1788="","",H1788/I1788)</f>
        <v/>
      </c>
      <c r="K1788" s="798"/>
      <c r="P1788" s="798"/>
      <c r="Q1788" s="798"/>
      <c r="R1788" s="811"/>
    </row>
    <row r="1789" customFormat="false" ht="16.5" hidden="false" customHeight="true" outlineLevel="0" collapsed="false">
      <c r="A1789" s="747"/>
      <c r="B1789" s="798"/>
      <c r="D1789" s="798"/>
      <c r="E1789" s="798"/>
      <c r="F1789" s="798"/>
      <c r="G1789" s="798"/>
      <c r="J1789" s="778" t="str">
        <f aca="false">IF(I1789="","",H1789/I1789)</f>
        <v/>
      </c>
      <c r="K1789" s="798"/>
      <c r="P1789" s="798"/>
      <c r="Q1789" s="798"/>
      <c r="R1789" s="811"/>
    </row>
    <row r="1790" customFormat="false" ht="16.5" hidden="false" customHeight="true" outlineLevel="0" collapsed="false">
      <c r="A1790" s="747"/>
      <c r="B1790" s="798"/>
      <c r="D1790" s="798"/>
      <c r="E1790" s="798"/>
      <c r="F1790" s="798"/>
      <c r="G1790" s="798"/>
      <c r="J1790" s="778" t="str">
        <f aca="false">IF(I1790="","",H1790/I1790)</f>
        <v/>
      </c>
      <c r="K1790" s="798"/>
      <c r="P1790" s="798"/>
      <c r="Q1790" s="798"/>
      <c r="R1790" s="811"/>
    </row>
    <row r="1791" customFormat="false" ht="16.5" hidden="false" customHeight="true" outlineLevel="0" collapsed="false">
      <c r="A1791" s="747"/>
      <c r="B1791" s="798"/>
      <c r="D1791" s="798"/>
      <c r="E1791" s="798"/>
      <c r="F1791" s="798"/>
      <c r="G1791" s="798"/>
      <c r="J1791" s="778" t="str">
        <f aca="false">IF(I1791="","",H1791/I1791)</f>
        <v/>
      </c>
      <c r="K1791" s="798"/>
      <c r="P1791" s="798"/>
      <c r="Q1791" s="798"/>
      <c r="R1791" s="811"/>
    </row>
    <row r="1792" customFormat="false" ht="16.5" hidden="false" customHeight="true" outlineLevel="0" collapsed="false">
      <c r="A1792" s="747"/>
      <c r="B1792" s="798"/>
      <c r="D1792" s="798"/>
      <c r="E1792" s="798"/>
      <c r="F1792" s="798"/>
      <c r="G1792" s="798"/>
      <c r="J1792" s="778" t="str">
        <f aca="false">IF(I1792="","",H1792/I1792)</f>
        <v/>
      </c>
      <c r="K1792" s="798"/>
      <c r="P1792" s="798"/>
      <c r="Q1792" s="798"/>
      <c r="R1792" s="811"/>
    </row>
    <row r="1793" customFormat="false" ht="16.5" hidden="false" customHeight="true" outlineLevel="0" collapsed="false">
      <c r="A1793" s="747"/>
      <c r="B1793" s="798"/>
      <c r="D1793" s="798"/>
      <c r="E1793" s="798"/>
      <c r="F1793" s="798"/>
      <c r="G1793" s="798"/>
      <c r="J1793" s="778" t="str">
        <f aca="false">IF(I1793="","",H1793/I1793)</f>
        <v/>
      </c>
      <c r="K1793" s="798"/>
      <c r="P1793" s="798"/>
      <c r="Q1793" s="798"/>
      <c r="R1793" s="811"/>
    </row>
    <row r="1794" customFormat="false" ht="16.5" hidden="false" customHeight="true" outlineLevel="0" collapsed="false">
      <c r="A1794" s="747"/>
      <c r="B1794" s="798"/>
      <c r="D1794" s="798"/>
      <c r="E1794" s="798"/>
      <c r="F1794" s="798"/>
      <c r="G1794" s="798"/>
      <c r="J1794" s="778" t="str">
        <f aca="false">IF(I1794="","",H1794/I1794)</f>
        <v/>
      </c>
      <c r="K1794" s="798"/>
      <c r="P1794" s="798"/>
      <c r="Q1794" s="798"/>
      <c r="R1794" s="811"/>
    </row>
    <row r="1795" customFormat="false" ht="16.5" hidden="false" customHeight="true" outlineLevel="0" collapsed="false">
      <c r="A1795" s="747"/>
      <c r="B1795" s="798"/>
      <c r="D1795" s="798"/>
      <c r="E1795" s="798"/>
      <c r="F1795" s="798"/>
      <c r="G1795" s="798"/>
      <c r="J1795" s="778" t="str">
        <f aca="false">IF(I1795="","",H1795/I1795)</f>
        <v/>
      </c>
      <c r="K1795" s="798"/>
      <c r="P1795" s="798"/>
      <c r="Q1795" s="798"/>
      <c r="R1795" s="811"/>
    </row>
    <row r="1796" customFormat="false" ht="16.5" hidden="false" customHeight="true" outlineLevel="0" collapsed="false">
      <c r="A1796" s="747"/>
      <c r="B1796" s="798"/>
      <c r="D1796" s="798"/>
      <c r="E1796" s="798"/>
      <c r="F1796" s="798"/>
      <c r="G1796" s="798"/>
      <c r="J1796" s="778" t="str">
        <f aca="false">IF(I1796="","",H1796/I1796)</f>
        <v/>
      </c>
      <c r="K1796" s="798"/>
      <c r="P1796" s="798"/>
      <c r="Q1796" s="798"/>
      <c r="R1796" s="811"/>
    </row>
    <row r="1797" customFormat="false" ht="16.5" hidden="false" customHeight="true" outlineLevel="0" collapsed="false">
      <c r="A1797" s="747"/>
      <c r="B1797" s="798"/>
      <c r="D1797" s="798"/>
      <c r="E1797" s="798"/>
      <c r="F1797" s="798"/>
      <c r="G1797" s="798"/>
      <c r="J1797" s="778" t="str">
        <f aca="false">IF(I1797="","",H1797/I1797)</f>
        <v/>
      </c>
      <c r="K1797" s="798"/>
      <c r="P1797" s="798"/>
      <c r="Q1797" s="798"/>
      <c r="R1797" s="811"/>
    </row>
    <row r="1798" customFormat="false" ht="16.5" hidden="false" customHeight="true" outlineLevel="0" collapsed="false">
      <c r="A1798" s="747"/>
      <c r="B1798" s="798"/>
      <c r="D1798" s="798"/>
      <c r="E1798" s="798"/>
      <c r="F1798" s="798"/>
      <c r="G1798" s="798"/>
      <c r="J1798" s="778" t="str">
        <f aca="false">IF(I1798="","",H1798/I1798)</f>
        <v/>
      </c>
      <c r="K1798" s="798"/>
      <c r="P1798" s="798"/>
      <c r="Q1798" s="798"/>
      <c r="R1798" s="811"/>
    </row>
    <row r="1799" customFormat="false" ht="16.5" hidden="false" customHeight="true" outlineLevel="0" collapsed="false">
      <c r="A1799" s="747"/>
      <c r="B1799" s="798"/>
      <c r="D1799" s="798"/>
      <c r="E1799" s="798"/>
      <c r="F1799" s="798"/>
      <c r="G1799" s="798"/>
      <c r="J1799" s="778" t="str">
        <f aca="false">IF(I1799="","",H1799/I1799)</f>
        <v/>
      </c>
      <c r="K1799" s="798"/>
      <c r="P1799" s="798"/>
      <c r="Q1799" s="798"/>
      <c r="R1799" s="811"/>
    </row>
    <row r="1800" customFormat="false" ht="16.5" hidden="false" customHeight="true" outlineLevel="0" collapsed="false">
      <c r="A1800" s="747"/>
      <c r="B1800" s="798"/>
      <c r="D1800" s="798"/>
      <c r="E1800" s="798"/>
      <c r="F1800" s="798"/>
      <c r="G1800" s="798"/>
      <c r="J1800" s="778" t="str">
        <f aca="false">IF(I1800="","",H1800/I1800)</f>
        <v/>
      </c>
      <c r="K1800" s="798"/>
      <c r="P1800" s="798"/>
      <c r="Q1800" s="798"/>
      <c r="R1800" s="811"/>
    </row>
    <row r="1801" customFormat="false" ht="16.5" hidden="false" customHeight="true" outlineLevel="0" collapsed="false">
      <c r="A1801" s="747"/>
      <c r="B1801" s="798"/>
      <c r="D1801" s="798"/>
      <c r="E1801" s="798"/>
      <c r="F1801" s="798"/>
      <c r="G1801" s="798"/>
      <c r="J1801" s="778" t="str">
        <f aca="false">IF(I1801="","",H1801/I1801)</f>
        <v/>
      </c>
      <c r="K1801" s="798"/>
      <c r="P1801" s="798"/>
      <c r="Q1801" s="798"/>
      <c r="R1801" s="811"/>
    </row>
    <row r="1802" customFormat="false" ht="16.5" hidden="false" customHeight="true" outlineLevel="0" collapsed="false">
      <c r="A1802" s="747"/>
      <c r="B1802" s="798"/>
      <c r="D1802" s="798"/>
      <c r="E1802" s="798"/>
      <c r="F1802" s="798"/>
      <c r="G1802" s="798"/>
      <c r="J1802" s="778" t="str">
        <f aca="false">IF(I1802="","",H1802/I1802)</f>
        <v/>
      </c>
      <c r="K1802" s="798"/>
      <c r="P1802" s="798"/>
      <c r="Q1802" s="798"/>
      <c r="R1802" s="811"/>
    </row>
    <row r="1803" customFormat="false" ht="16.5" hidden="false" customHeight="true" outlineLevel="0" collapsed="false">
      <c r="A1803" s="747"/>
      <c r="B1803" s="798"/>
      <c r="D1803" s="798"/>
      <c r="E1803" s="798"/>
      <c r="F1803" s="798"/>
      <c r="G1803" s="798"/>
      <c r="J1803" s="778" t="str">
        <f aca="false">IF(I1803="","",H1803/I1803)</f>
        <v/>
      </c>
      <c r="K1803" s="798"/>
      <c r="P1803" s="798"/>
      <c r="Q1803" s="798"/>
      <c r="R1803" s="811"/>
    </row>
    <row r="1804" customFormat="false" ht="16.5" hidden="false" customHeight="true" outlineLevel="0" collapsed="false">
      <c r="A1804" s="747"/>
      <c r="B1804" s="798"/>
      <c r="D1804" s="798"/>
      <c r="E1804" s="798"/>
      <c r="F1804" s="798"/>
      <c r="G1804" s="798"/>
      <c r="J1804" s="778" t="str">
        <f aca="false">IF(I1804="","",H1804/I1804)</f>
        <v/>
      </c>
      <c r="K1804" s="798"/>
      <c r="P1804" s="798"/>
      <c r="Q1804" s="798"/>
      <c r="R1804" s="811"/>
    </row>
    <row r="1805" customFormat="false" ht="16.5" hidden="false" customHeight="true" outlineLevel="0" collapsed="false">
      <c r="A1805" s="747"/>
      <c r="B1805" s="798"/>
      <c r="D1805" s="798"/>
      <c r="E1805" s="798"/>
      <c r="F1805" s="798"/>
      <c r="G1805" s="798"/>
      <c r="J1805" s="778" t="str">
        <f aca="false">IF(I1805="","",H1805/I1805)</f>
        <v/>
      </c>
      <c r="K1805" s="798"/>
      <c r="P1805" s="798"/>
      <c r="Q1805" s="798"/>
      <c r="R1805" s="811"/>
    </row>
    <row r="1806" customFormat="false" ht="16.5" hidden="false" customHeight="true" outlineLevel="0" collapsed="false">
      <c r="A1806" s="747"/>
      <c r="B1806" s="798"/>
      <c r="D1806" s="798"/>
      <c r="E1806" s="798"/>
      <c r="F1806" s="798"/>
      <c r="G1806" s="798"/>
      <c r="J1806" s="778" t="str">
        <f aca="false">IF(I1806="","",H1806/I1806)</f>
        <v/>
      </c>
      <c r="K1806" s="798"/>
      <c r="P1806" s="798"/>
      <c r="Q1806" s="798"/>
      <c r="R1806" s="811"/>
    </row>
    <row r="1807" customFormat="false" ht="16.5" hidden="false" customHeight="true" outlineLevel="0" collapsed="false">
      <c r="A1807" s="747"/>
      <c r="B1807" s="798"/>
      <c r="D1807" s="798"/>
      <c r="E1807" s="798"/>
      <c r="F1807" s="798"/>
      <c r="G1807" s="798"/>
      <c r="J1807" s="778" t="str">
        <f aca="false">IF(I1807="","",H1807/I1807)</f>
        <v/>
      </c>
      <c r="K1807" s="798"/>
      <c r="P1807" s="798"/>
      <c r="Q1807" s="798"/>
      <c r="R1807" s="811"/>
    </row>
    <row r="1808" customFormat="false" ht="16.5" hidden="false" customHeight="true" outlineLevel="0" collapsed="false">
      <c r="A1808" s="747"/>
      <c r="B1808" s="798"/>
      <c r="D1808" s="798"/>
      <c r="E1808" s="798"/>
      <c r="F1808" s="798"/>
      <c r="G1808" s="798"/>
      <c r="J1808" s="778" t="str">
        <f aca="false">IF(I1808="","",H1808/I1808)</f>
        <v/>
      </c>
      <c r="K1808" s="798"/>
      <c r="P1808" s="798"/>
      <c r="Q1808" s="798"/>
      <c r="R1808" s="811"/>
    </row>
    <row r="1809" customFormat="false" ht="16.5" hidden="false" customHeight="true" outlineLevel="0" collapsed="false">
      <c r="A1809" s="747"/>
      <c r="B1809" s="798"/>
      <c r="D1809" s="798"/>
      <c r="E1809" s="798"/>
      <c r="F1809" s="798"/>
      <c r="G1809" s="798"/>
      <c r="J1809" s="778" t="str">
        <f aca="false">IF(I1809="","",H1809/I1809)</f>
        <v/>
      </c>
      <c r="K1809" s="798"/>
      <c r="P1809" s="798"/>
      <c r="Q1809" s="798"/>
      <c r="R1809" s="811"/>
    </row>
    <row r="1810" customFormat="false" ht="16.5" hidden="false" customHeight="true" outlineLevel="0" collapsed="false">
      <c r="A1810" s="747"/>
      <c r="B1810" s="798"/>
      <c r="D1810" s="798"/>
      <c r="E1810" s="798"/>
      <c r="F1810" s="798"/>
      <c r="G1810" s="798"/>
      <c r="J1810" s="778" t="str">
        <f aca="false">IF(I1810="","",H1810/I1810)</f>
        <v/>
      </c>
      <c r="K1810" s="798"/>
      <c r="P1810" s="798"/>
      <c r="Q1810" s="798"/>
      <c r="R1810" s="811"/>
    </row>
    <row r="1811" customFormat="false" ht="16.5" hidden="false" customHeight="true" outlineLevel="0" collapsed="false">
      <c r="A1811" s="747"/>
      <c r="B1811" s="798"/>
      <c r="D1811" s="798"/>
      <c r="E1811" s="798"/>
      <c r="F1811" s="798"/>
      <c r="G1811" s="798"/>
      <c r="J1811" s="778" t="str">
        <f aca="false">IF(I1811="","",H1811/I1811)</f>
        <v/>
      </c>
      <c r="K1811" s="798"/>
      <c r="P1811" s="798"/>
      <c r="Q1811" s="798"/>
      <c r="R1811" s="811"/>
    </row>
    <row r="1812" customFormat="false" ht="16.5" hidden="false" customHeight="true" outlineLevel="0" collapsed="false">
      <c r="A1812" s="747"/>
      <c r="B1812" s="798"/>
      <c r="D1812" s="798"/>
      <c r="E1812" s="798"/>
      <c r="F1812" s="798"/>
      <c r="G1812" s="798"/>
      <c r="J1812" s="778" t="str">
        <f aca="false">IF(I1812="","",H1812/I1812)</f>
        <v/>
      </c>
      <c r="K1812" s="798"/>
      <c r="P1812" s="798"/>
      <c r="Q1812" s="798"/>
      <c r="R1812" s="811"/>
    </row>
    <row r="1813" customFormat="false" ht="16.5" hidden="false" customHeight="true" outlineLevel="0" collapsed="false">
      <c r="A1813" s="747"/>
      <c r="B1813" s="798"/>
      <c r="D1813" s="798"/>
      <c r="E1813" s="798"/>
      <c r="F1813" s="798"/>
      <c r="G1813" s="798"/>
      <c r="J1813" s="778" t="str">
        <f aca="false">IF(I1813="","",H1813/I1813)</f>
        <v/>
      </c>
      <c r="K1813" s="798"/>
      <c r="P1813" s="798"/>
      <c r="Q1813" s="798"/>
      <c r="R1813" s="811"/>
    </row>
    <row r="1814" customFormat="false" ht="16.5" hidden="false" customHeight="true" outlineLevel="0" collapsed="false">
      <c r="A1814" s="747"/>
      <c r="B1814" s="798"/>
      <c r="D1814" s="798"/>
      <c r="E1814" s="798"/>
      <c r="F1814" s="798"/>
      <c r="G1814" s="798"/>
      <c r="J1814" s="778" t="str">
        <f aca="false">IF(I1814="","",H1814/I1814)</f>
        <v/>
      </c>
      <c r="K1814" s="798"/>
      <c r="P1814" s="798"/>
      <c r="Q1814" s="798"/>
      <c r="R1814" s="811"/>
    </row>
    <row r="1815" customFormat="false" ht="16.5" hidden="false" customHeight="true" outlineLevel="0" collapsed="false">
      <c r="A1815" s="747"/>
      <c r="B1815" s="798"/>
      <c r="D1815" s="798"/>
      <c r="E1815" s="798"/>
      <c r="F1815" s="798"/>
      <c r="G1815" s="798"/>
      <c r="J1815" s="778" t="str">
        <f aca="false">IF(I1815="","",H1815/I1815)</f>
        <v/>
      </c>
      <c r="K1815" s="798"/>
      <c r="P1815" s="798"/>
      <c r="Q1815" s="798"/>
      <c r="R1815" s="811"/>
    </row>
    <row r="1816" customFormat="false" ht="16.5" hidden="false" customHeight="true" outlineLevel="0" collapsed="false">
      <c r="A1816" s="747"/>
      <c r="B1816" s="798"/>
      <c r="D1816" s="798"/>
      <c r="E1816" s="798"/>
      <c r="F1816" s="798"/>
      <c r="G1816" s="798"/>
      <c r="J1816" s="778" t="str">
        <f aca="false">IF(I1816="","",H1816/I1816)</f>
        <v/>
      </c>
      <c r="K1816" s="798"/>
      <c r="P1816" s="798"/>
      <c r="Q1816" s="798"/>
      <c r="R1816" s="811"/>
    </row>
    <row r="1817" customFormat="false" ht="16.5" hidden="false" customHeight="true" outlineLevel="0" collapsed="false">
      <c r="A1817" s="747"/>
      <c r="B1817" s="798"/>
      <c r="D1817" s="798"/>
      <c r="E1817" s="798"/>
      <c r="F1817" s="798"/>
      <c r="G1817" s="798"/>
      <c r="J1817" s="778" t="str">
        <f aca="false">IF(I1817="","",H1817/I1817)</f>
        <v/>
      </c>
      <c r="K1817" s="798"/>
      <c r="P1817" s="798"/>
      <c r="Q1817" s="798"/>
      <c r="R1817" s="811"/>
    </row>
    <row r="1818" customFormat="false" ht="16.5" hidden="false" customHeight="true" outlineLevel="0" collapsed="false">
      <c r="A1818" s="747"/>
      <c r="B1818" s="798"/>
      <c r="D1818" s="798"/>
      <c r="E1818" s="798"/>
      <c r="F1818" s="798"/>
      <c r="G1818" s="798"/>
      <c r="J1818" s="778" t="str">
        <f aca="false">IF(I1818="","",H1818/I1818)</f>
        <v/>
      </c>
      <c r="K1818" s="798"/>
      <c r="P1818" s="798"/>
      <c r="Q1818" s="798"/>
      <c r="R1818" s="811"/>
    </row>
    <row r="1819" customFormat="false" ht="16.5" hidden="false" customHeight="true" outlineLevel="0" collapsed="false">
      <c r="A1819" s="747"/>
      <c r="B1819" s="798"/>
      <c r="D1819" s="798"/>
      <c r="E1819" s="798"/>
      <c r="F1819" s="798"/>
      <c r="G1819" s="798"/>
      <c r="J1819" s="778" t="str">
        <f aca="false">IF(I1819="","",H1819/I1819)</f>
        <v/>
      </c>
      <c r="K1819" s="798"/>
      <c r="P1819" s="798"/>
      <c r="Q1819" s="798"/>
      <c r="R1819" s="811"/>
    </row>
    <row r="1820" customFormat="false" ht="16.5" hidden="false" customHeight="true" outlineLevel="0" collapsed="false">
      <c r="A1820" s="747"/>
      <c r="B1820" s="798"/>
      <c r="D1820" s="798"/>
      <c r="E1820" s="798"/>
      <c r="F1820" s="798"/>
      <c r="G1820" s="798"/>
      <c r="J1820" s="778" t="str">
        <f aca="false">IF(I1820="","",H1820/I1820)</f>
        <v/>
      </c>
      <c r="K1820" s="798"/>
      <c r="P1820" s="798"/>
      <c r="Q1820" s="798"/>
      <c r="R1820" s="811"/>
    </row>
    <row r="1821" customFormat="false" ht="16.5" hidden="false" customHeight="true" outlineLevel="0" collapsed="false">
      <c r="A1821" s="747"/>
      <c r="B1821" s="798"/>
      <c r="D1821" s="798"/>
      <c r="E1821" s="798"/>
      <c r="F1821" s="798"/>
      <c r="G1821" s="798"/>
      <c r="J1821" s="778" t="str">
        <f aca="false">IF(I1821="","",H1821/I1821)</f>
        <v/>
      </c>
      <c r="K1821" s="798"/>
      <c r="P1821" s="798"/>
      <c r="Q1821" s="798"/>
      <c r="R1821" s="811"/>
    </row>
    <row r="1822" customFormat="false" ht="16.5" hidden="false" customHeight="true" outlineLevel="0" collapsed="false">
      <c r="A1822" s="747"/>
      <c r="B1822" s="798"/>
      <c r="D1822" s="798"/>
      <c r="E1822" s="798"/>
      <c r="F1822" s="798"/>
      <c r="G1822" s="798"/>
      <c r="J1822" s="778" t="str">
        <f aca="false">IF(I1822="","",H1822/I1822)</f>
        <v/>
      </c>
      <c r="K1822" s="798"/>
      <c r="P1822" s="798"/>
      <c r="Q1822" s="798"/>
      <c r="R1822" s="811"/>
    </row>
    <row r="1823" customFormat="false" ht="16.5" hidden="false" customHeight="true" outlineLevel="0" collapsed="false">
      <c r="A1823" s="747"/>
      <c r="B1823" s="798"/>
      <c r="D1823" s="798"/>
      <c r="E1823" s="798"/>
      <c r="F1823" s="798"/>
      <c r="G1823" s="798"/>
      <c r="J1823" s="778" t="str">
        <f aca="false">IF(I1823="","",H1823/I1823)</f>
        <v/>
      </c>
      <c r="K1823" s="798"/>
      <c r="P1823" s="798"/>
      <c r="Q1823" s="798"/>
      <c r="R1823" s="811"/>
    </row>
    <row r="1824" customFormat="false" ht="16.5" hidden="false" customHeight="true" outlineLevel="0" collapsed="false">
      <c r="A1824" s="747"/>
      <c r="B1824" s="798"/>
      <c r="D1824" s="798"/>
      <c r="E1824" s="798"/>
      <c r="F1824" s="798"/>
      <c r="G1824" s="798"/>
      <c r="J1824" s="778" t="str">
        <f aca="false">IF(I1824="","",H1824/I1824)</f>
        <v/>
      </c>
      <c r="K1824" s="798"/>
      <c r="P1824" s="798"/>
      <c r="Q1824" s="798"/>
      <c r="R1824" s="811"/>
    </row>
    <row r="1825" customFormat="false" ht="16.5" hidden="false" customHeight="true" outlineLevel="0" collapsed="false">
      <c r="A1825" s="747"/>
      <c r="B1825" s="798"/>
      <c r="D1825" s="798"/>
      <c r="E1825" s="798"/>
      <c r="F1825" s="798"/>
      <c r="G1825" s="798"/>
      <c r="J1825" s="778" t="str">
        <f aca="false">IF(I1825="","",H1825/I1825)</f>
        <v/>
      </c>
      <c r="K1825" s="798"/>
      <c r="P1825" s="798"/>
      <c r="Q1825" s="798"/>
      <c r="R1825" s="811"/>
    </row>
    <row r="1826" customFormat="false" ht="16.5" hidden="false" customHeight="true" outlineLevel="0" collapsed="false">
      <c r="A1826" s="747"/>
      <c r="B1826" s="798"/>
      <c r="D1826" s="798"/>
      <c r="E1826" s="798"/>
      <c r="F1826" s="798"/>
      <c r="G1826" s="798"/>
      <c r="J1826" s="778" t="str">
        <f aca="false">IF(I1826="","",H1826/I1826)</f>
        <v/>
      </c>
      <c r="K1826" s="798"/>
      <c r="P1826" s="798"/>
      <c r="Q1826" s="798"/>
      <c r="R1826" s="811"/>
    </row>
    <row r="1827" customFormat="false" ht="16.5" hidden="false" customHeight="true" outlineLevel="0" collapsed="false">
      <c r="A1827" s="747"/>
      <c r="B1827" s="798"/>
      <c r="D1827" s="798"/>
      <c r="E1827" s="798"/>
      <c r="F1827" s="798"/>
      <c r="G1827" s="798"/>
      <c r="J1827" s="778" t="str">
        <f aca="false">IF(I1827="","",H1827/I1827)</f>
        <v/>
      </c>
      <c r="K1827" s="798"/>
      <c r="P1827" s="798"/>
      <c r="Q1827" s="798"/>
      <c r="R1827" s="811"/>
    </row>
    <row r="1828" customFormat="false" ht="16.5" hidden="false" customHeight="true" outlineLevel="0" collapsed="false">
      <c r="A1828" s="747"/>
      <c r="B1828" s="798"/>
      <c r="D1828" s="798"/>
      <c r="E1828" s="798"/>
      <c r="F1828" s="798"/>
      <c r="G1828" s="798"/>
      <c r="J1828" s="778" t="str">
        <f aca="false">IF(I1828="","",H1828/I1828)</f>
        <v/>
      </c>
      <c r="K1828" s="798"/>
      <c r="P1828" s="798"/>
      <c r="Q1828" s="798"/>
      <c r="R1828" s="811"/>
    </row>
    <row r="1829" customFormat="false" ht="16.5" hidden="false" customHeight="true" outlineLevel="0" collapsed="false">
      <c r="A1829" s="747"/>
      <c r="B1829" s="798"/>
      <c r="D1829" s="798"/>
      <c r="E1829" s="798"/>
      <c r="F1829" s="798"/>
      <c r="G1829" s="798"/>
      <c r="J1829" s="778" t="str">
        <f aca="false">IF(I1829="","",H1829/I1829)</f>
        <v/>
      </c>
      <c r="K1829" s="798"/>
      <c r="P1829" s="798"/>
      <c r="Q1829" s="798"/>
      <c r="R1829" s="811"/>
    </row>
    <row r="1830" customFormat="false" ht="16.5" hidden="false" customHeight="true" outlineLevel="0" collapsed="false">
      <c r="A1830" s="747"/>
      <c r="B1830" s="798"/>
      <c r="D1830" s="798"/>
      <c r="E1830" s="798"/>
      <c r="F1830" s="798"/>
      <c r="G1830" s="798"/>
      <c r="J1830" s="778" t="str">
        <f aca="false">IF(I1830="","",H1830/I1830)</f>
        <v/>
      </c>
      <c r="K1830" s="798"/>
      <c r="P1830" s="798"/>
      <c r="Q1830" s="798"/>
      <c r="R1830" s="811"/>
    </row>
    <row r="1831" customFormat="false" ht="16.5" hidden="false" customHeight="true" outlineLevel="0" collapsed="false">
      <c r="A1831" s="747"/>
      <c r="B1831" s="798"/>
      <c r="D1831" s="798"/>
      <c r="E1831" s="798"/>
      <c r="F1831" s="798"/>
      <c r="G1831" s="798"/>
      <c r="J1831" s="778" t="str">
        <f aca="false">IF(I1831="","",H1831/I1831)</f>
        <v/>
      </c>
      <c r="K1831" s="798"/>
      <c r="P1831" s="798"/>
      <c r="Q1831" s="798"/>
      <c r="R1831" s="811"/>
    </row>
    <row r="1832" customFormat="false" ht="16.5" hidden="false" customHeight="true" outlineLevel="0" collapsed="false">
      <c r="A1832" s="747"/>
      <c r="B1832" s="798"/>
      <c r="D1832" s="798"/>
      <c r="E1832" s="798"/>
      <c r="F1832" s="798"/>
      <c r="G1832" s="798"/>
      <c r="J1832" s="778" t="str">
        <f aca="false">IF(I1832="","",H1832/I1832)</f>
        <v/>
      </c>
      <c r="K1832" s="798"/>
      <c r="P1832" s="798"/>
      <c r="Q1832" s="798"/>
      <c r="R1832" s="811"/>
    </row>
    <row r="1833" customFormat="false" ht="16.5" hidden="false" customHeight="true" outlineLevel="0" collapsed="false">
      <c r="A1833" s="747"/>
      <c r="B1833" s="798"/>
      <c r="D1833" s="798"/>
      <c r="E1833" s="798"/>
      <c r="F1833" s="798"/>
      <c r="G1833" s="798"/>
      <c r="J1833" s="778" t="str">
        <f aca="false">IF(I1833="","",H1833/I1833)</f>
        <v/>
      </c>
      <c r="K1833" s="798"/>
      <c r="P1833" s="798"/>
      <c r="Q1833" s="798"/>
      <c r="R1833" s="811"/>
    </row>
    <row r="1834" customFormat="false" ht="16.5" hidden="false" customHeight="true" outlineLevel="0" collapsed="false">
      <c r="A1834" s="747"/>
      <c r="B1834" s="798"/>
      <c r="D1834" s="798"/>
      <c r="E1834" s="798"/>
      <c r="F1834" s="798"/>
      <c r="G1834" s="798"/>
      <c r="J1834" s="778" t="str">
        <f aca="false">IF(I1834="","",H1834/I1834)</f>
        <v/>
      </c>
      <c r="K1834" s="798"/>
      <c r="P1834" s="798"/>
      <c r="Q1834" s="798"/>
      <c r="R1834" s="811"/>
    </row>
    <row r="1835" customFormat="false" ht="16.5" hidden="false" customHeight="true" outlineLevel="0" collapsed="false">
      <c r="A1835" s="747"/>
      <c r="B1835" s="798"/>
      <c r="D1835" s="798"/>
      <c r="E1835" s="798"/>
      <c r="F1835" s="798"/>
      <c r="G1835" s="798"/>
      <c r="J1835" s="778" t="str">
        <f aca="false">IF(I1835="","",H1835/I1835)</f>
        <v/>
      </c>
      <c r="K1835" s="798"/>
      <c r="P1835" s="798"/>
      <c r="Q1835" s="798"/>
      <c r="R1835" s="811"/>
    </row>
    <row r="1836" customFormat="false" ht="16.5" hidden="false" customHeight="true" outlineLevel="0" collapsed="false">
      <c r="A1836" s="747"/>
      <c r="B1836" s="798"/>
      <c r="D1836" s="798"/>
      <c r="E1836" s="798"/>
      <c r="F1836" s="798"/>
      <c r="G1836" s="798"/>
      <c r="J1836" s="778" t="str">
        <f aca="false">IF(I1836="","",H1836/I1836)</f>
        <v/>
      </c>
      <c r="K1836" s="798"/>
      <c r="P1836" s="798"/>
      <c r="Q1836" s="798"/>
      <c r="R1836" s="811"/>
    </row>
    <row r="1837" customFormat="false" ht="16.5" hidden="false" customHeight="true" outlineLevel="0" collapsed="false">
      <c r="A1837" s="747"/>
      <c r="B1837" s="798"/>
      <c r="D1837" s="798"/>
      <c r="E1837" s="798"/>
      <c r="F1837" s="798"/>
      <c r="G1837" s="798"/>
      <c r="J1837" s="778" t="str">
        <f aca="false">IF(I1837="","",H1837/I1837)</f>
        <v/>
      </c>
      <c r="K1837" s="798"/>
      <c r="P1837" s="798"/>
      <c r="Q1837" s="798"/>
      <c r="R1837" s="811"/>
    </row>
    <row r="1838" customFormat="false" ht="16.5" hidden="false" customHeight="true" outlineLevel="0" collapsed="false">
      <c r="A1838" s="747"/>
      <c r="B1838" s="798"/>
      <c r="D1838" s="798"/>
      <c r="E1838" s="798"/>
      <c r="F1838" s="798"/>
      <c r="G1838" s="798"/>
      <c r="J1838" s="778" t="str">
        <f aca="false">IF(I1838="","",H1838/I1838)</f>
        <v/>
      </c>
      <c r="K1838" s="798"/>
      <c r="P1838" s="798"/>
      <c r="Q1838" s="798"/>
      <c r="R1838" s="811"/>
    </row>
    <row r="1839" customFormat="false" ht="16.5" hidden="false" customHeight="true" outlineLevel="0" collapsed="false">
      <c r="A1839" s="747"/>
      <c r="B1839" s="798"/>
      <c r="D1839" s="798"/>
      <c r="E1839" s="798"/>
      <c r="F1839" s="798"/>
      <c r="G1839" s="798"/>
      <c r="J1839" s="778" t="str">
        <f aca="false">IF(I1839="","",H1839/I1839)</f>
        <v/>
      </c>
      <c r="K1839" s="798"/>
      <c r="P1839" s="798"/>
      <c r="Q1839" s="798"/>
      <c r="R1839" s="811"/>
    </row>
    <row r="1840" customFormat="false" ht="16.5" hidden="false" customHeight="true" outlineLevel="0" collapsed="false">
      <c r="A1840" s="747"/>
      <c r="B1840" s="798"/>
      <c r="D1840" s="798"/>
      <c r="E1840" s="798"/>
      <c r="F1840" s="798"/>
      <c r="G1840" s="798"/>
      <c r="J1840" s="778" t="str">
        <f aca="false">IF(I1840="","",H1840/I1840)</f>
        <v/>
      </c>
      <c r="K1840" s="798"/>
      <c r="P1840" s="798"/>
      <c r="Q1840" s="798"/>
      <c r="R1840" s="811"/>
    </row>
    <row r="1841" customFormat="false" ht="16.5" hidden="false" customHeight="true" outlineLevel="0" collapsed="false">
      <c r="A1841" s="747"/>
      <c r="B1841" s="798"/>
      <c r="D1841" s="798"/>
      <c r="E1841" s="798"/>
      <c r="F1841" s="798"/>
      <c r="G1841" s="798"/>
      <c r="J1841" s="778" t="str">
        <f aca="false">IF(I1841="","",H1841/I1841)</f>
        <v/>
      </c>
      <c r="K1841" s="798"/>
      <c r="P1841" s="798"/>
      <c r="Q1841" s="798"/>
      <c r="R1841" s="811"/>
    </row>
    <row r="1842" customFormat="false" ht="16.5" hidden="false" customHeight="true" outlineLevel="0" collapsed="false">
      <c r="A1842" s="747"/>
      <c r="B1842" s="798"/>
      <c r="D1842" s="798"/>
      <c r="E1842" s="798"/>
      <c r="F1842" s="798"/>
      <c r="G1842" s="798"/>
      <c r="J1842" s="778" t="str">
        <f aca="false">IF(I1842="","",H1842/I1842)</f>
        <v/>
      </c>
      <c r="K1842" s="798"/>
      <c r="P1842" s="798"/>
      <c r="Q1842" s="798"/>
      <c r="R1842" s="811"/>
    </row>
    <row r="1843" customFormat="false" ht="16.5" hidden="false" customHeight="true" outlineLevel="0" collapsed="false">
      <c r="A1843" s="747"/>
      <c r="B1843" s="798"/>
      <c r="D1843" s="798"/>
      <c r="E1843" s="798"/>
      <c r="F1843" s="798"/>
      <c r="G1843" s="798"/>
      <c r="J1843" s="778" t="str">
        <f aca="false">IF(I1843="","",H1843/I1843)</f>
        <v/>
      </c>
      <c r="K1843" s="798"/>
      <c r="P1843" s="798"/>
      <c r="Q1843" s="798"/>
      <c r="R1843" s="811"/>
    </row>
    <row r="1844" customFormat="false" ht="16.5" hidden="false" customHeight="true" outlineLevel="0" collapsed="false">
      <c r="A1844" s="747"/>
      <c r="B1844" s="798"/>
      <c r="D1844" s="798"/>
      <c r="E1844" s="798"/>
      <c r="F1844" s="798"/>
      <c r="G1844" s="798"/>
      <c r="J1844" s="778" t="str">
        <f aca="false">IF(I1844="","",H1844/I1844)</f>
        <v/>
      </c>
      <c r="K1844" s="798"/>
      <c r="P1844" s="798"/>
      <c r="Q1844" s="798"/>
      <c r="R1844" s="811"/>
    </row>
    <row r="1845" customFormat="false" ht="16.5" hidden="false" customHeight="true" outlineLevel="0" collapsed="false">
      <c r="A1845" s="747"/>
      <c r="B1845" s="798"/>
      <c r="D1845" s="798"/>
      <c r="E1845" s="798"/>
      <c r="F1845" s="798"/>
      <c r="G1845" s="798"/>
      <c r="J1845" s="778" t="str">
        <f aca="false">IF(I1845="","",H1845/I1845)</f>
        <v/>
      </c>
      <c r="K1845" s="798"/>
      <c r="P1845" s="798"/>
      <c r="Q1845" s="798"/>
      <c r="R1845" s="811"/>
    </row>
    <row r="1846" customFormat="false" ht="16.5" hidden="false" customHeight="true" outlineLevel="0" collapsed="false">
      <c r="A1846" s="747"/>
      <c r="B1846" s="798"/>
      <c r="D1846" s="798"/>
      <c r="E1846" s="798"/>
      <c r="F1846" s="798"/>
      <c r="G1846" s="798"/>
      <c r="J1846" s="778" t="str">
        <f aca="false">IF(I1846="","",H1846/I1846)</f>
        <v/>
      </c>
      <c r="K1846" s="798"/>
      <c r="P1846" s="798"/>
      <c r="Q1846" s="798"/>
      <c r="R1846" s="811"/>
    </row>
    <row r="1847" customFormat="false" ht="16.5" hidden="false" customHeight="true" outlineLevel="0" collapsed="false">
      <c r="A1847" s="747"/>
      <c r="B1847" s="798"/>
      <c r="D1847" s="798"/>
      <c r="E1847" s="798"/>
      <c r="F1847" s="798"/>
      <c r="G1847" s="798"/>
      <c r="J1847" s="778" t="str">
        <f aca="false">IF(I1847="","",H1847/I1847)</f>
        <v/>
      </c>
      <c r="K1847" s="798"/>
      <c r="P1847" s="798"/>
      <c r="Q1847" s="798"/>
      <c r="R1847" s="811"/>
    </row>
    <row r="1848" customFormat="false" ht="16.5" hidden="false" customHeight="true" outlineLevel="0" collapsed="false">
      <c r="A1848" s="747"/>
      <c r="B1848" s="798"/>
      <c r="D1848" s="798"/>
      <c r="E1848" s="798"/>
      <c r="F1848" s="798"/>
      <c r="G1848" s="798"/>
      <c r="J1848" s="778" t="str">
        <f aca="false">IF(I1848="","",H1848/I1848)</f>
        <v/>
      </c>
      <c r="K1848" s="798"/>
      <c r="P1848" s="798"/>
      <c r="Q1848" s="798"/>
      <c r="R1848" s="811"/>
    </row>
    <row r="1849" customFormat="false" ht="16.5" hidden="false" customHeight="true" outlineLevel="0" collapsed="false">
      <c r="A1849" s="747"/>
      <c r="B1849" s="798"/>
      <c r="D1849" s="798"/>
      <c r="E1849" s="798"/>
      <c r="F1849" s="798"/>
      <c r="G1849" s="798"/>
      <c r="J1849" s="778" t="str">
        <f aca="false">IF(I1849="","",H1849/I1849)</f>
        <v/>
      </c>
      <c r="K1849" s="798"/>
      <c r="P1849" s="798"/>
      <c r="Q1849" s="798"/>
      <c r="R1849" s="811"/>
    </row>
    <row r="1850" customFormat="false" ht="16.5" hidden="false" customHeight="true" outlineLevel="0" collapsed="false">
      <c r="A1850" s="747"/>
      <c r="B1850" s="798"/>
      <c r="D1850" s="798"/>
      <c r="E1850" s="798"/>
      <c r="F1850" s="798"/>
      <c r="G1850" s="798"/>
      <c r="J1850" s="778" t="str">
        <f aca="false">IF(I1850="","",H1850/I1850)</f>
        <v/>
      </c>
      <c r="K1850" s="798"/>
      <c r="P1850" s="798"/>
      <c r="Q1850" s="798"/>
      <c r="R1850" s="811"/>
    </row>
    <row r="1851" customFormat="false" ht="16.5" hidden="false" customHeight="true" outlineLevel="0" collapsed="false">
      <c r="A1851" s="747"/>
      <c r="B1851" s="798"/>
      <c r="D1851" s="798"/>
      <c r="E1851" s="798"/>
      <c r="F1851" s="798"/>
      <c r="G1851" s="798"/>
      <c r="J1851" s="778" t="str">
        <f aca="false">IF(I1851="","",H1851/I1851)</f>
        <v/>
      </c>
      <c r="K1851" s="798"/>
      <c r="P1851" s="798"/>
      <c r="Q1851" s="798"/>
      <c r="R1851" s="811"/>
    </row>
    <row r="1852" customFormat="false" ht="16.5" hidden="false" customHeight="true" outlineLevel="0" collapsed="false">
      <c r="A1852" s="747"/>
      <c r="B1852" s="798"/>
      <c r="D1852" s="798"/>
      <c r="E1852" s="798"/>
      <c r="F1852" s="798"/>
      <c r="G1852" s="798"/>
      <c r="J1852" s="778" t="str">
        <f aca="false">IF(I1852="","",H1852/I1852)</f>
        <v/>
      </c>
      <c r="K1852" s="798"/>
      <c r="P1852" s="798"/>
      <c r="Q1852" s="798"/>
      <c r="R1852" s="811"/>
    </row>
    <row r="1853" customFormat="false" ht="16.5" hidden="false" customHeight="true" outlineLevel="0" collapsed="false">
      <c r="A1853" s="747"/>
      <c r="B1853" s="798"/>
      <c r="D1853" s="798"/>
      <c r="E1853" s="798"/>
      <c r="F1853" s="798"/>
      <c r="G1853" s="798"/>
      <c r="J1853" s="778" t="str">
        <f aca="false">IF(I1853="","",H1853/I1853)</f>
        <v/>
      </c>
      <c r="K1853" s="798"/>
      <c r="P1853" s="798"/>
      <c r="Q1853" s="798"/>
      <c r="R1853" s="811"/>
    </row>
    <row r="1854" customFormat="false" ht="16.5" hidden="false" customHeight="true" outlineLevel="0" collapsed="false">
      <c r="A1854" s="747"/>
      <c r="B1854" s="798"/>
      <c r="D1854" s="798"/>
      <c r="E1854" s="798"/>
      <c r="F1854" s="798"/>
      <c r="G1854" s="798"/>
      <c r="J1854" s="778" t="str">
        <f aca="false">IF(I1854="","",H1854/I1854)</f>
        <v/>
      </c>
      <c r="K1854" s="798"/>
      <c r="P1854" s="798"/>
      <c r="Q1854" s="798"/>
      <c r="R1854" s="811"/>
    </row>
    <row r="1855" customFormat="false" ht="16.5" hidden="false" customHeight="true" outlineLevel="0" collapsed="false">
      <c r="A1855" s="747"/>
      <c r="B1855" s="798"/>
      <c r="D1855" s="798"/>
      <c r="E1855" s="798"/>
      <c r="F1855" s="798"/>
      <c r="G1855" s="798"/>
      <c r="J1855" s="778" t="str">
        <f aca="false">IF(I1855="","",H1855/I1855)</f>
        <v/>
      </c>
      <c r="K1855" s="798"/>
      <c r="P1855" s="798"/>
      <c r="Q1855" s="798"/>
      <c r="R1855" s="811"/>
    </row>
    <row r="1856" customFormat="false" ht="16.5" hidden="false" customHeight="true" outlineLevel="0" collapsed="false">
      <c r="A1856" s="747"/>
      <c r="B1856" s="798"/>
      <c r="D1856" s="798"/>
      <c r="E1856" s="798"/>
      <c r="F1856" s="798"/>
      <c r="G1856" s="798"/>
      <c r="J1856" s="778" t="str">
        <f aca="false">IF(I1856="","",H1856/I1856)</f>
        <v/>
      </c>
      <c r="K1856" s="798"/>
      <c r="P1856" s="798"/>
      <c r="Q1856" s="798"/>
      <c r="R1856" s="811"/>
    </row>
    <row r="1857" customFormat="false" ht="16.5" hidden="false" customHeight="true" outlineLevel="0" collapsed="false">
      <c r="A1857" s="747"/>
      <c r="B1857" s="798"/>
      <c r="D1857" s="798"/>
      <c r="E1857" s="798"/>
      <c r="F1857" s="798"/>
      <c r="G1857" s="798"/>
      <c r="J1857" s="778" t="str">
        <f aca="false">IF(I1857="","",H1857/I1857)</f>
        <v/>
      </c>
      <c r="K1857" s="798"/>
      <c r="P1857" s="798"/>
      <c r="Q1857" s="798"/>
      <c r="R1857" s="811"/>
    </row>
    <row r="1858" customFormat="false" ht="16.5" hidden="false" customHeight="true" outlineLevel="0" collapsed="false">
      <c r="A1858" s="747"/>
      <c r="B1858" s="798"/>
      <c r="D1858" s="798"/>
      <c r="E1858" s="798"/>
      <c r="F1858" s="798"/>
      <c r="G1858" s="798"/>
      <c r="J1858" s="778" t="str">
        <f aca="false">IF(I1858="","",H1858/I1858)</f>
        <v/>
      </c>
      <c r="K1858" s="798"/>
      <c r="P1858" s="798"/>
      <c r="Q1858" s="798"/>
      <c r="R1858" s="811"/>
    </row>
    <row r="1859" customFormat="false" ht="16.5" hidden="false" customHeight="true" outlineLevel="0" collapsed="false">
      <c r="A1859" s="747"/>
      <c r="B1859" s="798"/>
      <c r="D1859" s="798"/>
      <c r="E1859" s="798"/>
      <c r="F1859" s="798"/>
      <c r="G1859" s="798"/>
      <c r="J1859" s="778" t="str">
        <f aca="false">IF(I1859="","",H1859/I1859)</f>
        <v/>
      </c>
      <c r="K1859" s="798"/>
      <c r="P1859" s="798"/>
      <c r="Q1859" s="798"/>
      <c r="R1859" s="811"/>
    </row>
    <row r="1860" customFormat="false" ht="16.5" hidden="false" customHeight="true" outlineLevel="0" collapsed="false">
      <c r="A1860" s="747"/>
      <c r="B1860" s="798"/>
      <c r="D1860" s="798"/>
      <c r="E1860" s="798"/>
      <c r="F1860" s="798"/>
      <c r="G1860" s="798"/>
      <c r="J1860" s="778" t="str">
        <f aca="false">IF(I1860="","",H1860/I1860)</f>
        <v/>
      </c>
      <c r="K1860" s="798"/>
      <c r="P1860" s="798"/>
      <c r="Q1860" s="798"/>
      <c r="R1860" s="811"/>
    </row>
    <row r="1861" customFormat="false" ht="16.5" hidden="false" customHeight="true" outlineLevel="0" collapsed="false">
      <c r="A1861" s="747"/>
      <c r="B1861" s="798"/>
      <c r="D1861" s="798"/>
      <c r="E1861" s="798"/>
      <c r="F1861" s="798"/>
      <c r="G1861" s="798"/>
      <c r="J1861" s="778" t="str">
        <f aca="false">IF(I1861="","",H1861/I1861)</f>
        <v/>
      </c>
      <c r="K1861" s="798"/>
      <c r="P1861" s="798"/>
      <c r="Q1861" s="798"/>
      <c r="R1861" s="811"/>
    </row>
    <row r="1862" customFormat="false" ht="16.5" hidden="false" customHeight="true" outlineLevel="0" collapsed="false">
      <c r="A1862" s="747"/>
      <c r="B1862" s="798"/>
      <c r="D1862" s="798"/>
      <c r="E1862" s="798"/>
      <c r="F1862" s="798"/>
      <c r="G1862" s="798"/>
      <c r="J1862" s="778" t="str">
        <f aca="false">IF(I1862="","",H1862/I1862)</f>
        <v/>
      </c>
      <c r="K1862" s="798"/>
      <c r="P1862" s="798"/>
      <c r="Q1862" s="798"/>
      <c r="R1862" s="811"/>
    </row>
    <row r="1863" customFormat="false" ht="16.5" hidden="false" customHeight="true" outlineLevel="0" collapsed="false">
      <c r="A1863" s="747"/>
      <c r="B1863" s="798"/>
      <c r="D1863" s="798"/>
      <c r="E1863" s="798"/>
      <c r="F1863" s="798"/>
      <c r="G1863" s="798"/>
      <c r="J1863" s="778" t="str">
        <f aca="false">IF(I1863="","",H1863/I1863)</f>
        <v/>
      </c>
      <c r="K1863" s="798"/>
      <c r="P1863" s="798"/>
      <c r="Q1863" s="798"/>
      <c r="R1863" s="811"/>
    </row>
    <row r="1864" customFormat="false" ht="16.5" hidden="false" customHeight="true" outlineLevel="0" collapsed="false">
      <c r="A1864" s="747"/>
      <c r="B1864" s="798"/>
      <c r="D1864" s="798"/>
      <c r="E1864" s="798"/>
      <c r="F1864" s="798"/>
      <c r="G1864" s="798"/>
      <c r="J1864" s="778" t="str">
        <f aca="false">IF(I1864="","",H1864/I1864)</f>
        <v/>
      </c>
      <c r="K1864" s="798"/>
      <c r="P1864" s="798"/>
      <c r="Q1864" s="798"/>
      <c r="R1864" s="811"/>
    </row>
    <row r="1865" customFormat="false" ht="16.5" hidden="false" customHeight="true" outlineLevel="0" collapsed="false">
      <c r="A1865" s="747"/>
      <c r="B1865" s="798"/>
      <c r="D1865" s="798"/>
      <c r="E1865" s="798"/>
      <c r="F1865" s="798"/>
      <c r="G1865" s="798"/>
      <c r="J1865" s="778" t="str">
        <f aca="false">IF(I1865="","",H1865/I1865)</f>
        <v/>
      </c>
      <c r="K1865" s="798"/>
      <c r="P1865" s="798"/>
      <c r="Q1865" s="798"/>
      <c r="R1865" s="811"/>
    </row>
    <row r="1866" customFormat="false" ht="16.5" hidden="false" customHeight="true" outlineLevel="0" collapsed="false">
      <c r="A1866" s="747"/>
      <c r="B1866" s="798"/>
      <c r="D1866" s="798"/>
      <c r="E1866" s="798"/>
      <c r="F1866" s="798"/>
      <c r="G1866" s="798"/>
      <c r="J1866" s="778" t="str">
        <f aca="false">IF(I1866="","",H1866/I1866)</f>
        <v/>
      </c>
      <c r="K1866" s="798"/>
      <c r="P1866" s="798"/>
      <c r="Q1866" s="798"/>
      <c r="R1866" s="811"/>
    </row>
    <row r="1867" customFormat="false" ht="16.5" hidden="false" customHeight="true" outlineLevel="0" collapsed="false">
      <c r="A1867" s="747"/>
      <c r="B1867" s="798"/>
      <c r="D1867" s="798"/>
      <c r="E1867" s="798"/>
      <c r="F1867" s="798"/>
      <c r="G1867" s="798"/>
      <c r="J1867" s="778" t="str">
        <f aca="false">IF(I1867="","",H1867/I1867)</f>
        <v/>
      </c>
      <c r="K1867" s="798"/>
      <c r="P1867" s="798"/>
      <c r="Q1867" s="798"/>
      <c r="R1867" s="811"/>
    </row>
    <row r="1868" customFormat="false" ht="16.5" hidden="false" customHeight="true" outlineLevel="0" collapsed="false">
      <c r="A1868" s="747"/>
      <c r="B1868" s="798"/>
      <c r="D1868" s="798"/>
      <c r="E1868" s="798"/>
      <c r="F1868" s="798"/>
      <c r="G1868" s="798"/>
      <c r="J1868" s="778" t="str">
        <f aca="false">IF(I1868="","",H1868/I1868)</f>
        <v/>
      </c>
      <c r="K1868" s="798"/>
      <c r="P1868" s="798"/>
      <c r="Q1868" s="798"/>
      <c r="R1868" s="811"/>
    </row>
    <row r="1869" customFormat="false" ht="16.5" hidden="false" customHeight="true" outlineLevel="0" collapsed="false">
      <c r="A1869" s="747"/>
      <c r="B1869" s="798"/>
      <c r="D1869" s="798"/>
      <c r="E1869" s="798"/>
      <c r="F1869" s="798"/>
      <c r="G1869" s="798"/>
      <c r="J1869" s="778" t="str">
        <f aca="false">IF(I1869="","",H1869/I1869)</f>
        <v/>
      </c>
      <c r="K1869" s="798"/>
      <c r="P1869" s="798"/>
      <c r="Q1869" s="798"/>
      <c r="R1869" s="811"/>
    </row>
    <row r="1870" customFormat="false" ht="16.5" hidden="false" customHeight="true" outlineLevel="0" collapsed="false">
      <c r="A1870" s="747"/>
      <c r="B1870" s="798"/>
      <c r="D1870" s="798"/>
      <c r="E1870" s="798"/>
      <c r="F1870" s="798"/>
      <c r="G1870" s="798"/>
      <c r="J1870" s="778" t="str">
        <f aca="false">IF(I1870="","",H1870/I1870)</f>
        <v/>
      </c>
      <c r="K1870" s="798"/>
      <c r="P1870" s="798"/>
      <c r="Q1870" s="798"/>
      <c r="R1870" s="811"/>
    </row>
    <row r="1871" customFormat="false" ht="16.5" hidden="false" customHeight="true" outlineLevel="0" collapsed="false">
      <c r="A1871" s="747"/>
      <c r="B1871" s="798"/>
      <c r="D1871" s="798"/>
      <c r="E1871" s="798"/>
      <c r="F1871" s="798"/>
      <c r="G1871" s="798"/>
      <c r="J1871" s="778" t="str">
        <f aca="false">IF(I1871="","",H1871/I1871)</f>
        <v/>
      </c>
      <c r="K1871" s="798"/>
      <c r="P1871" s="798"/>
      <c r="Q1871" s="798"/>
      <c r="R1871" s="811"/>
    </row>
    <row r="1872" customFormat="false" ht="16.5" hidden="false" customHeight="true" outlineLevel="0" collapsed="false">
      <c r="A1872" s="747"/>
      <c r="B1872" s="798"/>
      <c r="D1872" s="798"/>
      <c r="E1872" s="798"/>
      <c r="F1872" s="798"/>
      <c r="G1872" s="798"/>
      <c r="J1872" s="778" t="str">
        <f aca="false">IF(I1872="","",H1872/I1872)</f>
        <v/>
      </c>
      <c r="K1872" s="798"/>
      <c r="P1872" s="798"/>
      <c r="Q1872" s="798"/>
      <c r="R1872" s="811"/>
    </row>
    <row r="1873" customFormat="false" ht="16.5" hidden="false" customHeight="true" outlineLevel="0" collapsed="false">
      <c r="A1873" s="747"/>
      <c r="B1873" s="798"/>
      <c r="D1873" s="798"/>
      <c r="E1873" s="798"/>
      <c r="F1873" s="798"/>
      <c r="G1873" s="798"/>
      <c r="J1873" s="778" t="str">
        <f aca="false">IF(I1873="","",H1873/I1873)</f>
        <v/>
      </c>
      <c r="K1873" s="798"/>
      <c r="P1873" s="798"/>
      <c r="Q1873" s="798"/>
      <c r="R1873" s="811"/>
    </row>
    <row r="1874" customFormat="false" ht="16.5" hidden="false" customHeight="true" outlineLevel="0" collapsed="false">
      <c r="A1874" s="747"/>
      <c r="B1874" s="798"/>
      <c r="D1874" s="798"/>
      <c r="E1874" s="798"/>
      <c r="F1874" s="798"/>
      <c r="G1874" s="798"/>
      <c r="J1874" s="778" t="str">
        <f aca="false">IF(I1874="","",H1874/I1874)</f>
        <v/>
      </c>
      <c r="K1874" s="798"/>
      <c r="P1874" s="798"/>
      <c r="Q1874" s="798"/>
      <c r="R1874" s="811"/>
    </row>
    <row r="1875" customFormat="false" ht="16.5" hidden="false" customHeight="true" outlineLevel="0" collapsed="false">
      <c r="A1875" s="747"/>
      <c r="B1875" s="798"/>
      <c r="D1875" s="798"/>
      <c r="E1875" s="798"/>
      <c r="F1875" s="798"/>
      <c r="G1875" s="798"/>
      <c r="J1875" s="778" t="str">
        <f aca="false">IF(I1875="","",H1875/I1875)</f>
        <v/>
      </c>
      <c r="K1875" s="798"/>
      <c r="P1875" s="798"/>
      <c r="Q1875" s="798"/>
      <c r="R1875" s="811"/>
    </row>
    <row r="1876" customFormat="false" ht="16.5" hidden="false" customHeight="true" outlineLevel="0" collapsed="false">
      <c r="A1876" s="747"/>
      <c r="B1876" s="798"/>
      <c r="D1876" s="798"/>
      <c r="E1876" s="798"/>
      <c r="F1876" s="798"/>
      <c r="G1876" s="798"/>
      <c r="J1876" s="778" t="str">
        <f aca="false">IF(I1876="","",H1876/I1876)</f>
        <v/>
      </c>
      <c r="K1876" s="798"/>
      <c r="P1876" s="798"/>
      <c r="Q1876" s="798"/>
      <c r="R1876" s="811"/>
    </row>
    <row r="1877" customFormat="false" ht="16.5" hidden="false" customHeight="true" outlineLevel="0" collapsed="false">
      <c r="A1877" s="747"/>
      <c r="B1877" s="798"/>
      <c r="D1877" s="798"/>
      <c r="E1877" s="798"/>
      <c r="F1877" s="798"/>
      <c r="G1877" s="798"/>
      <c r="J1877" s="778" t="str">
        <f aca="false">IF(I1877="","",H1877/I1877)</f>
        <v/>
      </c>
      <c r="K1877" s="798"/>
      <c r="P1877" s="798"/>
      <c r="Q1877" s="798"/>
      <c r="R1877" s="811"/>
    </row>
    <row r="1878" customFormat="false" ht="16.5" hidden="false" customHeight="true" outlineLevel="0" collapsed="false">
      <c r="A1878" s="747"/>
      <c r="B1878" s="798"/>
      <c r="D1878" s="798"/>
      <c r="E1878" s="798"/>
      <c r="F1878" s="798"/>
      <c r="G1878" s="798"/>
      <c r="J1878" s="778" t="str">
        <f aca="false">IF(I1878="","",H1878/I1878)</f>
        <v/>
      </c>
      <c r="K1878" s="798"/>
      <c r="P1878" s="798"/>
      <c r="Q1878" s="798"/>
      <c r="R1878" s="811"/>
    </row>
    <row r="1879" customFormat="false" ht="16.5" hidden="false" customHeight="true" outlineLevel="0" collapsed="false">
      <c r="A1879" s="747"/>
      <c r="B1879" s="798"/>
      <c r="D1879" s="798"/>
      <c r="E1879" s="798"/>
      <c r="F1879" s="798"/>
      <c r="G1879" s="798"/>
      <c r="J1879" s="778" t="str">
        <f aca="false">IF(I1879="","",H1879/I1879)</f>
        <v/>
      </c>
      <c r="K1879" s="798"/>
      <c r="P1879" s="798"/>
      <c r="Q1879" s="798"/>
      <c r="R1879" s="811"/>
    </row>
    <row r="1880" customFormat="false" ht="16.5" hidden="false" customHeight="true" outlineLevel="0" collapsed="false">
      <c r="A1880" s="747"/>
      <c r="B1880" s="798"/>
      <c r="D1880" s="798"/>
      <c r="E1880" s="798"/>
      <c r="F1880" s="798"/>
      <c r="G1880" s="798"/>
      <c r="J1880" s="778" t="str">
        <f aca="false">IF(I1880="","",H1880/I1880)</f>
        <v/>
      </c>
      <c r="K1880" s="798"/>
      <c r="P1880" s="798"/>
      <c r="Q1880" s="798"/>
      <c r="R1880" s="811"/>
    </row>
    <row r="1881" customFormat="false" ht="16.5" hidden="false" customHeight="true" outlineLevel="0" collapsed="false">
      <c r="A1881" s="747"/>
      <c r="B1881" s="798"/>
      <c r="D1881" s="798"/>
      <c r="E1881" s="798"/>
      <c r="F1881" s="798"/>
      <c r="G1881" s="798"/>
      <c r="J1881" s="778" t="str">
        <f aca="false">IF(I1881="","",H1881/I1881)</f>
        <v/>
      </c>
      <c r="K1881" s="798"/>
      <c r="P1881" s="798"/>
      <c r="Q1881" s="798"/>
      <c r="R1881" s="811"/>
    </row>
    <row r="1882" customFormat="false" ht="16.5" hidden="false" customHeight="true" outlineLevel="0" collapsed="false">
      <c r="A1882" s="747"/>
      <c r="B1882" s="798"/>
      <c r="D1882" s="798"/>
      <c r="E1882" s="798"/>
      <c r="F1882" s="798"/>
      <c r="G1882" s="798"/>
      <c r="J1882" s="778" t="str">
        <f aca="false">IF(I1882="","",H1882/I1882)</f>
        <v/>
      </c>
      <c r="K1882" s="798"/>
      <c r="P1882" s="798"/>
      <c r="Q1882" s="798"/>
      <c r="R1882" s="811"/>
    </row>
    <row r="1883" customFormat="false" ht="16.5" hidden="false" customHeight="true" outlineLevel="0" collapsed="false">
      <c r="A1883" s="747"/>
      <c r="B1883" s="798"/>
      <c r="D1883" s="798"/>
      <c r="E1883" s="798"/>
      <c r="F1883" s="798"/>
      <c r="G1883" s="798"/>
      <c r="J1883" s="778" t="str">
        <f aca="false">IF(I1883="","",H1883/I1883)</f>
        <v/>
      </c>
      <c r="K1883" s="798"/>
      <c r="P1883" s="798"/>
      <c r="Q1883" s="798"/>
      <c r="R1883" s="811"/>
    </row>
    <row r="1884" customFormat="false" ht="16.5" hidden="false" customHeight="true" outlineLevel="0" collapsed="false">
      <c r="A1884" s="747"/>
      <c r="B1884" s="798"/>
      <c r="D1884" s="798"/>
      <c r="E1884" s="798"/>
      <c r="F1884" s="798"/>
      <c r="G1884" s="798"/>
      <c r="J1884" s="778" t="str">
        <f aca="false">IF(I1884="","",H1884/I1884)</f>
        <v/>
      </c>
      <c r="K1884" s="798"/>
      <c r="P1884" s="798"/>
      <c r="Q1884" s="798"/>
      <c r="R1884" s="811"/>
    </row>
    <row r="1885" customFormat="false" ht="16.5" hidden="false" customHeight="true" outlineLevel="0" collapsed="false">
      <c r="A1885" s="747"/>
      <c r="B1885" s="798"/>
      <c r="D1885" s="798"/>
      <c r="E1885" s="798"/>
      <c r="F1885" s="798"/>
      <c r="G1885" s="798"/>
      <c r="J1885" s="778" t="str">
        <f aca="false">IF(I1885="","",H1885/I1885)</f>
        <v/>
      </c>
      <c r="K1885" s="798"/>
      <c r="P1885" s="798"/>
      <c r="Q1885" s="798"/>
      <c r="R1885" s="811"/>
    </row>
    <row r="1886" customFormat="false" ht="16.5" hidden="false" customHeight="true" outlineLevel="0" collapsed="false">
      <c r="A1886" s="747"/>
      <c r="B1886" s="798"/>
      <c r="D1886" s="798"/>
      <c r="E1886" s="798"/>
      <c r="F1886" s="798"/>
      <c r="G1886" s="798"/>
      <c r="J1886" s="778" t="str">
        <f aca="false">IF(I1886="","",H1886/I1886)</f>
        <v/>
      </c>
      <c r="K1886" s="798"/>
      <c r="P1886" s="798"/>
      <c r="Q1886" s="798"/>
      <c r="R1886" s="811"/>
    </row>
    <row r="1887" customFormat="false" ht="16.5" hidden="false" customHeight="true" outlineLevel="0" collapsed="false">
      <c r="A1887" s="747"/>
      <c r="B1887" s="798"/>
      <c r="D1887" s="798"/>
      <c r="E1887" s="798"/>
      <c r="F1887" s="798"/>
      <c r="G1887" s="798"/>
      <c r="J1887" s="778" t="str">
        <f aca="false">IF(I1887="","",H1887/I1887)</f>
        <v/>
      </c>
      <c r="K1887" s="798"/>
      <c r="P1887" s="798"/>
      <c r="Q1887" s="798"/>
      <c r="R1887" s="811"/>
    </row>
    <row r="1888" customFormat="false" ht="16.5" hidden="false" customHeight="true" outlineLevel="0" collapsed="false">
      <c r="A1888" s="747"/>
      <c r="B1888" s="798"/>
      <c r="D1888" s="798"/>
      <c r="E1888" s="798"/>
      <c r="F1888" s="798"/>
      <c r="G1888" s="798"/>
      <c r="J1888" s="778" t="str">
        <f aca="false">IF(I1888="","",H1888/I1888)</f>
        <v/>
      </c>
      <c r="K1888" s="798"/>
      <c r="P1888" s="798"/>
      <c r="Q1888" s="798"/>
      <c r="R1888" s="811"/>
    </row>
    <row r="1889" customFormat="false" ht="16.5" hidden="false" customHeight="true" outlineLevel="0" collapsed="false">
      <c r="A1889" s="747"/>
      <c r="B1889" s="798"/>
      <c r="D1889" s="798"/>
      <c r="E1889" s="798"/>
      <c r="F1889" s="798"/>
      <c r="G1889" s="798"/>
      <c r="J1889" s="778" t="str">
        <f aca="false">IF(I1889="","",H1889/I1889)</f>
        <v/>
      </c>
      <c r="K1889" s="798"/>
      <c r="P1889" s="798"/>
      <c r="Q1889" s="798"/>
      <c r="R1889" s="811"/>
    </row>
    <row r="1890" customFormat="false" ht="16.5" hidden="false" customHeight="true" outlineLevel="0" collapsed="false">
      <c r="A1890" s="747"/>
      <c r="B1890" s="798"/>
      <c r="D1890" s="798"/>
      <c r="E1890" s="798"/>
      <c r="F1890" s="798"/>
      <c r="G1890" s="798"/>
      <c r="J1890" s="778" t="str">
        <f aca="false">IF(I1890="","",H1890/I1890)</f>
        <v/>
      </c>
      <c r="K1890" s="798"/>
      <c r="P1890" s="798"/>
      <c r="Q1890" s="798"/>
      <c r="R1890" s="811"/>
    </row>
    <row r="1891" customFormat="false" ht="16.5" hidden="false" customHeight="true" outlineLevel="0" collapsed="false">
      <c r="A1891" s="747"/>
      <c r="B1891" s="798"/>
      <c r="D1891" s="798"/>
      <c r="E1891" s="798"/>
      <c r="F1891" s="798"/>
      <c r="G1891" s="798"/>
      <c r="J1891" s="778" t="str">
        <f aca="false">IF(I1891="","",H1891/I1891)</f>
        <v/>
      </c>
      <c r="K1891" s="798"/>
      <c r="P1891" s="798"/>
      <c r="Q1891" s="798"/>
      <c r="R1891" s="811"/>
    </row>
    <row r="1892" customFormat="false" ht="16.5" hidden="false" customHeight="true" outlineLevel="0" collapsed="false">
      <c r="A1892" s="747"/>
      <c r="B1892" s="798"/>
      <c r="D1892" s="798"/>
      <c r="E1892" s="798"/>
      <c r="F1892" s="798"/>
      <c r="G1892" s="798"/>
      <c r="J1892" s="778" t="str">
        <f aca="false">IF(I1892="","",H1892/I1892)</f>
        <v/>
      </c>
      <c r="K1892" s="798"/>
      <c r="P1892" s="798"/>
      <c r="Q1892" s="798"/>
      <c r="R1892" s="811"/>
    </row>
    <row r="1893" customFormat="false" ht="16.5" hidden="false" customHeight="true" outlineLevel="0" collapsed="false">
      <c r="A1893" s="747"/>
      <c r="B1893" s="798"/>
      <c r="D1893" s="798"/>
      <c r="E1893" s="798"/>
      <c r="F1893" s="798"/>
      <c r="G1893" s="798"/>
      <c r="J1893" s="778" t="str">
        <f aca="false">IF(I1893="","",H1893/I1893)</f>
        <v/>
      </c>
      <c r="K1893" s="798"/>
      <c r="P1893" s="798"/>
      <c r="Q1893" s="798"/>
      <c r="R1893" s="811"/>
    </row>
    <row r="1894" customFormat="false" ht="16.5" hidden="false" customHeight="true" outlineLevel="0" collapsed="false">
      <c r="A1894" s="747"/>
      <c r="B1894" s="798"/>
      <c r="D1894" s="798"/>
      <c r="E1894" s="798"/>
      <c r="F1894" s="798"/>
      <c r="G1894" s="798"/>
      <c r="J1894" s="778" t="str">
        <f aca="false">IF(I1894="","",H1894/I1894)</f>
        <v/>
      </c>
      <c r="K1894" s="798"/>
      <c r="P1894" s="798"/>
      <c r="Q1894" s="798"/>
      <c r="R1894" s="811"/>
    </row>
    <row r="1895" customFormat="false" ht="16.5" hidden="false" customHeight="true" outlineLevel="0" collapsed="false">
      <c r="A1895" s="747"/>
      <c r="B1895" s="798"/>
      <c r="D1895" s="798"/>
      <c r="E1895" s="798"/>
      <c r="F1895" s="798"/>
      <c r="G1895" s="798"/>
      <c r="J1895" s="778" t="str">
        <f aca="false">IF(I1895="","",H1895/I1895)</f>
        <v/>
      </c>
      <c r="K1895" s="798"/>
      <c r="P1895" s="798"/>
      <c r="Q1895" s="798"/>
      <c r="R1895" s="811"/>
    </row>
    <row r="1896" customFormat="false" ht="16.5" hidden="false" customHeight="true" outlineLevel="0" collapsed="false">
      <c r="A1896" s="747"/>
      <c r="B1896" s="798"/>
      <c r="D1896" s="798"/>
      <c r="E1896" s="798"/>
      <c r="F1896" s="798"/>
      <c r="G1896" s="798"/>
      <c r="J1896" s="778" t="str">
        <f aca="false">IF(I1896="","",H1896/I1896)</f>
        <v/>
      </c>
      <c r="K1896" s="798"/>
      <c r="P1896" s="798"/>
      <c r="Q1896" s="798"/>
      <c r="R1896" s="811"/>
    </row>
    <row r="1897" customFormat="false" ht="16.5" hidden="false" customHeight="true" outlineLevel="0" collapsed="false">
      <c r="A1897" s="747"/>
      <c r="B1897" s="798"/>
      <c r="D1897" s="798"/>
      <c r="E1897" s="798"/>
      <c r="F1897" s="798"/>
      <c r="G1897" s="798"/>
      <c r="J1897" s="778" t="str">
        <f aca="false">IF(I1897="","",H1897/I1897)</f>
        <v/>
      </c>
      <c r="K1897" s="798"/>
      <c r="P1897" s="798"/>
      <c r="Q1897" s="798"/>
      <c r="R1897" s="811"/>
    </row>
    <row r="1898" customFormat="false" ht="16.5" hidden="false" customHeight="true" outlineLevel="0" collapsed="false">
      <c r="A1898" s="747"/>
      <c r="B1898" s="798"/>
      <c r="D1898" s="798"/>
      <c r="E1898" s="798"/>
      <c r="F1898" s="798"/>
      <c r="G1898" s="798"/>
      <c r="J1898" s="778" t="str">
        <f aca="false">IF(I1898="","",H1898/I1898)</f>
        <v/>
      </c>
      <c r="K1898" s="798"/>
      <c r="P1898" s="798"/>
      <c r="Q1898" s="798"/>
      <c r="R1898" s="811"/>
    </row>
    <row r="1899" customFormat="false" ht="16.5" hidden="false" customHeight="true" outlineLevel="0" collapsed="false">
      <c r="A1899" s="747"/>
      <c r="B1899" s="798"/>
      <c r="D1899" s="798"/>
      <c r="E1899" s="798"/>
      <c r="F1899" s="798"/>
      <c r="G1899" s="798"/>
      <c r="J1899" s="778" t="str">
        <f aca="false">IF(I1899="","",H1899/I1899)</f>
        <v/>
      </c>
      <c r="K1899" s="798"/>
      <c r="P1899" s="798"/>
      <c r="Q1899" s="798"/>
      <c r="R1899" s="811"/>
    </row>
    <row r="1900" customFormat="false" ht="16.5" hidden="false" customHeight="true" outlineLevel="0" collapsed="false">
      <c r="A1900" s="747"/>
      <c r="B1900" s="798"/>
      <c r="D1900" s="798"/>
      <c r="E1900" s="798"/>
      <c r="F1900" s="798"/>
      <c r="G1900" s="798"/>
      <c r="J1900" s="778" t="str">
        <f aca="false">IF(I1900="","",H1900/I1900)</f>
        <v/>
      </c>
      <c r="K1900" s="798"/>
      <c r="P1900" s="798"/>
      <c r="Q1900" s="798"/>
      <c r="R1900" s="811"/>
    </row>
    <row r="1901" customFormat="false" ht="16.5" hidden="false" customHeight="true" outlineLevel="0" collapsed="false">
      <c r="A1901" s="747"/>
      <c r="B1901" s="798"/>
      <c r="D1901" s="798"/>
      <c r="E1901" s="798"/>
      <c r="F1901" s="798"/>
      <c r="G1901" s="798"/>
      <c r="J1901" s="778" t="str">
        <f aca="false">IF(I1901="","",H1901/I1901)</f>
        <v/>
      </c>
      <c r="K1901" s="798"/>
      <c r="P1901" s="798"/>
      <c r="Q1901" s="798"/>
      <c r="R1901" s="811"/>
    </row>
    <row r="1902" customFormat="false" ht="16.5" hidden="false" customHeight="true" outlineLevel="0" collapsed="false">
      <c r="A1902" s="747"/>
      <c r="B1902" s="798"/>
      <c r="D1902" s="798"/>
      <c r="E1902" s="798"/>
      <c r="F1902" s="798"/>
      <c r="G1902" s="798"/>
      <c r="J1902" s="778" t="str">
        <f aca="false">IF(I1902="","",H1902/I1902)</f>
        <v/>
      </c>
      <c r="K1902" s="798"/>
      <c r="P1902" s="798"/>
      <c r="Q1902" s="798"/>
      <c r="R1902" s="811"/>
    </row>
    <row r="1903" customFormat="false" ht="16.5" hidden="false" customHeight="true" outlineLevel="0" collapsed="false">
      <c r="A1903" s="747"/>
      <c r="B1903" s="798"/>
      <c r="D1903" s="798"/>
      <c r="E1903" s="798"/>
      <c r="F1903" s="798"/>
      <c r="G1903" s="798"/>
      <c r="J1903" s="778" t="str">
        <f aca="false">IF(I1903="","",H1903/I1903)</f>
        <v/>
      </c>
      <c r="K1903" s="798"/>
      <c r="P1903" s="798"/>
      <c r="Q1903" s="798"/>
      <c r="R1903" s="811"/>
    </row>
    <row r="1904" customFormat="false" ht="16.5" hidden="false" customHeight="true" outlineLevel="0" collapsed="false">
      <c r="A1904" s="747"/>
      <c r="B1904" s="798"/>
      <c r="D1904" s="798"/>
      <c r="E1904" s="798"/>
      <c r="F1904" s="798"/>
      <c r="G1904" s="798"/>
      <c r="J1904" s="778" t="str">
        <f aca="false">IF(I1904="","",H1904/I1904)</f>
        <v/>
      </c>
      <c r="K1904" s="798"/>
      <c r="P1904" s="798"/>
      <c r="Q1904" s="798"/>
      <c r="R1904" s="811"/>
    </row>
    <row r="1905" customFormat="false" ht="16.5" hidden="false" customHeight="true" outlineLevel="0" collapsed="false">
      <c r="A1905" s="747"/>
      <c r="B1905" s="798"/>
      <c r="D1905" s="798"/>
      <c r="E1905" s="798"/>
      <c r="F1905" s="798"/>
      <c r="G1905" s="798"/>
      <c r="J1905" s="778" t="str">
        <f aca="false">IF(I1905="","",H1905/I1905)</f>
        <v/>
      </c>
      <c r="K1905" s="798"/>
      <c r="P1905" s="798"/>
      <c r="Q1905" s="798"/>
      <c r="R1905" s="811"/>
    </row>
    <row r="1906" customFormat="false" ht="16.5" hidden="false" customHeight="true" outlineLevel="0" collapsed="false">
      <c r="A1906" s="747"/>
      <c r="B1906" s="798"/>
      <c r="D1906" s="798"/>
      <c r="E1906" s="798"/>
      <c r="F1906" s="798"/>
      <c r="G1906" s="798"/>
      <c r="J1906" s="778" t="str">
        <f aca="false">IF(I1906="","",H1906/I1906)</f>
        <v/>
      </c>
      <c r="K1906" s="798"/>
      <c r="P1906" s="798"/>
      <c r="Q1906" s="798"/>
      <c r="R1906" s="811"/>
    </row>
    <row r="1907" customFormat="false" ht="16.5" hidden="false" customHeight="true" outlineLevel="0" collapsed="false">
      <c r="A1907" s="747"/>
      <c r="B1907" s="798"/>
      <c r="D1907" s="798"/>
      <c r="E1907" s="798"/>
      <c r="F1907" s="798"/>
      <c r="G1907" s="798"/>
      <c r="J1907" s="778" t="str">
        <f aca="false">IF(I1907="","",H1907/I1907)</f>
        <v/>
      </c>
      <c r="K1907" s="798"/>
      <c r="P1907" s="798"/>
      <c r="Q1907" s="798"/>
      <c r="R1907" s="811"/>
    </row>
    <row r="1908" customFormat="false" ht="16.5" hidden="false" customHeight="true" outlineLevel="0" collapsed="false">
      <c r="A1908" s="747"/>
      <c r="B1908" s="798"/>
      <c r="D1908" s="798"/>
      <c r="E1908" s="798"/>
      <c r="F1908" s="798"/>
      <c r="G1908" s="798"/>
      <c r="J1908" s="778" t="str">
        <f aca="false">IF(I1908="","",H1908/I1908)</f>
        <v/>
      </c>
      <c r="K1908" s="798"/>
      <c r="P1908" s="798"/>
      <c r="Q1908" s="798"/>
      <c r="R1908" s="811"/>
    </row>
    <row r="1909" customFormat="false" ht="16.5" hidden="false" customHeight="true" outlineLevel="0" collapsed="false">
      <c r="A1909" s="747"/>
      <c r="B1909" s="798"/>
      <c r="D1909" s="798"/>
      <c r="E1909" s="798"/>
      <c r="F1909" s="798"/>
      <c r="G1909" s="798"/>
      <c r="J1909" s="778" t="str">
        <f aca="false">IF(I1909="","",H1909/I1909)</f>
        <v/>
      </c>
      <c r="K1909" s="798"/>
      <c r="P1909" s="798"/>
      <c r="Q1909" s="798"/>
      <c r="R1909" s="811"/>
    </row>
    <row r="1910" customFormat="false" ht="16.5" hidden="false" customHeight="true" outlineLevel="0" collapsed="false">
      <c r="A1910" s="747"/>
      <c r="B1910" s="798"/>
      <c r="D1910" s="798"/>
      <c r="E1910" s="798"/>
      <c r="F1910" s="798"/>
      <c r="G1910" s="798"/>
      <c r="J1910" s="778" t="str">
        <f aca="false">IF(I1910="","",H1910/I1910)</f>
        <v/>
      </c>
      <c r="K1910" s="798"/>
      <c r="P1910" s="798"/>
      <c r="Q1910" s="798"/>
      <c r="R1910" s="811"/>
    </row>
    <row r="1911" customFormat="false" ht="16.5" hidden="false" customHeight="true" outlineLevel="0" collapsed="false">
      <c r="A1911" s="747"/>
      <c r="B1911" s="798"/>
      <c r="D1911" s="798"/>
      <c r="E1911" s="798"/>
      <c r="F1911" s="798"/>
      <c r="G1911" s="798"/>
      <c r="J1911" s="778" t="str">
        <f aca="false">IF(I1911="","",H1911/I1911)</f>
        <v/>
      </c>
      <c r="K1911" s="798"/>
      <c r="P1911" s="798"/>
      <c r="Q1911" s="798"/>
      <c r="R1911" s="811"/>
    </row>
    <row r="1912" customFormat="false" ht="16.5" hidden="false" customHeight="true" outlineLevel="0" collapsed="false">
      <c r="A1912" s="747"/>
      <c r="B1912" s="798"/>
      <c r="D1912" s="798"/>
      <c r="E1912" s="798"/>
      <c r="F1912" s="798"/>
      <c r="G1912" s="798"/>
      <c r="J1912" s="778" t="str">
        <f aca="false">IF(I1912="","",H1912/I1912)</f>
        <v/>
      </c>
      <c r="K1912" s="798"/>
      <c r="P1912" s="798"/>
      <c r="Q1912" s="798"/>
      <c r="R1912" s="811"/>
    </row>
    <row r="1913" customFormat="false" ht="16.5" hidden="false" customHeight="true" outlineLevel="0" collapsed="false">
      <c r="A1913" s="747"/>
      <c r="B1913" s="798"/>
      <c r="D1913" s="798"/>
      <c r="E1913" s="798"/>
      <c r="F1913" s="798"/>
      <c r="G1913" s="798"/>
      <c r="J1913" s="778" t="str">
        <f aca="false">IF(I1913="","",H1913/I1913)</f>
        <v/>
      </c>
      <c r="K1913" s="798"/>
      <c r="P1913" s="798"/>
      <c r="Q1913" s="798"/>
      <c r="R1913" s="811"/>
    </row>
    <row r="1914" customFormat="false" ht="16.5" hidden="false" customHeight="true" outlineLevel="0" collapsed="false">
      <c r="A1914" s="747"/>
      <c r="B1914" s="798"/>
      <c r="D1914" s="798"/>
      <c r="E1914" s="798"/>
      <c r="F1914" s="798"/>
      <c r="G1914" s="798"/>
      <c r="J1914" s="778" t="str">
        <f aca="false">IF(I1914="","",H1914/I1914)</f>
        <v/>
      </c>
      <c r="K1914" s="798"/>
      <c r="P1914" s="798"/>
      <c r="Q1914" s="798"/>
      <c r="R1914" s="811"/>
    </row>
    <row r="1915" customFormat="false" ht="16.5" hidden="false" customHeight="true" outlineLevel="0" collapsed="false">
      <c r="A1915" s="747"/>
      <c r="B1915" s="798"/>
      <c r="D1915" s="798"/>
      <c r="E1915" s="798"/>
      <c r="F1915" s="798"/>
      <c r="G1915" s="798"/>
      <c r="J1915" s="778" t="str">
        <f aca="false">IF(I1915="","",H1915/I1915)</f>
        <v/>
      </c>
      <c r="K1915" s="798"/>
      <c r="P1915" s="798"/>
      <c r="Q1915" s="798"/>
      <c r="R1915" s="811"/>
    </row>
    <row r="1916" customFormat="false" ht="16.5" hidden="false" customHeight="true" outlineLevel="0" collapsed="false">
      <c r="A1916" s="747"/>
      <c r="B1916" s="798"/>
      <c r="D1916" s="798"/>
      <c r="E1916" s="798"/>
      <c r="F1916" s="798"/>
      <c r="G1916" s="798"/>
      <c r="J1916" s="778" t="str">
        <f aca="false">IF(I1916="","",H1916/I1916)</f>
        <v/>
      </c>
      <c r="K1916" s="798"/>
      <c r="P1916" s="798"/>
      <c r="Q1916" s="798"/>
      <c r="R1916" s="811"/>
    </row>
    <row r="1917" customFormat="false" ht="16.5" hidden="false" customHeight="true" outlineLevel="0" collapsed="false">
      <c r="A1917" s="747"/>
      <c r="B1917" s="798"/>
      <c r="D1917" s="798"/>
      <c r="E1917" s="798"/>
      <c r="F1917" s="798"/>
      <c r="G1917" s="798"/>
      <c r="J1917" s="778" t="str">
        <f aca="false">IF(I1917="","",H1917/I1917)</f>
        <v/>
      </c>
      <c r="K1917" s="798"/>
      <c r="P1917" s="798"/>
      <c r="Q1917" s="798"/>
      <c r="R1917" s="811"/>
    </row>
    <row r="1918" customFormat="false" ht="16.5" hidden="false" customHeight="true" outlineLevel="0" collapsed="false">
      <c r="A1918" s="747"/>
      <c r="B1918" s="798"/>
      <c r="D1918" s="798"/>
      <c r="E1918" s="798"/>
      <c r="F1918" s="798"/>
      <c r="G1918" s="798"/>
      <c r="J1918" s="778" t="str">
        <f aca="false">IF(I1918="","",H1918/I1918)</f>
        <v/>
      </c>
      <c r="K1918" s="798"/>
      <c r="P1918" s="798"/>
      <c r="Q1918" s="798"/>
      <c r="R1918" s="811"/>
    </row>
    <row r="1919" customFormat="false" ht="16.5" hidden="false" customHeight="true" outlineLevel="0" collapsed="false">
      <c r="A1919" s="747"/>
      <c r="B1919" s="798"/>
      <c r="D1919" s="798"/>
      <c r="E1919" s="798"/>
      <c r="F1919" s="798"/>
      <c r="G1919" s="798"/>
      <c r="J1919" s="778" t="str">
        <f aca="false">IF(I1919="","",H1919/I1919)</f>
        <v/>
      </c>
      <c r="K1919" s="798"/>
      <c r="P1919" s="798"/>
      <c r="Q1919" s="798"/>
      <c r="R1919" s="811"/>
    </row>
    <row r="1920" customFormat="false" ht="16.5" hidden="false" customHeight="true" outlineLevel="0" collapsed="false">
      <c r="A1920" s="747"/>
      <c r="B1920" s="798"/>
      <c r="D1920" s="798"/>
      <c r="E1920" s="798"/>
      <c r="F1920" s="798"/>
      <c r="G1920" s="798"/>
      <c r="J1920" s="778" t="str">
        <f aca="false">IF(I1920="","",H1920/I1920)</f>
        <v/>
      </c>
      <c r="K1920" s="798"/>
      <c r="P1920" s="798"/>
      <c r="Q1920" s="798"/>
      <c r="R1920" s="811"/>
    </row>
    <row r="1921" customFormat="false" ht="16.5" hidden="false" customHeight="true" outlineLevel="0" collapsed="false">
      <c r="A1921" s="747"/>
      <c r="B1921" s="798"/>
      <c r="D1921" s="798"/>
      <c r="E1921" s="798"/>
      <c r="F1921" s="798"/>
      <c r="G1921" s="798"/>
      <c r="J1921" s="778" t="str">
        <f aca="false">IF(I1921="","",H1921/I1921)</f>
        <v/>
      </c>
      <c r="K1921" s="798"/>
      <c r="P1921" s="798"/>
      <c r="Q1921" s="798"/>
      <c r="R1921" s="811"/>
    </row>
    <row r="1922" customFormat="false" ht="16.5" hidden="false" customHeight="true" outlineLevel="0" collapsed="false">
      <c r="A1922" s="747"/>
      <c r="B1922" s="798"/>
      <c r="D1922" s="798"/>
      <c r="E1922" s="798"/>
      <c r="F1922" s="798"/>
      <c r="G1922" s="798"/>
      <c r="J1922" s="778" t="str">
        <f aca="false">IF(I1922="","",H1922/I1922)</f>
        <v/>
      </c>
      <c r="K1922" s="798"/>
      <c r="P1922" s="798"/>
      <c r="Q1922" s="798"/>
      <c r="R1922" s="811"/>
    </row>
    <row r="1923" customFormat="false" ht="16.5" hidden="false" customHeight="true" outlineLevel="0" collapsed="false">
      <c r="A1923" s="747"/>
      <c r="B1923" s="798"/>
      <c r="D1923" s="798"/>
      <c r="E1923" s="798"/>
      <c r="F1923" s="798"/>
      <c r="G1923" s="798"/>
      <c r="J1923" s="778" t="str">
        <f aca="false">IF(I1923="","",H1923/I1923)</f>
        <v/>
      </c>
      <c r="K1923" s="798"/>
      <c r="P1923" s="798"/>
      <c r="Q1923" s="798"/>
      <c r="R1923" s="811"/>
    </row>
    <row r="1924" customFormat="false" ht="16.5" hidden="false" customHeight="true" outlineLevel="0" collapsed="false">
      <c r="A1924" s="747"/>
      <c r="B1924" s="798"/>
      <c r="D1924" s="798"/>
      <c r="E1924" s="798"/>
      <c r="F1924" s="798"/>
      <c r="G1924" s="798"/>
      <c r="J1924" s="778" t="str">
        <f aca="false">IF(I1924="","",H1924/I1924)</f>
        <v/>
      </c>
      <c r="K1924" s="798"/>
      <c r="P1924" s="798"/>
      <c r="Q1924" s="798"/>
      <c r="R1924" s="811"/>
    </row>
    <row r="1925" customFormat="false" ht="16.5" hidden="false" customHeight="true" outlineLevel="0" collapsed="false">
      <c r="A1925" s="747"/>
      <c r="B1925" s="798"/>
      <c r="D1925" s="798"/>
      <c r="E1925" s="798"/>
      <c r="F1925" s="798"/>
      <c r="G1925" s="798"/>
      <c r="J1925" s="778" t="str">
        <f aca="false">IF(I1925="","",H1925/I1925)</f>
        <v/>
      </c>
      <c r="K1925" s="798"/>
      <c r="P1925" s="798"/>
      <c r="Q1925" s="798"/>
      <c r="R1925" s="811"/>
    </row>
    <row r="1926" customFormat="false" ht="16.5" hidden="false" customHeight="true" outlineLevel="0" collapsed="false">
      <c r="A1926" s="747"/>
      <c r="B1926" s="798"/>
      <c r="D1926" s="798"/>
      <c r="E1926" s="798"/>
      <c r="F1926" s="798"/>
      <c r="G1926" s="798"/>
      <c r="J1926" s="778" t="str">
        <f aca="false">IF(I1926="","",H1926/I1926)</f>
        <v/>
      </c>
      <c r="K1926" s="798"/>
      <c r="P1926" s="798"/>
      <c r="Q1926" s="798"/>
      <c r="R1926" s="811"/>
    </row>
    <row r="1927" customFormat="false" ht="16.5" hidden="false" customHeight="true" outlineLevel="0" collapsed="false">
      <c r="A1927" s="747"/>
      <c r="B1927" s="798"/>
      <c r="D1927" s="798"/>
      <c r="E1927" s="798"/>
      <c r="F1927" s="798"/>
      <c r="G1927" s="798"/>
      <c r="J1927" s="778" t="str">
        <f aca="false">IF(I1927="","",H1927/I1927)</f>
        <v/>
      </c>
      <c r="K1927" s="798"/>
      <c r="P1927" s="798"/>
      <c r="Q1927" s="798"/>
      <c r="R1927" s="811"/>
    </row>
    <row r="1928" customFormat="false" ht="16.5" hidden="false" customHeight="true" outlineLevel="0" collapsed="false">
      <c r="A1928" s="747"/>
      <c r="B1928" s="798"/>
      <c r="D1928" s="798"/>
      <c r="E1928" s="798"/>
      <c r="F1928" s="798"/>
      <c r="G1928" s="798"/>
      <c r="J1928" s="778" t="str">
        <f aca="false">IF(I1928="","",H1928/I1928)</f>
        <v/>
      </c>
      <c r="K1928" s="798"/>
      <c r="P1928" s="798"/>
      <c r="Q1928" s="798"/>
      <c r="R1928" s="811"/>
    </row>
    <row r="1929" customFormat="false" ht="16.5" hidden="false" customHeight="true" outlineLevel="0" collapsed="false">
      <c r="A1929" s="747"/>
      <c r="B1929" s="798"/>
      <c r="D1929" s="798"/>
      <c r="E1929" s="798"/>
      <c r="F1929" s="798"/>
      <c r="G1929" s="798"/>
      <c r="J1929" s="778" t="str">
        <f aca="false">IF(I1929="","",H1929/I1929)</f>
        <v/>
      </c>
      <c r="K1929" s="798"/>
      <c r="P1929" s="798"/>
      <c r="Q1929" s="798"/>
      <c r="R1929" s="811"/>
    </row>
    <row r="1930" customFormat="false" ht="16.5" hidden="false" customHeight="true" outlineLevel="0" collapsed="false">
      <c r="A1930" s="747"/>
      <c r="B1930" s="798"/>
      <c r="D1930" s="798"/>
      <c r="E1930" s="798"/>
      <c r="F1930" s="798"/>
      <c r="G1930" s="798"/>
      <c r="J1930" s="778" t="str">
        <f aca="false">IF(I1930="","",H1930/I1930)</f>
        <v/>
      </c>
      <c r="K1930" s="798"/>
      <c r="P1930" s="798"/>
      <c r="Q1930" s="798"/>
      <c r="R1930" s="811"/>
    </row>
    <row r="1931" customFormat="false" ht="16.5" hidden="false" customHeight="true" outlineLevel="0" collapsed="false">
      <c r="A1931" s="747"/>
      <c r="B1931" s="798"/>
      <c r="D1931" s="798"/>
      <c r="E1931" s="798"/>
      <c r="F1931" s="798"/>
      <c r="G1931" s="798"/>
      <c r="J1931" s="778" t="str">
        <f aca="false">IF(I1931="","",H1931/I1931)</f>
        <v/>
      </c>
      <c r="K1931" s="798"/>
      <c r="P1931" s="798"/>
      <c r="Q1931" s="798"/>
      <c r="R1931" s="811"/>
    </row>
    <row r="1932" customFormat="false" ht="16.5" hidden="false" customHeight="true" outlineLevel="0" collapsed="false">
      <c r="A1932" s="747"/>
      <c r="B1932" s="798"/>
      <c r="D1932" s="798"/>
      <c r="E1932" s="798"/>
      <c r="F1932" s="798"/>
      <c r="G1932" s="798"/>
      <c r="J1932" s="778" t="str">
        <f aca="false">IF(I1932="","",H1932/I1932)</f>
        <v/>
      </c>
      <c r="K1932" s="798"/>
      <c r="P1932" s="798"/>
      <c r="Q1932" s="798"/>
      <c r="R1932" s="811"/>
    </row>
    <row r="1933" customFormat="false" ht="16.5" hidden="false" customHeight="true" outlineLevel="0" collapsed="false">
      <c r="A1933" s="747"/>
      <c r="B1933" s="798"/>
      <c r="D1933" s="798"/>
      <c r="E1933" s="798"/>
      <c r="F1933" s="798"/>
      <c r="G1933" s="798"/>
      <c r="J1933" s="778" t="str">
        <f aca="false">IF(I1933="","",H1933/I1933)</f>
        <v/>
      </c>
      <c r="K1933" s="798"/>
      <c r="P1933" s="798"/>
      <c r="Q1933" s="798"/>
      <c r="R1933" s="811"/>
    </row>
    <row r="1934" customFormat="false" ht="16.5" hidden="false" customHeight="true" outlineLevel="0" collapsed="false">
      <c r="A1934" s="747"/>
      <c r="B1934" s="798"/>
      <c r="D1934" s="798"/>
      <c r="E1934" s="798"/>
      <c r="F1934" s="798"/>
      <c r="G1934" s="798"/>
      <c r="J1934" s="778" t="str">
        <f aca="false">IF(I1934="","",H1934/I1934)</f>
        <v/>
      </c>
      <c r="K1934" s="798"/>
      <c r="P1934" s="798"/>
      <c r="Q1934" s="798"/>
      <c r="R1934" s="811"/>
    </row>
    <row r="1935" customFormat="false" ht="16.5" hidden="false" customHeight="true" outlineLevel="0" collapsed="false">
      <c r="A1935" s="747"/>
      <c r="B1935" s="798"/>
      <c r="D1935" s="798"/>
      <c r="E1935" s="798"/>
      <c r="F1935" s="798"/>
      <c r="G1935" s="798"/>
      <c r="J1935" s="778" t="str">
        <f aca="false">IF(I1935="","",H1935/I1935)</f>
        <v/>
      </c>
      <c r="K1935" s="798"/>
      <c r="P1935" s="798"/>
      <c r="Q1935" s="798"/>
      <c r="R1935" s="811"/>
    </row>
    <row r="1936" customFormat="false" ht="16.5" hidden="false" customHeight="true" outlineLevel="0" collapsed="false">
      <c r="A1936" s="747"/>
      <c r="B1936" s="798"/>
      <c r="D1936" s="798"/>
      <c r="E1936" s="798"/>
      <c r="F1936" s="798"/>
      <c r="G1936" s="798"/>
      <c r="J1936" s="778" t="str">
        <f aca="false">IF(I1936="","",H1936/I1936)</f>
        <v/>
      </c>
      <c r="K1936" s="798"/>
      <c r="P1936" s="798"/>
      <c r="Q1936" s="798"/>
      <c r="R1936" s="811"/>
    </row>
    <row r="1937" customFormat="false" ht="16.5" hidden="false" customHeight="true" outlineLevel="0" collapsed="false">
      <c r="A1937" s="747"/>
      <c r="B1937" s="798"/>
      <c r="D1937" s="798"/>
      <c r="E1937" s="798"/>
      <c r="F1937" s="798"/>
      <c r="G1937" s="798"/>
      <c r="J1937" s="778" t="str">
        <f aca="false">IF(I1937="","",H1937/I1937)</f>
        <v/>
      </c>
      <c r="K1937" s="798"/>
      <c r="P1937" s="798"/>
      <c r="Q1937" s="798"/>
      <c r="R1937" s="811"/>
    </row>
    <row r="1938" customFormat="false" ht="16.5" hidden="false" customHeight="true" outlineLevel="0" collapsed="false">
      <c r="A1938" s="747"/>
      <c r="B1938" s="798"/>
      <c r="D1938" s="798"/>
      <c r="E1938" s="798"/>
      <c r="F1938" s="798"/>
      <c r="G1938" s="798"/>
      <c r="J1938" s="778" t="str">
        <f aca="false">IF(I1938="","",H1938/I1938)</f>
        <v/>
      </c>
      <c r="K1938" s="798"/>
      <c r="P1938" s="798"/>
      <c r="Q1938" s="798"/>
      <c r="R1938" s="811"/>
    </row>
    <row r="1939" customFormat="false" ht="16.5" hidden="false" customHeight="true" outlineLevel="0" collapsed="false">
      <c r="A1939" s="747"/>
      <c r="B1939" s="798"/>
      <c r="D1939" s="798"/>
      <c r="E1939" s="798"/>
      <c r="F1939" s="798"/>
      <c r="G1939" s="798"/>
      <c r="J1939" s="778" t="str">
        <f aca="false">IF(I1939="","",H1939/I1939)</f>
        <v/>
      </c>
      <c r="K1939" s="798"/>
      <c r="P1939" s="798"/>
      <c r="Q1939" s="798"/>
      <c r="R1939" s="811"/>
    </row>
    <row r="1940" customFormat="false" ht="16.5" hidden="false" customHeight="true" outlineLevel="0" collapsed="false">
      <c r="A1940" s="747"/>
      <c r="B1940" s="798"/>
      <c r="D1940" s="798"/>
      <c r="E1940" s="798"/>
      <c r="F1940" s="798"/>
      <c r="G1940" s="798"/>
      <c r="J1940" s="778" t="str">
        <f aca="false">IF(I1940="","",H1940/I1940)</f>
        <v/>
      </c>
      <c r="K1940" s="798"/>
      <c r="P1940" s="798"/>
      <c r="Q1940" s="798"/>
      <c r="R1940" s="811"/>
    </row>
    <row r="1941" customFormat="false" ht="16.5" hidden="false" customHeight="true" outlineLevel="0" collapsed="false">
      <c r="A1941" s="747"/>
      <c r="B1941" s="798"/>
      <c r="D1941" s="798"/>
      <c r="E1941" s="798"/>
      <c r="F1941" s="798"/>
      <c r="G1941" s="798"/>
      <c r="J1941" s="778" t="str">
        <f aca="false">IF(I1941="","",H1941/I1941)</f>
        <v/>
      </c>
      <c r="K1941" s="798"/>
      <c r="P1941" s="798"/>
      <c r="Q1941" s="798"/>
      <c r="R1941" s="811"/>
    </row>
    <row r="1942" customFormat="false" ht="16.5" hidden="false" customHeight="true" outlineLevel="0" collapsed="false">
      <c r="A1942" s="747"/>
      <c r="B1942" s="798"/>
      <c r="D1942" s="798"/>
      <c r="E1942" s="798"/>
      <c r="F1942" s="798"/>
      <c r="G1942" s="798"/>
      <c r="J1942" s="778" t="str">
        <f aca="false">IF(I1942="","",H1942/I1942)</f>
        <v/>
      </c>
      <c r="K1942" s="798"/>
      <c r="P1942" s="798"/>
      <c r="Q1942" s="798"/>
      <c r="R1942" s="811"/>
    </row>
    <row r="1943" customFormat="false" ht="16.5" hidden="false" customHeight="true" outlineLevel="0" collapsed="false">
      <c r="A1943" s="747"/>
      <c r="B1943" s="798"/>
      <c r="D1943" s="798"/>
      <c r="E1943" s="798"/>
      <c r="F1943" s="798"/>
      <c r="G1943" s="798"/>
      <c r="J1943" s="778" t="str">
        <f aca="false">IF(I1943="","",H1943/I1943)</f>
        <v/>
      </c>
      <c r="K1943" s="798"/>
      <c r="P1943" s="798"/>
      <c r="Q1943" s="798"/>
      <c r="R1943" s="811"/>
    </row>
    <row r="1944" customFormat="false" ht="16.5" hidden="false" customHeight="true" outlineLevel="0" collapsed="false">
      <c r="A1944" s="747"/>
      <c r="B1944" s="798"/>
      <c r="D1944" s="798"/>
      <c r="E1944" s="798"/>
      <c r="F1944" s="798"/>
      <c r="G1944" s="798"/>
      <c r="J1944" s="778" t="str">
        <f aca="false">IF(I1944="","",H1944/I1944)</f>
        <v/>
      </c>
      <c r="K1944" s="798"/>
      <c r="P1944" s="798"/>
      <c r="Q1944" s="798"/>
      <c r="R1944" s="811"/>
    </row>
    <row r="1945" customFormat="false" ht="16.5" hidden="false" customHeight="true" outlineLevel="0" collapsed="false">
      <c r="A1945" s="747"/>
      <c r="B1945" s="798"/>
      <c r="D1945" s="798"/>
      <c r="E1945" s="798"/>
      <c r="F1945" s="798"/>
      <c r="G1945" s="798"/>
      <c r="J1945" s="778" t="str">
        <f aca="false">IF(I1945="","",H1945/I1945)</f>
        <v/>
      </c>
      <c r="K1945" s="798"/>
      <c r="P1945" s="798"/>
      <c r="Q1945" s="798"/>
      <c r="R1945" s="811"/>
    </row>
    <row r="1946" customFormat="false" ht="16.5" hidden="false" customHeight="true" outlineLevel="0" collapsed="false">
      <c r="A1946" s="747"/>
      <c r="B1946" s="798"/>
      <c r="D1946" s="798"/>
      <c r="E1946" s="798"/>
      <c r="F1946" s="798"/>
      <c r="G1946" s="798"/>
      <c r="J1946" s="778" t="str">
        <f aca="false">IF(I1946="","",H1946/I1946)</f>
        <v/>
      </c>
      <c r="K1946" s="798"/>
      <c r="P1946" s="798"/>
      <c r="Q1946" s="798"/>
      <c r="R1946" s="811"/>
    </row>
    <row r="1947" customFormat="false" ht="16.5" hidden="false" customHeight="true" outlineLevel="0" collapsed="false">
      <c r="A1947" s="747"/>
      <c r="B1947" s="798"/>
      <c r="D1947" s="798"/>
      <c r="E1947" s="798"/>
      <c r="F1947" s="798"/>
      <c r="G1947" s="798"/>
      <c r="J1947" s="778" t="str">
        <f aca="false">IF(I1947="","",H1947/I1947)</f>
        <v/>
      </c>
      <c r="K1947" s="798"/>
      <c r="P1947" s="798"/>
      <c r="Q1947" s="798"/>
      <c r="R1947" s="811"/>
    </row>
    <row r="1948" customFormat="false" ht="16.5" hidden="false" customHeight="true" outlineLevel="0" collapsed="false">
      <c r="A1948" s="747"/>
      <c r="B1948" s="798"/>
      <c r="D1948" s="798"/>
      <c r="E1948" s="798"/>
      <c r="F1948" s="798"/>
      <c r="G1948" s="798"/>
      <c r="J1948" s="778" t="str">
        <f aca="false">IF(I1948="","",H1948/I1948)</f>
        <v/>
      </c>
      <c r="K1948" s="798"/>
      <c r="P1948" s="798"/>
      <c r="Q1948" s="798"/>
      <c r="R1948" s="811"/>
    </row>
    <row r="1949" customFormat="false" ht="16.5" hidden="false" customHeight="true" outlineLevel="0" collapsed="false">
      <c r="A1949" s="747"/>
      <c r="B1949" s="798"/>
      <c r="D1949" s="798"/>
      <c r="E1949" s="798"/>
      <c r="F1949" s="798"/>
      <c r="G1949" s="798"/>
      <c r="J1949" s="778" t="str">
        <f aca="false">IF(I1949="","",H1949/I1949)</f>
        <v/>
      </c>
      <c r="K1949" s="798"/>
      <c r="P1949" s="798"/>
      <c r="Q1949" s="798"/>
      <c r="R1949" s="811"/>
    </row>
    <row r="1950" customFormat="false" ht="16.5" hidden="false" customHeight="true" outlineLevel="0" collapsed="false">
      <c r="A1950" s="747"/>
      <c r="B1950" s="798"/>
      <c r="D1950" s="798"/>
      <c r="E1950" s="798"/>
      <c r="F1950" s="798"/>
      <c r="G1950" s="798"/>
      <c r="J1950" s="778" t="str">
        <f aca="false">IF(I1950="","",H1950/I1950)</f>
        <v/>
      </c>
      <c r="K1950" s="798"/>
      <c r="P1950" s="798"/>
      <c r="Q1950" s="798"/>
      <c r="R1950" s="811"/>
    </row>
    <row r="1951" customFormat="false" ht="16.5" hidden="false" customHeight="true" outlineLevel="0" collapsed="false">
      <c r="A1951" s="747"/>
      <c r="B1951" s="798"/>
      <c r="D1951" s="798"/>
      <c r="E1951" s="798"/>
      <c r="F1951" s="798"/>
      <c r="G1951" s="798"/>
      <c r="J1951" s="778" t="str">
        <f aca="false">IF(I1951="","",H1951/I1951)</f>
        <v/>
      </c>
      <c r="K1951" s="798"/>
      <c r="P1951" s="798"/>
      <c r="Q1951" s="798"/>
      <c r="R1951" s="811"/>
    </row>
    <row r="1952" customFormat="false" ht="16.5" hidden="false" customHeight="true" outlineLevel="0" collapsed="false">
      <c r="A1952" s="747"/>
      <c r="B1952" s="798"/>
      <c r="D1952" s="798"/>
      <c r="E1952" s="798"/>
      <c r="F1952" s="798"/>
      <c r="G1952" s="798"/>
      <c r="J1952" s="778" t="str">
        <f aca="false">IF(I1952="","",H1952/I1952)</f>
        <v/>
      </c>
      <c r="K1952" s="798"/>
      <c r="P1952" s="798"/>
      <c r="Q1952" s="798"/>
      <c r="R1952" s="811"/>
    </row>
    <row r="1953" customFormat="false" ht="16.5" hidden="false" customHeight="true" outlineLevel="0" collapsed="false">
      <c r="A1953" s="747"/>
      <c r="B1953" s="798"/>
      <c r="D1953" s="798"/>
      <c r="E1953" s="798"/>
      <c r="F1953" s="798"/>
      <c r="G1953" s="798"/>
      <c r="J1953" s="778" t="str">
        <f aca="false">IF(I1953="","",H1953/I1953)</f>
        <v/>
      </c>
      <c r="K1953" s="798"/>
      <c r="P1953" s="798"/>
      <c r="Q1953" s="798"/>
      <c r="R1953" s="811"/>
    </row>
    <row r="1954" customFormat="false" ht="16.5" hidden="false" customHeight="true" outlineLevel="0" collapsed="false">
      <c r="A1954" s="747"/>
      <c r="B1954" s="798"/>
      <c r="D1954" s="798"/>
      <c r="E1954" s="798"/>
      <c r="F1954" s="798"/>
      <c r="G1954" s="798"/>
      <c r="J1954" s="778" t="str">
        <f aca="false">IF(I1954="","",H1954/I1954)</f>
        <v/>
      </c>
      <c r="K1954" s="798"/>
      <c r="P1954" s="798"/>
      <c r="Q1954" s="798"/>
      <c r="R1954" s="811"/>
    </row>
    <row r="1955" customFormat="false" ht="16.5" hidden="false" customHeight="true" outlineLevel="0" collapsed="false">
      <c r="A1955" s="747"/>
      <c r="B1955" s="798"/>
      <c r="D1955" s="798"/>
      <c r="E1955" s="798"/>
      <c r="F1955" s="798"/>
      <c r="G1955" s="798"/>
      <c r="J1955" s="778" t="str">
        <f aca="false">IF(I1955="","",H1955/I1955)</f>
        <v/>
      </c>
      <c r="K1955" s="798"/>
      <c r="P1955" s="798"/>
      <c r="Q1955" s="798"/>
      <c r="R1955" s="811"/>
    </row>
    <row r="1956" customFormat="false" ht="16.5" hidden="false" customHeight="true" outlineLevel="0" collapsed="false">
      <c r="A1956" s="747"/>
      <c r="B1956" s="798"/>
      <c r="D1956" s="798"/>
      <c r="E1956" s="798"/>
      <c r="F1956" s="798"/>
      <c r="G1956" s="798"/>
      <c r="J1956" s="778" t="str">
        <f aca="false">IF(I1956="","",H1956/I1956)</f>
        <v/>
      </c>
      <c r="K1956" s="798"/>
      <c r="P1956" s="798"/>
      <c r="Q1956" s="798"/>
      <c r="R1956" s="811"/>
    </row>
    <row r="1957" customFormat="false" ht="16.5" hidden="false" customHeight="true" outlineLevel="0" collapsed="false">
      <c r="A1957" s="747"/>
      <c r="B1957" s="798"/>
      <c r="D1957" s="798"/>
      <c r="E1957" s="798"/>
      <c r="F1957" s="798"/>
      <c r="G1957" s="798"/>
      <c r="J1957" s="778" t="str">
        <f aca="false">IF(I1957="","",H1957/I1957)</f>
        <v/>
      </c>
      <c r="K1957" s="798"/>
      <c r="P1957" s="798"/>
      <c r="Q1957" s="798"/>
      <c r="R1957" s="811"/>
    </row>
    <row r="1958" customFormat="false" ht="16.5" hidden="false" customHeight="true" outlineLevel="0" collapsed="false">
      <c r="A1958" s="747"/>
      <c r="B1958" s="798"/>
      <c r="D1958" s="798"/>
      <c r="E1958" s="798"/>
      <c r="F1958" s="798"/>
      <c r="G1958" s="798"/>
      <c r="J1958" s="778" t="str">
        <f aca="false">IF(I1958="","",H1958/I1958)</f>
        <v/>
      </c>
      <c r="K1958" s="798"/>
      <c r="P1958" s="798"/>
      <c r="Q1958" s="798"/>
      <c r="R1958" s="811"/>
    </row>
    <row r="1959" customFormat="false" ht="16.5" hidden="false" customHeight="true" outlineLevel="0" collapsed="false">
      <c r="A1959" s="747"/>
      <c r="B1959" s="798"/>
      <c r="D1959" s="798"/>
      <c r="E1959" s="798"/>
      <c r="F1959" s="798"/>
      <c r="G1959" s="798"/>
      <c r="J1959" s="778" t="str">
        <f aca="false">IF(I1959="","",H1959/I1959)</f>
        <v/>
      </c>
      <c r="K1959" s="798"/>
      <c r="P1959" s="798"/>
      <c r="Q1959" s="798"/>
      <c r="R1959" s="811"/>
    </row>
    <row r="1960" customFormat="false" ht="16.5" hidden="false" customHeight="true" outlineLevel="0" collapsed="false">
      <c r="A1960" s="747"/>
      <c r="B1960" s="798"/>
      <c r="D1960" s="798"/>
      <c r="E1960" s="798"/>
      <c r="F1960" s="798"/>
      <c r="G1960" s="798"/>
      <c r="J1960" s="778" t="str">
        <f aca="false">IF(I1960="","",H1960/I1960)</f>
        <v/>
      </c>
      <c r="K1960" s="798"/>
      <c r="P1960" s="798"/>
      <c r="Q1960" s="798"/>
      <c r="R1960" s="811"/>
    </row>
    <row r="1961" customFormat="false" ht="16.5" hidden="false" customHeight="true" outlineLevel="0" collapsed="false">
      <c r="A1961" s="747"/>
      <c r="B1961" s="798"/>
      <c r="D1961" s="798"/>
      <c r="E1961" s="798"/>
      <c r="F1961" s="798"/>
      <c r="G1961" s="798"/>
      <c r="J1961" s="778" t="str">
        <f aca="false">IF(I1961="","",H1961/I1961)</f>
        <v/>
      </c>
      <c r="K1961" s="798"/>
      <c r="P1961" s="798"/>
      <c r="Q1961" s="798"/>
      <c r="R1961" s="811"/>
    </row>
    <row r="1962" customFormat="false" ht="16.5" hidden="false" customHeight="true" outlineLevel="0" collapsed="false">
      <c r="A1962" s="747"/>
      <c r="B1962" s="798"/>
      <c r="D1962" s="798"/>
      <c r="E1962" s="798"/>
      <c r="F1962" s="798"/>
      <c r="G1962" s="798"/>
      <c r="J1962" s="778" t="str">
        <f aca="false">IF(I1962="","",H1962/I1962)</f>
        <v/>
      </c>
      <c r="K1962" s="798"/>
      <c r="P1962" s="798"/>
      <c r="Q1962" s="798"/>
      <c r="R1962" s="811"/>
    </row>
    <row r="1963" customFormat="false" ht="16.5" hidden="false" customHeight="true" outlineLevel="0" collapsed="false">
      <c r="A1963" s="747"/>
      <c r="B1963" s="798"/>
      <c r="D1963" s="798"/>
      <c r="E1963" s="798"/>
      <c r="F1963" s="798"/>
      <c r="G1963" s="798"/>
      <c r="J1963" s="778" t="str">
        <f aca="false">IF(I1963="","",H1963/I1963)</f>
        <v/>
      </c>
      <c r="K1963" s="798"/>
      <c r="P1963" s="798"/>
      <c r="Q1963" s="798"/>
      <c r="R1963" s="811"/>
    </row>
    <row r="1964" customFormat="false" ht="16.5" hidden="false" customHeight="true" outlineLevel="0" collapsed="false">
      <c r="A1964" s="747"/>
      <c r="B1964" s="798"/>
      <c r="D1964" s="798"/>
      <c r="E1964" s="798"/>
      <c r="F1964" s="798"/>
      <c r="G1964" s="798"/>
      <c r="J1964" s="778" t="str">
        <f aca="false">IF(I1964="","",H1964/I1964)</f>
        <v/>
      </c>
      <c r="K1964" s="798"/>
      <c r="P1964" s="798"/>
      <c r="Q1964" s="798"/>
      <c r="R1964" s="811"/>
    </row>
    <row r="1965" customFormat="false" ht="16.5" hidden="false" customHeight="true" outlineLevel="0" collapsed="false">
      <c r="A1965" s="747"/>
      <c r="B1965" s="798"/>
      <c r="D1965" s="798"/>
      <c r="E1965" s="798"/>
      <c r="F1965" s="798"/>
      <c r="G1965" s="798"/>
      <c r="J1965" s="778" t="str">
        <f aca="false">IF(I1965="","",H1965/I1965)</f>
        <v/>
      </c>
      <c r="K1965" s="798"/>
      <c r="P1965" s="798"/>
      <c r="Q1965" s="798"/>
      <c r="R1965" s="811"/>
    </row>
    <row r="1966" customFormat="false" ht="16.5" hidden="false" customHeight="true" outlineLevel="0" collapsed="false">
      <c r="A1966" s="747"/>
      <c r="B1966" s="798"/>
      <c r="D1966" s="798"/>
      <c r="E1966" s="798"/>
      <c r="F1966" s="798"/>
      <c r="G1966" s="798"/>
      <c r="J1966" s="778" t="str">
        <f aca="false">IF(I1966="","",H1966/I1966)</f>
        <v/>
      </c>
      <c r="K1966" s="798"/>
      <c r="P1966" s="798"/>
      <c r="Q1966" s="798"/>
      <c r="R1966" s="811"/>
    </row>
    <row r="1967" customFormat="false" ht="16.5" hidden="false" customHeight="true" outlineLevel="0" collapsed="false">
      <c r="A1967" s="747"/>
      <c r="B1967" s="798"/>
      <c r="D1967" s="798"/>
      <c r="E1967" s="798"/>
      <c r="F1967" s="798"/>
      <c r="G1967" s="798"/>
      <c r="J1967" s="778" t="str">
        <f aca="false">IF(I1967="","",H1967/I1967)</f>
        <v/>
      </c>
      <c r="K1967" s="798"/>
      <c r="P1967" s="798"/>
      <c r="Q1967" s="798"/>
      <c r="R1967" s="811"/>
    </row>
    <row r="1968" customFormat="false" ht="16.5" hidden="false" customHeight="true" outlineLevel="0" collapsed="false">
      <c r="A1968" s="747"/>
      <c r="B1968" s="798"/>
      <c r="D1968" s="798"/>
      <c r="E1968" s="798"/>
      <c r="F1968" s="798"/>
      <c r="G1968" s="798"/>
      <c r="J1968" s="778" t="str">
        <f aca="false">IF(I1968="","",H1968/I1968)</f>
        <v/>
      </c>
      <c r="K1968" s="798"/>
      <c r="P1968" s="798"/>
      <c r="Q1968" s="798"/>
      <c r="R1968" s="811"/>
    </row>
    <row r="1969" customFormat="false" ht="16.5" hidden="false" customHeight="true" outlineLevel="0" collapsed="false">
      <c r="A1969" s="747"/>
      <c r="B1969" s="798"/>
      <c r="D1969" s="798"/>
      <c r="E1969" s="798"/>
      <c r="F1969" s="798"/>
      <c r="G1969" s="798"/>
      <c r="J1969" s="778" t="str">
        <f aca="false">IF(I1969="","",H1969/I1969)</f>
        <v/>
      </c>
      <c r="K1969" s="798"/>
      <c r="P1969" s="798"/>
      <c r="Q1969" s="798"/>
      <c r="R1969" s="811"/>
    </row>
    <row r="1970" customFormat="false" ht="16.5" hidden="false" customHeight="true" outlineLevel="0" collapsed="false">
      <c r="A1970" s="747"/>
      <c r="B1970" s="798"/>
      <c r="D1970" s="798"/>
      <c r="E1970" s="798"/>
      <c r="F1970" s="798"/>
      <c r="G1970" s="798"/>
      <c r="J1970" s="778" t="str">
        <f aca="false">IF(I1970="","",H1970/I1970)</f>
        <v/>
      </c>
      <c r="K1970" s="798"/>
      <c r="P1970" s="798"/>
      <c r="Q1970" s="798"/>
      <c r="R1970" s="811"/>
    </row>
    <row r="1971" customFormat="false" ht="16.5" hidden="false" customHeight="true" outlineLevel="0" collapsed="false">
      <c r="A1971" s="747"/>
      <c r="B1971" s="798"/>
      <c r="D1971" s="798"/>
      <c r="E1971" s="798"/>
      <c r="F1971" s="798"/>
      <c r="G1971" s="798"/>
      <c r="J1971" s="778" t="str">
        <f aca="false">IF(I1971="","",H1971/I1971)</f>
        <v/>
      </c>
      <c r="K1971" s="798"/>
      <c r="P1971" s="798"/>
      <c r="Q1971" s="798"/>
      <c r="R1971" s="811"/>
    </row>
    <row r="1972" customFormat="false" ht="16.5" hidden="false" customHeight="true" outlineLevel="0" collapsed="false">
      <c r="A1972" s="747"/>
      <c r="B1972" s="798"/>
      <c r="D1972" s="798"/>
      <c r="E1972" s="798"/>
      <c r="F1972" s="798"/>
      <c r="G1972" s="798"/>
      <c r="J1972" s="778" t="str">
        <f aca="false">IF(I1972="","",H1972/I1972)</f>
        <v/>
      </c>
      <c r="K1972" s="798"/>
      <c r="P1972" s="798"/>
      <c r="Q1972" s="798"/>
      <c r="R1972" s="811"/>
    </row>
    <row r="1973" customFormat="false" ht="16.5" hidden="false" customHeight="true" outlineLevel="0" collapsed="false">
      <c r="A1973" s="747"/>
      <c r="B1973" s="798"/>
      <c r="D1973" s="798"/>
      <c r="E1973" s="798"/>
      <c r="F1973" s="798"/>
      <c r="G1973" s="798"/>
      <c r="J1973" s="778" t="str">
        <f aca="false">IF(I1973="","",H1973/I1973)</f>
        <v/>
      </c>
      <c r="K1973" s="798"/>
      <c r="P1973" s="798"/>
      <c r="Q1973" s="798"/>
      <c r="R1973" s="811"/>
    </row>
    <row r="1974" customFormat="false" ht="16.5" hidden="false" customHeight="true" outlineLevel="0" collapsed="false">
      <c r="A1974" s="747"/>
      <c r="B1974" s="798"/>
      <c r="D1974" s="798"/>
      <c r="E1974" s="798"/>
      <c r="F1974" s="798"/>
      <c r="G1974" s="798"/>
      <c r="J1974" s="778" t="str">
        <f aca="false">IF(I1974="","",H1974/I1974)</f>
        <v/>
      </c>
      <c r="K1974" s="798"/>
      <c r="P1974" s="798"/>
      <c r="Q1974" s="798"/>
      <c r="R1974" s="811"/>
    </row>
    <row r="1975" customFormat="false" ht="16.5" hidden="false" customHeight="true" outlineLevel="0" collapsed="false">
      <c r="A1975" s="747"/>
      <c r="B1975" s="798"/>
      <c r="D1975" s="798"/>
      <c r="E1975" s="798"/>
      <c r="F1975" s="798"/>
      <c r="G1975" s="798"/>
      <c r="J1975" s="778" t="str">
        <f aca="false">IF(I1975="","",H1975/I1975)</f>
        <v/>
      </c>
      <c r="K1975" s="798"/>
      <c r="P1975" s="798"/>
      <c r="Q1975" s="798"/>
      <c r="R1975" s="811"/>
    </row>
    <row r="1976" customFormat="false" ht="16.5" hidden="false" customHeight="true" outlineLevel="0" collapsed="false">
      <c r="A1976" s="747"/>
      <c r="B1976" s="798"/>
      <c r="D1976" s="798"/>
      <c r="E1976" s="798"/>
      <c r="F1976" s="798"/>
      <c r="G1976" s="798"/>
      <c r="J1976" s="778" t="str">
        <f aca="false">IF(I1976="","",H1976/I1976)</f>
        <v/>
      </c>
      <c r="K1976" s="798"/>
      <c r="P1976" s="798"/>
      <c r="Q1976" s="798"/>
      <c r="R1976" s="811"/>
    </row>
    <row r="1977" customFormat="false" ht="16.5" hidden="false" customHeight="true" outlineLevel="0" collapsed="false">
      <c r="A1977" s="747"/>
      <c r="B1977" s="798"/>
      <c r="D1977" s="798"/>
      <c r="E1977" s="798"/>
      <c r="F1977" s="798"/>
      <c r="G1977" s="798"/>
      <c r="J1977" s="778" t="str">
        <f aca="false">IF(I1977="","",H1977/I1977)</f>
        <v/>
      </c>
      <c r="K1977" s="798"/>
      <c r="P1977" s="798"/>
      <c r="Q1977" s="798"/>
      <c r="R1977" s="811"/>
    </row>
    <row r="1978" customFormat="false" ht="16.5" hidden="false" customHeight="true" outlineLevel="0" collapsed="false">
      <c r="A1978" s="747"/>
      <c r="B1978" s="798"/>
      <c r="D1978" s="798"/>
      <c r="E1978" s="798"/>
      <c r="F1978" s="798"/>
      <c r="G1978" s="798"/>
      <c r="J1978" s="778" t="str">
        <f aca="false">IF(I1978="","",H1978/I1978)</f>
        <v/>
      </c>
      <c r="K1978" s="798"/>
      <c r="P1978" s="798"/>
      <c r="Q1978" s="798"/>
      <c r="R1978" s="811"/>
    </row>
    <row r="1979" customFormat="false" ht="16.5" hidden="false" customHeight="true" outlineLevel="0" collapsed="false">
      <c r="A1979" s="747"/>
      <c r="B1979" s="798"/>
      <c r="D1979" s="798"/>
      <c r="E1979" s="798"/>
      <c r="F1979" s="798"/>
      <c r="G1979" s="798"/>
      <c r="J1979" s="778" t="str">
        <f aca="false">IF(I1979="","",H1979/I1979)</f>
        <v/>
      </c>
      <c r="K1979" s="798"/>
      <c r="P1979" s="798"/>
      <c r="Q1979" s="798"/>
      <c r="R1979" s="811"/>
    </row>
    <row r="1980" customFormat="false" ht="16.5" hidden="false" customHeight="true" outlineLevel="0" collapsed="false">
      <c r="A1980" s="747"/>
      <c r="B1980" s="798"/>
      <c r="D1980" s="798"/>
      <c r="E1980" s="798"/>
      <c r="F1980" s="798"/>
      <c r="G1980" s="798"/>
      <c r="J1980" s="778" t="str">
        <f aca="false">IF(I1980="","",H1980/I1980)</f>
        <v/>
      </c>
      <c r="K1980" s="798"/>
      <c r="P1980" s="798"/>
      <c r="Q1980" s="798"/>
      <c r="R1980" s="811"/>
    </row>
    <row r="1981" customFormat="false" ht="16.5" hidden="false" customHeight="true" outlineLevel="0" collapsed="false">
      <c r="A1981" s="747"/>
      <c r="B1981" s="798"/>
      <c r="D1981" s="798"/>
      <c r="E1981" s="798"/>
      <c r="F1981" s="798"/>
      <c r="G1981" s="798"/>
      <c r="J1981" s="778" t="str">
        <f aca="false">IF(I1981="","",H1981/I1981)</f>
        <v/>
      </c>
      <c r="K1981" s="798"/>
      <c r="P1981" s="798"/>
      <c r="Q1981" s="798"/>
      <c r="R1981" s="811"/>
    </row>
    <row r="1982" customFormat="false" ht="16.5" hidden="false" customHeight="true" outlineLevel="0" collapsed="false">
      <c r="A1982" s="747"/>
      <c r="B1982" s="798"/>
      <c r="D1982" s="798"/>
      <c r="E1982" s="798"/>
      <c r="F1982" s="798"/>
      <c r="G1982" s="798"/>
      <c r="J1982" s="778" t="str">
        <f aca="false">IF(I1982="","",H1982/I1982)</f>
        <v/>
      </c>
      <c r="K1982" s="798"/>
      <c r="P1982" s="798"/>
      <c r="Q1982" s="798"/>
      <c r="R1982" s="811"/>
    </row>
    <row r="1983" customFormat="false" ht="16.5" hidden="false" customHeight="true" outlineLevel="0" collapsed="false">
      <c r="A1983" s="747"/>
      <c r="B1983" s="798"/>
      <c r="D1983" s="798"/>
      <c r="E1983" s="798"/>
      <c r="F1983" s="798"/>
      <c r="G1983" s="798"/>
      <c r="J1983" s="778" t="str">
        <f aca="false">IF(I1983="","",H1983/I1983)</f>
        <v/>
      </c>
      <c r="K1983" s="798"/>
      <c r="P1983" s="798"/>
      <c r="Q1983" s="798"/>
      <c r="R1983" s="811"/>
    </row>
    <row r="1984" customFormat="false" ht="16.5" hidden="false" customHeight="true" outlineLevel="0" collapsed="false">
      <c r="A1984" s="747"/>
      <c r="B1984" s="798"/>
      <c r="D1984" s="798"/>
      <c r="E1984" s="798"/>
      <c r="F1984" s="798"/>
      <c r="G1984" s="798"/>
      <c r="J1984" s="778" t="str">
        <f aca="false">IF(I1984="","",H1984/I1984)</f>
        <v/>
      </c>
      <c r="K1984" s="798"/>
      <c r="P1984" s="798"/>
      <c r="Q1984" s="798"/>
      <c r="R1984" s="811"/>
    </row>
    <row r="1985" customFormat="false" ht="16.5" hidden="false" customHeight="true" outlineLevel="0" collapsed="false">
      <c r="A1985" s="747"/>
      <c r="B1985" s="798"/>
      <c r="D1985" s="798"/>
      <c r="E1985" s="798"/>
      <c r="F1985" s="798"/>
      <c r="G1985" s="798"/>
      <c r="J1985" s="778" t="str">
        <f aca="false">IF(I1985="","",H1985/I1985)</f>
        <v/>
      </c>
      <c r="K1985" s="798"/>
      <c r="P1985" s="798"/>
      <c r="Q1985" s="798"/>
      <c r="R1985" s="811"/>
    </row>
    <row r="1986" customFormat="false" ht="16.5" hidden="false" customHeight="true" outlineLevel="0" collapsed="false">
      <c r="A1986" s="747"/>
      <c r="B1986" s="798"/>
      <c r="D1986" s="798"/>
      <c r="E1986" s="798"/>
      <c r="F1986" s="798"/>
      <c r="G1986" s="798"/>
      <c r="J1986" s="778" t="str">
        <f aca="false">IF(I1986="","",H1986/I1986)</f>
        <v/>
      </c>
      <c r="K1986" s="798"/>
      <c r="P1986" s="798"/>
      <c r="Q1986" s="798"/>
      <c r="R1986" s="811"/>
    </row>
    <row r="1987" customFormat="false" ht="16.5" hidden="false" customHeight="true" outlineLevel="0" collapsed="false">
      <c r="A1987" s="747"/>
      <c r="B1987" s="798"/>
      <c r="D1987" s="798"/>
      <c r="E1987" s="798"/>
      <c r="F1987" s="798"/>
      <c r="G1987" s="798"/>
      <c r="J1987" s="778" t="str">
        <f aca="false">IF(I1987="","",H1987/I1987)</f>
        <v/>
      </c>
      <c r="K1987" s="798"/>
      <c r="P1987" s="798"/>
      <c r="Q1987" s="798"/>
      <c r="R1987" s="811"/>
    </row>
    <row r="1988" customFormat="false" ht="16.5" hidden="false" customHeight="true" outlineLevel="0" collapsed="false">
      <c r="A1988" s="747"/>
      <c r="B1988" s="798"/>
      <c r="D1988" s="798"/>
      <c r="E1988" s="798"/>
      <c r="F1988" s="798"/>
      <c r="G1988" s="798"/>
      <c r="J1988" s="778" t="str">
        <f aca="false">IF(I1988="","",H1988/I1988)</f>
        <v/>
      </c>
      <c r="K1988" s="798"/>
      <c r="P1988" s="798"/>
      <c r="Q1988" s="798"/>
      <c r="R1988" s="811"/>
    </row>
    <row r="1989" customFormat="false" ht="16.5" hidden="false" customHeight="true" outlineLevel="0" collapsed="false">
      <c r="A1989" s="747"/>
      <c r="B1989" s="798"/>
      <c r="D1989" s="798"/>
      <c r="E1989" s="798"/>
      <c r="F1989" s="798"/>
      <c r="G1989" s="798"/>
      <c r="J1989" s="778" t="str">
        <f aca="false">IF(I1989="","",H1989/I1989)</f>
        <v/>
      </c>
      <c r="K1989" s="798"/>
      <c r="P1989" s="798"/>
      <c r="Q1989" s="798"/>
      <c r="R1989" s="811"/>
    </row>
    <row r="1990" customFormat="false" ht="16.5" hidden="false" customHeight="true" outlineLevel="0" collapsed="false">
      <c r="A1990" s="747"/>
      <c r="B1990" s="798"/>
      <c r="D1990" s="798"/>
      <c r="E1990" s="798"/>
      <c r="F1990" s="798"/>
      <c r="G1990" s="798"/>
      <c r="J1990" s="778" t="str">
        <f aca="false">IF(I1990="","",H1990/I1990)</f>
        <v/>
      </c>
      <c r="K1990" s="798"/>
      <c r="P1990" s="798"/>
      <c r="Q1990" s="798"/>
      <c r="R1990" s="811"/>
    </row>
    <row r="1991" customFormat="false" ht="16.5" hidden="false" customHeight="true" outlineLevel="0" collapsed="false">
      <c r="A1991" s="747"/>
      <c r="B1991" s="798"/>
      <c r="D1991" s="798"/>
      <c r="E1991" s="798"/>
      <c r="F1991" s="798"/>
      <c r="G1991" s="798"/>
      <c r="J1991" s="778" t="str">
        <f aca="false">IF(I1991="","",H1991/I1991)</f>
        <v/>
      </c>
      <c r="K1991" s="798"/>
      <c r="P1991" s="798"/>
      <c r="Q1991" s="798"/>
      <c r="R1991" s="811"/>
    </row>
    <row r="1992" customFormat="false" ht="16.5" hidden="false" customHeight="true" outlineLevel="0" collapsed="false">
      <c r="A1992" s="747"/>
      <c r="B1992" s="798"/>
      <c r="D1992" s="798"/>
      <c r="E1992" s="798"/>
      <c r="F1992" s="798"/>
      <c r="G1992" s="798"/>
      <c r="J1992" s="778" t="str">
        <f aca="false">IF(I1992="","",H1992/I1992)</f>
        <v/>
      </c>
      <c r="K1992" s="798"/>
      <c r="P1992" s="798"/>
      <c r="Q1992" s="798"/>
      <c r="R1992" s="811"/>
    </row>
    <row r="1993" customFormat="false" ht="16.5" hidden="false" customHeight="true" outlineLevel="0" collapsed="false">
      <c r="A1993" s="747"/>
      <c r="B1993" s="798"/>
      <c r="D1993" s="798"/>
      <c r="E1993" s="798"/>
      <c r="F1993" s="798"/>
      <c r="G1993" s="798"/>
      <c r="J1993" s="778" t="str">
        <f aca="false">IF(I1993="","",H1993/I1993)</f>
        <v/>
      </c>
      <c r="K1993" s="798"/>
      <c r="P1993" s="798"/>
      <c r="Q1993" s="798"/>
      <c r="R1993" s="811"/>
    </row>
    <row r="1994" customFormat="false" ht="16.5" hidden="false" customHeight="true" outlineLevel="0" collapsed="false">
      <c r="A1994" s="747"/>
      <c r="B1994" s="798"/>
      <c r="D1994" s="798"/>
      <c r="E1994" s="798"/>
      <c r="F1994" s="798"/>
      <c r="G1994" s="798"/>
      <c r="J1994" s="778" t="str">
        <f aca="false">IF(I1994="","",H1994/I1994)</f>
        <v/>
      </c>
      <c r="K1994" s="798"/>
      <c r="P1994" s="798"/>
      <c r="Q1994" s="798"/>
      <c r="R1994" s="811"/>
    </row>
    <row r="1995" customFormat="false" ht="16.5" hidden="false" customHeight="true" outlineLevel="0" collapsed="false">
      <c r="A1995" s="747"/>
      <c r="B1995" s="798"/>
      <c r="D1995" s="798"/>
      <c r="E1995" s="798"/>
      <c r="F1995" s="798"/>
      <c r="G1995" s="798"/>
      <c r="J1995" s="778" t="str">
        <f aca="false">IF(I1995="","",H1995/I1995)</f>
        <v/>
      </c>
      <c r="K1995" s="798"/>
      <c r="P1995" s="798"/>
      <c r="Q1995" s="798"/>
      <c r="R1995" s="811"/>
    </row>
    <row r="1996" customFormat="false" ht="16.5" hidden="false" customHeight="true" outlineLevel="0" collapsed="false">
      <c r="A1996" s="747"/>
      <c r="B1996" s="798"/>
      <c r="D1996" s="798"/>
      <c r="E1996" s="798"/>
      <c r="F1996" s="798"/>
      <c r="G1996" s="798"/>
      <c r="J1996" s="778" t="str">
        <f aca="false">IF(I1996="","",H1996/I1996)</f>
        <v/>
      </c>
      <c r="K1996" s="798"/>
      <c r="P1996" s="798"/>
      <c r="Q1996" s="798"/>
      <c r="R1996" s="811"/>
    </row>
    <row r="1997" customFormat="false" ht="16.5" hidden="false" customHeight="true" outlineLevel="0" collapsed="false">
      <c r="A1997" s="747"/>
      <c r="B1997" s="798"/>
      <c r="D1997" s="798"/>
      <c r="E1997" s="798"/>
      <c r="F1997" s="798"/>
      <c r="G1997" s="798"/>
      <c r="J1997" s="778" t="str">
        <f aca="false">IF(I1997="","",H1997/I1997)</f>
        <v/>
      </c>
      <c r="K1997" s="798"/>
      <c r="P1997" s="798"/>
      <c r="Q1997" s="798"/>
      <c r="R1997" s="811"/>
    </row>
    <row r="1998" customFormat="false" ht="16.5" hidden="false" customHeight="true" outlineLevel="0" collapsed="false">
      <c r="A1998" s="747"/>
      <c r="B1998" s="798"/>
      <c r="D1998" s="798"/>
      <c r="E1998" s="798"/>
      <c r="F1998" s="798"/>
      <c r="G1998" s="798"/>
      <c r="J1998" s="778" t="str">
        <f aca="false">IF(I1998="","",H1998/I1998)</f>
        <v/>
      </c>
      <c r="K1998" s="798"/>
      <c r="P1998" s="798"/>
      <c r="Q1998" s="798"/>
      <c r="R1998" s="811"/>
    </row>
    <row r="1999" customFormat="false" ht="16.5" hidden="false" customHeight="true" outlineLevel="0" collapsed="false">
      <c r="A1999" s="747"/>
      <c r="B1999" s="798"/>
      <c r="D1999" s="798"/>
      <c r="E1999" s="798"/>
      <c r="F1999" s="798"/>
      <c r="G1999" s="798"/>
      <c r="J1999" s="778" t="str">
        <f aca="false">IF(I1999="","",H1999/I1999)</f>
        <v/>
      </c>
      <c r="K1999" s="798"/>
      <c r="P1999" s="798"/>
      <c r="Q1999" s="798"/>
      <c r="R1999" s="811"/>
    </row>
    <row r="2000" customFormat="false" ht="16.5" hidden="false" customHeight="true" outlineLevel="0" collapsed="false">
      <c r="A2000" s="747"/>
      <c r="B2000" s="798"/>
      <c r="D2000" s="798"/>
      <c r="E2000" s="798"/>
      <c r="F2000" s="798"/>
      <c r="G2000" s="798"/>
      <c r="J2000" s="778" t="str">
        <f aca="false">IF(I2000="","",H2000/I2000)</f>
        <v/>
      </c>
      <c r="K2000" s="798"/>
      <c r="P2000" s="798"/>
      <c r="Q2000" s="798"/>
      <c r="R2000" s="811"/>
    </row>
    <row r="2001" customFormat="false" ht="16.5" hidden="false" customHeight="true" outlineLevel="0" collapsed="false">
      <c r="A2001" s="747"/>
      <c r="B2001" s="798"/>
      <c r="D2001" s="798"/>
      <c r="E2001" s="798"/>
      <c r="F2001" s="798"/>
      <c r="G2001" s="798"/>
      <c r="J2001" s="778" t="str">
        <f aca="false">IF(I2001="","",H2001/I2001)</f>
        <v/>
      </c>
      <c r="K2001" s="798"/>
      <c r="P2001" s="798"/>
      <c r="Q2001" s="798"/>
      <c r="R2001" s="811"/>
    </row>
    <row r="2002" customFormat="false" ht="16.5" hidden="false" customHeight="true" outlineLevel="0" collapsed="false">
      <c r="A2002" s="747"/>
      <c r="B2002" s="798"/>
      <c r="D2002" s="798"/>
      <c r="E2002" s="798"/>
      <c r="F2002" s="798"/>
      <c r="G2002" s="798"/>
      <c r="J2002" s="778" t="str">
        <f aca="false">IF(I2002="","",H2002/I2002)</f>
        <v/>
      </c>
      <c r="K2002" s="798"/>
      <c r="P2002" s="798"/>
      <c r="Q2002" s="798"/>
      <c r="R2002" s="811"/>
    </row>
    <row r="2003" customFormat="false" ht="16.5" hidden="false" customHeight="true" outlineLevel="0" collapsed="false">
      <c r="A2003" s="747"/>
      <c r="B2003" s="798"/>
      <c r="D2003" s="798"/>
      <c r="E2003" s="798"/>
      <c r="F2003" s="798"/>
      <c r="G2003" s="798"/>
      <c r="J2003" s="778" t="str">
        <f aca="false">IF(I2003="","",H2003/I2003)</f>
        <v/>
      </c>
      <c r="K2003" s="798"/>
      <c r="P2003" s="798"/>
      <c r="Q2003" s="798"/>
      <c r="R2003" s="811"/>
    </row>
    <row r="2004" customFormat="false" ht="16.5" hidden="false" customHeight="true" outlineLevel="0" collapsed="false">
      <c r="A2004" s="747"/>
      <c r="B2004" s="798"/>
      <c r="D2004" s="798"/>
      <c r="E2004" s="798"/>
      <c r="F2004" s="798"/>
      <c r="G2004" s="798"/>
      <c r="J2004" s="778" t="str">
        <f aca="false">IF(I2004="","",H2004/I2004)</f>
        <v/>
      </c>
      <c r="K2004" s="798"/>
      <c r="P2004" s="798"/>
      <c r="Q2004" s="798"/>
      <c r="R2004" s="811"/>
    </row>
    <row r="2005" customFormat="false" ht="16.5" hidden="false" customHeight="true" outlineLevel="0" collapsed="false">
      <c r="A2005" s="747"/>
      <c r="B2005" s="798"/>
      <c r="D2005" s="798"/>
      <c r="E2005" s="798"/>
      <c r="F2005" s="798"/>
      <c r="G2005" s="798"/>
      <c r="J2005" s="778" t="str">
        <f aca="false">IF(I2005="","",H2005/I2005)</f>
        <v/>
      </c>
      <c r="K2005" s="798"/>
      <c r="P2005" s="798"/>
      <c r="Q2005" s="798"/>
      <c r="R2005" s="811"/>
    </row>
    <row r="2006" customFormat="false" ht="16.5" hidden="false" customHeight="true" outlineLevel="0" collapsed="false">
      <c r="A2006" s="747"/>
      <c r="B2006" s="798"/>
      <c r="D2006" s="798"/>
      <c r="E2006" s="798"/>
      <c r="F2006" s="798"/>
      <c r="G2006" s="798"/>
      <c r="J2006" s="778" t="str">
        <f aca="false">IF(I2006="","",H2006/I2006)</f>
        <v/>
      </c>
      <c r="K2006" s="798"/>
      <c r="P2006" s="798"/>
      <c r="Q2006" s="798"/>
      <c r="R2006" s="811"/>
    </row>
    <row r="2007" customFormat="false" ht="16.5" hidden="false" customHeight="true" outlineLevel="0" collapsed="false">
      <c r="A2007" s="747"/>
      <c r="B2007" s="798"/>
      <c r="D2007" s="798"/>
      <c r="E2007" s="798"/>
      <c r="F2007" s="798"/>
      <c r="G2007" s="798"/>
      <c r="J2007" s="778" t="str">
        <f aca="false">IF(I2007="","",H2007/I2007)</f>
        <v/>
      </c>
      <c r="K2007" s="798"/>
      <c r="P2007" s="798"/>
      <c r="Q2007" s="798"/>
      <c r="R2007" s="811"/>
    </row>
    <row r="2008" customFormat="false" ht="16.5" hidden="false" customHeight="true" outlineLevel="0" collapsed="false">
      <c r="A2008" s="747"/>
      <c r="B2008" s="798"/>
      <c r="D2008" s="798"/>
      <c r="E2008" s="798"/>
      <c r="F2008" s="798"/>
      <c r="G2008" s="798"/>
      <c r="J2008" s="778" t="str">
        <f aca="false">IF(I2008="","",H2008/I2008)</f>
        <v/>
      </c>
      <c r="K2008" s="798"/>
      <c r="P2008" s="798"/>
      <c r="Q2008" s="798"/>
      <c r="R2008" s="811"/>
    </row>
    <row r="2009" customFormat="false" ht="16.5" hidden="false" customHeight="true" outlineLevel="0" collapsed="false">
      <c r="A2009" s="747"/>
      <c r="B2009" s="798"/>
      <c r="D2009" s="798"/>
      <c r="E2009" s="798"/>
      <c r="F2009" s="798"/>
      <c r="G2009" s="798"/>
      <c r="J2009" s="778" t="str">
        <f aca="false">IF(I2009="","",H2009/I2009)</f>
        <v/>
      </c>
      <c r="K2009" s="798"/>
      <c r="P2009" s="798"/>
      <c r="Q2009" s="798"/>
      <c r="R2009" s="811"/>
    </row>
    <row r="2010" customFormat="false" ht="16.5" hidden="false" customHeight="true" outlineLevel="0" collapsed="false">
      <c r="A2010" s="747"/>
      <c r="B2010" s="798"/>
      <c r="D2010" s="798"/>
      <c r="E2010" s="798"/>
      <c r="F2010" s="798"/>
      <c r="G2010" s="798"/>
      <c r="J2010" s="778" t="str">
        <f aca="false">IF(I2010="","",H2010/I2010)</f>
        <v/>
      </c>
      <c r="K2010" s="798"/>
      <c r="P2010" s="798"/>
      <c r="Q2010" s="798"/>
      <c r="R2010" s="811"/>
    </row>
    <row r="2011" customFormat="false" ht="16.5" hidden="false" customHeight="true" outlineLevel="0" collapsed="false">
      <c r="A2011" s="747"/>
      <c r="B2011" s="798"/>
      <c r="D2011" s="798"/>
      <c r="E2011" s="798"/>
      <c r="F2011" s="798"/>
      <c r="G2011" s="798"/>
      <c r="J2011" s="778" t="str">
        <f aca="false">IF(I2011="","",H2011/I2011)</f>
        <v/>
      </c>
      <c r="K2011" s="798"/>
      <c r="P2011" s="798"/>
      <c r="Q2011" s="798"/>
      <c r="R2011" s="811"/>
    </row>
    <row r="2012" customFormat="false" ht="16.5" hidden="false" customHeight="true" outlineLevel="0" collapsed="false">
      <c r="A2012" s="747"/>
      <c r="B2012" s="798"/>
      <c r="D2012" s="798"/>
      <c r="E2012" s="798"/>
      <c r="F2012" s="798"/>
      <c r="G2012" s="798"/>
      <c r="J2012" s="778" t="str">
        <f aca="false">IF(I2012="","",H2012/I2012)</f>
        <v/>
      </c>
      <c r="K2012" s="798"/>
      <c r="P2012" s="798"/>
      <c r="Q2012" s="798"/>
      <c r="R2012" s="811"/>
    </row>
    <row r="2013" customFormat="false" ht="16.5" hidden="false" customHeight="true" outlineLevel="0" collapsed="false">
      <c r="A2013" s="747"/>
      <c r="B2013" s="798"/>
      <c r="D2013" s="798"/>
      <c r="E2013" s="798"/>
      <c r="F2013" s="798"/>
      <c r="G2013" s="798"/>
      <c r="J2013" s="778" t="str">
        <f aca="false">IF(I2013="","",H2013/I2013)</f>
        <v/>
      </c>
      <c r="K2013" s="798"/>
      <c r="P2013" s="798"/>
      <c r="Q2013" s="798"/>
      <c r="R2013" s="811"/>
    </row>
    <row r="2014" customFormat="false" ht="16.5" hidden="false" customHeight="true" outlineLevel="0" collapsed="false">
      <c r="A2014" s="747"/>
      <c r="B2014" s="798"/>
      <c r="D2014" s="798"/>
      <c r="E2014" s="798"/>
      <c r="F2014" s="798"/>
      <c r="G2014" s="798"/>
      <c r="J2014" s="778" t="str">
        <f aca="false">IF(I2014="","",H2014/I2014)</f>
        <v/>
      </c>
      <c r="K2014" s="798"/>
      <c r="P2014" s="798"/>
      <c r="Q2014" s="798"/>
      <c r="R2014" s="811"/>
    </row>
    <row r="2015" customFormat="false" ht="16.5" hidden="false" customHeight="true" outlineLevel="0" collapsed="false">
      <c r="A2015" s="747"/>
      <c r="B2015" s="798"/>
      <c r="D2015" s="798"/>
      <c r="E2015" s="798"/>
      <c r="F2015" s="798"/>
      <c r="G2015" s="798"/>
      <c r="J2015" s="778" t="str">
        <f aca="false">IF(I2015="","",H2015/I2015)</f>
        <v/>
      </c>
      <c r="K2015" s="798"/>
      <c r="P2015" s="798"/>
      <c r="Q2015" s="798"/>
      <c r="R2015" s="811"/>
    </row>
    <row r="2016" customFormat="false" ht="16.5" hidden="false" customHeight="true" outlineLevel="0" collapsed="false">
      <c r="A2016" s="747"/>
      <c r="B2016" s="798"/>
      <c r="D2016" s="798"/>
      <c r="E2016" s="798"/>
      <c r="F2016" s="798"/>
      <c r="G2016" s="798"/>
      <c r="J2016" s="778" t="str">
        <f aca="false">IF(I2016="","",H2016/I2016)</f>
        <v/>
      </c>
      <c r="K2016" s="798"/>
      <c r="P2016" s="798"/>
      <c r="Q2016" s="798"/>
      <c r="R2016" s="811"/>
    </row>
    <row r="2017" customFormat="false" ht="16.5" hidden="false" customHeight="true" outlineLevel="0" collapsed="false">
      <c r="A2017" s="747"/>
      <c r="B2017" s="798"/>
      <c r="D2017" s="798"/>
      <c r="E2017" s="798"/>
      <c r="F2017" s="798"/>
      <c r="G2017" s="798"/>
      <c r="J2017" s="778" t="str">
        <f aca="false">IF(I2017="","",H2017/I2017)</f>
        <v/>
      </c>
      <c r="K2017" s="798"/>
      <c r="P2017" s="798"/>
      <c r="Q2017" s="798"/>
      <c r="R2017" s="811"/>
    </row>
    <row r="2018" customFormat="false" ht="16.5" hidden="false" customHeight="true" outlineLevel="0" collapsed="false">
      <c r="A2018" s="747"/>
      <c r="B2018" s="798"/>
      <c r="D2018" s="798"/>
      <c r="E2018" s="798"/>
      <c r="F2018" s="798"/>
      <c r="G2018" s="798"/>
      <c r="J2018" s="778" t="str">
        <f aca="false">IF(I2018="","",H2018/I2018)</f>
        <v/>
      </c>
      <c r="K2018" s="798"/>
      <c r="P2018" s="798"/>
      <c r="Q2018" s="798"/>
      <c r="R2018" s="811"/>
    </row>
    <row r="2019" customFormat="false" ht="16.5" hidden="false" customHeight="true" outlineLevel="0" collapsed="false">
      <c r="A2019" s="747"/>
      <c r="B2019" s="798"/>
      <c r="D2019" s="798"/>
      <c r="E2019" s="798"/>
      <c r="F2019" s="798"/>
      <c r="G2019" s="798"/>
      <c r="J2019" s="778" t="str">
        <f aca="false">IF(I2019="","",H2019/I2019)</f>
        <v/>
      </c>
      <c r="K2019" s="798"/>
      <c r="P2019" s="798"/>
      <c r="Q2019" s="798"/>
      <c r="R2019" s="811"/>
    </row>
    <row r="2020" customFormat="false" ht="16.5" hidden="false" customHeight="true" outlineLevel="0" collapsed="false">
      <c r="A2020" s="747"/>
      <c r="B2020" s="798"/>
      <c r="D2020" s="798"/>
      <c r="E2020" s="798"/>
      <c r="F2020" s="798"/>
      <c r="G2020" s="798"/>
      <c r="J2020" s="778" t="str">
        <f aca="false">IF(I2020="","",H2020/I2020)</f>
        <v/>
      </c>
      <c r="K2020" s="798"/>
      <c r="P2020" s="798"/>
      <c r="Q2020" s="798"/>
      <c r="R2020" s="811"/>
    </row>
    <row r="2021" customFormat="false" ht="16.5" hidden="false" customHeight="true" outlineLevel="0" collapsed="false">
      <c r="A2021" s="747"/>
      <c r="B2021" s="798"/>
      <c r="D2021" s="798"/>
      <c r="E2021" s="798"/>
      <c r="F2021" s="798"/>
      <c r="G2021" s="798"/>
      <c r="J2021" s="778" t="str">
        <f aca="false">IF(I2021="","",H2021/I2021)</f>
        <v/>
      </c>
      <c r="K2021" s="798"/>
      <c r="P2021" s="798"/>
      <c r="Q2021" s="798"/>
      <c r="R2021" s="811"/>
    </row>
    <row r="2022" customFormat="false" ht="16.5" hidden="false" customHeight="true" outlineLevel="0" collapsed="false">
      <c r="A2022" s="747"/>
      <c r="B2022" s="798"/>
      <c r="D2022" s="798"/>
      <c r="E2022" s="798"/>
      <c r="F2022" s="798"/>
      <c r="G2022" s="798"/>
      <c r="J2022" s="778" t="str">
        <f aca="false">IF(I2022="","",H2022/I2022)</f>
        <v/>
      </c>
      <c r="K2022" s="798"/>
      <c r="P2022" s="798"/>
      <c r="Q2022" s="798"/>
      <c r="R2022" s="811"/>
    </row>
    <row r="2023" customFormat="false" ht="16.5" hidden="false" customHeight="true" outlineLevel="0" collapsed="false">
      <c r="A2023" s="747"/>
      <c r="B2023" s="798"/>
      <c r="D2023" s="798"/>
      <c r="E2023" s="798"/>
      <c r="F2023" s="798"/>
      <c r="G2023" s="798"/>
      <c r="J2023" s="778" t="str">
        <f aca="false">IF(I2023="","",H2023/I2023)</f>
        <v/>
      </c>
      <c r="K2023" s="798"/>
      <c r="P2023" s="798"/>
      <c r="Q2023" s="798"/>
      <c r="R2023" s="811"/>
    </row>
    <row r="2024" customFormat="false" ht="16.5" hidden="false" customHeight="true" outlineLevel="0" collapsed="false">
      <c r="A2024" s="747"/>
      <c r="B2024" s="798"/>
      <c r="D2024" s="798"/>
      <c r="E2024" s="798"/>
      <c r="F2024" s="798"/>
      <c r="G2024" s="798"/>
      <c r="J2024" s="778" t="str">
        <f aca="false">IF(I2024="","",H2024/I2024)</f>
        <v/>
      </c>
      <c r="K2024" s="798"/>
      <c r="P2024" s="798"/>
      <c r="Q2024" s="798"/>
      <c r="R2024" s="811"/>
    </row>
    <row r="2025" customFormat="false" ht="16.5" hidden="false" customHeight="true" outlineLevel="0" collapsed="false">
      <c r="A2025" s="747"/>
      <c r="B2025" s="798"/>
      <c r="D2025" s="798"/>
      <c r="E2025" s="798"/>
      <c r="F2025" s="798"/>
      <c r="G2025" s="798"/>
      <c r="J2025" s="778" t="str">
        <f aca="false">IF(I2025="","",H2025/I2025)</f>
        <v/>
      </c>
      <c r="K2025" s="798"/>
      <c r="P2025" s="798"/>
      <c r="Q2025" s="798"/>
      <c r="R2025" s="811"/>
    </row>
    <row r="2026" customFormat="false" ht="16.5" hidden="false" customHeight="true" outlineLevel="0" collapsed="false">
      <c r="A2026" s="747"/>
      <c r="B2026" s="798"/>
      <c r="D2026" s="798"/>
      <c r="E2026" s="798"/>
      <c r="F2026" s="798"/>
      <c r="G2026" s="798"/>
      <c r="J2026" s="778" t="str">
        <f aca="false">IF(I2026="","",H2026/I2026)</f>
        <v/>
      </c>
      <c r="K2026" s="798"/>
      <c r="P2026" s="798"/>
      <c r="Q2026" s="798"/>
      <c r="R2026" s="811"/>
    </row>
    <row r="2027" customFormat="false" ht="16.5" hidden="false" customHeight="true" outlineLevel="0" collapsed="false">
      <c r="A2027" s="747"/>
      <c r="B2027" s="798"/>
      <c r="D2027" s="798"/>
      <c r="E2027" s="798"/>
      <c r="F2027" s="798"/>
      <c r="G2027" s="798"/>
      <c r="J2027" s="778" t="str">
        <f aca="false">IF(I2027="","",H2027/I2027)</f>
        <v/>
      </c>
      <c r="K2027" s="798"/>
      <c r="P2027" s="798"/>
      <c r="Q2027" s="798"/>
      <c r="R2027" s="811"/>
    </row>
    <row r="2028" customFormat="false" ht="16.5" hidden="false" customHeight="true" outlineLevel="0" collapsed="false">
      <c r="A2028" s="747"/>
      <c r="B2028" s="798"/>
      <c r="D2028" s="798"/>
      <c r="E2028" s="798"/>
      <c r="F2028" s="798"/>
      <c r="G2028" s="798"/>
      <c r="J2028" s="778" t="str">
        <f aca="false">IF(I2028="","",H2028/I2028)</f>
        <v/>
      </c>
      <c r="K2028" s="798"/>
      <c r="P2028" s="798"/>
      <c r="Q2028" s="798"/>
      <c r="R2028" s="811"/>
    </row>
    <row r="2029" customFormat="false" ht="16.5" hidden="false" customHeight="true" outlineLevel="0" collapsed="false">
      <c r="A2029" s="747"/>
      <c r="B2029" s="798"/>
      <c r="D2029" s="798"/>
      <c r="E2029" s="798"/>
      <c r="F2029" s="798"/>
      <c r="G2029" s="798"/>
      <c r="J2029" s="778" t="str">
        <f aca="false">IF(I2029="","",H2029/I2029)</f>
        <v/>
      </c>
      <c r="K2029" s="798"/>
      <c r="P2029" s="798"/>
      <c r="Q2029" s="798"/>
      <c r="R2029" s="811"/>
    </row>
    <row r="2030" customFormat="false" ht="16.5" hidden="false" customHeight="true" outlineLevel="0" collapsed="false">
      <c r="A2030" s="747"/>
      <c r="B2030" s="798"/>
      <c r="D2030" s="798"/>
      <c r="E2030" s="798"/>
      <c r="F2030" s="798"/>
      <c r="G2030" s="798"/>
      <c r="J2030" s="778" t="str">
        <f aca="false">IF(I2030="","",H2030/I2030)</f>
        <v/>
      </c>
      <c r="K2030" s="798"/>
      <c r="P2030" s="798"/>
      <c r="Q2030" s="798"/>
      <c r="R2030" s="811"/>
    </row>
    <row r="2031" customFormat="false" ht="16.5" hidden="false" customHeight="true" outlineLevel="0" collapsed="false">
      <c r="A2031" s="747"/>
      <c r="B2031" s="798"/>
      <c r="D2031" s="798"/>
      <c r="E2031" s="798"/>
      <c r="F2031" s="798"/>
      <c r="G2031" s="798"/>
      <c r="J2031" s="778" t="str">
        <f aca="false">IF(I2031="","",H2031/I2031)</f>
        <v/>
      </c>
      <c r="K2031" s="798"/>
      <c r="P2031" s="798"/>
      <c r="Q2031" s="798"/>
      <c r="R2031" s="811"/>
    </row>
    <row r="2032" customFormat="false" ht="16.5" hidden="false" customHeight="true" outlineLevel="0" collapsed="false">
      <c r="A2032" s="747"/>
      <c r="B2032" s="798"/>
      <c r="D2032" s="798"/>
      <c r="E2032" s="798"/>
      <c r="F2032" s="798"/>
      <c r="G2032" s="798"/>
      <c r="J2032" s="778" t="str">
        <f aca="false">IF(I2032="","",H2032/I2032)</f>
        <v/>
      </c>
      <c r="K2032" s="798"/>
      <c r="P2032" s="798"/>
      <c r="Q2032" s="798"/>
      <c r="R2032" s="811"/>
    </row>
    <row r="2033" customFormat="false" ht="16.5" hidden="false" customHeight="true" outlineLevel="0" collapsed="false">
      <c r="A2033" s="747"/>
      <c r="B2033" s="798"/>
      <c r="D2033" s="798"/>
      <c r="E2033" s="798"/>
      <c r="F2033" s="798"/>
      <c r="G2033" s="798"/>
      <c r="J2033" s="778" t="str">
        <f aca="false">IF(I2033="","",H2033/I2033)</f>
        <v/>
      </c>
      <c r="K2033" s="798"/>
      <c r="P2033" s="798"/>
      <c r="Q2033" s="798"/>
      <c r="R2033" s="811"/>
    </row>
    <row r="2034" customFormat="false" ht="16.5" hidden="false" customHeight="true" outlineLevel="0" collapsed="false">
      <c r="A2034" s="747"/>
      <c r="B2034" s="798"/>
      <c r="D2034" s="798"/>
      <c r="E2034" s="798"/>
      <c r="F2034" s="798"/>
      <c r="G2034" s="798"/>
      <c r="J2034" s="778" t="str">
        <f aca="false">IF(I2034="","",H2034/I2034)</f>
        <v/>
      </c>
      <c r="K2034" s="798"/>
      <c r="P2034" s="798"/>
      <c r="Q2034" s="798"/>
      <c r="R2034" s="811"/>
    </row>
    <row r="2035" customFormat="false" ht="16.5" hidden="false" customHeight="true" outlineLevel="0" collapsed="false">
      <c r="A2035" s="747"/>
      <c r="B2035" s="798"/>
      <c r="D2035" s="798"/>
      <c r="E2035" s="798"/>
      <c r="F2035" s="798"/>
      <c r="G2035" s="798"/>
      <c r="J2035" s="778" t="str">
        <f aca="false">IF(I2035="","",H2035/I2035)</f>
        <v/>
      </c>
      <c r="K2035" s="798"/>
      <c r="P2035" s="798"/>
      <c r="Q2035" s="798"/>
      <c r="R2035" s="811"/>
    </row>
    <row r="2036" customFormat="false" ht="16.5" hidden="false" customHeight="true" outlineLevel="0" collapsed="false">
      <c r="A2036" s="747"/>
      <c r="B2036" s="798"/>
      <c r="D2036" s="798"/>
      <c r="E2036" s="798"/>
      <c r="F2036" s="798"/>
      <c r="G2036" s="798"/>
      <c r="J2036" s="778" t="str">
        <f aca="false">IF(I2036="","",H2036/I2036)</f>
        <v/>
      </c>
      <c r="K2036" s="798"/>
      <c r="P2036" s="798"/>
      <c r="Q2036" s="798"/>
      <c r="R2036" s="811"/>
    </row>
    <row r="2037" customFormat="false" ht="16.5" hidden="false" customHeight="true" outlineLevel="0" collapsed="false">
      <c r="A2037" s="747"/>
      <c r="B2037" s="798"/>
      <c r="D2037" s="798"/>
      <c r="E2037" s="798"/>
      <c r="F2037" s="798"/>
      <c r="G2037" s="798"/>
      <c r="J2037" s="778" t="str">
        <f aca="false">IF(I2037="","",H2037/I2037)</f>
        <v/>
      </c>
      <c r="K2037" s="798"/>
      <c r="P2037" s="798"/>
      <c r="Q2037" s="798"/>
      <c r="R2037" s="811"/>
    </row>
    <row r="2038" customFormat="false" ht="16.5" hidden="false" customHeight="true" outlineLevel="0" collapsed="false">
      <c r="A2038" s="747"/>
      <c r="B2038" s="798"/>
      <c r="D2038" s="798"/>
      <c r="E2038" s="798"/>
      <c r="F2038" s="798"/>
      <c r="G2038" s="798"/>
      <c r="J2038" s="778" t="str">
        <f aca="false">IF(I2038="","",H2038/I2038)</f>
        <v/>
      </c>
      <c r="K2038" s="798"/>
      <c r="P2038" s="798"/>
      <c r="Q2038" s="798"/>
      <c r="R2038" s="811"/>
    </row>
    <row r="2039" customFormat="false" ht="16.5" hidden="false" customHeight="true" outlineLevel="0" collapsed="false">
      <c r="A2039" s="747"/>
      <c r="B2039" s="798"/>
      <c r="D2039" s="798"/>
      <c r="E2039" s="798"/>
      <c r="F2039" s="798"/>
      <c r="G2039" s="798"/>
      <c r="J2039" s="778" t="str">
        <f aca="false">IF(I2039="","",H2039/I2039)</f>
        <v/>
      </c>
      <c r="K2039" s="798"/>
      <c r="P2039" s="798"/>
      <c r="Q2039" s="798"/>
      <c r="R2039" s="811"/>
    </row>
    <row r="2040" customFormat="false" ht="16.5" hidden="false" customHeight="true" outlineLevel="0" collapsed="false">
      <c r="A2040" s="747"/>
      <c r="B2040" s="798"/>
      <c r="D2040" s="798"/>
      <c r="E2040" s="798"/>
      <c r="F2040" s="798"/>
      <c r="G2040" s="798"/>
      <c r="J2040" s="778" t="str">
        <f aca="false">IF(I2040="","",H2040/I2040)</f>
        <v/>
      </c>
      <c r="K2040" s="798"/>
      <c r="P2040" s="798"/>
      <c r="Q2040" s="798"/>
      <c r="R2040" s="811"/>
    </row>
    <row r="2041" customFormat="false" ht="16.5" hidden="false" customHeight="true" outlineLevel="0" collapsed="false">
      <c r="A2041" s="747"/>
      <c r="B2041" s="798"/>
      <c r="D2041" s="798"/>
      <c r="E2041" s="798"/>
      <c r="F2041" s="798"/>
      <c r="G2041" s="798"/>
      <c r="J2041" s="778" t="str">
        <f aca="false">IF(I2041="","",H2041/I2041)</f>
        <v/>
      </c>
      <c r="K2041" s="798"/>
      <c r="P2041" s="798"/>
      <c r="Q2041" s="798"/>
      <c r="R2041" s="811"/>
    </row>
    <row r="2042" customFormat="false" ht="16.5" hidden="false" customHeight="true" outlineLevel="0" collapsed="false">
      <c r="A2042" s="747"/>
      <c r="B2042" s="798"/>
      <c r="D2042" s="798"/>
      <c r="E2042" s="798"/>
      <c r="F2042" s="798"/>
      <c r="G2042" s="798"/>
      <c r="J2042" s="778" t="str">
        <f aca="false">IF(I2042="","",H2042/I2042)</f>
        <v/>
      </c>
      <c r="K2042" s="798"/>
      <c r="P2042" s="798"/>
      <c r="Q2042" s="798"/>
      <c r="R2042" s="811"/>
    </row>
    <row r="2043" customFormat="false" ht="16.5" hidden="false" customHeight="true" outlineLevel="0" collapsed="false">
      <c r="A2043" s="747"/>
      <c r="B2043" s="798"/>
      <c r="D2043" s="798"/>
      <c r="E2043" s="798"/>
      <c r="F2043" s="798"/>
      <c r="G2043" s="798"/>
      <c r="J2043" s="778" t="str">
        <f aca="false">IF(I2043="","",H2043/I2043)</f>
        <v/>
      </c>
      <c r="K2043" s="798"/>
      <c r="P2043" s="798"/>
      <c r="Q2043" s="798"/>
      <c r="R2043" s="811"/>
    </row>
    <row r="2044" customFormat="false" ht="16.5" hidden="false" customHeight="true" outlineLevel="0" collapsed="false">
      <c r="A2044" s="747"/>
      <c r="B2044" s="798"/>
      <c r="D2044" s="798"/>
      <c r="E2044" s="798"/>
      <c r="F2044" s="798"/>
      <c r="G2044" s="798"/>
      <c r="J2044" s="778" t="str">
        <f aca="false">IF(I2044="","",H2044/I2044)</f>
        <v/>
      </c>
      <c r="K2044" s="798"/>
      <c r="P2044" s="798"/>
      <c r="Q2044" s="798"/>
      <c r="R2044" s="811"/>
    </row>
    <row r="2045" customFormat="false" ht="16.5" hidden="false" customHeight="true" outlineLevel="0" collapsed="false">
      <c r="A2045" s="747"/>
      <c r="B2045" s="798"/>
      <c r="D2045" s="798"/>
      <c r="E2045" s="798"/>
      <c r="F2045" s="798"/>
      <c r="G2045" s="798"/>
      <c r="J2045" s="778" t="str">
        <f aca="false">IF(I2045="","",H2045/I2045)</f>
        <v/>
      </c>
      <c r="K2045" s="798"/>
      <c r="P2045" s="798"/>
      <c r="Q2045" s="798"/>
      <c r="R2045" s="811"/>
    </row>
    <row r="2046" customFormat="false" ht="16.5" hidden="false" customHeight="true" outlineLevel="0" collapsed="false">
      <c r="A2046" s="747"/>
      <c r="B2046" s="798"/>
      <c r="D2046" s="798"/>
      <c r="E2046" s="798"/>
      <c r="F2046" s="798"/>
      <c r="G2046" s="798"/>
      <c r="J2046" s="778" t="str">
        <f aca="false">IF(I2046="","",H2046/I2046)</f>
        <v/>
      </c>
      <c r="K2046" s="798"/>
      <c r="P2046" s="798"/>
      <c r="Q2046" s="798"/>
      <c r="R2046" s="811"/>
    </row>
    <row r="2047" customFormat="false" ht="16.5" hidden="false" customHeight="true" outlineLevel="0" collapsed="false">
      <c r="A2047" s="747"/>
      <c r="B2047" s="798"/>
      <c r="D2047" s="798"/>
      <c r="E2047" s="798"/>
      <c r="F2047" s="798"/>
      <c r="G2047" s="798"/>
      <c r="J2047" s="778" t="str">
        <f aca="false">IF(I2047="","",H2047/I2047)</f>
        <v/>
      </c>
      <c r="K2047" s="798"/>
      <c r="P2047" s="798"/>
      <c r="Q2047" s="798"/>
      <c r="R2047" s="811"/>
    </row>
    <row r="2048" customFormat="false" ht="16.5" hidden="false" customHeight="true" outlineLevel="0" collapsed="false">
      <c r="A2048" s="747"/>
      <c r="B2048" s="798"/>
      <c r="D2048" s="798"/>
      <c r="E2048" s="798"/>
      <c r="F2048" s="798"/>
      <c r="G2048" s="798"/>
      <c r="J2048" s="778" t="str">
        <f aca="false">IF(I2048="","",H2048/I2048)</f>
        <v/>
      </c>
      <c r="K2048" s="798"/>
      <c r="P2048" s="798"/>
      <c r="Q2048" s="798"/>
      <c r="R2048" s="811"/>
    </row>
    <row r="2049" customFormat="false" ht="16.5" hidden="false" customHeight="true" outlineLevel="0" collapsed="false">
      <c r="A2049" s="747"/>
      <c r="B2049" s="798"/>
      <c r="D2049" s="798"/>
      <c r="E2049" s="798"/>
      <c r="F2049" s="798"/>
      <c r="G2049" s="798"/>
      <c r="J2049" s="778" t="str">
        <f aca="false">IF(I2049="","",H2049/I2049)</f>
        <v/>
      </c>
      <c r="K2049" s="798"/>
      <c r="P2049" s="798"/>
      <c r="Q2049" s="798"/>
      <c r="R2049" s="811"/>
    </row>
    <row r="2050" customFormat="false" ht="16.5" hidden="false" customHeight="true" outlineLevel="0" collapsed="false">
      <c r="A2050" s="747"/>
      <c r="B2050" s="798"/>
      <c r="D2050" s="798"/>
      <c r="E2050" s="798"/>
      <c r="F2050" s="798"/>
      <c r="G2050" s="798"/>
      <c r="J2050" s="778" t="str">
        <f aca="false">IF(I2050="","",H2050/I2050)</f>
        <v/>
      </c>
      <c r="K2050" s="798"/>
      <c r="P2050" s="798"/>
      <c r="Q2050" s="798"/>
      <c r="R2050" s="811"/>
    </row>
    <row r="2051" customFormat="false" ht="16.5" hidden="false" customHeight="true" outlineLevel="0" collapsed="false">
      <c r="A2051" s="747"/>
      <c r="B2051" s="798"/>
      <c r="D2051" s="798"/>
      <c r="E2051" s="798"/>
      <c r="F2051" s="798"/>
      <c r="G2051" s="798"/>
      <c r="J2051" s="778" t="str">
        <f aca="false">IF(I2051="","",H2051/I2051)</f>
        <v/>
      </c>
      <c r="K2051" s="798"/>
      <c r="P2051" s="798"/>
      <c r="Q2051" s="798"/>
      <c r="R2051" s="811"/>
    </row>
    <row r="2052" customFormat="false" ht="16.5" hidden="false" customHeight="true" outlineLevel="0" collapsed="false">
      <c r="A2052" s="747"/>
      <c r="B2052" s="798"/>
      <c r="D2052" s="798"/>
      <c r="E2052" s="798"/>
      <c r="F2052" s="798"/>
      <c r="G2052" s="798"/>
      <c r="J2052" s="778" t="str">
        <f aca="false">IF(I2052="","",H2052/I2052)</f>
        <v/>
      </c>
      <c r="K2052" s="798"/>
      <c r="P2052" s="798"/>
      <c r="Q2052" s="798"/>
      <c r="R2052" s="811"/>
    </row>
    <row r="2053" customFormat="false" ht="16.5" hidden="false" customHeight="true" outlineLevel="0" collapsed="false">
      <c r="A2053" s="747"/>
      <c r="B2053" s="798"/>
      <c r="D2053" s="798"/>
      <c r="E2053" s="798"/>
      <c r="F2053" s="798"/>
      <c r="G2053" s="798"/>
      <c r="J2053" s="778" t="str">
        <f aca="false">IF(I2053="","",H2053/I2053)</f>
        <v/>
      </c>
      <c r="K2053" s="798"/>
      <c r="P2053" s="798"/>
      <c r="Q2053" s="798"/>
      <c r="R2053" s="811"/>
    </row>
    <row r="2054" customFormat="false" ht="16.5" hidden="false" customHeight="true" outlineLevel="0" collapsed="false">
      <c r="A2054" s="747"/>
      <c r="B2054" s="798"/>
      <c r="D2054" s="798"/>
      <c r="E2054" s="798"/>
      <c r="F2054" s="798"/>
      <c r="G2054" s="798"/>
      <c r="J2054" s="778" t="str">
        <f aca="false">IF(I2054="","",H2054/I2054)</f>
        <v/>
      </c>
      <c r="K2054" s="798"/>
      <c r="P2054" s="798"/>
      <c r="Q2054" s="798"/>
      <c r="R2054" s="811"/>
    </row>
    <row r="2055" customFormat="false" ht="16.5" hidden="false" customHeight="true" outlineLevel="0" collapsed="false">
      <c r="A2055" s="747"/>
      <c r="B2055" s="798"/>
      <c r="D2055" s="798"/>
      <c r="E2055" s="798"/>
      <c r="F2055" s="798"/>
      <c r="G2055" s="798"/>
      <c r="J2055" s="778" t="str">
        <f aca="false">IF(I2055="","",H2055/I2055)</f>
        <v/>
      </c>
      <c r="K2055" s="798"/>
      <c r="P2055" s="798"/>
      <c r="Q2055" s="798"/>
      <c r="R2055" s="811"/>
    </row>
    <row r="2056" customFormat="false" ht="16.5" hidden="false" customHeight="true" outlineLevel="0" collapsed="false">
      <c r="A2056" s="747"/>
      <c r="B2056" s="798"/>
      <c r="D2056" s="798"/>
      <c r="E2056" s="798"/>
      <c r="F2056" s="798"/>
      <c r="G2056" s="798"/>
      <c r="J2056" s="778" t="str">
        <f aca="false">IF(I2056="","",H2056/I2056)</f>
        <v/>
      </c>
      <c r="K2056" s="798"/>
      <c r="P2056" s="798"/>
      <c r="Q2056" s="798"/>
      <c r="R2056" s="811"/>
    </row>
    <row r="2057" customFormat="false" ht="16.5" hidden="false" customHeight="true" outlineLevel="0" collapsed="false">
      <c r="A2057" s="747"/>
      <c r="B2057" s="798"/>
      <c r="D2057" s="798"/>
      <c r="E2057" s="798"/>
      <c r="F2057" s="798"/>
      <c r="G2057" s="798"/>
      <c r="J2057" s="778" t="str">
        <f aca="false">IF(I2057="","",H2057/I2057)</f>
        <v/>
      </c>
      <c r="K2057" s="798"/>
      <c r="P2057" s="798"/>
      <c r="Q2057" s="798"/>
      <c r="R2057" s="811"/>
    </row>
    <row r="2058" customFormat="false" ht="16.5" hidden="false" customHeight="true" outlineLevel="0" collapsed="false">
      <c r="A2058" s="747"/>
      <c r="B2058" s="798"/>
      <c r="D2058" s="798"/>
      <c r="E2058" s="798"/>
      <c r="F2058" s="798"/>
      <c r="G2058" s="798"/>
      <c r="J2058" s="778" t="str">
        <f aca="false">IF(I2058="","",H2058/I2058)</f>
        <v/>
      </c>
      <c r="K2058" s="798"/>
      <c r="P2058" s="798"/>
      <c r="Q2058" s="798"/>
      <c r="R2058" s="811"/>
    </row>
    <row r="2059" customFormat="false" ht="16.5" hidden="false" customHeight="true" outlineLevel="0" collapsed="false">
      <c r="A2059" s="747"/>
      <c r="B2059" s="798"/>
      <c r="D2059" s="798"/>
      <c r="E2059" s="798"/>
      <c r="F2059" s="798"/>
      <c r="G2059" s="798"/>
      <c r="J2059" s="778" t="str">
        <f aca="false">IF(I2059="","",H2059/I2059)</f>
        <v/>
      </c>
      <c r="K2059" s="798"/>
      <c r="P2059" s="798"/>
      <c r="Q2059" s="798"/>
      <c r="R2059" s="811"/>
    </row>
    <row r="2060" customFormat="false" ht="16.5" hidden="false" customHeight="true" outlineLevel="0" collapsed="false">
      <c r="A2060" s="747"/>
      <c r="B2060" s="798"/>
      <c r="D2060" s="798"/>
      <c r="E2060" s="798"/>
      <c r="F2060" s="798"/>
      <c r="G2060" s="798"/>
      <c r="J2060" s="778" t="str">
        <f aca="false">IF(I2060="","",H2060/I2060)</f>
        <v/>
      </c>
      <c r="K2060" s="798"/>
      <c r="P2060" s="798"/>
      <c r="Q2060" s="798"/>
      <c r="R2060" s="811"/>
    </row>
    <row r="2061" customFormat="false" ht="16.5" hidden="false" customHeight="true" outlineLevel="0" collapsed="false">
      <c r="A2061" s="747"/>
      <c r="B2061" s="798"/>
      <c r="D2061" s="798"/>
      <c r="E2061" s="798"/>
      <c r="F2061" s="798"/>
      <c r="G2061" s="798"/>
      <c r="J2061" s="778" t="str">
        <f aca="false">IF(I2061="","",H2061/I2061)</f>
        <v/>
      </c>
      <c r="K2061" s="798"/>
      <c r="P2061" s="798"/>
      <c r="Q2061" s="798"/>
      <c r="R2061" s="811"/>
    </row>
    <row r="2062" customFormat="false" ht="16.5" hidden="false" customHeight="true" outlineLevel="0" collapsed="false">
      <c r="A2062" s="747"/>
      <c r="B2062" s="798"/>
      <c r="D2062" s="798"/>
      <c r="E2062" s="798"/>
      <c r="F2062" s="798"/>
      <c r="G2062" s="798"/>
      <c r="J2062" s="778" t="str">
        <f aca="false">IF(I2062="","",H2062/I2062)</f>
        <v/>
      </c>
      <c r="K2062" s="798"/>
      <c r="P2062" s="798"/>
      <c r="Q2062" s="798"/>
      <c r="R2062" s="811"/>
    </row>
    <row r="2063" customFormat="false" ht="16.5" hidden="false" customHeight="true" outlineLevel="0" collapsed="false">
      <c r="A2063" s="747"/>
      <c r="B2063" s="798"/>
      <c r="D2063" s="798"/>
      <c r="E2063" s="798"/>
      <c r="F2063" s="798"/>
      <c r="G2063" s="798"/>
      <c r="J2063" s="778" t="str">
        <f aca="false">IF(I2063="","",H2063/I2063)</f>
        <v/>
      </c>
      <c r="K2063" s="798"/>
      <c r="P2063" s="798"/>
      <c r="Q2063" s="798"/>
      <c r="R2063" s="811"/>
    </row>
    <row r="2064" customFormat="false" ht="16.5" hidden="false" customHeight="true" outlineLevel="0" collapsed="false">
      <c r="A2064" s="747"/>
      <c r="B2064" s="798"/>
      <c r="D2064" s="798"/>
      <c r="E2064" s="798"/>
      <c r="F2064" s="798"/>
      <c r="G2064" s="798"/>
      <c r="J2064" s="778" t="str">
        <f aca="false">IF(I2064="","",H2064/I2064)</f>
        <v/>
      </c>
      <c r="K2064" s="798"/>
      <c r="P2064" s="798"/>
      <c r="Q2064" s="798"/>
      <c r="R2064" s="811"/>
    </row>
    <row r="2065" customFormat="false" ht="16.5" hidden="false" customHeight="true" outlineLevel="0" collapsed="false">
      <c r="A2065" s="747"/>
      <c r="B2065" s="798"/>
      <c r="D2065" s="798"/>
      <c r="E2065" s="798"/>
      <c r="F2065" s="798"/>
      <c r="G2065" s="798"/>
      <c r="J2065" s="778" t="str">
        <f aca="false">IF(I2065="","",H2065/I2065)</f>
        <v/>
      </c>
      <c r="K2065" s="798"/>
      <c r="P2065" s="798"/>
      <c r="Q2065" s="798"/>
      <c r="R2065" s="811"/>
    </row>
    <row r="2066" customFormat="false" ht="16.5" hidden="false" customHeight="true" outlineLevel="0" collapsed="false">
      <c r="A2066" s="747"/>
      <c r="B2066" s="798"/>
      <c r="D2066" s="798"/>
      <c r="E2066" s="798"/>
      <c r="F2066" s="798"/>
      <c r="G2066" s="798"/>
      <c r="J2066" s="778" t="str">
        <f aca="false">IF(I2066="","",H2066/I2066)</f>
        <v/>
      </c>
      <c r="K2066" s="798"/>
      <c r="P2066" s="798"/>
      <c r="Q2066" s="798"/>
      <c r="R2066" s="811"/>
    </row>
    <row r="2067" customFormat="false" ht="16.5" hidden="false" customHeight="true" outlineLevel="0" collapsed="false">
      <c r="A2067" s="747"/>
      <c r="B2067" s="798"/>
      <c r="D2067" s="798"/>
      <c r="E2067" s="798"/>
      <c r="F2067" s="798"/>
      <c r="G2067" s="798"/>
      <c r="J2067" s="778" t="str">
        <f aca="false">IF(I2067="","",H2067/I2067)</f>
        <v/>
      </c>
      <c r="K2067" s="798"/>
      <c r="P2067" s="798"/>
      <c r="Q2067" s="798"/>
      <c r="R2067" s="811"/>
    </row>
    <row r="2068" customFormat="false" ht="16.5" hidden="false" customHeight="true" outlineLevel="0" collapsed="false">
      <c r="A2068" s="747"/>
      <c r="B2068" s="798"/>
      <c r="D2068" s="798"/>
      <c r="E2068" s="798"/>
      <c r="F2068" s="798"/>
      <c r="G2068" s="798"/>
      <c r="J2068" s="778" t="str">
        <f aca="false">IF(I2068="","",H2068/I2068)</f>
        <v/>
      </c>
      <c r="K2068" s="798"/>
      <c r="P2068" s="798"/>
      <c r="Q2068" s="798"/>
      <c r="R2068" s="811"/>
    </row>
    <row r="2069" customFormat="false" ht="16.5" hidden="false" customHeight="true" outlineLevel="0" collapsed="false">
      <c r="A2069" s="747"/>
      <c r="B2069" s="798"/>
      <c r="D2069" s="798"/>
      <c r="E2069" s="798"/>
      <c r="F2069" s="798"/>
      <c r="G2069" s="798"/>
      <c r="J2069" s="778" t="str">
        <f aca="false">IF(I2069="","",H2069/I2069)</f>
        <v/>
      </c>
      <c r="K2069" s="798"/>
      <c r="P2069" s="798"/>
      <c r="Q2069" s="798"/>
      <c r="R2069" s="811"/>
    </row>
    <row r="2070" customFormat="false" ht="16.5" hidden="false" customHeight="true" outlineLevel="0" collapsed="false">
      <c r="A2070" s="747"/>
      <c r="B2070" s="798"/>
      <c r="D2070" s="798"/>
      <c r="E2070" s="798"/>
      <c r="F2070" s="798"/>
      <c r="G2070" s="798"/>
      <c r="J2070" s="778" t="str">
        <f aca="false">IF(I2070="","",H2070/I2070)</f>
        <v/>
      </c>
      <c r="K2070" s="798"/>
      <c r="P2070" s="798"/>
      <c r="Q2070" s="798"/>
      <c r="R2070" s="811"/>
    </row>
    <row r="2071" customFormat="false" ht="16.5" hidden="false" customHeight="true" outlineLevel="0" collapsed="false">
      <c r="A2071" s="747"/>
      <c r="B2071" s="798"/>
      <c r="D2071" s="798"/>
      <c r="E2071" s="798"/>
      <c r="F2071" s="798"/>
      <c r="G2071" s="798"/>
      <c r="J2071" s="778" t="str">
        <f aca="false">IF(I2071="","",H2071/I2071)</f>
        <v/>
      </c>
      <c r="K2071" s="798"/>
      <c r="P2071" s="798"/>
      <c r="Q2071" s="798"/>
      <c r="R2071" s="811"/>
    </row>
    <row r="2072" customFormat="false" ht="16.5" hidden="false" customHeight="true" outlineLevel="0" collapsed="false">
      <c r="A2072" s="747"/>
      <c r="B2072" s="798"/>
      <c r="D2072" s="798"/>
      <c r="E2072" s="798"/>
      <c r="F2072" s="798"/>
      <c r="G2072" s="798"/>
      <c r="J2072" s="778" t="str">
        <f aca="false">IF(I2072="","",H2072/I2072)</f>
        <v/>
      </c>
      <c r="K2072" s="798"/>
      <c r="P2072" s="798"/>
      <c r="Q2072" s="798"/>
      <c r="R2072" s="811"/>
    </row>
    <row r="2073" customFormat="false" ht="16.5" hidden="false" customHeight="true" outlineLevel="0" collapsed="false">
      <c r="A2073" s="747"/>
      <c r="B2073" s="798"/>
      <c r="D2073" s="798"/>
      <c r="E2073" s="798"/>
      <c r="F2073" s="798"/>
      <c r="G2073" s="798"/>
      <c r="J2073" s="778" t="str">
        <f aca="false">IF(I2073="","",H2073/I2073)</f>
        <v/>
      </c>
      <c r="K2073" s="798"/>
      <c r="P2073" s="798"/>
      <c r="Q2073" s="798"/>
      <c r="R2073" s="811"/>
    </row>
    <row r="2074" customFormat="false" ht="16.5" hidden="false" customHeight="true" outlineLevel="0" collapsed="false">
      <c r="A2074" s="747"/>
      <c r="B2074" s="798"/>
      <c r="D2074" s="798"/>
      <c r="E2074" s="798"/>
      <c r="F2074" s="798"/>
      <c r="G2074" s="798"/>
      <c r="J2074" s="778" t="str">
        <f aca="false">IF(I2074="","",H2074/I2074)</f>
        <v/>
      </c>
      <c r="K2074" s="798"/>
      <c r="P2074" s="798"/>
      <c r="Q2074" s="798"/>
      <c r="R2074" s="811"/>
    </row>
    <row r="2075" customFormat="false" ht="16.5" hidden="false" customHeight="true" outlineLevel="0" collapsed="false">
      <c r="A2075" s="747"/>
      <c r="B2075" s="798"/>
      <c r="D2075" s="798"/>
      <c r="E2075" s="798"/>
      <c r="F2075" s="798"/>
      <c r="G2075" s="798"/>
      <c r="J2075" s="778" t="str">
        <f aca="false">IF(I2075="","",H2075/I2075)</f>
        <v/>
      </c>
      <c r="K2075" s="798"/>
      <c r="P2075" s="798"/>
      <c r="Q2075" s="798"/>
      <c r="R2075" s="811"/>
    </row>
    <row r="2076" customFormat="false" ht="16.5" hidden="false" customHeight="true" outlineLevel="0" collapsed="false">
      <c r="A2076" s="747"/>
      <c r="B2076" s="798"/>
      <c r="D2076" s="798"/>
      <c r="E2076" s="798"/>
      <c r="F2076" s="798"/>
      <c r="G2076" s="798"/>
      <c r="J2076" s="778" t="str">
        <f aca="false">IF(I2076="","",H2076/I2076)</f>
        <v/>
      </c>
      <c r="K2076" s="798"/>
      <c r="P2076" s="798"/>
      <c r="Q2076" s="798"/>
      <c r="R2076" s="811"/>
    </row>
    <row r="2077" customFormat="false" ht="16.5" hidden="false" customHeight="true" outlineLevel="0" collapsed="false">
      <c r="A2077" s="747"/>
      <c r="B2077" s="798"/>
      <c r="D2077" s="798"/>
      <c r="E2077" s="798"/>
      <c r="F2077" s="798"/>
      <c r="G2077" s="798"/>
      <c r="J2077" s="778" t="str">
        <f aca="false">IF(I2077="","",H2077/I2077)</f>
        <v/>
      </c>
      <c r="K2077" s="798"/>
      <c r="P2077" s="798"/>
      <c r="Q2077" s="798"/>
      <c r="R2077" s="811"/>
    </row>
    <row r="2078" customFormat="false" ht="16.5" hidden="false" customHeight="true" outlineLevel="0" collapsed="false">
      <c r="A2078" s="747"/>
      <c r="B2078" s="798"/>
      <c r="D2078" s="798"/>
      <c r="E2078" s="798"/>
      <c r="F2078" s="798"/>
      <c r="G2078" s="798"/>
      <c r="J2078" s="778" t="str">
        <f aca="false">IF(I2078="","",H2078/I2078)</f>
        <v/>
      </c>
      <c r="K2078" s="798"/>
      <c r="P2078" s="798"/>
      <c r="Q2078" s="798"/>
      <c r="R2078" s="811"/>
    </row>
    <row r="2079" customFormat="false" ht="16.5" hidden="false" customHeight="true" outlineLevel="0" collapsed="false">
      <c r="A2079" s="747"/>
      <c r="B2079" s="798"/>
      <c r="D2079" s="798"/>
      <c r="E2079" s="798"/>
      <c r="F2079" s="798"/>
      <c r="G2079" s="798"/>
      <c r="J2079" s="778" t="str">
        <f aca="false">IF(I2079="","",H2079/I2079)</f>
        <v/>
      </c>
      <c r="K2079" s="798"/>
      <c r="P2079" s="798"/>
      <c r="Q2079" s="798"/>
      <c r="R2079" s="811"/>
    </row>
    <row r="2080" customFormat="false" ht="16.5" hidden="false" customHeight="true" outlineLevel="0" collapsed="false">
      <c r="A2080" s="747"/>
      <c r="B2080" s="798"/>
      <c r="D2080" s="798"/>
      <c r="E2080" s="798"/>
      <c r="F2080" s="798"/>
      <c r="G2080" s="798"/>
      <c r="J2080" s="778" t="str">
        <f aca="false">IF(I2080="","",H2080/I2080)</f>
        <v/>
      </c>
      <c r="K2080" s="798"/>
      <c r="P2080" s="798"/>
      <c r="Q2080" s="798"/>
      <c r="R2080" s="811"/>
    </row>
    <row r="2081" customFormat="false" ht="16.5" hidden="false" customHeight="true" outlineLevel="0" collapsed="false">
      <c r="A2081" s="747"/>
      <c r="B2081" s="798"/>
      <c r="D2081" s="798"/>
      <c r="E2081" s="798"/>
      <c r="F2081" s="798"/>
      <c r="G2081" s="798"/>
      <c r="J2081" s="778" t="str">
        <f aca="false">IF(I2081="","",H2081/I2081)</f>
        <v/>
      </c>
      <c r="K2081" s="798"/>
      <c r="P2081" s="798"/>
      <c r="Q2081" s="798"/>
      <c r="R2081" s="811"/>
    </row>
    <row r="2082" customFormat="false" ht="16.5" hidden="false" customHeight="true" outlineLevel="0" collapsed="false">
      <c r="A2082" s="747"/>
      <c r="B2082" s="798"/>
      <c r="D2082" s="798"/>
      <c r="E2082" s="798"/>
      <c r="F2082" s="798"/>
      <c r="G2082" s="798"/>
      <c r="J2082" s="778" t="str">
        <f aca="false">IF(I2082="","",H2082/I2082)</f>
        <v/>
      </c>
      <c r="K2082" s="798"/>
      <c r="P2082" s="798"/>
      <c r="Q2082" s="798"/>
      <c r="R2082" s="811"/>
    </row>
    <row r="2083" customFormat="false" ht="16.5" hidden="false" customHeight="true" outlineLevel="0" collapsed="false">
      <c r="A2083" s="747"/>
      <c r="B2083" s="798"/>
      <c r="D2083" s="798"/>
      <c r="E2083" s="798"/>
      <c r="F2083" s="798"/>
      <c r="G2083" s="798"/>
      <c r="J2083" s="778" t="str">
        <f aca="false">IF(I2083="","",H2083/I2083)</f>
        <v/>
      </c>
      <c r="K2083" s="798"/>
      <c r="P2083" s="798"/>
      <c r="Q2083" s="798"/>
      <c r="R2083" s="811"/>
    </row>
    <row r="2084" customFormat="false" ht="16.5" hidden="false" customHeight="true" outlineLevel="0" collapsed="false">
      <c r="A2084" s="747"/>
      <c r="B2084" s="798"/>
      <c r="D2084" s="798"/>
      <c r="E2084" s="798"/>
      <c r="F2084" s="798"/>
      <c r="G2084" s="798"/>
      <c r="J2084" s="778" t="str">
        <f aca="false">IF(I2084="","",H2084/I2084)</f>
        <v/>
      </c>
      <c r="K2084" s="798"/>
      <c r="P2084" s="798"/>
      <c r="Q2084" s="798"/>
      <c r="R2084" s="811"/>
    </row>
    <row r="2085" customFormat="false" ht="16.5" hidden="false" customHeight="true" outlineLevel="0" collapsed="false">
      <c r="A2085" s="747"/>
      <c r="B2085" s="798"/>
      <c r="D2085" s="798"/>
      <c r="E2085" s="798"/>
      <c r="F2085" s="798"/>
      <c r="G2085" s="798"/>
      <c r="J2085" s="778" t="str">
        <f aca="false">IF(I2085="","",H2085/I2085)</f>
        <v/>
      </c>
      <c r="K2085" s="798"/>
      <c r="P2085" s="798"/>
      <c r="Q2085" s="798"/>
      <c r="R2085" s="811"/>
    </row>
    <row r="2086" customFormat="false" ht="16.5" hidden="false" customHeight="true" outlineLevel="0" collapsed="false">
      <c r="A2086" s="747"/>
      <c r="B2086" s="798"/>
      <c r="D2086" s="798"/>
      <c r="E2086" s="798"/>
      <c r="F2086" s="798"/>
      <c r="G2086" s="798"/>
      <c r="J2086" s="778" t="str">
        <f aca="false">IF(I2086="","",H2086/I2086)</f>
        <v/>
      </c>
      <c r="K2086" s="798"/>
      <c r="P2086" s="798"/>
      <c r="Q2086" s="798"/>
      <c r="R2086" s="811"/>
    </row>
    <row r="2087" customFormat="false" ht="16.5" hidden="false" customHeight="true" outlineLevel="0" collapsed="false">
      <c r="A2087" s="747"/>
      <c r="B2087" s="798"/>
      <c r="D2087" s="798"/>
      <c r="E2087" s="798"/>
      <c r="F2087" s="798"/>
      <c r="G2087" s="798"/>
      <c r="J2087" s="778" t="str">
        <f aca="false">IF(I2087="","",H2087/I2087)</f>
        <v/>
      </c>
      <c r="K2087" s="798"/>
      <c r="P2087" s="798"/>
      <c r="Q2087" s="798"/>
      <c r="R2087" s="811"/>
    </row>
    <row r="2088" customFormat="false" ht="16.5" hidden="false" customHeight="true" outlineLevel="0" collapsed="false">
      <c r="A2088" s="747"/>
      <c r="B2088" s="798"/>
      <c r="D2088" s="798"/>
      <c r="E2088" s="798"/>
      <c r="F2088" s="798"/>
      <c r="G2088" s="798"/>
      <c r="J2088" s="778" t="str">
        <f aca="false">IF(I2088="","",H2088/I2088)</f>
        <v/>
      </c>
      <c r="K2088" s="798"/>
      <c r="P2088" s="798"/>
      <c r="Q2088" s="798"/>
      <c r="R2088" s="811"/>
    </row>
    <row r="2089" customFormat="false" ht="16.5" hidden="false" customHeight="true" outlineLevel="0" collapsed="false">
      <c r="A2089" s="747"/>
      <c r="B2089" s="798"/>
      <c r="D2089" s="798"/>
      <c r="E2089" s="798"/>
      <c r="F2089" s="798"/>
      <c r="G2089" s="798"/>
      <c r="J2089" s="778" t="str">
        <f aca="false">IF(I2089="","",H2089/I2089)</f>
        <v/>
      </c>
      <c r="K2089" s="798"/>
      <c r="P2089" s="798"/>
      <c r="Q2089" s="798"/>
      <c r="R2089" s="811"/>
    </row>
    <row r="2090" customFormat="false" ht="16.5" hidden="false" customHeight="true" outlineLevel="0" collapsed="false">
      <c r="A2090" s="747"/>
      <c r="B2090" s="798"/>
      <c r="D2090" s="798"/>
      <c r="E2090" s="798"/>
      <c r="F2090" s="798"/>
      <c r="G2090" s="798"/>
      <c r="J2090" s="778" t="str">
        <f aca="false">IF(I2090="","",H2090/I2090)</f>
        <v/>
      </c>
      <c r="K2090" s="798"/>
      <c r="P2090" s="798"/>
      <c r="Q2090" s="798"/>
      <c r="R2090" s="811"/>
    </row>
    <row r="2091" customFormat="false" ht="16.5" hidden="false" customHeight="true" outlineLevel="0" collapsed="false">
      <c r="A2091" s="747"/>
      <c r="B2091" s="798"/>
      <c r="D2091" s="798"/>
      <c r="E2091" s="798"/>
      <c r="F2091" s="798"/>
      <c r="G2091" s="798"/>
      <c r="J2091" s="778" t="str">
        <f aca="false">IF(I2091="","",H2091/I2091)</f>
        <v/>
      </c>
      <c r="K2091" s="798"/>
      <c r="P2091" s="798"/>
      <c r="Q2091" s="798"/>
      <c r="R2091" s="811"/>
    </row>
    <row r="2092" customFormat="false" ht="16.5" hidden="false" customHeight="true" outlineLevel="0" collapsed="false">
      <c r="A2092" s="747"/>
      <c r="B2092" s="798"/>
      <c r="D2092" s="798"/>
      <c r="E2092" s="798"/>
      <c r="F2092" s="798"/>
      <c r="G2092" s="798"/>
      <c r="J2092" s="778" t="str">
        <f aca="false">IF(I2092="","",H2092/I2092)</f>
        <v/>
      </c>
      <c r="K2092" s="798"/>
      <c r="P2092" s="798"/>
      <c r="Q2092" s="798"/>
      <c r="R2092" s="811"/>
    </row>
    <row r="2093" customFormat="false" ht="16.5" hidden="false" customHeight="true" outlineLevel="0" collapsed="false">
      <c r="A2093" s="747"/>
      <c r="B2093" s="798"/>
      <c r="D2093" s="798"/>
      <c r="E2093" s="798"/>
      <c r="F2093" s="798"/>
      <c r="G2093" s="798"/>
      <c r="J2093" s="778" t="str">
        <f aca="false">IF(I2093="","",H2093/I2093)</f>
        <v/>
      </c>
      <c r="K2093" s="798"/>
      <c r="P2093" s="798"/>
      <c r="Q2093" s="798"/>
      <c r="R2093" s="811"/>
    </row>
    <row r="2094" customFormat="false" ht="16.5" hidden="false" customHeight="true" outlineLevel="0" collapsed="false">
      <c r="A2094" s="747"/>
      <c r="B2094" s="798"/>
      <c r="D2094" s="798"/>
      <c r="E2094" s="798"/>
      <c r="F2094" s="798"/>
      <c r="G2094" s="798"/>
      <c r="J2094" s="778" t="str">
        <f aca="false">IF(I2094="","",H2094/I2094)</f>
        <v/>
      </c>
      <c r="K2094" s="798"/>
      <c r="P2094" s="798"/>
      <c r="Q2094" s="798"/>
      <c r="R2094" s="811"/>
    </row>
    <row r="2095" customFormat="false" ht="16.5" hidden="false" customHeight="true" outlineLevel="0" collapsed="false">
      <c r="A2095" s="747"/>
      <c r="B2095" s="798"/>
      <c r="D2095" s="798"/>
      <c r="E2095" s="798"/>
      <c r="F2095" s="798"/>
      <c r="G2095" s="798"/>
      <c r="J2095" s="778" t="str">
        <f aca="false">IF(I2095="","",H2095/I2095)</f>
        <v/>
      </c>
      <c r="K2095" s="798"/>
      <c r="P2095" s="798"/>
      <c r="Q2095" s="798"/>
      <c r="R2095" s="811"/>
    </row>
    <row r="2096" customFormat="false" ht="16.5" hidden="false" customHeight="true" outlineLevel="0" collapsed="false">
      <c r="A2096" s="747"/>
      <c r="B2096" s="798"/>
      <c r="D2096" s="798"/>
      <c r="E2096" s="798"/>
      <c r="F2096" s="798"/>
      <c r="G2096" s="798"/>
      <c r="J2096" s="778" t="str">
        <f aca="false">IF(I2096="","",H2096/I2096)</f>
        <v/>
      </c>
      <c r="K2096" s="798"/>
      <c r="P2096" s="798"/>
      <c r="Q2096" s="798"/>
      <c r="R2096" s="811"/>
    </row>
    <row r="2097" customFormat="false" ht="16.5" hidden="false" customHeight="true" outlineLevel="0" collapsed="false">
      <c r="A2097" s="747"/>
      <c r="B2097" s="798"/>
      <c r="D2097" s="798"/>
      <c r="E2097" s="798"/>
      <c r="F2097" s="798"/>
      <c r="G2097" s="798"/>
      <c r="J2097" s="778" t="str">
        <f aca="false">IF(I2097="","",H2097/I2097)</f>
        <v/>
      </c>
      <c r="K2097" s="798"/>
      <c r="P2097" s="798"/>
      <c r="Q2097" s="798"/>
      <c r="R2097" s="811"/>
    </row>
    <row r="2098" customFormat="false" ht="16.5" hidden="false" customHeight="true" outlineLevel="0" collapsed="false">
      <c r="A2098" s="747"/>
      <c r="B2098" s="798"/>
      <c r="D2098" s="798"/>
      <c r="E2098" s="798"/>
      <c r="F2098" s="798"/>
      <c r="G2098" s="798"/>
      <c r="J2098" s="778" t="str">
        <f aca="false">IF(I2098="","",H2098/I2098)</f>
        <v/>
      </c>
      <c r="K2098" s="798"/>
      <c r="P2098" s="798"/>
      <c r="Q2098" s="798"/>
      <c r="R2098" s="811"/>
    </row>
    <row r="2099" customFormat="false" ht="16.5" hidden="false" customHeight="true" outlineLevel="0" collapsed="false">
      <c r="A2099" s="747"/>
      <c r="B2099" s="798"/>
      <c r="D2099" s="798"/>
      <c r="E2099" s="798"/>
      <c r="F2099" s="798"/>
      <c r="G2099" s="798"/>
      <c r="J2099" s="778" t="str">
        <f aca="false">IF(I2099="","",H2099/I2099)</f>
        <v/>
      </c>
      <c r="K2099" s="798"/>
      <c r="P2099" s="798"/>
      <c r="Q2099" s="798"/>
      <c r="R2099" s="811"/>
    </row>
    <row r="2100" customFormat="false" ht="16.5" hidden="false" customHeight="true" outlineLevel="0" collapsed="false">
      <c r="A2100" s="747"/>
      <c r="B2100" s="798"/>
      <c r="D2100" s="798"/>
      <c r="E2100" s="798"/>
      <c r="F2100" s="798"/>
      <c r="G2100" s="798"/>
      <c r="J2100" s="778" t="str">
        <f aca="false">IF(I2100="","",H2100/I2100)</f>
        <v/>
      </c>
      <c r="K2100" s="798"/>
      <c r="P2100" s="798"/>
      <c r="Q2100" s="798"/>
      <c r="R2100" s="811"/>
    </row>
    <row r="2101" customFormat="false" ht="16.5" hidden="false" customHeight="true" outlineLevel="0" collapsed="false">
      <c r="A2101" s="747"/>
      <c r="B2101" s="798"/>
      <c r="D2101" s="798"/>
      <c r="E2101" s="798"/>
      <c r="F2101" s="798"/>
      <c r="G2101" s="798"/>
      <c r="J2101" s="778" t="str">
        <f aca="false">IF(I2101="","",H2101/I2101)</f>
        <v/>
      </c>
      <c r="K2101" s="798"/>
      <c r="P2101" s="798"/>
      <c r="Q2101" s="798"/>
      <c r="R2101" s="811"/>
    </row>
    <row r="2102" customFormat="false" ht="16.5" hidden="false" customHeight="true" outlineLevel="0" collapsed="false">
      <c r="A2102" s="747"/>
      <c r="B2102" s="798"/>
      <c r="D2102" s="798"/>
      <c r="E2102" s="798"/>
      <c r="F2102" s="798"/>
      <c r="G2102" s="798"/>
      <c r="J2102" s="778" t="str">
        <f aca="false">IF(I2102="","",H2102/I2102)</f>
        <v/>
      </c>
      <c r="K2102" s="798"/>
      <c r="P2102" s="798"/>
      <c r="Q2102" s="798"/>
      <c r="R2102" s="811"/>
    </row>
    <row r="2103" customFormat="false" ht="16.5" hidden="false" customHeight="true" outlineLevel="0" collapsed="false">
      <c r="A2103" s="747"/>
      <c r="B2103" s="798"/>
      <c r="D2103" s="798"/>
      <c r="E2103" s="798"/>
      <c r="F2103" s="798"/>
      <c r="G2103" s="798"/>
      <c r="J2103" s="778" t="str">
        <f aca="false">IF(I2103="","",H2103/I2103)</f>
        <v/>
      </c>
      <c r="K2103" s="798"/>
      <c r="P2103" s="798"/>
      <c r="Q2103" s="798"/>
      <c r="R2103" s="811"/>
    </row>
    <row r="2104" customFormat="false" ht="16.5" hidden="false" customHeight="true" outlineLevel="0" collapsed="false">
      <c r="A2104" s="747"/>
      <c r="B2104" s="798"/>
      <c r="D2104" s="798"/>
      <c r="E2104" s="798"/>
      <c r="F2104" s="798"/>
      <c r="G2104" s="798"/>
      <c r="J2104" s="778" t="str">
        <f aca="false">IF(I2104="","",H2104/I2104)</f>
        <v/>
      </c>
      <c r="K2104" s="798"/>
      <c r="P2104" s="798"/>
      <c r="Q2104" s="798"/>
      <c r="R2104" s="811"/>
    </row>
    <row r="2105" customFormat="false" ht="16.5" hidden="false" customHeight="true" outlineLevel="0" collapsed="false">
      <c r="A2105" s="747"/>
      <c r="B2105" s="798"/>
      <c r="D2105" s="798"/>
      <c r="E2105" s="798"/>
      <c r="F2105" s="798"/>
      <c r="G2105" s="798"/>
      <c r="J2105" s="778" t="str">
        <f aca="false">IF(I2105="","",H2105/I2105)</f>
        <v/>
      </c>
      <c r="K2105" s="798"/>
      <c r="P2105" s="798"/>
      <c r="Q2105" s="798"/>
      <c r="R2105" s="811"/>
    </row>
    <row r="2106" customFormat="false" ht="16.5" hidden="false" customHeight="true" outlineLevel="0" collapsed="false">
      <c r="A2106" s="747"/>
      <c r="B2106" s="798"/>
      <c r="D2106" s="798"/>
      <c r="E2106" s="798"/>
      <c r="F2106" s="798"/>
      <c r="G2106" s="798"/>
      <c r="J2106" s="778" t="str">
        <f aca="false">IF(I2106="","",H2106/I2106)</f>
        <v/>
      </c>
      <c r="K2106" s="798"/>
      <c r="P2106" s="798"/>
      <c r="Q2106" s="798"/>
      <c r="R2106" s="811"/>
    </row>
    <row r="2107" customFormat="false" ht="16.5" hidden="false" customHeight="true" outlineLevel="0" collapsed="false">
      <c r="A2107" s="747"/>
      <c r="B2107" s="798"/>
      <c r="D2107" s="798"/>
      <c r="E2107" s="798"/>
      <c r="F2107" s="798"/>
      <c r="G2107" s="798"/>
      <c r="J2107" s="778" t="str">
        <f aca="false">IF(I2107="","",H2107/I2107)</f>
        <v/>
      </c>
      <c r="K2107" s="798"/>
      <c r="P2107" s="798"/>
      <c r="Q2107" s="798"/>
      <c r="R2107" s="811"/>
    </row>
    <row r="2108" customFormat="false" ht="16.5" hidden="false" customHeight="true" outlineLevel="0" collapsed="false">
      <c r="A2108" s="747"/>
      <c r="B2108" s="798"/>
      <c r="D2108" s="798"/>
      <c r="E2108" s="798"/>
      <c r="F2108" s="798"/>
      <c r="G2108" s="798"/>
      <c r="J2108" s="778" t="str">
        <f aca="false">IF(I2108="","",H2108/I2108)</f>
        <v/>
      </c>
      <c r="K2108" s="798"/>
      <c r="P2108" s="798"/>
      <c r="Q2108" s="798"/>
      <c r="R2108" s="811"/>
    </row>
    <row r="2109" customFormat="false" ht="16.5" hidden="false" customHeight="true" outlineLevel="0" collapsed="false">
      <c r="A2109" s="747"/>
      <c r="B2109" s="798"/>
      <c r="D2109" s="798"/>
      <c r="E2109" s="798"/>
      <c r="F2109" s="798"/>
      <c r="G2109" s="798"/>
      <c r="J2109" s="778" t="str">
        <f aca="false">IF(I2109="","",H2109/I2109)</f>
        <v/>
      </c>
      <c r="K2109" s="798"/>
      <c r="P2109" s="798"/>
      <c r="Q2109" s="798"/>
      <c r="R2109" s="811"/>
    </row>
    <row r="2110" customFormat="false" ht="16.5" hidden="false" customHeight="true" outlineLevel="0" collapsed="false">
      <c r="A2110" s="747"/>
      <c r="B2110" s="798"/>
      <c r="D2110" s="798"/>
      <c r="E2110" s="798"/>
      <c r="F2110" s="798"/>
      <c r="G2110" s="798"/>
      <c r="J2110" s="778" t="str">
        <f aca="false">IF(I2110="","",H2110/I2110)</f>
        <v/>
      </c>
      <c r="K2110" s="798"/>
      <c r="P2110" s="798"/>
      <c r="Q2110" s="798"/>
      <c r="R2110" s="811"/>
    </row>
    <row r="2111" customFormat="false" ht="16.5" hidden="false" customHeight="true" outlineLevel="0" collapsed="false">
      <c r="A2111" s="747"/>
      <c r="B2111" s="798"/>
      <c r="D2111" s="798"/>
      <c r="E2111" s="798"/>
      <c r="F2111" s="798"/>
      <c r="G2111" s="798"/>
      <c r="J2111" s="778" t="str">
        <f aca="false">IF(I2111="","",H2111/I2111)</f>
        <v/>
      </c>
      <c r="K2111" s="798"/>
      <c r="P2111" s="798"/>
      <c r="Q2111" s="798"/>
      <c r="R2111" s="811"/>
    </row>
    <row r="2112" customFormat="false" ht="16.5" hidden="false" customHeight="true" outlineLevel="0" collapsed="false">
      <c r="A2112" s="747"/>
      <c r="B2112" s="798"/>
      <c r="D2112" s="798"/>
      <c r="E2112" s="798"/>
      <c r="F2112" s="798"/>
      <c r="G2112" s="798"/>
      <c r="J2112" s="778" t="str">
        <f aca="false">IF(I2112="","",H2112/I2112)</f>
        <v/>
      </c>
      <c r="K2112" s="798"/>
      <c r="P2112" s="798"/>
      <c r="Q2112" s="798"/>
      <c r="R2112" s="811"/>
    </row>
    <row r="2113" customFormat="false" ht="16.5" hidden="false" customHeight="true" outlineLevel="0" collapsed="false">
      <c r="A2113" s="747"/>
      <c r="B2113" s="798"/>
      <c r="D2113" s="798"/>
      <c r="E2113" s="798"/>
      <c r="F2113" s="798"/>
      <c r="G2113" s="798"/>
      <c r="J2113" s="778" t="str">
        <f aca="false">IF(I2113="","",H2113/I2113)</f>
        <v/>
      </c>
      <c r="K2113" s="798"/>
      <c r="P2113" s="798"/>
      <c r="Q2113" s="798"/>
      <c r="R2113" s="811"/>
    </row>
    <row r="2114" customFormat="false" ht="16.5" hidden="false" customHeight="true" outlineLevel="0" collapsed="false">
      <c r="A2114" s="747"/>
      <c r="B2114" s="798"/>
      <c r="D2114" s="798"/>
      <c r="E2114" s="798"/>
      <c r="F2114" s="798"/>
      <c r="G2114" s="798"/>
      <c r="J2114" s="778" t="str">
        <f aca="false">IF(I2114="","",H2114/I2114)</f>
        <v/>
      </c>
      <c r="K2114" s="798"/>
      <c r="P2114" s="798"/>
      <c r="Q2114" s="798"/>
      <c r="R2114" s="811"/>
    </row>
    <row r="2115" customFormat="false" ht="16.5" hidden="false" customHeight="true" outlineLevel="0" collapsed="false">
      <c r="A2115" s="747"/>
      <c r="B2115" s="798"/>
      <c r="D2115" s="798"/>
      <c r="E2115" s="798"/>
      <c r="F2115" s="798"/>
      <c r="G2115" s="798"/>
      <c r="J2115" s="778" t="str">
        <f aca="false">IF(I2115="","",H2115/I2115)</f>
        <v/>
      </c>
      <c r="K2115" s="798"/>
      <c r="P2115" s="798"/>
      <c r="Q2115" s="798"/>
      <c r="R2115" s="811"/>
    </row>
    <row r="2116" customFormat="false" ht="16.5" hidden="false" customHeight="true" outlineLevel="0" collapsed="false">
      <c r="A2116" s="747"/>
      <c r="B2116" s="798"/>
      <c r="D2116" s="798"/>
      <c r="E2116" s="798"/>
      <c r="F2116" s="798"/>
      <c r="G2116" s="798"/>
      <c r="J2116" s="778" t="str">
        <f aca="false">IF(I2116="","",H2116/I2116)</f>
        <v/>
      </c>
      <c r="K2116" s="798"/>
      <c r="P2116" s="798"/>
      <c r="Q2116" s="798"/>
      <c r="R2116" s="811"/>
    </row>
    <row r="2117" customFormat="false" ht="16.5" hidden="false" customHeight="true" outlineLevel="0" collapsed="false">
      <c r="A2117" s="747"/>
      <c r="B2117" s="798"/>
      <c r="D2117" s="798"/>
      <c r="E2117" s="798"/>
      <c r="F2117" s="798"/>
      <c r="G2117" s="798"/>
      <c r="J2117" s="778" t="str">
        <f aca="false">IF(I2117="","",H2117/I2117)</f>
        <v/>
      </c>
      <c r="K2117" s="798"/>
      <c r="P2117" s="798"/>
      <c r="Q2117" s="798"/>
      <c r="R2117" s="811"/>
    </row>
    <row r="2118" customFormat="false" ht="16.5" hidden="false" customHeight="true" outlineLevel="0" collapsed="false">
      <c r="A2118" s="747"/>
      <c r="B2118" s="798"/>
      <c r="D2118" s="798"/>
      <c r="E2118" s="798"/>
      <c r="F2118" s="798"/>
      <c r="G2118" s="798"/>
      <c r="J2118" s="778" t="str">
        <f aca="false">IF(I2118="","",H2118/I2118)</f>
        <v/>
      </c>
      <c r="K2118" s="798"/>
      <c r="P2118" s="798"/>
      <c r="Q2118" s="798"/>
      <c r="R2118" s="811"/>
    </row>
    <row r="2119" customFormat="false" ht="16.5" hidden="false" customHeight="true" outlineLevel="0" collapsed="false">
      <c r="A2119" s="747"/>
      <c r="B2119" s="798"/>
      <c r="D2119" s="798"/>
      <c r="E2119" s="798"/>
      <c r="F2119" s="798"/>
      <c r="G2119" s="798"/>
      <c r="J2119" s="778" t="str">
        <f aca="false">IF(I2119="","",H2119/I2119)</f>
        <v/>
      </c>
      <c r="K2119" s="798"/>
      <c r="P2119" s="798"/>
      <c r="Q2119" s="798"/>
      <c r="R2119" s="811"/>
    </row>
    <row r="2120" customFormat="false" ht="16.5" hidden="false" customHeight="true" outlineLevel="0" collapsed="false">
      <c r="A2120" s="747"/>
      <c r="B2120" s="798"/>
      <c r="D2120" s="798"/>
      <c r="E2120" s="798"/>
      <c r="F2120" s="798"/>
      <c r="G2120" s="798"/>
      <c r="J2120" s="778" t="str">
        <f aca="false">IF(I2120="","",H2120/I2120)</f>
        <v/>
      </c>
      <c r="K2120" s="798"/>
      <c r="P2120" s="798"/>
      <c r="Q2120" s="798"/>
      <c r="R2120" s="811"/>
    </row>
    <row r="2121" customFormat="false" ht="16.5" hidden="false" customHeight="true" outlineLevel="0" collapsed="false">
      <c r="A2121" s="747"/>
      <c r="B2121" s="798"/>
      <c r="D2121" s="798"/>
      <c r="E2121" s="798"/>
      <c r="F2121" s="798"/>
      <c r="G2121" s="798"/>
      <c r="J2121" s="778" t="str">
        <f aca="false">IF(I2121="","",H2121/I2121)</f>
        <v/>
      </c>
      <c r="K2121" s="798"/>
      <c r="P2121" s="798"/>
      <c r="Q2121" s="798"/>
      <c r="R2121" s="811"/>
    </row>
    <row r="2122" customFormat="false" ht="16.5" hidden="false" customHeight="true" outlineLevel="0" collapsed="false">
      <c r="A2122" s="747"/>
      <c r="B2122" s="798"/>
      <c r="D2122" s="798"/>
      <c r="E2122" s="798"/>
      <c r="F2122" s="798"/>
      <c r="G2122" s="798"/>
      <c r="J2122" s="778" t="str">
        <f aca="false">IF(I2122="","",H2122/I2122)</f>
        <v/>
      </c>
      <c r="K2122" s="798"/>
      <c r="P2122" s="798"/>
      <c r="Q2122" s="798"/>
      <c r="R2122" s="811"/>
    </row>
    <row r="2123" customFormat="false" ht="16.5" hidden="false" customHeight="true" outlineLevel="0" collapsed="false">
      <c r="A2123" s="747"/>
      <c r="B2123" s="798"/>
      <c r="D2123" s="798"/>
      <c r="E2123" s="798"/>
      <c r="F2123" s="798"/>
      <c r="G2123" s="798"/>
      <c r="J2123" s="778" t="str">
        <f aca="false">IF(I2123="","",H2123/I2123)</f>
        <v/>
      </c>
      <c r="K2123" s="798"/>
      <c r="P2123" s="798"/>
      <c r="Q2123" s="798"/>
      <c r="R2123" s="811"/>
    </row>
    <row r="2124" customFormat="false" ht="16.5" hidden="false" customHeight="true" outlineLevel="0" collapsed="false">
      <c r="A2124" s="747"/>
      <c r="B2124" s="798"/>
      <c r="D2124" s="798"/>
      <c r="E2124" s="798"/>
      <c r="F2124" s="798"/>
      <c r="G2124" s="798"/>
      <c r="J2124" s="778" t="str">
        <f aca="false">IF(I2124="","",H2124/I2124)</f>
        <v/>
      </c>
      <c r="K2124" s="798"/>
      <c r="P2124" s="798"/>
      <c r="Q2124" s="798"/>
      <c r="R2124" s="811"/>
    </row>
    <row r="2125" customFormat="false" ht="16.5" hidden="false" customHeight="true" outlineLevel="0" collapsed="false">
      <c r="A2125" s="747"/>
      <c r="B2125" s="798"/>
      <c r="D2125" s="798"/>
      <c r="E2125" s="798"/>
      <c r="F2125" s="798"/>
      <c r="G2125" s="798"/>
      <c r="J2125" s="778" t="str">
        <f aca="false">IF(I2125="","",H2125/I2125)</f>
        <v/>
      </c>
      <c r="K2125" s="798"/>
      <c r="P2125" s="798"/>
      <c r="Q2125" s="798"/>
      <c r="R2125" s="811"/>
    </row>
    <row r="2126" customFormat="false" ht="16.5" hidden="false" customHeight="true" outlineLevel="0" collapsed="false">
      <c r="A2126" s="747"/>
      <c r="B2126" s="798"/>
      <c r="D2126" s="798"/>
      <c r="E2126" s="798"/>
      <c r="F2126" s="798"/>
      <c r="G2126" s="798"/>
      <c r="J2126" s="778" t="str">
        <f aca="false">IF(I2126="","",H2126/I2126)</f>
        <v/>
      </c>
      <c r="K2126" s="798"/>
      <c r="P2126" s="798"/>
      <c r="Q2126" s="798"/>
      <c r="R2126" s="811"/>
    </row>
    <row r="2127" customFormat="false" ht="16.5" hidden="false" customHeight="true" outlineLevel="0" collapsed="false">
      <c r="A2127" s="747"/>
      <c r="B2127" s="798"/>
      <c r="D2127" s="798"/>
      <c r="E2127" s="798"/>
      <c r="F2127" s="798"/>
      <c r="G2127" s="798"/>
      <c r="J2127" s="778" t="str">
        <f aca="false">IF(I2127="","",H2127/I2127)</f>
        <v/>
      </c>
      <c r="K2127" s="798"/>
      <c r="P2127" s="798"/>
      <c r="Q2127" s="798"/>
      <c r="R2127" s="811"/>
    </row>
    <row r="2128" customFormat="false" ht="16.5" hidden="false" customHeight="true" outlineLevel="0" collapsed="false">
      <c r="A2128" s="747"/>
      <c r="B2128" s="798"/>
      <c r="D2128" s="798"/>
      <c r="E2128" s="798"/>
      <c r="F2128" s="798"/>
      <c r="G2128" s="798"/>
      <c r="J2128" s="778" t="str">
        <f aca="false">IF(I2128="","",H2128/I2128)</f>
        <v/>
      </c>
      <c r="K2128" s="798"/>
      <c r="P2128" s="798"/>
      <c r="Q2128" s="798"/>
      <c r="R2128" s="811"/>
    </row>
    <row r="2129" customFormat="false" ht="16.5" hidden="false" customHeight="true" outlineLevel="0" collapsed="false">
      <c r="A2129" s="747"/>
      <c r="B2129" s="798"/>
      <c r="D2129" s="798"/>
      <c r="E2129" s="798"/>
      <c r="F2129" s="798"/>
      <c r="G2129" s="798"/>
      <c r="J2129" s="778" t="str">
        <f aca="false">IF(I2129="","",H2129/I2129)</f>
        <v/>
      </c>
      <c r="K2129" s="798"/>
      <c r="P2129" s="798"/>
      <c r="Q2129" s="798"/>
      <c r="R2129" s="811"/>
    </row>
    <row r="2130" customFormat="false" ht="16.5" hidden="false" customHeight="true" outlineLevel="0" collapsed="false">
      <c r="A2130" s="747"/>
      <c r="B2130" s="798"/>
      <c r="D2130" s="798"/>
      <c r="E2130" s="798"/>
      <c r="F2130" s="798"/>
      <c r="G2130" s="798"/>
      <c r="J2130" s="778" t="str">
        <f aca="false">IF(I2130="","",H2130/I2130)</f>
        <v/>
      </c>
      <c r="K2130" s="798"/>
      <c r="P2130" s="798"/>
      <c r="Q2130" s="798"/>
      <c r="R2130" s="811"/>
    </row>
    <row r="2131" customFormat="false" ht="16.5" hidden="false" customHeight="true" outlineLevel="0" collapsed="false">
      <c r="A2131" s="747"/>
      <c r="B2131" s="798"/>
      <c r="D2131" s="798"/>
      <c r="E2131" s="798"/>
      <c r="F2131" s="798"/>
      <c r="G2131" s="798"/>
      <c r="J2131" s="778" t="str">
        <f aca="false">IF(I2131="","",H2131/I2131)</f>
        <v/>
      </c>
      <c r="K2131" s="798"/>
      <c r="P2131" s="798"/>
      <c r="Q2131" s="798"/>
      <c r="R2131" s="811"/>
    </row>
    <row r="2132" customFormat="false" ht="16.5" hidden="false" customHeight="true" outlineLevel="0" collapsed="false">
      <c r="A2132" s="747"/>
      <c r="B2132" s="798"/>
      <c r="D2132" s="798"/>
      <c r="E2132" s="798"/>
      <c r="F2132" s="798"/>
      <c r="G2132" s="798"/>
      <c r="J2132" s="778" t="str">
        <f aca="false">IF(I2132="","",H2132/I2132)</f>
        <v/>
      </c>
      <c r="K2132" s="798"/>
      <c r="P2132" s="798"/>
      <c r="Q2132" s="798"/>
      <c r="R2132" s="811"/>
    </row>
    <row r="2133" customFormat="false" ht="16.5" hidden="false" customHeight="true" outlineLevel="0" collapsed="false">
      <c r="A2133" s="747"/>
      <c r="B2133" s="798"/>
      <c r="D2133" s="798"/>
      <c r="E2133" s="798"/>
      <c r="F2133" s="798"/>
      <c r="G2133" s="798"/>
      <c r="J2133" s="778" t="str">
        <f aca="false">IF(I2133="","",H2133/I2133)</f>
        <v/>
      </c>
      <c r="K2133" s="798"/>
      <c r="P2133" s="798"/>
      <c r="Q2133" s="798"/>
      <c r="R2133" s="811"/>
    </row>
    <row r="2134" customFormat="false" ht="16.5" hidden="false" customHeight="true" outlineLevel="0" collapsed="false">
      <c r="A2134" s="747"/>
      <c r="B2134" s="798"/>
      <c r="D2134" s="798"/>
      <c r="E2134" s="798"/>
      <c r="F2134" s="798"/>
      <c r="G2134" s="798"/>
      <c r="J2134" s="778" t="str">
        <f aca="false">IF(I2134="","",H2134/I2134)</f>
        <v/>
      </c>
      <c r="K2134" s="798"/>
      <c r="P2134" s="798"/>
      <c r="Q2134" s="798"/>
      <c r="R2134" s="811"/>
    </row>
    <row r="2135" customFormat="false" ht="16.5" hidden="false" customHeight="true" outlineLevel="0" collapsed="false">
      <c r="A2135" s="747"/>
      <c r="B2135" s="798"/>
      <c r="D2135" s="798"/>
      <c r="E2135" s="798"/>
      <c r="F2135" s="798"/>
      <c r="G2135" s="798"/>
      <c r="J2135" s="778" t="str">
        <f aca="false">IF(I2135="","",H2135/I2135)</f>
        <v/>
      </c>
      <c r="K2135" s="798"/>
      <c r="P2135" s="798"/>
      <c r="Q2135" s="798"/>
      <c r="R2135" s="811"/>
    </row>
    <row r="2136" customFormat="false" ht="16.5" hidden="false" customHeight="true" outlineLevel="0" collapsed="false">
      <c r="A2136" s="747"/>
      <c r="B2136" s="798"/>
      <c r="D2136" s="798"/>
      <c r="E2136" s="798"/>
      <c r="F2136" s="798"/>
      <c r="G2136" s="798"/>
      <c r="J2136" s="778" t="str">
        <f aca="false">IF(I2136="","",H2136/I2136)</f>
        <v/>
      </c>
      <c r="K2136" s="798"/>
      <c r="P2136" s="798"/>
      <c r="Q2136" s="798"/>
      <c r="R2136" s="811"/>
    </row>
    <row r="2137" customFormat="false" ht="16.5" hidden="false" customHeight="true" outlineLevel="0" collapsed="false">
      <c r="A2137" s="747"/>
      <c r="B2137" s="798"/>
      <c r="D2137" s="798"/>
      <c r="E2137" s="798"/>
      <c r="F2137" s="798"/>
      <c r="G2137" s="798"/>
      <c r="J2137" s="778" t="str">
        <f aca="false">IF(I2137="","",H2137/I2137)</f>
        <v/>
      </c>
      <c r="K2137" s="798"/>
      <c r="P2137" s="798"/>
      <c r="Q2137" s="798"/>
      <c r="R2137" s="811"/>
    </row>
    <row r="2138" customFormat="false" ht="16.5" hidden="false" customHeight="true" outlineLevel="0" collapsed="false">
      <c r="A2138" s="747"/>
      <c r="B2138" s="798"/>
      <c r="D2138" s="798"/>
      <c r="E2138" s="798"/>
      <c r="F2138" s="798"/>
      <c r="G2138" s="798"/>
      <c r="J2138" s="778" t="str">
        <f aca="false">IF(I2138="","",H2138/I2138)</f>
        <v/>
      </c>
      <c r="K2138" s="798"/>
      <c r="P2138" s="798"/>
      <c r="Q2138" s="798"/>
      <c r="R2138" s="811"/>
    </row>
    <row r="2139" customFormat="false" ht="16.5" hidden="false" customHeight="true" outlineLevel="0" collapsed="false">
      <c r="A2139" s="747"/>
      <c r="B2139" s="798"/>
      <c r="D2139" s="798"/>
      <c r="E2139" s="798"/>
      <c r="F2139" s="798"/>
      <c r="G2139" s="798"/>
      <c r="J2139" s="778" t="str">
        <f aca="false">IF(I2139="","",H2139/I2139)</f>
        <v/>
      </c>
      <c r="K2139" s="798"/>
      <c r="P2139" s="798"/>
      <c r="Q2139" s="798"/>
      <c r="R2139" s="811"/>
    </row>
    <row r="2140" customFormat="false" ht="16.5" hidden="false" customHeight="true" outlineLevel="0" collapsed="false">
      <c r="A2140" s="747"/>
      <c r="B2140" s="798"/>
      <c r="D2140" s="798"/>
      <c r="E2140" s="798"/>
      <c r="F2140" s="798"/>
      <c r="G2140" s="798"/>
      <c r="J2140" s="778" t="str">
        <f aca="false">IF(I2140="","",H2140/I2140)</f>
        <v/>
      </c>
      <c r="K2140" s="798"/>
      <c r="P2140" s="798"/>
      <c r="Q2140" s="798"/>
      <c r="R2140" s="811"/>
    </row>
    <row r="2141" customFormat="false" ht="16.5" hidden="false" customHeight="true" outlineLevel="0" collapsed="false">
      <c r="A2141" s="747"/>
      <c r="B2141" s="798"/>
      <c r="D2141" s="798"/>
      <c r="E2141" s="798"/>
      <c r="F2141" s="798"/>
      <c r="G2141" s="798"/>
      <c r="J2141" s="778" t="str">
        <f aca="false">IF(I2141="","",H2141/I2141)</f>
        <v/>
      </c>
      <c r="K2141" s="798"/>
      <c r="P2141" s="798"/>
      <c r="Q2141" s="798"/>
      <c r="R2141" s="811"/>
    </row>
    <row r="2142" customFormat="false" ht="16.5" hidden="false" customHeight="true" outlineLevel="0" collapsed="false">
      <c r="A2142" s="747"/>
      <c r="B2142" s="798"/>
      <c r="D2142" s="798"/>
      <c r="E2142" s="798"/>
      <c r="F2142" s="798"/>
      <c r="G2142" s="798"/>
      <c r="J2142" s="778" t="str">
        <f aca="false">IF(I2142="","",H2142/I2142)</f>
        <v/>
      </c>
      <c r="K2142" s="798"/>
      <c r="P2142" s="798"/>
      <c r="Q2142" s="798"/>
      <c r="R2142" s="811"/>
    </row>
    <row r="2143" customFormat="false" ht="16.5" hidden="false" customHeight="true" outlineLevel="0" collapsed="false">
      <c r="A2143" s="747"/>
      <c r="B2143" s="798"/>
      <c r="D2143" s="798"/>
      <c r="E2143" s="798"/>
      <c r="F2143" s="798"/>
      <c r="G2143" s="798"/>
      <c r="J2143" s="778" t="str">
        <f aca="false">IF(I2143="","",H2143/I2143)</f>
        <v/>
      </c>
      <c r="K2143" s="798"/>
      <c r="P2143" s="798"/>
      <c r="Q2143" s="798"/>
      <c r="R2143" s="811"/>
    </row>
    <row r="2144" customFormat="false" ht="16.5" hidden="false" customHeight="true" outlineLevel="0" collapsed="false">
      <c r="A2144" s="747"/>
      <c r="B2144" s="798"/>
      <c r="D2144" s="798"/>
      <c r="E2144" s="798"/>
      <c r="F2144" s="798"/>
      <c r="G2144" s="798"/>
      <c r="J2144" s="778" t="str">
        <f aca="false">IF(I2144="","",H2144/I2144)</f>
        <v/>
      </c>
      <c r="K2144" s="798"/>
      <c r="P2144" s="798"/>
      <c r="Q2144" s="798"/>
      <c r="R2144" s="811"/>
    </row>
    <row r="2145" customFormat="false" ht="16.5" hidden="false" customHeight="true" outlineLevel="0" collapsed="false">
      <c r="A2145" s="747"/>
      <c r="B2145" s="798"/>
      <c r="D2145" s="798"/>
      <c r="E2145" s="798"/>
      <c r="F2145" s="798"/>
      <c r="G2145" s="798"/>
      <c r="J2145" s="778" t="str">
        <f aca="false">IF(I2145="","",H2145/I2145)</f>
        <v/>
      </c>
      <c r="K2145" s="798"/>
      <c r="P2145" s="798"/>
      <c r="Q2145" s="798"/>
      <c r="R2145" s="811"/>
    </row>
    <row r="2146" customFormat="false" ht="16.5" hidden="false" customHeight="true" outlineLevel="0" collapsed="false">
      <c r="A2146" s="747"/>
      <c r="B2146" s="798"/>
      <c r="D2146" s="798"/>
      <c r="E2146" s="798"/>
      <c r="F2146" s="798"/>
      <c r="G2146" s="798"/>
      <c r="J2146" s="778" t="str">
        <f aca="false">IF(I2146="","",H2146/I2146)</f>
        <v/>
      </c>
      <c r="K2146" s="798"/>
      <c r="P2146" s="798"/>
      <c r="Q2146" s="798"/>
      <c r="R2146" s="811"/>
    </row>
    <row r="2147" customFormat="false" ht="16.5" hidden="false" customHeight="true" outlineLevel="0" collapsed="false">
      <c r="A2147" s="747"/>
      <c r="B2147" s="798"/>
      <c r="D2147" s="798"/>
      <c r="E2147" s="798"/>
      <c r="F2147" s="798"/>
      <c r="G2147" s="798"/>
      <c r="J2147" s="778" t="str">
        <f aca="false">IF(I2147="","",H2147/I2147)</f>
        <v/>
      </c>
      <c r="K2147" s="798"/>
      <c r="P2147" s="798"/>
      <c r="Q2147" s="798"/>
      <c r="R2147" s="811"/>
    </row>
    <row r="2148" customFormat="false" ht="16.5" hidden="false" customHeight="true" outlineLevel="0" collapsed="false">
      <c r="A2148" s="747"/>
      <c r="B2148" s="798"/>
      <c r="D2148" s="798"/>
      <c r="E2148" s="798"/>
      <c r="F2148" s="798"/>
      <c r="G2148" s="798"/>
      <c r="J2148" s="778" t="str">
        <f aca="false">IF(I2148="","",H2148/I2148)</f>
        <v/>
      </c>
      <c r="K2148" s="798"/>
      <c r="P2148" s="798"/>
      <c r="Q2148" s="798"/>
      <c r="R2148" s="811"/>
    </row>
    <row r="2149" customFormat="false" ht="16.5" hidden="false" customHeight="true" outlineLevel="0" collapsed="false">
      <c r="A2149" s="747"/>
      <c r="B2149" s="798"/>
      <c r="D2149" s="798"/>
      <c r="E2149" s="798"/>
      <c r="F2149" s="798"/>
      <c r="G2149" s="798"/>
      <c r="J2149" s="778" t="str">
        <f aca="false">IF(I2149="","",H2149/I2149)</f>
        <v/>
      </c>
      <c r="K2149" s="798"/>
      <c r="P2149" s="798"/>
      <c r="Q2149" s="798"/>
      <c r="R2149" s="811"/>
    </row>
    <row r="2150" customFormat="false" ht="16.5" hidden="false" customHeight="true" outlineLevel="0" collapsed="false">
      <c r="A2150" s="747"/>
      <c r="B2150" s="798"/>
      <c r="D2150" s="798"/>
      <c r="E2150" s="798"/>
      <c r="F2150" s="798"/>
      <c r="G2150" s="798"/>
      <c r="J2150" s="778" t="str">
        <f aca="false">IF(I2150="","",H2150/I2150)</f>
        <v/>
      </c>
      <c r="K2150" s="798"/>
      <c r="P2150" s="798"/>
      <c r="Q2150" s="798"/>
      <c r="R2150" s="811"/>
    </row>
    <row r="2151" customFormat="false" ht="16.5" hidden="false" customHeight="true" outlineLevel="0" collapsed="false">
      <c r="A2151" s="747"/>
      <c r="B2151" s="798"/>
      <c r="D2151" s="798"/>
      <c r="E2151" s="798"/>
      <c r="F2151" s="798"/>
      <c r="G2151" s="798"/>
      <c r="J2151" s="778" t="str">
        <f aca="false">IF(I2151="","",H2151/I2151)</f>
        <v/>
      </c>
      <c r="K2151" s="798"/>
      <c r="P2151" s="798"/>
      <c r="Q2151" s="798"/>
      <c r="R2151" s="811"/>
    </row>
    <row r="2152" customFormat="false" ht="16.5" hidden="false" customHeight="true" outlineLevel="0" collapsed="false">
      <c r="A2152" s="747"/>
      <c r="B2152" s="798"/>
      <c r="D2152" s="798"/>
      <c r="E2152" s="798"/>
      <c r="F2152" s="798"/>
      <c r="G2152" s="798"/>
      <c r="J2152" s="778" t="str">
        <f aca="false">IF(I2152="","",H2152/I2152)</f>
        <v/>
      </c>
      <c r="K2152" s="798"/>
      <c r="P2152" s="798"/>
      <c r="Q2152" s="798"/>
      <c r="R2152" s="811"/>
    </row>
    <row r="2153" customFormat="false" ht="16.5" hidden="false" customHeight="true" outlineLevel="0" collapsed="false">
      <c r="A2153" s="747"/>
      <c r="B2153" s="798"/>
      <c r="D2153" s="798"/>
      <c r="E2153" s="798"/>
      <c r="F2153" s="798"/>
      <c r="G2153" s="798"/>
      <c r="J2153" s="778" t="str">
        <f aca="false">IF(I2153="","",H2153/I2153)</f>
        <v/>
      </c>
      <c r="K2153" s="798"/>
      <c r="P2153" s="798"/>
      <c r="Q2153" s="798"/>
      <c r="R2153" s="811"/>
    </row>
    <row r="2154" customFormat="false" ht="16.5" hidden="false" customHeight="true" outlineLevel="0" collapsed="false">
      <c r="A2154" s="747"/>
      <c r="B2154" s="798"/>
      <c r="D2154" s="798"/>
      <c r="E2154" s="798"/>
      <c r="F2154" s="798"/>
      <c r="G2154" s="798"/>
      <c r="J2154" s="778" t="str">
        <f aca="false">IF(I2154="","",H2154/I2154)</f>
        <v/>
      </c>
      <c r="K2154" s="798"/>
      <c r="P2154" s="798"/>
      <c r="Q2154" s="798"/>
      <c r="R2154" s="811"/>
    </row>
    <row r="2155" customFormat="false" ht="16.5" hidden="false" customHeight="true" outlineLevel="0" collapsed="false">
      <c r="A2155" s="747"/>
      <c r="B2155" s="798"/>
      <c r="D2155" s="798"/>
      <c r="E2155" s="798"/>
      <c r="F2155" s="798"/>
      <c r="G2155" s="798"/>
      <c r="J2155" s="778" t="str">
        <f aca="false">IF(I2155="","",H2155/I2155)</f>
        <v/>
      </c>
      <c r="K2155" s="798"/>
      <c r="P2155" s="798"/>
      <c r="Q2155" s="798"/>
      <c r="R2155" s="811"/>
    </row>
    <row r="2156" customFormat="false" ht="16.5" hidden="false" customHeight="true" outlineLevel="0" collapsed="false">
      <c r="A2156" s="747"/>
      <c r="B2156" s="798"/>
      <c r="D2156" s="798"/>
      <c r="E2156" s="798"/>
      <c r="F2156" s="798"/>
      <c r="G2156" s="798"/>
      <c r="J2156" s="778" t="str">
        <f aca="false">IF(I2156="","",H2156/I2156)</f>
        <v/>
      </c>
      <c r="K2156" s="798"/>
      <c r="P2156" s="798"/>
      <c r="Q2156" s="798"/>
      <c r="R2156" s="811"/>
    </row>
    <row r="2157" customFormat="false" ht="16.5" hidden="false" customHeight="true" outlineLevel="0" collapsed="false">
      <c r="A2157" s="747"/>
      <c r="B2157" s="798"/>
      <c r="D2157" s="798"/>
      <c r="E2157" s="798"/>
      <c r="F2157" s="798"/>
      <c r="G2157" s="798"/>
      <c r="J2157" s="778" t="str">
        <f aca="false">IF(I2157="","",H2157/I2157)</f>
        <v/>
      </c>
      <c r="K2157" s="798"/>
      <c r="P2157" s="798"/>
      <c r="Q2157" s="798"/>
      <c r="R2157" s="811"/>
    </row>
    <row r="2158" customFormat="false" ht="16.5" hidden="false" customHeight="true" outlineLevel="0" collapsed="false">
      <c r="A2158" s="747"/>
      <c r="B2158" s="798"/>
      <c r="D2158" s="798"/>
      <c r="E2158" s="798"/>
      <c r="F2158" s="798"/>
      <c r="G2158" s="798"/>
      <c r="J2158" s="778" t="str">
        <f aca="false">IF(I2158="","",H2158/I2158)</f>
        <v/>
      </c>
      <c r="K2158" s="798"/>
      <c r="P2158" s="798"/>
      <c r="Q2158" s="798"/>
      <c r="R2158" s="811"/>
    </row>
    <row r="2159" customFormat="false" ht="16.5" hidden="false" customHeight="true" outlineLevel="0" collapsed="false">
      <c r="A2159" s="747"/>
      <c r="B2159" s="798"/>
      <c r="D2159" s="798"/>
      <c r="E2159" s="798"/>
      <c r="F2159" s="798"/>
      <c r="G2159" s="798"/>
      <c r="J2159" s="778" t="str">
        <f aca="false">IF(I2159="","",H2159/I2159)</f>
        <v/>
      </c>
      <c r="K2159" s="798"/>
      <c r="P2159" s="798"/>
      <c r="Q2159" s="798"/>
      <c r="R2159" s="811"/>
    </row>
    <row r="2160" customFormat="false" ht="16.5" hidden="false" customHeight="true" outlineLevel="0" collapsed="false">
      <c r="A2160" s="747"/>
      <c r="B2160" s="798"/>
      <c r="D2160" s="798"/>
      <c r="E2160" s="798"/>
      <c r="F2160" s="798"/>
      <c r="G2160" s="798"/>
      <c r="J2160" s="778" t="str">
        <f aca="false">IF(I2160="","",H2160/I2160)</f>
        <v/>
      </c>
      <c r="K2160" s="798"/>
      <c r="P2160" s="798"/>
      <c r="Q2160" s="798"/>
      <c r="R2160" s="811"/>
    </row>
    <row r="2161" customFormat="false" ht="16.5" hidden="false" customHeight="true" outlineLevel="0" collapsed="false">
      <c r="A2161" s="747"/>
      <c r="B2161" s="798"/>
      <c r="D2161" s="798"/>
      <c r="E2161" s="798"/>
      <c r="F2161" s="798"/>
      <c r="G2161" s="798"/>
      <c r="J2161" s="778" t="str">
        <f aca="false">IF(I2161="","",H2161/I2161)</f>
        <v/>
      </c>
      <c r="K2161" s="798"/>
      <c r="P2161" s="798"/>
      <c r="Q2161" s="798"/>
      <c r="R2161" s="811"/>
    </row>
    <row r="2162" customFormat="false" ht="16.5" hidden="false" customHeight="true" outlineLevel="0" collapsed="false">
      <c r="A2162" s="747"/>
      <c r="B2162" s="798"/>
      <c r="D2162" s="798"/>
      <c r="E2162" s="798"/>
      <c r="F2162" s="798"/>
      <c r="G2162" s="798"/>
      <c r="J2162" s="778" t="str">
        <f aca="false">IF(I2162="","",H2162/I2162)</f>
        <v/>
      </c>
      <c r="K2162" s="798"/>
      <c r="P2162" s="798"/>
      <c r="Q2162" s="798"/>
      <c r="R2162" s="811"/>
    </row>
    <row r="2163" customFormat="false" ht="16.5" hidden="false" customHeight="true" outlineLevel="0" collapsed="false">
      <c r="A2163" s="747"/>
      <c r="B2163" s="798"/>
      <c r="D2163" s="798"/>
      <c r="E2163" s="798"/>
      <c r="F2163" s="798"/>
      <c r="G2163" s="798"/>
      <c r="J2163" s="778" t="str">
        <f aca="false">IF(I2163="","",H2163/I2163)</f>
        <v/>
      </c>
      <c r="K2163" s="798"/>
      <c r="P2163" s="798"/>
      <c r="Q2163" s="798"/>
      <c r="R2163" s="811"/>
    </row>
    <row r="2164" customFormat="false" ht="16.5" hidden="false" customHeight="true" outlineLevel="0" collapsed="false">
      <c r="A2164" s="747"/>
      <c r="B2164" s="798"/>
      <c r="D2164" s="798"/>
      <c r="E2164" s="798"/>
      <c r="F2164" s="798"/>
      <c r="G2164" s="798"/>
      <c r="J2164" s="778" t="str">
        <f aca="false">IF(I2164="","",H2164/I2164)</f>
        <v/>
      </c>
      <c r="K2164" s="798"/>
      <c r="P2164" s="798"/>
      <c r="Q2164" s="798"/>
      <c r="R2164" s="811"/>
    </row>
    <row r="2165" customFormat="false" ht="16.5" hidden="false" customHeight="true" outlineLevel="0" collapsed="false">
      <c r="A2165" s="747"/>
      <c r="B2165" s="798"/>
      <c r="D2165" s="798"/>
      <c r="E2165" s="798"/>
      <c r="F2165" s="798"/>
      <c r="G2165" s="798"/>
      <c r="J2165" s="778" t="str">
        <f aca="false">IF(I2165="","",H2165/I2165)</f>
        <v/>
      </c>
      <c r="K2165" s="798"/>
      <c r="P2165" s="798"/>
      <c r="Q2165" s="798"/>
      <c r="R2165" s="811"/>
    </row>
    <row r="2166" customFormat="false" ht="16.5" hidden="false" customHeight="true" outlineLevel="0" collapsed="false">
      <c r="A2166" s="747"/>
      <c r="B2166" s="798"/>
      <c r="D2166" s="798"/>
      <c r="E2166" s="798"/>
      <c r="F2166" s="798"/>
      <c r="G2166" s="798"/>
      <c r="J2166" s="778" t="str">
        <f aca="false">IF(I2166="","",H2166/I2166)</f>
        <v/>
      </c>
      <c r="K2166" s="798"/>
      <c r="P2166" s="798"/>
      <c r="Q2166" s="798"/>
      <c r="R2166" s="811"/>
    </row>
    <row r="2167" customFormat="false" ht="16.5" hidden="false" customHeight="true" outlineLevel="0" collapsed="false">
      <c r="A2167" s="747"/>
      <c r="B2167" s="798"/>
      <c r="D2167" s="798"/>
      <c r="E2167" s="798"/>
      <c r="F2167" s="798"/>
      <c r="G2167" s="798"/>
      <c r="J2167" s="778" t="str">
        <f aca="false">IF(I2167="","",H2167/I2167)</f>
        <v/>
      </c>
      <c r="K2167" s="798"/>
      <c r="P2167" s="798"/>
      <c r="Q2167" s="798"/>
      <c r="R2167" s="811"/>
    </row>
    <row r="2168" customFormat="false" ht="16.5" hidden="false" customHeight="true" outlineLevel="0" collapsed="false">
      <c r="A2168" s="747"/>
      <c r="B2168" s="798"/>
      <c r="D2168" s="798"/>
      <c r="E2168" s="798"/>
      <c r="F2168" s="798"/>
      <c r="G2168" s="798"/>
      <c r="J2168" s="778" t="str">
        <f aca="false">IF(I2168="","",H2168/I2168)</f>
        <v/>
      </c>
      <c r="K2168" s="798"/>
      <c r="P2168" s="798"/>
      <c r="Q2168" s="798"/>
      <c r="R2168" s="811"/>
    </row>
    <row r="2169" customFormat="false" ht="16.5" hidden="false" customHeight="true" outlineLevel="0" collapsed="false">
      <c r="A2169" s="747"/>
      <c r="B2169" s="798"/>
      <c r="D2169" s="798"/>
      <c r="E2169" s="798"/>
      <c r="F2169" s="798"/>
      <c r="G2169" s="798"/>
      <c r="J2169" s="778" t="str">
        <f aca="false">IF(I2169="","",H2169/I2169)</f>
        <v/>
      </c>
      <c r="K2169" s="798"/>
      <c r="P2169" s="798"/>
      <c r="Q2169" s="798"/>
      <c r="R2169" s="811"/>
    </row>
    <row r="2170" customFormat="false" ht="16.5" hidden="false" customHeight="true" outlineLevel="0" collapsed="false">
      <c r="A2170" s="747"/>
      <c r="B2170" s="798"/>
      <c r="D2170" s="798"/>
      <c r="E2170" s="798"/>
      <c r="F2170" s="798"/>
      <c r="G2170" s="798"/>
      <c r="J2170" s="778" t="str">
        <f aca="false">IF(I2170="","",H2170/I2170)</f>
        <v/>
      </c>
      <c r="K2170" s="798"/>
      <c r="P2170" s="798"/>
      <c r="Q2170" s="798"/>
      <c r="R2170" s="811"/>
    </row>
    <row r="2171" customFormat="false" ht="16.5" hidden="false" customHeight="true" outlineLevel="0" collapsed="false">
      <c r="A2171" s="747"/>
      <c r="B2171" s="798"/>
      <c r="D2171" s="798"/>
      <c r="E2171" s="798"/>
      <c r="F2171" s="798"/>
      <c r="G2171" s="798"/>
      <c r="J2171" s="778" t="str">
        <f aca="false">IF(I2171="","",H2171/I2171)</f>
        <v/>
      </c>
      <c r="K2171" s="798"/>
      <c r="P2171" s="798"/>
      <c r="Q2171" s="798"/>
      <c r="R2171" s="811"/>
    </row>
    <row r="2172" customFormat="false" ht="16.5" hidden="false" customHeight="true" outlineLevel="0" collapsed="false">
      <c r="A2172" s="747"/>
      <c r="B2172" s="798"/>
      <c r="D2172" s="798"/>
      <c r="E2172" s="798"/>
      <c r="F2172" s="798"/>
      <c r="G2172" s="798"/>
      <c r="J2172" s="778" t="str">
        <f aca="false">IF(I2172="","",H2172/I2172)</f>
        <v/>
      </c>
      <c r="K2172" s="798"/>
      <c r="P2172" s="798"/>
      <c r="Q2172" s="798"/>
      <c r="R2172" s="811"/>
    </row>
    <row r="2173" customFormat="false" ht="16.5" hidden="false" customHeight="true" outlineLevel="0" collapsed="false">
      <c r="A2173" s="747"/>
      <c r="B2173" s="798"/>
      <c r="D2173" s="798"/>
      <c r="E2173" s="798"/>
      <c r="F2173" s="798"/>
      <c r="G2173" s="798"/>
      <c r="J2173" s="778" t="str">
        <f aca="false">IF(I2173="","",H2173/I2173)</f>
        <v/>
      </c>
      <c r="K2173" s="798"/>
      <c r="P2173" s="798"/>
      <c r="Q2173" s="798"/>
      <c r="R2173" s="811"/>
    </row>
    <row r="2174" customFormat="false" ht="16.5" hidden="false" customHeight="true" outlineLevel="0" collapsed="false">
      <c r="A2174" s="747"/>
      <c r="B2174" s="798"/>
      <c r="D2174" s="798"/>
      <c r="E2174" s="798"/>
      <c r="F2174" s="798"/>
      <c r="G2174" s="798"/>
      <c r="J2174" s="778" t="str">
        <f aca="false">IF(I2174="","",H2174/I2174)</f>
        <v/>
      </c>
      <c r="K2174" s="798"/>
      <c r="P2174" s="798"/>
      <c r="Q2174" s="798"/>
      <c r="R2174" s="811"/>
    </row>
    <row r="2175" customFormat="false" ht="16.5" hidden="false" customHeight="true" outlineLevel="0" collapsed="false">
      <c r="A2175" s="747"/>
      <c r="B2175" s="798"/>
      <c r="D2175" s="798"/>
      <c r="E2175" s="798"/>
      <c r="F2175" s="798"/>
      <c r="G2175" s="798"/>
      <c r="J2175" s="778" t="str">
        <f aca="false">IF(I2175="","",H2175/I2175)</f>
        <v/>
      </c>
      <c r="K2175" s="798"/>
      <c r="P2175" s="798"/>
      <c r="Q2175" s="798"/>
      <c r="R2175" s="811"/>
    </row>
    <row r="2176" customFormat="false" ht="16.5" hidden="false" customHeight="true" outlineLevel="0" collapsed="false">
      <c r="A2176" s="747"/>
      <c r="B2176" s="798"/>
      <c r="D2176" s="798"/>
      <c r="E2176" s="798"/>
      <c r="F2176" s="798"/>
      <c r="G2176" s="798"/>
      <c r="J2176" s="778" t="str">
        <f aca="false">IF(I2176="","",H2176/I2176)</f>
        <v/>
      </c>
      <c r="K2176" s="798"/>
      <c r="P2176" s="798"/>
      <c r="Q2176" s="798"/>
      <c r="R2176" s="811"/>
    </row>
    <row r="2177" customFormat="false" ht="16.5" hidden="false" customHeight="true" outlineLevel="0" collapsed="false">
      <c r="A2177" s="747"/>
      <c r="B2177" s="798"/>
      <c r="D2177" s="798"/>
      <c r="E2177" s="798"/>
      <c r="F2177" s="798"/>
      <c r="G2177" s="798"/>
      <c r="J2177" s="778" t="str">
        <f aca="false">IF(I2177="","",H2177/I2177)</f>
        <v/>
      </c>
      <c r="K2177" s="798"/>
      <c r="P2177" s="798"/>
      <c r="Q2177" s="798"/>
      <c r="R2177" s="811"/>
    </row>
    <row r="2178" customFormat="false" ht="16.5" hidden="false" customHeight="true" outlineLevel="0" collapsed="false">
      <c r="A2178" s="747"/>
      <c r="B2178" s="798"/>
      <c r="D2178" s="798"/>
      <c r="E2178" s="798"/>
      <c r="F2178" s="798"/>
      <c r="G2178" s="798"/>
      <c r="J2178" s="778" t="str">
        <f aca="false">IF(I2178="","",H2178/I2178)</f>
        <v/>
      </c>
      <c r="K2178" s="798"/>
      <c r="P2178" s="798"/>
      <c r="Q2178" s="798"/>
      <c r="R2178" s="811"/>
    </row>
    <row r="2179" customFormat="false" ht="16.5" hidden="false" customHeight="true" outlineLevel="0" collapsed="false">
      <c r="A2179" s="747"/>
      <c r="B2179" s="798"/>
      <c r="D2179" s="798"/>
      <c r="E2179" s="798"/>
      <c r="F2179" s="798"/>
      <c r="G2179" s="798"/>
      <c r="J2179" s="778" t="str">
        <f aca="false">IF(I2179="","",H2179/I2179)</f>
        <v/>
      </c>
      <c r="K2179" s="798"/>
      <c r="P2179" s="798"/>
      <c r="Q2179" s="798"/>
      <c r="R2179" s="811"/>
    </row>
    <row r="2180" customFormat="false" ht="16.5" hidden="false" customHeight="true" outlineLevel="0" collapsed="false">
      <c r="A2180" s="747"/>
      <c r="B2180" s="798"/>
      <c r="D2180" s="798"/>
      <c r="E2180" s="798"/>
      <c r="F2180" s="798"/>
      <c r="G2180" s="798"/>
      <c r="J2180" s="778" t="str">
        <f aca="false">IF(I2180="","",H2180/I2180)</f>
        <v/>
      </c>
      <c r="K2180" s="798"/>
      <c r="P2180" s="798"/>
      <c r="Q2180" s="798"/>
      <c r="R2180" s="811"/>
    </row>
    <row r="2181" customFormat="false" ht="16.5" hidden="false" customHeight="true" outlineLevel="0" collapsed="false">
      <c r="A2181" s="747"/>
      <c r="B2181" s="798"/>
      <c r="D2181" s="798"/>
      <c r="E2181" s="798"/>
      <c r="F2181" s="798"/>
      <c r="G2181" s="798"/>
      <c r="J2181" s="778" t="str">
        <f aca="false">IF(I2181="","",H2181/I2181)</f>
        <v/>
      </c>
      <c r="K2181" s="798"/>
      <c r="P2181" s="798"/>
      <c r="Q2181" s="798"/>
      <c r="R2181" s="811"/>
    </row>
    <row r="2182" customFormat="false" ht="16.5" hidden="false" customHeight="true" outlineLevel="0" collapsed="false">
      <c r="A2182" s="747"/>
      <c r="B2182" s="798"/>
      <c r="D2182" s="798"/>
      <c r="E2182" s="798"/>
      <c r="F2182" s="798"/>
      <c r="G2182" s="798"/>
      <c r="J2182" s="778" t="str">
        <f aca="false">IF(I2182="","",H2182/I2182)</f>
        <v/>
      </c>
      <c r="K2182" s="798"/>
      <c r="P2182" s="798"/>
      <c r="Q2182" s="798"/>
      <c r="R2182" s="811"/>
    </row>
    <row r="2183" customFormat="false" ht="16.5" hidden="false" customHeight="true" outlineLevel="0" collapsed="false">
      <c r="A2183" s="747"/>
      <c r="B2183" s="798"/>
      <c r="D2183" s="798"/>
      <c r="E2183" s="798"/>
      <c r="F2183" s="798"/>
      <c r="G2183" s="798"/>
      <c r="J2183" s="778" t="str">
        <f aca="false">IF(I2183="","",H2183/I2183)</f>
        <v/>
      </c>
      <c r="K2183" s="798"/>
      <c r="P2183" s="798"/>
      <c r="Q2183" s="798"/>
      <c r="R2183" s="811"/>
    </row>
    <row r="2184" customFormat="false" ht="16.5" hidden="false" customHeight="true" outlineLevel="0" collapsed="false">
      <c r="A2184" s="747"/>
      <c r="B2184" s="798"/>
      <c r="D2184" s="798"/>
      <c r="E2184" s="798"/>
      <c r="F2184" s="798"/>
      <c r="G2184" s="798"/>
      <c r="J2184" s="778" t="str">
        <f aca="false">IF(I2184="","",H2184/I2184)</f>
        <v/>
      </c>
      <c r="K2184" s="798"/>
      <c r="P2184" s="798"/>
      <c r="Q2184" s="798"/>
      <c r="R2184" s="811"/>
    </row>
    <row r="2185" customFormat="false" ht="16.5" hidden="false" customHeight="true" outlineLevel="0" collapsed="false">
      <c r="A2185" s="747"/>
      <c r="B2185" s="798"/>
      <c r="D2185" s="798"/>
      <c r="E2185" s="798"/>
      <c r="F2185" s="798"/>
      <c r="G2185" s="798"/>
      <c r="J2185" s="778" t="str">
        <f aca="false">IF(I2185="","",H2185/I2185)</f>
        <v/>
      </c>
      <c r="K2185" s="798"/>
      <c r="P2185" s="798"/>
      <c r="Q2185" s="798"/>
      <c r="R2185" s="811"/>
    </row>
    <row r="2186" customFormat="false" ht="16.5" hidden="false" customHeight="true" outlineLevel="0" collapsed="false">
      <c r="A2186" s="747"/>
      <c r="B2186" s="798"/>
      <c r="D2186" s="798"/>
      <c r="E2186" s="798"/>
      <c r="F2186" s="798"/>
      <c r="G2186" s="798"/>
      <c r="J2186" s="778" t="str">
        <f aca="false">IF(I2186="","",H2186/I2186)</f>
        <v/>
      </c>
      <c r="K2186" s="798"/>
      <c r="P2186" s="798"/>
      <c r="Q2186" s="798"/>
      <c r="R2186" s="811"/>
    </row>
    <row r="2187" customFormat="false" ht="16.5" hidden="false" customHeight="true" outlineLevel="0" collapsed="false">
      <c r="A2187" s="747"/>
      <c r="B2187" s="798"/>
      <c r="D2187" s="798"/>
      <c r="E2187" s="798"/>
      <c r="F2187" s="798"/>
      <c r="G2187" s="798"/>
      <c r="J2187" s="778" t="str">
        <f aca="false">IF(I2187="","",H2187/I2187)</f>
        <v/>
      </c>
      <c r="K2187" s="798"/>
      <c r="P2187" s="798"/>
      <c r="Q2187" s="798"/>
      <c r="R2187" s="811"/>
    </row>
    <row r="2188" customFormat="false" ht="16.5" hidden="false" customHeight="true" outlineLevel="0" collapsed="false">
      <c r="A2188" s="747"/>
      <c r="B2188" s="798"/>
      <c r="D2188" s="798"/>
      <c r="E2188" s="798"/>
      <c r="F2188" s="798"/>
      <c r="G2188" s="798"/>
      <c r="J2188" s="778" t="str">
        <f aca="false">IF(I2188="","",H2188/I2188)</f>
        <v/>
      </c>
      <c r="K2188" s="798"/>
      <c r="P2188" s="798"/>
      <c r="Q2188" s="798"/>
      <c r="R2188" s="811"/>
    </row>
    <row r="2189" customFormat="false" ht="16.5" hidden="false" customHeight="true" outlineLevel="0" collapsed="false">
      <c r="A2189" s="747"/>
      <c r="B2189" s="798"/>
      <c r="D2189" s="798"/>
      <c r="E2189" s="798"/>
      <c r="F2189" s="798"/>
      <c r="G2189" s="798"/>
      <c r="J2189" s="778" t="str">
        <f aca="false">IF(I2189="","",H2189/I2189)</f>
        <v/>
      </c>
      <c r="K2189" s="798"/>
      <c r="P2189" s="798"/>
      <c r="Q2189" s="798"/>
      <c r="R2189" s="811"/>
    </row>
    <row r="2190" customFormat="false" ht="16.5" hidden="false" customHeight="true" outlineLevel="0" collapsed="false">
      <c r="A2190" s="747"/>
      <c r="B2190" s="798"/>
      <c r="D2190" s="798"/>
      <c r="E2190" s="798"/>
      <c r="F2190" s="798"/>
      <c r="G2190" s="798"/>
      <c r="J2190" s="778" t="str">
        <f aca="false">IF(I2190="","",H2190/I2190)</f>
        <v/>
      </c>
      <c r="K2190" s="798"/>
      <c r="P2190" s="798"/>
      <c r="Q2190" s="798"/>
      <c r="R2190" s="811"/>
    </row>
    <row r="2191" customFormat="false" ht="16.5" hidden="false" customHeight="true" outlineLevel="0" collapsed="false">
      <c r="A2191" s="747"/>
      <c r="B2191" s="798"/>
      <c r="D2191" s="798"/>
      <c r="E2191" s="798"/>
      <c r="F2191" s="798"/>
      <c r="G2191" s="798"/>
      <c r="J2191" s="778" t="str">
        <f aca="false">IF(I2191="","",H2191/I2191)</f>
        <v/>
      </c>
      <c r="K2191" s="798"/>
      <c r="P2191" s="798"/>
      <c r="Q2191" s="798"/>
      <c r="R2191" s="811"/>
    </row>
    <row r="2192" customFormat="false" ht="16.5" hidden="false" customHeight="true" outlineLevel="0" collapsed="false">
      <c r="A2192" s="747"/>
      <c r="B2192" s="798"/>
      <c r="D2192" s="798"/>
      <c r="E2192" s="798"/>
      <c r="F2192" s="798"/>
      <c r="G2192" s="798"/>
      <c r="J2192" s="778" t="str">
        <f aca="false">IF(I2192="","",H2192/I2192)</f>
        <v/>
      </c>
      <c r="K2192" s="798"/>
      <c r="P2192" s="798"/>
      <c r="Q2192" s="798"/>
      <c r="R2192" s="811"/>
    </row>
    <row r="2193" customFormat="false" ht="16.5" hidden="false" customHeight="true" outlineLevel="0" collapsed="false">
      <c r="A2193" s="747"/>
      <c r="B2193" s="798"/>
      <c r="D2193" s="798"/>
      <c r="E2193" s="798"/>
      <c r="F2193" s="798"/>
      <c r="G2193" s="798"/>
      <c r="J2193" s="778" t="str">
        <f aca="false">IF(I2193="","",H2193/I2193)</f>
        <v/>
      </c>
      <c r="K2193" s="798"/>
      <c r="P2193" s="798"/>
      <c r="Q2193" s="798"/>
      <c r="R2193" s="811"/>
    </row>
    <row r="2194" customFormat="false" ht="16.5" hidden="false" customHeight="true" outlineLevel="0" collapsed="false">
      <c r="A2194" s="747"/>
      <c r="B2194" s="798"/>
      <c r="D2194" s="798"/>
      <c r="E2194" s="798"/>
      <c r="F2194" s="798"/>
      <c r="G2194" s="798"/>
      <c r="J2194" s="778" t="str">
        <f aca="false">IF(I2194="","",H2194/I2194)</f>
        <v/>
      </c>
      <c r="K2194" s="798"/>
      <c r="P2194" s="798"/>
      <c r="Q2194" s="798"/>
      <c r="R2194" s="811"/>
    </row>
    <row r="2195" customFormat="false" ht="16.5" hidden="false" customHeight="true" outlineLevel="0" collapsed="false">
      <c r="A2195" s="747"/>
      <c r="B2195" s="798"/>
      <c r="D2195" s="798"/>
      <c r="E2195" s="798"/>
      <c r="F2195" s="798"/>
      <c r="G2195" s="798"/>
      <c r="J2195" s="778" t="str">
        <f aca="false">IF(I2195="","",H2195/I2195)</f>
        <v/>
      </c>
      <c r="K2195" s="798"/>
      <c r="P2195" s="798"/>
      <c r="Q2195" s="798"/>
      <c r="R2195" s="811"/>
    </row>
    <row r="2196" customFormat="false" ht="16.5" hidden="false" customHeight="true" outlineLevel="0" collapsed="false">
      <c r="A2196" s="747"/>
      <c r="B2196" s="798"/>
      <c r="D2196" s="798"/>
      <c r="E2196" s="798"/>
      <c r="F2196" s="798"/>
      <c r="G2196" s="798"/>
      <c r="J2196" s="778" t="str">
        <f aca="false">IF(I2196="","",H2196/I2196)</f>
        <v/>
      </c>
      <c r="K2196" s="798"/>
      <c r="P2196" s="798"/>
      <c r="Q2196" s="798"/>
      <c r="R2196" s="811"/>
    </row>
    <row r="2197" customFormat="false" ht="16.5" hidden="false" customHeight="true" outlineLevel="0" collapsed="false">
      <c r="A2197" s="747"/>
      <c r="B2197" s="798"/>
      <c r="D2197" s="798"/>
      <c r="E2197" s="798"/>
      <c r="F2197" s="798"/>
      <c r="G2197" s="798"/>
      <c r="J2197" s="778" t="str">
        <f aca="false">IF(I2197="","",H2197/I2197)</f>
        <v/>
      </c>
      <c r="K2197" s="798"/>
      <c r="P2197" s="798"/>
      <c r="Q2197" s="798"/>
      <c r="R2197" s="811"/>
    </row>
    <row r="2198" customFormat="false" ht="16.5" hidden="false" customHeight="true" outlineLevel="0" collapsed="false">
      <c r="A2198" s="747"/>
      <c r="B2198" s="798"/>
      <c r="D2198" s="798"/>
      <c r="E2198" s="798"/>
      <c r="F2198" s="798"/>
      <c r="G2198" s="798"/>
      <c r="J2198" s="778" t="str">
        <f aca="false">IF(I2198="","",H2198/I2198)</f>
        <v/>
      </c>
      <c r="K2198" s="798"/>
      <c r="P2198" s="798"/>
      <c r="Q2198" s="798"/>
      <c r="R2198" s="811"/>
    </row>
    <row r="2199" customFormat="false" ht="16.5" hidden="false" customHeight="true" outlineLevel="0" collapsed="false">
      <c r="A2199" s="747"/>
      <c r="B2199" s="798"/>
      <c r="D2199" s="798"/>
      <c r="E2199" s="798"/>
      <c r="F2199" s="798"/>
      <c r="G2199" s="798"/>
      <c r="J2199" s="778" t="str">
        <f aca="false">IF(I2199="","",H2199/I2199)</f>
        <v/>
      </c>
      <c r="K2199" s="798"/>
      <c r="P2199" s="798"/>
      <c r="Q2199" s="798"/>
      <c r="R2199" s="811"/>
    </row>
    <row r="2200" customFormat="false" ht="16.5" hidden="false" customHeight="true" outlineLevel="0" collapsed="false">
      <c r="A2200" s="747"/>
      <c r="B2200" s="798"/>
      <c r="D2200" s="798"/>
      <c r="E2200" s="798"/>
      <c r="F2200" s="798"/>
      <c r="G2200" s="798"/>
      <c r="J2200" s="778" t="str">
        <f aca="false">IF(I2200="","",H2200/I2200)</f>
        <v/>
      </c>
      <c r="K2200" s="798"/>
      <c r="P2200" s="798"/>
      <c r="Q2200" s="798"/>
      <c r="R2200" s="811"/>
    </row>
    <row r="2201" customFormat="false" ht="16.5" hidden="false" customHeight="true" outlineLevel="0" collapsed="false">
      <c r="A2201" s="747"/>
      <c r="B2201" s="798"/>
      <c r="D2201" s="798"/>
      <c r="E2201" s="798"/>
      <c r="F2201" s="798"/>
      <c r="G2201" s="798"/>
      <c r="J2201" s="778" t="str">
        <f aca="false">IF(I2201="","",H2201/I2201)</f>
        <v/>
      </c>
      <c r="K2201" s="798"/>
      <c r="P2201" s="798"/>
      <c r="Q2201" s="798"/>
      <c r="R2201" s="811"/>
    </row>
    <row r="2202" customFormat="false" ht="16.5" hidden="false" customHeight="true" outlineLevel="0" collapsed="false">
      <c r="A2202" s="747"/>
      <c r="B2202" s="798"/>
      <c r="D2202" s="798"/>
      <c r="E2202" s="798"/>
      <c r="F2202" s="798"/>
      <c r="G2202" s="798"/>
      <c r="J2202" s="778" t="str">
        <f aca="false">IF(I2202="","",H2202/I2202)</f>
        <v/>
      </c>
      <c r="K2202" s="798"/>
      <c r="P2202" s="798"/>
      <c r="Q2202" s="798"/>
      <c r="R2202" s="811"/>
    </row>
    <row r="2203" customFormat="false" ht="16.5" hidden="false" customHeight="true" outlineLevel="0" collapsed="false">
      <c r="A2203" s="747"/>
      <c r="B2203" s="798"/>
      <c r="D2203" s="798"/>
      <c r="E2203" s="798"/>
      <c r="F2203" s="798"/>
      <c r="G2203" s="798"/>
      <c r="J2203" s="778" t="str">
        <f aca="false">IF(I2203="","",H2203/I2203)</f>
        <v/>
      </c>
      <c r="K2203" s="798"/>
      <c r="P2203" s="798"/>
      <c r="Q2203" s="798"/>
      <c r="R2203" s="811"/>
    </row>
    <row r="2204" customFormat="false" ht="16.5" hidden="false" customHeight="true" outlineLevel="0" collapsed="false">
      <c r="A2204" s="747"/>
      <c r="B2204" s="798"/>
      <c r="D2204" s="798"/>
      <c r="E2204" s="798"/>
      <c r="F2204" s="798"/>
      <c r="G2204" s="798"/>
      <c r="J2204" s="778" t="str">
        <f aca="false">IF(I2204="","",H2204/I2204)</f>
        <v/>
      </c>
      <c r="K2204" s="798"/>
      <c r="P2204" s="798"/>
      <c r="Q2204" s="798"/>
      <c r="R2204" s="811"/>
    </row>
    <row r="2205" customFormat="false" ht="16.5" hidden="false" customHeight="true" outlineLevel="0" collapsed="false">
      <c r="A2205" s="747"/>
      <c r="B2205" s="798"/>
      <c r="D2205" s="798"/>
      <c r="E2205" s="798"/>
      <c r="F2205" s="798"/>
      <c r="G2205" s="798"/>
      <c r="J2205" s="778" t="str">
        <f aca="false">IF(I2205="","",H2205/I2205)</f>
        <v/>
      </c>
      <c r="K2205" s="798"/>
      <c r="P2205" s="798"/>
      <c r="Q2205" s="798"/>
      <c r="R2205" s="811"/>
    </row>
    <row r="2206" customFormat="false" ht="16.5" hidden="false" customHeight="true" outlineLevel="0" collapsed="false">
      <c r="A2206" s="747"/>
      <c r="B2206" s="798"/>
      <c r="D2206" s="798"/>
      <c r="E2206" s="798"/>
      <c r="F2206" s="798"/>
      <c r="G2206" s="798"/>
      <c r="J2206" s="778" t="str">
        <f aca="false">IF(I2206="","",H2206/I2206)</f>
        <v/>
      </c>
      <c r="K2206" s="798"/>
      <c r="P2206" s="798"/>
      <c r="Q2206" s="798"/>
      <c r="R2206" s="811"/>
    </row>
    <row r="2207" customFormat="false" ht="16.5" hidden="false" customHeight="true" outlineLevel="0" collapsed="false">
      <c r="A2207" s="747"/>
      <c r="B2207" s="798"/>
      <c r="D2207" s="798"/>
      <c r="E2207" s="798"/>
      <c r="F2207" s="798"/>
      <c r="G2207" s="798"/>
      <c r="J2207" s="778" t="str">
        <f aca="false">IF(I2207="","",H2207/I2207)</f>
        <v/>
      </c>
      <c r="K2207" s="798"/>
      <c r="P2207" s="798"/>
      <c r="Q2207" s="798"/>
      <c r="R2207" s="811"/>
    </row>
    <row r="2208" customFormat="false" ht="16.5" hidden="false" customHeight="true" outlineLevel="0" collapsed="false">
      <c r="A2208" s="747"/>
      <c r="B2208" s="798"/>
      <c r="D2208" s="798"/>
      <c r="E2208" s="798"/>
      <c r="F2208" s="798"/>
      <c r="G2208" s="798"/>
      <c r="J2208" s="778" t="str">
        <f aca="false">IF(I2208="","",H2208/I2208)</f>
        <v/>
      </c>
      <c r="K2208" s="798"/>
      <c r="P2208" s="798"/>
      <c r="Q2208" s="798"/>
      <c r="R2208" s="811"/>
    </row>
    <row r="2209" customFormat="false" ht="16.5" hidden="false" customHeight="true" outlineLevel="0" collapsed="false">
      <c r="A2209" s="747"/>
      <c r="B2209" s="798"/>
      <c r="D2209" s="798"/>
      <c r="E2209" s="798"/>
      <c r="F2209" s="798"/>
      <c r="G2209" s="798"/>
      <c r="J2209" s="778" t="str">
        <f aca="false">IF(I2209="","",H2209/I2209)</f>
        <v/>
      </c>
      <c r="K2209" s="798"/>
      <c r="P2209" s="798"/>
      <c r="Q2209" s="798"/>
      <c r="R2209" s="811"/>
    </row>
    <row r="2210" customFormat="false" ht="16.5" hidden="false" customHeight="true" outlineLevel="0" collapsed="false">
      <c r="A2210" s="747"/>
      <c r="B2210" s="798"/>
      <c r="D2210" s="798"/>
      <c r="E2210" s="798"/>
      <c r="F2210" s="798"/>
      <c r="G2210" s="798"/>
      <c r="J2210" s="778" t="str">
        <f aca="false">IF(I2210="","",H2210/I2210)</f>
        <v/>
      </c>
      <c r="K2210" s="798"/>
      <c r="P2210" s="798"/>
      <c r="Q2210" s="798"/>
      <c r="R2210" s="811"/>
    </row>
    <row r="2211" customFormat="false" ht="16.5" hidden="false" customHeight="true" outlineLevel="0" collapsed="false">
      <c r="A2211" s="747"/>
      <c r="B2211" s="798"/>
      <c r="D2211" s="798"/>
      <c r="E2211" s="798"/>
      <c r="F2211" s="798"/>
      <c r="G2211" s="798"/>
      <c r="J2211" s="778" t="str">
        <f aca="false">IF(I2211="","",H2211/I2211)</f>
        <v/>
      </c>
      <c r="K2211" s="798"/>
      <c r="P2211" s="798"/>
      <c r="Q2211" s="798"/>
      <c r="R2211" s="811"/>
    </row>
    <row r="2212" customFormat="false" ht="16.5" hidden="false" customHeight="true" outlineLevel="0" collapsed="false">
      <c r="A2212" s="747"/>
      <c r="B2212" s="798"/>
      <c r="D2212" s="798"/>
      <c r="E2212" s="798"/>
      <c r="F2212" s="798"/>
      <c r="G2212" s="798"/>
      <c r="J2212" s="778" t="str">
        <f aca="false">IF(I2212="","",H2212/I2212)</f>
        <v/>
      </c>
      <c r="K2212" s="798"/>
      <c r="P2212" s="798"/>
      <c r="Q2212" s="798"/>
      <c r="R2212" s="811"/>
    </row>
    <row r="2213" customFormat="false" ht="16.5" hidden="false" customHeight="true" outlineLevel="0" collapsed="false">
      <c r="A2213" s="747"/>
      <c r="B2213" s="798"/>
      <c r="D2213" s="798"/>
      <c r="E2213" s="798"/>
      <c r="F2213" s="798"/>
      <c r="G2213" s="798"/>
      <c r="J2213" s="778" t="str">
        <f aca="false">IF(I2213="","",H2213/I2213)</f>
        <v/>
      </c>
      <c r="K2213" s="798"/>
      <c r="P2213" s="798"/>
      <c r="Q2213" s="798"/>
      <c r="R2213" s="811"/>
    </row>
    <row r="2214" customFormat="false" ht="16.5" hidden="false" customHeight="true" outlineLevel="0" collapsed="false">
      <c r="A2214" s="747"/>
      <c r="B2214" s="798"/>
      <c r="D2214" s="798"/>
      <c r="E2214" s="798"/>
      <c r="F2214" s="798"/>
      <c r="G2214" s="798"/>
      <c r="J2214" s="778" t="str">
        <f aca="false">IF(I2214="","",H2214/I2214)</f>
        <v/>
      </c>
      <c r="K2214" s="798"/>
      <c r="P2214" s="798"/>
      <c r="Q2214" s="798"/>
      <c r="R2214" s="811"/>
    </row>
    <row r="2215" customFormat="false" ht="16.5" hidden="false" customHeight="true" outlineLevel="0" collapsed="false">
      <c r="A2215" s="747"/>
      <c r="B2215" s="798"/>
      <c r="D2215" s="798"/>
      <c r="E2215" s="798"/>
      <c r="F2215" s="798"/>
      <c r="G2215" s="798"/>
      <c r="J2215" s="778" t="str">
        <f aca="false">IF(I2215="","",H2215/I2215)</f>
        <v/>
      </c>
      <c r="K2215" s="798"/>
      <c r="P2215" s="798"/>
      <c r="Q2215" s="798"/>
      <c r="R2215" s="811"/>
    </row>
    <row r="2216" customFormat="false" ht="16.5" hidden="false" customHeight="true" outlineLevel="0" collapsed="false">
      <c r="A2216" s="747"/>
      <c r="B2216" s="798"/>
      <c r="D2216" s="798"/>
      <c r="E2216" s="798"/>
      <c r="F2216" s="798"/>
      <c r="G2216" s="798"/>
      <c r="J2216" s="778" t="str">
        <f aca="false">IF(I2216="","",H2216/I2216)</f>
        <v/>
      </c>
      <c r="K2216" s="798"/>
      <c r="P2216" s="798"/>
      <c r="Q2216" s="798"/>
      <c r="R2216" s="811"/>
    </row>
    <row r="2217" customFormat="false" ht="16.5" hidden="false" customHeight="true" outlineLevel="0" collapsed="false">
      <c r="A2217" s="747"/>
      <c r="B2217" s="798"/>
      <c r="D2217" s="798"/>
      <c r="E2217" s="798"/>
      <c r="F2217" s="798"/>
      <c r="G2217" s="798"/>
      <c r="J2217" s="778" t="str">
        <f aca="false">IF(I2217="","",H2217/I2217)</f>
        <v/>
      </c>
      <c r="K2217" s="798"/>
      <c r="P2217" s="798"/>
      <c r="Q2217" s="798"/>
      <c r="R2217" s="811"/>
    </row>
    <row r="2218" customFormat="false" ht="16.5" hidden="false" customHeight="true" outlineLevel="0" collapsed="false">
      <c r="A2218" s="747"/>
      <c r="B2218" s="798"/>
      <c r="D2218" s="798"/>
      <c r="E2218" s="798"/>
      <c r="F2218" s="798"/>
      <c r="G2218" s="798"/>
      <c r="J2218" s="778" t="str">
        <f aca="false">IF(I2218="","",H2218/I2218)</f>
        <v/>
      </c>
      <c r="K2218" s="798"/>
      <c r="P2218" s="798"/>
      <c r="Q2218" s="798"/>
      <c r="R2218" s="811"/>
    </row>
    <row r="2219" customFormat="false" ht="16.5" hidden="false" customHeight="true" outlineLevel="0" collapsed="false">
      <c r="A2219" s="747"/>
      <c r="B2219" s="798"/>
      <c r="D2219" s="798"/>
      <c r="E2219" s="798"/>
      <c r="F2219" s="798"/>
      <c r="G2219" s="798"/>
      <c r="J2219" s="778" t="str">
        <f aca="false">IF(I2219="","",H2219/I2219)</f>
        <v/>
      </c>
      <c r="K2219" s="798"/>
      <c r="P2219" s="798"/>
      <c r="Q2219" s="798"/>
      <c r="R2219" s="811"/>
    </row>
    <row r="2220" customFormat="false" ht="16.5" hidden="false" customHeight="true" outlineLevel="0" collapsed="false">
      <c r="A2220" s="747"/>
      <c r="B2220" s="798"/>
      <c r="D2220" s="798"/>
      <c r="E2220" s="798"/>
      <c r="F2220" s="798"/>
      <c r="G2220" s="798"/>
      <c r="J2220" s="778" t="str">
        <f aca="false">IF(I2220="","",H2220/I2220)</f>
        <v/>
      </c>
      <c r="K2220" s="798"/>
      <c r="P2220" s="798"/>
      <c r="Q2220" s="798"/>
      <c r="R2220" s="811"/>
    </row>
    <row r="2221" customFormat="false" ht="16.5" hidden="false" customHeight="true" outlineLevel="0" collapsed="false">
      <c r="A2221" s="747"/>
      <c r="B2221" s="798"/>
      <c r="D2221" s="798"/>
      <c r="E2221" s="798"/>
      <c r="F2221" s="798"/>
      <c r="G2221" s="798"/>
      <c r="J2221" s="778" t="str">
        <f aca="false">IF(I2221="","",H2221/I2221)</f>
        <v/>
      </c>
      <c r="K2221" s="798"/>
      <c r="P2221" s="798"/>
      <c r="Q2221" s="798"/>
      <c r="R2221" s="811"/>
    </row>
    <row r="2222" customFormat="false" ht="16.5" hidden="false" customHeight="true" outlineLevel="0" collapsed="false">
      <c r="A2222" s="747"/>
      <c r="B2222" s="798"/>
      <c r="D2222" s="798"/>
      <c r="E2222" s="798"/>
      <c r="F2222" s="798"/>
      <c r="G2222" s="798"/>
      <c r="J2222" s="778" t="str">
        <f aca="false">IF(I2222="","",H2222/I2222)</f>
        <v/>
      </c>
      <c r="K2222" s="798"/>
      <c r="P2222" s="798"/>
      <c r="Q2222" s="798"/>
      <c r="R2222" s="811"/>
    </row>
    <row r="2223" customFormat="false" ht="16.5" hidden="false" customHeight="true" outlineLevel="0" collapsed="false">
      <c r="A2223" s="747"/>
      <c r="B2223" s="798"/>
      <c r="D2223" s="798"/>
      <c r="E2223" s="798"/>
      <c r="F2223" s="798"/>
      <c r="G2223" s="798"/>
      <c r="J2223" s="778" t="str">
        <f aca="false">IF(I2223="","",H2223/I2223)</f>
        <v/>
      </c>
      <c r="K2223" s="798"/>
      <c r="P2223" s="798"/>
      <c r="Q2223" s="798"/>
      <c r="R2223" s="811"/>
    </row>
    <row r="2224" customFormat="false" ht="16.5" hidden="false" customHeight="true" outlineLevel="0" collapsed="false">
      <c r="A2224" s="747"/>
      <c r="B2224" s="798"/>
      <c r="D2224" s="798"/>
      <c r="E2224" s="798"/>
      <c r="F2224" s="798"/>
      <c r="G2224" s="798"/>
      <c r="J2224" s="778" t="str">
        <f aca="false">IF(I2224="","",H2224/I2224)</f>
        <v/>
      </c>
      <c r="K2224" s="798"/>
      <c r="P2224" s="798"/>
      <c r="Q2224" s="798"/>
      <c r="R2224" s="811"/>
    </row>
    <row r="2225" customFormat="false" ht="16.5" hidden="false" customHeight="true" outlineLevel="0" collapsed="false">
      <c r="A2225" s="747"/>
      <c r="B2225" s="798"/>
      <c r="D2225" s="798"/>
      <c r="E2225" s="798"/>
      <c r="F2225" s="798"/>
      <c r="G2225" s="798"/>
      <c r="J2225" s="778" t="str">
        <f aca="false">IF(I2225="","",H2225/I2225)</f>
        <v/>
      </c>
      <c r="K2225" s="798"/>
      <c r="P2225" s="798"/>
      <c r="Q2225" s="798"/>
      <c r="R2225" s="811"/>
    </row>
    <row r="2226" customFormat="false" ht="16.5" hidden="false" customHeight="true" outlineLevel="0" collapsed="false">
      <c r="A2226" s="747"/>
      <c r="B2226" s="798"/>
      <c r="D2226" s="798"/>
      <c r="E2226" s="798"/>
      <c r="F2226" s="798"/>
      <c r="G2226" s="798"/>
      <c r="J2226" s="778" t="str">
        <f aca="false">IF(I2226="","",H2226/I2226)</f>
        <v/>
      </c>
      <c r="K2226" s="798"/>
      <c r="P2226" s="798"/>
      <c r="Q2226" s="798"/>
      <c r="R2226" s="811"/>
    </row>
    <row r="2227" customFormat="false" ht="16.5" hidden="false" customHeight="true" outlineLevel="0" collapsed="false">
      <c r="A2227" s="747"/>
      <c r="B2227" s="798"/>
      <c r="D2227" s="798"/>
      <c r="E2227" s="798"/>
      <c r="F2227" s="798"/>
      <c r="G2227" s="798"/>
      <c r="J2227" s="778" t="str">
        <f aca="false">IF(I2227="","",H2227/I2227)</f>
        <v/>
      </c>
      <c r="K2227" s="798"/>
      <c r="P2227" s="798"/>
      <c r="Q2227" s="798"/>
      <c r="R2227" s="811"/>
    </row>
    <row r="2228" customFormat="false" ht="16.5" hidden="false" customHeight="true" outlineLevel="0" collapsed="false">
      <c r="A2228" s="747"/>
      <c r="B2228" s="798"/>
      <c r="D2228" s="798"/>
      <c r="E2228" s="798"/>
      <c r="F2228" s="798"/>
      <c r="G2228" s="798"/>
      <c r="J2228" s="778" t="str">
        <f aca="false">IF(I2228="","",H2228/I2228)</f>
        <v/>
      </c>
      <c r="K2228" s="798"/>
      <c r="P2228" s="798"/>
      <c r="Q2228" s="798"/>
      <c r="R2228" s="811"/>
    </row>
    <row r="2229" customFormat="false" ht="16.5" hidden="false" customHeight="true" outlineLevel="0" collapsed="false">
      <c r="A2229" s="747"/>
      <c r="B2229" s="798"/>
      <c r="D2229" s="798"/>
      <c r="E2229" s="798"/>
      <c r="F2229" s="798"/>
      <c r="G2229" s="798"/>
      <c r="J2229" s="778" t="str">
        <f aca="false">IF(I2229="","",H2229/I2229)</f>
        <v/>
      </c>
      <c r="K2229" s="798"/>
      <c r="P2229" s="798"/>
      <c r="Q2229" s="798"/>
      <c r="R2229" s="811"/>
    </row>
    <row r="2230" customFormat="false" ht="16.5" hidden="false" customHeight="true" outlineLevel="0" collapsed="false">
      <c r="A2230" s="747"/>
      <c r="B2230" s="798"/>
      <c r="D2230" s="798"/>
      <c r="E2230" s="798"/>
      <c r="F2230" s="798"/>
      <c r="G2230" s="798"/>
      <c r="J2230" s="778" t="str">
        <f aca="false">IF(I2230="","",H2230/I2230)</f>
        <v/>
      </c>
      <c r="K2230" s="798"/>
      <c r="P2230" s="798"/>
      <c r="Q2230" s="798"/>
      <c r="R2230" s="811"/>
    </row>
    <row r="2231" customFormat="false" ht="16.5" hidden="false" customHeight="true" outlineLevel="0" collapsed="false">
      <c r="A2231" s="747"/>
      <c r="B2231" s="798"/>
      <c r="D2231" s="798"/>
      <c r="E2231" s="798"/>
      <c r="F2231" s="798"/>
      <c r="G2231" s="798"/>
      <c r="J2231" s="778" t="str">
        <f aca="false">IF(I2231="","",H2231/I2231)</f>
        <v/>
      </c>
      <c r="K2231" s="798"/>
      <c r="P2231" s="798"/>
      <c r="Q2231" s="798"/>
      <c r="R2231" s="811"/>
    </row>
    <row r="2232" customFormat="false" ht="16.5" hidden="false" customHeight="true" outlineLevel="0" collapsed="false">
      <c r="A2232" s="747"/>
      <c r="B2232" s="798"/>
      <c r="D2232" s="798"/>
      <c r="E2232" s="798"/>
      <c r="F2232" s="798"/>
      <c r="G2232" s="798"/>
      <c r="J2232" s="778" t="str">
        <f aca="false">IF(I2232="","",H2232/I2232)</f>
        <v/>
      </c>
      <c r="K2232" s="798"/>
      <c r="P2232" s="798"/>
      <c r="Q2232" s="798"/>
      <c r="R2232" s="811"/>
    </row>
    <row r="2233" customFormat="false" ht="16.5" hidden="false" customHeight="true" outlineLevel="0" collapsed="false">
      <c r="A2233" s="747"/>
      <c r="B2233" s="798"/>
      <c r="D2233" s="798"/>
      <c r="E2233" s="798"/>
      <c r="F2233" s="798"/>
      <c r="G2233" s="798"/>
      <c r="J2233" s="778" t="str">
        <f aca="false">IF(I2233="","",H2233/I2233)</f>
        <v/>
      </c>
      <c r="K2233" s="798"/>
      <c r="P2233" s="798"/>
      <c r="Q2233" s="798"/>
      <c r="R2233" s="811"/>
    </row>
    <row r="2234" customFormat="false" ht="16.5" hidden="false" customHeight="true" outlineLevel="0" collapsed="false">
      <c r="A2234" s="747"/>
      <c r="B2234" s="798"/>
      <c r="D2234" s="798"/>
      <c r="E2234" s="798"/>
      <c r="F2234" s="798"/>
      <c r="G2234" s="798"/>
      <c r="J2234" s="778" t="str">
        <f aca="false">IF(I2234="","",H2234/I2234)</f>
        <v/>
      </c>
      <c r="K2234" s="798"/>
      <c r="P2234" s="798"/>
      <c r="Q2234" s="798"/>
      <c r="R2234" s="811"/>
    </row>
    <row r="2235" customFormat="false" ht="16.5" hidden="false" customHeight="true" outlineLevel="0" collapsed="false">
      <c r="A2235" s="747"/>
      <c r="B2235" s="798"/>
      <c r="D2235" s="798"/>
      <c r="E2235" s="798"/>
      <c r="F2235" s="798"/>
      <c r="G2235" s="798"/>
      <c r="J2235" s="778" t="str">
        <f aca="false">IF(I2235="","",H2235/I2235)</f>
        <v/>
      </c>
      <c r="K2235" s="798"/>
      <c r="P2235" s="798"/>
      <c r="Q2235" s="798"/>
      <c r="R2235" s="811"/>
    </row>
    <row r="2236" customFormat="false" ht="16.5" hidden="false" customHeight="true" outlineLevel="0" collapsed="false">
      <c r="A2236" s="747"/>
      <c r="B2236" s="798"/>
      <c r="D2236" s="798"/>
      <c r="E2236" s="798"/>
      <c r="F2236" s="798"/>
      <c r="G2236" s="798"/>
      <c r="J2236" s="778" t="str">
        <f aca="false">IF(I2236="","",H2236/I2236)</f>
        <v/>
      </c>
      <c r="K2236" s="798"/>
      <c r="P2236" s="798"/>
      <c r="Q2236" s="798"/>
      <c r="R2236" s="811"/>
    </row>
    <row r="2237" customFormat="false" ht="16.5" hidden="false" customHeight="true" outlineLevel="0" collapsed="false">
      <c r="A2237" s="747"/>
      <c r="B2237" s="798"/>
      <c r="D2237" s="798"/>
      <c r="E2237" s="798"/>
      <c r="F2237" s="798"/>
      <c r="G2237" s="798"/>
      <c r="J2237" s="778" t="str">
        <f aca="false">IF(I2237="","",H2237/I2237)</f>
        <v/>
      </c>
      <c r="K2237" s="798"/>
      <c r="P2237" s="798"/>
      <c r="Q2237" s="798"/>
      <c r="R2237" s="811"/>
    </row>
    <row r="2238" customFormat="false" ht="16.5" hidden="false" customHeight="true" outlineLevel="0" collapsed="false">
      <c r="A2238" s="747"/>
      <c r="B2238" s="798"/>
      <c r="D2238" s="798"/>
      <c r="E2238" s="798"/>
      <c r="F2238" s="798"/>
      <c r="G2238" s="798"/>
      <c r="J2238" s="778" t="str">
        <f aca="false">IF(I2238="","",H2238/I2238)</f>
        <v/>
      </c>
      <c r="K2238" s="798"/>
      <c r="P2238" s="798"/>
      <c r="Q2238" s="798"/>
      <c r="R2238" s="811"/>
    </row>
    <row r="2239" customFormat="false" ht="16.5" hidden="false" customHeight="true" outlineLevel="0" collapsed="false">
      <c r="A2239" s="747"/>
      <c r="B2239" s="798"/>
      <c r="D2239" s="798"/>
      <c r="E2239" s="798"/>
      <c r="F2239" s="798"/>
      <c r="G2239" s="798"/>
      <c r="J2239" s="778" t="str">
        <f aca="false">IF(I2239="","",H2239/I2239)</f>
        <v/>
      </c>
      <c r="K2239" s="798"/>
      <c r="P2239" s="798"/>
      <c r="Q2239" s="798"/>
      <c r="R2239" s="811"/>
    </row>
    <row r="2240" customFormat="false" ht="16.5" hidden="false" customHeight="true" outlineLevel="0" collapsed="false">
      <c r="A2240" s="747"/>
      <c r="B2240" s="798"/>
      <c r="D2240" s="798"/>
      <c r="E2240" s="798"/>
      <c r="F2240" s="798"/>
      <c r="G2240" s="798"/>
      <c r="J2240" s="778" t="str">
        <f aca="false">IF(I2240="","",H2240/I2240)</f>
        <v/>
      </c>
      <c r="K2240" s="798"/>
      <c r="P2240" s="798"/>
      <c r="Q2240" s="798"/>
      <c r="R2240" s="811"/>
    </row>
    <row r="2241" customFormat="false" ht="16.5" hidden="false" customHeight="true" outlineLevel="0" collapsed="false">
      <c r="A2241" s="747"/>
      <c r="B2241" s="798"/>
      <c r="D2241" s="798"/>
      <c r="E2241" s="798"/>
      <c r="F2241" s="798"/>
      <c r="G2241" s="798"/>
      <c r="J2241" s="778" t="str">
        <f aca="false">IF(I2241="","",H2241/I2241)</f>
        <v/>
      </c>
      <c r="K2241" s="798"/>
      <c r="P2241" s="798"/>
      <c r="Q2241" s="798"/>
      <c r="R2241" s="811"/>
    </row>
    <row r="2242" customFormat="false" ht="16.5" hidden="false" customHeight="true" outlineLevel="0" collapsed="false">
      <c r="A2242" s="747"/>
      <c r="B2242" s="798"/>
      <c r="D2242" s="798"/>
      <c r="E2242" s="798"/>
      <c r="F2242" s="798"/>
      <c r="G2242" s="798"/>
      <c r="J2242" s="778" t="str">
        <f aca="false">IF(I2242="","",H2242/I2242)</f>
        <v/>
      </c>
      <c r="K2242" s="798"/>
      <c r="P2242" s="798"/>
      <c r="Q2242" s="798"/>
      <c r="R2242" s="811"/>
    </row>
    <row r="2243" customFormat="false" ht="16.5" hidden="false" customHeight="true" outlineLevel="0" collapsed="false">
      <c r="A2243" s="747"/>
      <c r="B2243" s="798"/>
      <c r="D2243" s="798"/>
      <c r="E2243" s="798"/>
      <c r="F2243" s="798"/>
      <c r="G2243" s="798"/>
      <c r="J2243" s="778" t="str">
        <f aca="false">IF(I2243="","",H2243/I2243)</f>
        <v/>
      </c>
      <c r="K2243" s="798"/>
      <c r="P2243" s="798"/>
      <c r="Q2243" s="798"/>
      <c r="R2243" s="811"/>
    </row>
    <row r="2244" customFormat="false" ht="16.5" hidden="false" customHeight="true" outlineLevel="0" collapsed="false">
      <c r="A2244" s="747"/>
      <c r="B2244" s="798"/>
      <c r="D2244" s="798"/>
      <c r="E2244" s="798"/>
      <c r="F2244" s="798"/>
      <c r="G2244" s="798"/>
      <c r="J2244" s="778" t="str">
        <f aca="false">IF(I2244="","",H2244/I2244)</f>
        <v/>
      </c>
      <c r="K2244" s="798"/>
      <c r="P2244" s="798"/>
      <c r="Q2244" s="798"/>
      <c r="R2244" s="811"/>
    </row>
    <row r="2245" customFormat="false" ht="16.5" hidden="false" customHeight="true" outlineLevel="0" collapsed="false">
      <c r="A2245" s="747"/>
      <c r="B2245" s="798"/>
      <c r="D2245" s="798"/>
      <c r="E2245" s="798"/>
      <c r="F2245" s="798"/>
      <c r="G2245" s="798"/>
      <c r="J2245" s="778" t="str">
        <f aca="false">IF(I2245="","",H2245/I2245)</f>
        <v/>
      </c>
      <c r="K2245" s="798"/>
      <c r="P2245" s="798"/>
      <c r="Q2245" s="798"/>
      <c r="R2245" s="811"/>
    </row>
    <row r="2246" customFormat="false" ht="16.5" hidden="false" customHeight="true" outlineLevel="0" collapsed="false">
      <c r="A2246" s="747"/>
      <c r="B2246" s="798"/>
      <c r="D2246" s="798"/>
      <c r="E2246" s="798"/>
      <c r="F2246" s="798"/>
      <c r="G2246" s="798"/>
      <c r="J2246" s="778" t="str">
        <f aca="false">IF(I2246="","",H2246/I2246)</f>
        <v/>
      </c>
      <c r="K2246" s="798"/>
      <c r="P2246" s="798"/>
      <c r="Q2246" s="798"/>
      <c r="R2246" s="811"/>
    </row>
    <row r="2247" customFormat="false" ht="16.5" hidden="false" customHeight="true" outlineLevel="0" collapsed="false">
      <c r="A2247" s="747"/>
      <c r="B2247" s="798"/>
      <c r="D2247" s="798"/>
      <c r="E2247" s="798"/>
      <c r="F2247" s="798"/>
      <c r="G2247" s="798"/>
      <c r="J2247" s="778" t="str">
        <f aca="false">IF(I2247="","",H2247/I2247)</f>
        <v/>
      </c>
      <c r="K2247" s="798"/>
      <c r="P2247" s="798"/>
      <c r="Q2247" s="798"/>
      <c r="R2247" s="811"/>
    </row>
    <row r="2248" customFormat="false" ht="16.5" hidden="false" customHeight="true" outlineLevel="0" collapsed="false">
      <c r="A2248" s="747"/>
      <c r="B2248" s="798"/>
      <c r="D2248" s="798"/>
      <c r="E2248" s="798"/>
      <c r="F2248" s="798"/>
      <c r="G2248" s="798"/>
      <c r="J2248" s="778" t="str">
        <f aca="false">IF(I2248="","",H2248/I2248)</f>
        <v/>
      </c>
      <c r="K2248" s="798"/>
      <c r="P2248" s="798"/>
      <c r="Q2248" s="798"/>
      <c r="R2248" s="811"/>
    </row>
    <row r="2249" customFormat="false" ht="16.5" hidden="false" customHeight="true" outlineLevel="0" collapsed="false">
      <c r="A2249" s="747"/>
      <c r="B2249" s="798"/>
      <c r="D2249" s="798"/>
      <c r="E2249" s="798"/>
      <c r="F2249" s="798"/>
      <c r="G2249" s="798"/>
      <c r="J2249" s="778" t="str">
        <f aca="false">IF(I2249="","",H2249/I2249)</f>
        <v/>
      </c>
      <c r="K2249" s="798"/>
      <c r="P2249" s="798"/>
      <c r="Q2249" s="798"/>
      <c r="R2249" s="811"/>
    </row>
    <row r="2250" customFormat="false" ht="16.5" hidden="false" customHeight="true" outlineLevel="0" collapsed="false">
      <c r="A2250" s="747"/>
      <c r="B2250" s="798"/>
      <c r="D2250" s="798"/>
      <c r="E2250" s="798"/>
      <c r="F2250" s="798"/>
      <c r="G2250" s="798"/>
      <c r="J2250" s="778" t="str">
        <f aca="false">IF(I2250="","",H2250/I2250)</f>
        <v/>
      </c>
      <c r="K2250" s="798"/>
      <c r="P2250" s="798"/>
      <c r="Q2250" s="798"/>
      <c r="R2250" s="811"/>
    </row>
    <row r="2251" customFormat="false" ht="16.5" hidden="false" customHeight="true" outlineLevel="0" collapsed="false">
      <c r="A2251" s="747"/>
      <c r="B2251" s="798"/>
      <c r="D2251" s="798"/>
      <c r="E2251" s="798"/>
      <c r="F2251" s="798"/>
      <c r="G2251" s="798"/>
      <c r="J2251" s="778" t="str">
        <f aca="false">IF(I2251="","",H2251/I2251)</f>
        <v/>
      </c>
      <c r="K2251" s="798"/>
      <c r="P2251" s="798"/>
      <c r="Q2251" s="798"/>
      <c r="R2251" s="811"/>
    </row>
    <row r="2252" customFormat="false" ht="16.5" hidden="false" customHeight="true" outlineLevel="0" collapsed="false">
      <c r="A2252" s="747"/>
      <c r="B2252" s="798"/>
      <c r="D2252" s="798"/>
      <c r="E2252" s="798"/>
      <c r="F2252" s="798"/>
      <c r="G2252" s="798"/>
      <c r="J2252" s="778" t="str">
        <f aca="false">IF(I2252="","",H2252/I2252)</f>
        <v/>
      </c>
      <c r="K2252" s="798"/>
      <c r="P2252" s="798"/>
      <c r="Q2252" s="798"/>
      <c r="R2252" s="811"/>
    </row>
    <row r="2253" customFormat="false" ht="16.5" hidden="false" customHeight="true" outlineLevel="0" collapsed="false">
      <c r="A2253" s="747"/>
      <c r="B2253" s="798"/>
      <c r="D2253" s="798"/>
      <c r="E2253" s="798"/>
      <c r="F2253" s="798"/>
      <c r="G2253" s="798"/>
      <c r="J2253" s="778" t="str">
        <f aca="false">IF(I2253="","",H2253/I2253)</f>
        <v/>
      </c>
      <c r="K2253" s="798"/>
      <c r="P2253" s="798"/>
      <c r="Q2253" s="798"/>
      <c r="R2253" s="811"/>
    </row>
    <row r="2254" customFormat="false" ht="16.5" hidden="false" customHeight="true" outlineLevel="0" collapsed="false">
      <c r="A2254" s="747"/>
      <c r="B2254" s="798"/>
      <c r="D2254" s="798"/>
      <c r="E2254" s="798"/>
      <c r="F2254" s="798"/>
      <c r="G2254" s="798"/>
      <c r="J2254" s="778" t="str">
        <f aca="false">IF(I2254="","",H2254/I2254)</f>
        <v/>
      </c>
      <c r="K2254" s="798"/>
      <c r="P2254" s="798"/>
      <c r="Q2254" s="798"/>
      <c r="R2254" s="811"/>
    </row>
    <row r="2255" customFormat="false" ht="16.5" hidden="false" customHeight="true" outlineLevel="0" collapsed="false">
      <c r="A2255" s="747"/>
      <c r="B2255" s="798"/>
      <c r="D2255" s="798"/>
      <c r="E2255" s="798"/>
      <c r="F2255" s="798"/>
      <c r="G2255" s="798"/>
      <c r="J2255" s="778" t="str">
        <f aca="false">IF(I2255="","",H2255/I2255)</f>
        <v/>
      </c>
      <c r="K2255" s="798"/>
      <c r="P2255" s="798"/>
      <c r="Q2255" s="798"/>
      <c r="R2255" s="811"/>
    </row>
    <row r="2256" customFormat="false" ht="16.5" hidden="false" customHeight="true" outlineLevel="0" collapsed="false">
      <c r="A2256" s="747"/>
      <c r="B2256" s="798"/>
      <c r="D2256" s="798"/>
      <c r="E2256" s="798"/>
      <c r="F2256" s="798"/>
      <c r="G2256" s="798"/>
      <c r="J2256" s="778" t="str">
        <f aca="false">IF(I2256="","",H2256/I2256)</f>
        <v/>
      </c>
      <c r="K2256" s="798"/>
      <c r="P2256" s="798"/>
      <c r="Q2256" s="798"/>
      <c r="R2256" s="811"/>
    </row>
    <row r="2257" customFormat="false" ht="16.5" hidden="false" customHeight="true" outlineLevel="0" collapsed="false">
      <c r="A2257" s="747"/>
      <c r="B2257" s="798"/>
      <c r="D2257" s="798"/>
      <c r="E2257" s="798"/>
      <c r="F2257" s="798"/>
      <c r="G2257" s="798"/>
      <c r="J2257" s="778" t="str">
        <f aca="false">IF(I2257="","",H2257/I2257)</f>
        <v/>
      </c>
      <c r="K2257" s="798"/>
      <c r="P2257" s="798"/>
      <c r="Q2257" s="798"/>
      <c r="R2257" s="811"/>
    </row>
    <row r="2258" customFormat="false" ht="16.5" hidden="false" customHeight="true" outlineLevel="0" collapsed="false">
      <c r="A2258" s="747"/>
      <c r="B2258" s="798"/>
      <c r="D2258" s="798"/>
      <c r="E2258" s="798"/>
      <c r="F2258" s="798"/>
      <c r="G2258" s="798"/>
      <c r="J2258" s="778" t="str">
        <f aca="false">IF(I2258="","",H2258/I2258)</f>
        <v/>
      </c>
      <c r="K2258" s="798"/>
      <c r="P2258" s="798"/>
      <c r="Q2258" s="798"/>
      <c r="R2258" s="811"/>
    </row>
    <row r="2259" customFormat="false" ht="16.5" hidden="false" customHeight="true" outlineLevel="0" collapsed="false">
      <c r="A2259" s="747"/>
      <c r="B2259" s="798"/>
      <c r="D2259" s="798"/>
      <c r="E2259" s="798"/>
      <c r="F2259" s="798"/>
      <c r="G2259" s="798"/>
      <c r="J2259" s="778" t="str">
        <f aca="false">IF(I2259="","",H2259/I2259)</f>
        <v/>
      </c>
      <c r="K2259" s="798"/>
      <c r="P2259" s="798"/>
      <c r="Q2259" s="798"/>
      <c r="R2259" s="811"/>
    </row>
    <row r="2260" customFormat="false" ht="16.5" hidden="false" customHeight="true" outlineLevel="0" collapsed="false">
      <c r="A2260" s="747"/>
      <c r="B2260" s="798"/>
      <c r="D2260" s="798"/>
      <c r="E2260" s="798"/>
      <c r="F2260" s="798"/>
      <c r="G2260" s="798"/>
      <c r="J2260" s="778" t="str">
        <f aca="false">IF(I2260="","",H2260/I2260)</f>
        <v/>
      </c>
      <c r="K2260" s="798"/>
      <c r="P2260" s="798"/>
      <c r="Q2260" s="798"/>
      <c r="R2260" s="811"/>
    </row>
    <row r="2261" customFormat="false" ht="16.5" hidden="false" customHeight="true" outlineLevel="0" collapsed="false">
      <c r="A2261" s="747"/>
      <c r="B2261" s="798"/>
      <c r="D2261" s="798"/>
      <c r="E2261" s="798"/>
      <c r="F2261" s="798"/>
      <c r="G2261" s="798"/>
      <c r="J2261" s="778" t="str">
        <f aca="false">IF(I2261="","",H2261/I2261)</f>
        <v/>
      </c>
      <c r="K2261" s="798"/>
      <c r="P2261" s="798"/>
      <c r="Q2261" s="798"/>
      <c r="R2261" s="811"/>
    </row>
    <row r="2262" customFormat="false" ht="16.5" hidden="false" customHeight="true" outlineLevel="0" collapsed="false">
      <c r="A2262" s="747"/>
      <c r="B2262" s="798"/>
      <c r="D2262" s="798"/>
      <c r="E2262" s="798"/>
      <c r="F2262" s="798"/>
      <c r="G2262" s="798"/>
      <c r="J2262" s="778" t="str">
        <f aca="false">IF(I2262="","",H2262/I2262)</f>
        <v/>
      </c>
      <c r="K2262" s="798"/>
      <c r="P2262" s="798"/>
      <c r="Q2262" s="798"/>
      <c r="R2262" s="811"/>
    </row>
    <row r="2263" customFormat="false" ht="16.5" hidden="false" customHeight="true" outlineLevel="0" collapsed="false">
      <c r="A2263" s="747"/>
      <c r="B2263" s="798"/>
      <c r="D2263" s="798"/>
      <c r="E2263" s="798"/>
      <c r="F2263" s="798"/>
      <c r="G2263" s="798"/>
      <c r="J2263" s="778" t="str">
        <f aca="false">IF(I2263="","",H2263/I2263)</f>
        <v/>
      </c>
      <c r="K2263" s="798"/>
      <c r="P2263" s="798"/>
      <c r="Q2263" s="798"/>
      <c r="R2263" s="811"/>
    </row>
    <row r="2264" customFormat="false" ht="16.5" hidden="false" customHeight="true" outlineLevel="0" collapsed="false">
      <c r="A2264" s="747"/>
      <c r="B2264" s="798"/>
      <c r="D2264" s="798"/>
      <c r="E2264" s="798"/>
      <c r="F2264" s="798"/>
      <c r="G2264" s="798"/>
      <c r="J2264" s="778" t="str">
        <f aca="false">IF(I2264="","",H2264/I2264)</f>
        <v/>
      </c>
      <c r="K2264" s="798"/>
      <c r="P2264" s="798"/>
      <c r="Q2264" s="798"/>
      <c r="R2264" s="811"/>
    </row>
    <row r="2265" customFormat="false" ht="16.5" hidden="false" customHeight="true" outlineLevel="0" collapsed="false">
      <c r="A2265" s="747"/>
      <c r="B2265" s="798"/>
      <c r="D2265" s="798"/>
      <c r="E2265" s="798"/>
      <c r="F2265" s="798"/>
      <c r="G2265" s="798"/>
      <c r="J2265" s="778" t="str">
        <f aca="false">IF(I2265="","",H2265/I2265)</f>
        <v/>
      </c>
      <c r="K2265" s="798"/>
      <c r="P2265" s="798"/>
      <c r="Q2265" s="798"/>
      <c r="R2265" s="811"/>
    </row>
    <row r="2266" customFormat="false" ht="16.5" hidden="false" customHeight="true" outlineLevel="0" collapsed="false">
      <c r="A2266" s="747"/>
      <c r="B2266" s="798"/>
      <c r="D2266" s="798"/>
      <c r="E2266" s="798"/>
      <c r="F2266" s="798"/>
      <c r="G2266" s="798"/>
      <c r="J2266" s="778" t="str">
        <f aca="false">IF(I2266="","",H2266/I2266)</f>
        <v/>
      </c>
      <c r="K2266" s="798"/>
      <c r="P2266" s="798"/>
      <c r="Q2266" s="798"/>
      <c r="R2266" s="811"/>
    </row>
    <row r="2267" customFormat="false" ht="16.5" hidden="false" customHeight="true" outlineLevel="0" collapsed="false">
      <c r="A2267" s="747"/>
      <c r="B2267" s="798"/>
      <c r="D2267" s="798"/>
      <c r="E2267" s="798"/>
      <c r="F2267" s="798"/>
      <c r="G2267" s="798"/>
      <c r="J2267" s="778" t="str">
        <f aca="false">IF(I2267="","",H2267/I2267)</f>
        <v/>
      </c>
      <c r="K2267" s="798"/>
      <c r="P2267" s="798"/>
      <c r="Q2267" s="798"/>
      <c r="R2267" s="811"/>
    </row>
    <row r="2268" customFormat="false" ht="16.5" hidden="false" customHeight="true" outlineLevel="0" collapsed="false">
      <c r="A2268" s="747"/>
      <c r="B2268" s="798"/>
      <c r="D2268" s="798"/>
      <c r="E2268" s="798"/>
      <c r="F2268" s="798"/>
      <c r="G2268" s="798"/>
      <c r="J2268" s="778" t="str">
        <f aca="false">IF(I2268="","",H2268/I2268)</f>
        <v/>
      </c>
      <c r="K2268" s="798"/>
      <c r="P2268" s="798"/>
      <c r="Q2268" s="798"/>
      <c r="R2268" s="811"/>
    </row>
    <row r="2269" customFormat="false" ht="16.5" hidden="false" customHeight="true" outlineLevel="0" collapsed="false">
      <c r="A2269" s="747"/>
      <c r="B2269" s="798"/>
      <c r="D2269" s="798"/>
      <c r="E2269" s="798"/>
      <c r="F2269" s="798"/>
      <c r="G2269" s="798"/>
      <c r="J2269" s="778" t="str">
        <f aca="false">IF(I2269="","",H2269/I2269)</f>
        <v/>
      </c>
      <c r="K2269" s="798"/>
      <c r="P2269" s="798"/>
      <c r="Q2269" s="798"/>
      <c r="R2269" s="811"/>
    </row>
    <row r="2270" customFormat="false" ht="16.5" hidden="false" customHeight="true" outlineLevel="0" collapsed="false">
      <c r="A2270" s="747"/>
      <c r="B2270" s="798"/>
      <c r="D2270" s="798"/>
      <c r="E2270" s="798"/>
      <c r="F2270" s="798"/>
      <c r="G2270" s="798"/>
      <c r="J2270" s="778" t="str">
        <f aca="false">IF(I2270="","",H2270/I2270)</f>
        <v/>
      </c>
      <c r="K2270" s="798"/>
      <c r="P2270" s="798"/>
      <c r="Q2270" s="798"/>
      <c r="R2270" s="811"/>
    </row>
    <row r="2271" customFormat="false" ht="16.5" hidden="false" customHeight="true" outlineLevel="0" collapsed="false">
      <c r="A2271" s="747"/>
      <c r="B2271" s="798"/>
      <c r="D2271" s="798"/>
      <c r="E2271" s="798"/>
      <c r="F2271" s="798"/>
      <c r="G2271" s="798"/>
      <c r="J2271" s="778" t="str">
        <f aca="false">IF(I2271="","",H2271/I2271)</f>
        <v/>
      </c>
      <c r="K2271" s="798"/>
      <c r="P2271" s="798"/>
      <c r="Q2271" s="798"/>
      <c r="R2271" s="811"/>
    </row>
    <row r="2272" customFormat="false" ht="16.5" hidden="false" customHeight="true" outlineLevel="0" collapsed="false">
      <c r="A2272" s="747"/>
      <c r="B2272" s="798"/>
      <c r="D2272" s="798"/>
      <c r="E2272" s="798"/>
      <c r="F2272" s="798"/>
      <c r="G2272" s="798"/>
      <c r="J2272" s="778" t="str">
        <f aca="false">IF(I2272="","",H2272/I2272)</f>
        <v/>
      </c>
      <c r="K2272" s="798"/>
      <c r="P2272" s="798"/>
      <c r="Q2272" s="798"/>
      <c r="R2272" s="811"/>
    </row>
    <row r="2273" customFormat="false" ht="16.5" hidden="false" customHeight="true" outlineLevel="0" collapsed="false">
      <c r="A2273" s="747"/>
      <c r="B2273" s="798"/>
      <c r="D2273" s="798"/>
      <c r="E2273" s="798"/>
      <c r="F2273" s="798"/>
      <c r="G2273" s="798"/>
      <c r="J2273" s="778" t="str">
        <f aca="false">IF(I2273="","",H2273/I2273)</f>
        <v/>
      </c>
      <c r="K2273" s="798"/>
      <c r="P2273" s="798"/>
      <c r="Q2273" s="798"/>
      <c r="R2273" s="811"/>
    </row>
    <row r="2274" customFormat="false" ht="16.5" hidden="false" customHeight="true" outlineLevel="0" collapsed="false">
      <c r="A2274" s="747"/>
      <c r="B2274" s="798"/>
      <c r="D2274" s="798"/>
      <c r="E2274" s="798"/>
      <c r="F2274" s="798"/>
      <c r="G2274" s="798"/>
      <c r="J2274" s="778" t="str">
        <f aca="false">IF(I2274="","",H2274/I2274)</f>
        <v/>
      </c>
      <c r="K2274" s="798"/>
      <c r="P2274" s="798"/>
      <c r="Q2274" s="798"/>
      <c r="R2274" s="811"/>
    </row>
    <row r="2275" customFormat="false" ht="16.5" hidden="false" customHeight="true" outlineLevel="0" collapsed="false">
      <c r="A2275" s="747"/>
      <c r="B2275" s="798"/>
      <c r="D2275" s="798"/>
      <c r="E2275" s="798"/>
      <c r="F2275" s="798"/>
      <c r="G2275" s="798"/>
      <c r="J2275" s="778" t="str">
        <f aca="false">IF(I2275="","",H2275/I2275)</f>
        <v/>
      </c>
      <c r="K2275" s="798"/>
      <c r="P2275" s="798"/>
      <c r="Q2275" s="798"/>
      <c r="R2275" s="811"/>
    </row>
    <row r="2276" customFormat="false" ht="16.5" hidden="false" customHeight="true" outlineLevel="0" collapsed="false">
      <c r="A2276" s="747"/>
      <c r="B2276" s="798"/>
      <c r="D2276" s="798"/>
      <c r="E2276" s="798"/>
      <c r="F2276" s="798"/>
      <c r="G2276" s="798"/>
      <c r="J2276" s="778" t="str">
        <f aca="false">IF(I2276="","",H2276/I2276)</f>
        <v/>
      </c>
      <c r="K2276" s="798"/>
      <c r="P2276" s="798"/>
      <c r="Q2276" s="798"/>
      <c r="R2276" s="811"/>
    </row>
    <row r="2277" customFormat="false" ht="16.5" hidden="false" customHeight="true" outlineLevel="0" collapsed="false">
      <c r="A2277" s="747"/>
      <c r="B2277" s="798"/>
      <c r="D2277" s="798"/>
      <c r="E2277" s="798"/>
      <c r="F2277" s="798"/>
      <c r="G2277" s="798"/>
      <c r="J2277" s="778" t="str">
        <f aca="false">IF(I2277="","",H2277/I2277)</f>
        <v/>
      </c>
      <c r="K2277" s="798"/>
      <c r="P2277" s="798"/>
      <c r="Q2277" s="798"/>
      <c r="R2277" s="811"/>
    </row>
    <row r="2278" customFormat="false" ht="16.5" hidden="false" customHeight="true" outlineLevel="0" collapsed="false">
      <c r="A2278" s="747"/>
      <c r="B2278" s="798"/>
      <c r="D2278" s="798"/>
      <c r="E2278" s="798"/>
      <c r="F2278" s="798"/>
      <c r="G2278" s="798"/>
      <c r="J2278" s="778" t="str">
        <f aca="false">IF(I2278="","",H2278/I2278)</f>
        <v/>
      </c>
      <c r="K2278" s="798"/>
      <c r="P2278" s="798"/>
      <c r="Q2278" s="798"/>
      <c r="R2278" s="811"/>
    </row>
    <row r="2279" customFormat="false" ht="16.5" hidden="false" customHeight="true" outlineLevel="0" collapsed="false">
      <c r="A2279" s="747"/>
      <c r="B2279" s="798"/>
      <c r="D2279" s="798"/>
      <c r="E2279" s="798"/>
      <c r="F2279" s="798"/>
      <c r="G2279" s="798"/>
      <c r="J2279" s="778" t="str">
        <f aca="false">IF(I2279="","",H2279/I2279)</f>
        <v/>
      </c>
      <c r="K2279" s="798"/>
      <c r="P2279" s="798"/>
      <c r="Q2279" s="798"/>
      <c r="R2279" s="811"/>
    </row>
    <row r="2280" customFormat="false" ht="16.5" hidden="false" customHeight="true" outlineLevel="0" collapsed="false">
      <c r="A2280" s="747"/>
      <c r="B2280" s="798"/>
      <c r="D2280" s="798"/>
      <c r="E2280" s="798"/>
      <c r="F2280" s="798"/>
      <c r="G2280" s="798"/>
      <c r="J2280" s="778" t="str">
        <f aca="false">IF(I2280="","",H2280/I2280)</f>
        <v/>
      </c>
      <c r="K2280" s="798"/>
      <c r="P2280" s="798"/>
      <c r="Q2280" s="798"/>
      <c r="R2280" s="811"/>
    </row>
    <row r="2281" customFormat="false" ht="16.5" hidden="false" customHeight="true" outlineLevel="0" collapsed="false">
      <c r="A2281" s="747"/>
      <c r="B2281" s="798"/>
      <c r="D2281" s="798"/>
      <c r="E2281" s="798"/>
      <c r="F2281" s="798"/>
      <c r="G2281" s="798"/>
      <c r="J2281" s="778" t="str">
        <f aca="false">IF(I2281="","",H2281/I2281)</f>
        <v/>
      </c>
      <c r="K2281" s="798"/>
      <c r="P2281" s="798"/>
      <c r="Q2281" s="798"/>
      <c r="R2281" s="811"/>
    </row>
    <row r="2282" customFormat="false" ht="16.5" hidden="false" customHeight="true" outlineLevel="0" collapsed="false">
      <c r="A2282" s="747"/>
      <c r="B2282" s="798"/>
      <c r="D2282" s="798"/>
      <c r="E2282" s="798"/>
      <c r="F2282" s="798"/>
      <c r="G2282" s="798"/>
      <c r="J2282" s="778" t="str">
        <f aca="false">IF(I2282="","",H2282/I2282)</f>
        <v/>
      </c>
      <c r="K2282" s="798"/>
      <c r="P2282" s="798"/>
      <c r="Q2282" s="798"/>
      <c r="R2282" s="811"/>
    </row>
    <row r="2283" customFormat="false" ht="16.5" hidden="false" customHeight="true" outlineLevel="0" collapsed="false">
      <c r="A2283" s="747"/>
      <c r="B2283" s="798"/>
      <c r="D2283" s="798"/>
      <c r="E2283" s="798"/>
      <c r="F2283" s="798"/>
      <c r="G2283" s="798"/>
      <c r="J2283" s="778" t="str">
        <f aca="false">IF(I2283="","",H2283/I2283)</f>
        <v/>
      </c>
      <c r="K2283" s="798"/>
      <c r="P2283" s="798"/>
      <c r="Q2283" s="798"/>
      <c r="R2283" s="811"/>
    </row>
    <row r="2284" customFormat="false" ht="16.5" hidden="false" customHeight="true" outlineLevel="0" collapsed="false">
      <c r="A2284" s="747"/>
      <c r="B2284" s="798"/>
      <c r="D2284" s="798"/>
      <c r="E2284" s="798"/>
      <c r="F2284" s="798"/>
      <c r="G2284" s="798"/>
      <c r="J2284" s="778" t="str">
        <f aca="false">IF(I2284="","",H2284/I2284)</f>
        <v/>
      </c>
      <c r="K2284" s="798"/>
      <c r="P2284" s="798"/>
      <c r="Q2284" s="798"/>
      <c r="R2284" s="811"/>
    </row>
    <row r="2285" customFormat="false" ht="16.5" hidden="false" customHeight="true" outlineLevel="0" collapsed="false">
      <c r="A2285" s="747"/>
      <c r="B2285" s="798"/>
      <c r="D2285" s="798"/>
      <c r="E2285" s="798"/>
      <c r="F2285" s="798"/>
      <c r="G2285" s="798"/>
      <c r="J2285" s="778" t="str">
        <f aca="false">IF(I2285="","",H2285/I2285)</f>
        <v/>
      </c>
      <c r="K2285" s="798"/>
      <c r="P2285" s="798"/>
      <c r="Q2285" s="798"/>
      <c r="R2285" s="811"/>
    </row>
    <row r="2286" customFormat="false" ht="16.5" hidden="false" customHeight="true" outlineLevel="0" collapsed="false">
      <c r="A2286" s="747"/>
      <c r="B2286" s="798"/>
      <c r="D2286" s="798"/>
      <c r="E2286" s="798"/>
      <c r="F2286" s="798"/>
      <c r="G2286" s="798"/>
      <c r="J2286" s="778" t="str">
        <f aca="false">IF(I2286="","",H2286/I2286)</f>
        <v/>
      </c>
      <c r="K2286" s="798"/>
      <c r="P2286" s="798"/>
      <c r="Q2286" s="798"/>
      <c r="R2286" s="811"/>
    </row>
    <row r="2287" customFormat="false" ht="16.5" hidden="false" customHeight="true" outlineLevel="0" collapsed="false">
      <c r="A2287" s="747"/>
      <c r="B2287" s="798"/>
      <c r="D2287" s="798"/>
      <c r="E2287" s="798"/>
      <c r="F2287" s="798"/>
      <c r="G2287" s="798"/>
      <c r="J2287" s="778" t="str">
        <f aca="false">IF(I2287="","",H2287/I2287)</f>
        <v/>
      </c>
      <c r="K2287" s="798"/>
      <c r="P2287" s="798"/>
      <c r="Q2287" s="798"/>
      <c r="R2287" s="811"/>
    </row>
    <row r="2288" customFormat="false" ht="16.5" hidden="false" customHeight="true" outlineLevel="0" collapsed="false">
      <c r="A2288" s="747"/>
      <c r="B2288" s="798"/>
      <c r="D2288" s="798"/>
      <c r="E2288" s="798"/>
      <c r="F2288" s="798"/>
      <c r="G2288" s="798"/>
      <c r="J2288" s="778" t="str">
        <f aca="false">IF(I2288="","",H2288/I2288)</f>
        <v/>
      </c>
      <c r="K2288" s="798"/>
      <c r="P2288" s="798"/>
      <c r="Q2288" s="798"/>
      <c r="R2288" s="811"/>
    </row>
    <row r="2289" customFormat="false" ht="16.5" hidden="false" customHeight="true" outlineLevel="0" collapsed="false">
      <c r="A2289" s="747"/>
      <c r="B2289" s="798"/>
      <c r="D2289" s="798"/>
      <c r="E2289" s="798"/>
      <c r="F2289" s="798"/>
      <c r="G2289" s="798"/>
      <c r="J2289" s="778" t="str">
        <f aca="false">IF(I2289="","",H2289/I2289)</f>
        <v/>
      </c>
      <c r="K2289" s="798"/>
      <c r="P2289" s="798"/>
      <c r="Q2289" s="798"/>
      <c r="R2289" s="811"/>
    </row>
    <row r="2290" customFormat="false" ht="16.5" hidden="false" customHeight="true" outlineLevel="0" collapsed="false">
      <c r="A2290" s="747"/>
      <c r="B2290" s="798"/>
      <c r="D2290" s="798"/>
      <c r="E2290" s="798"/>
      <c r="F2290" s="798"/>
      <c r="G2290" s="798"/>
      <c r="J2290" s="778" t="str">
        <f aca="false">IF(I2290="","",H2290/I2290)</f>
        <v/>
      </c>
      <c r="K2290" s="798"/>
      <c r="P2290" s="798"/>
      <c r="Q2290" s="798"/>
      <c r="R2290" s="811"/>
    </row>
    <row r="2291" customFormat="false" ht="16.5" hidden="false" customHeight="true" outlineLevel="0" collapsed="false">
      <c r="A2291" s="747"/>
      <c r="B2291" s="798"/>
      <c r="D2291" s="798"/>
      <c r="E2291" s="798"/>
      <c r="F2291" s="798"/>
      <c r="G2291" s="798"/>
      <c r="J2291" s="778" t="str">
        <f aca="false">IF(I2291="","",H2291/I2291)</f>
        <v/>
      </c>
      <c r="K2291" s="798"/>
      <c r="P2291" s="798"/>
      <c r="Q2291" s="798"/>
      <c r="R2291" s="811"/>
    </row>
    <row r="2292" customFormat="false" ht="16.5" hidden="false" customHeight="true" outlineLevel="0" collapsed="false">
      <c r="A2292" s="747"/>
      <c r="B2292" s="798"/>
      <c r="D2292" s="798"/>
      <c r="E2292" s="798"/>
      <c r="F2292" s="798"/>
      <c r="G2292" s="798"/>
      <c r="J2292" s="778" t="str">
        <f aca="false">IF(I2292="","",H2292/I2292)</f>
        <v/>
      </c>
      <c r="K2292" s="798"/>
      <c r="P2292" s="798"/>
      <c r="Q2292" s="798"/>
      <c r="R2292" s="811"/>
    </row>
    <row r="2293" customFormat="false" ht="16.5" hidden="false" customHeight="true" outlineLevel="0" collapsed="false">
      <c r="A2293" s="747"/>
      <c r="B2293" s="798"/>
      <c r="D2293" s="798"/>
      <c r="E2293" s="798"/>
      <c r="F2293" s="798"/>
      <c r="G2293" s="798"/>
      <c r="J2293" s="778" t="str">
        <f aca="false">IF(I2293="","",H2293/I2293)</f>
        <v/>
      </c>
      <c r="K2293" s="798"/>
      <c r="P2293" s="798"/>
      <c r="Q2293" s="798"/>
      <c r="R2293" s="811"/>
    </row>
    <row r="2294" customFormat="false" ht="16.5" hidden="false" customHeight="true" outlineLevel="0" collapsed="false">
      <c r="A2294" s="747"/>
      <c r="B2294" s="798"/>
      <c r="D2294" s="798"/>
      <c r="E2294" s="798"/>
      <c r="F2294" s="798"/>
      <c r="G2294" s="798"/>
      <c r="J2294" s="778" t="str">
        <f aca="false">IF(I2294="","",H2294/I2294)</f>
        <v/>
      </c>
      <c r="K2294" s="798"/>
      <c r="P2294" s="798"/>
      <c r="Q2294" s="798"/>
      <c r="R2294" s="811"/>
    </row>
    <row r="2295" customFormat="false" ht="16.5" hidden="false" customHeight="true" outlineLevel="0" collapsed="false">
      <c r="A2295" s="747"/>
      <c r="B2295" s="798"/>
      <c r="D2295" s="798"/>
      <c r="E2295" s="798"/>
      <c r="F2295" s="798"/>
      <c r="G2295" s="798"/>
      <c r="J2295" s="778" t="str">
        <f aca="false">IF(I2295="","",H2295/I2295)</f>
        <v/>
      </c>
      <c r="K2295" s="798"/>
      <c r="P2295" s="798"/>
      <c r="Q2295" s="798"/>
      <c r="R2295" s="811"/>
    </row>
    <row r="2296" customFormat="false" ht="16.5" hidden="false" customHeight="true" outlineLevel="0" collapsed="false">
      <c r="A2296" s="747"/>
      <c r="B2296" s="798"/>
      <c r="D2296" s="798"/>
      <c r="E2296" s="798"/>
      <c r="F2296" s="798"/>
      <c r="G2296" s="798"/>
      <c r="J2296" s="778" t="str">
        <f aca="false">IF(I2296="","",H2296/I2296)</f>
        <v/>
      </c>
      <c r="K2296" s="798"/>
      <c r="P2296" s="798"/>
      <c r="Q2296" s="798"/>
      <c r="R2296" s="811"/>
    </row>
    <row r="2297" customFormat="false" ht="16.5" hidden="false" customHeight="true" outlineLevel="0" collapsed="false">
      <c r="A2297" s="747"/>
      <c r="B2297" s="798"/>
      <c r="D2297" s="798"/>
      <c r="E2297" s="798"/>
      <c r="F2297" s="798"/>
      <c r="G2297" s="798"/>
      <c r="J2297" s="778" t="str">
        <f aca="false">IF(I2297="","",H2297/I2297)</f>
        <v/>
      </c>
      <c r="K2297" s="798"/>
      <c r="P2297" s="798"/>
      <c r="Q2297" s="798"/>
      <c r="R2297" s="811"/>
    </row>
    <row r="2298" customFormat="false" ht="16.5" hidden="false" customHeight="true" outlineLevel="0" collapsed="false">
      <c r="A2298" s="747"/>
      <c r="B2298" s="798"/>
      <c r="D2298" s="798"/>
      <c r="E2298" s="798"/>
      <c r="F2298" s="798"/>
      <c r="G2298" s="798"/>
      <c r="J2298" s="778" t="str">
        <f aca="false">IF(I2298="","",H2298/I2298)</f>
        <v/>
      </c>
      <c r="K2298" s="798"/>
      <c r="P2298" s="798"/>
      <c r="Q2298" s="798"/>
      <c r="R2298" s="811"/>
    </row>
    <row r="2299" customFormat="false" ht="16.5" hidden="false" customHeight="true" outlineLevel="0" collapsed="false">
      <c r="A2299" s="747"/>
      <c r="B2299" s="798"/>
      <c r="D2299" s="798"/>
      <c r="E2299" s="798"/>
      <c r="F2299" s="798"/>
      <c r="G2299" s="798"/>
      <c r="J2299" s="778" t="str">
        <f aca="false">IF(I2299="","",H2299/I2299)</f>
        <v/>
      </c>
      <c r="K2299" s="798"/>
      <c r="P2299" s="798"/>
      <c r="Q2299" s="798"/>
      <c r="R2299" s="811"/>
    </row>
    <row r="2300" customFormat="false" ht="16.5" hidden="false" customHeight="true" outlineLevel="0" collapsed="false">
      <c r="A2300" s="747"/>
      <c r="B2300" s="798"/>
      <c r="D2300" s="798"/>
      <c r="E2300" s="798"/>
      <c r="F2300" s="798"/>
      <c r="G2300" s="798"/>
      <c r="J2300" s="778" t="str">
        <f aca="false">IF(I2300="","",H2300/I2300)</f>
        <v/>
      </c>
      <c r="K2300" s="798"/>
      <c r="P2300" s="798"/>
      <c r="Q2300" s="798"/>
      <c r="R2300" s="811"/>
    </row>
    <row r="2301" customFormat="false" ht="16.5" hidden="false" customHeight="true" outlineLevel="0" collapsed="false">
      <c r="A2301" s="747"/>
      <c r="B2301" s="798"/>
      <c r="D2301" s="798"/>
      <c r="E2301" s="798"/>
      <c r="F2301" s="798"/>
      <c r="G2301" s="798"/>
      <c r="J2301" s="778" t="str">
        <f aca="false">IF(I2301="","",H2301/I2301)</f>
        <v/>
      </c>
      <c r="K2301" s="798"/>
      <c r="P2301" s="798"/>
      <c r="Q2301" s="798"/>
      <c r="R2301" s="811"/>
    </row>
    <row r="2302" customFormat="false" ht="16.5" hidden="false" customHeight="true" outlineLevel="0" collapsed="false">
      <c r="A2302" s="747"/>
      <c r="B2302" s="798"/>
      <c r="D2302" s="798"/>
      <c r="E2302" s="798"/>
      <c r="F2302" s="798"/>
      <c r="G2302" s="798"/>
      <c r="J2302" s="778" t="str">
        <f aca="false">IF(I2302="","",H2302/I2302)</f>
        <v/>
      </c>
      <c r="K2302" s="798"/>
      <c r="P2302" s="798"/>
      <c r="Q2302" s="798"/>
      <c r="R2302" s="811"/>
    </row>
    <row r="2303" customFormat="false" ht="16.5" hidden="false" customHeight="true" outlineLevel="0" collapsed="false">
      <c r="A2303" s="747"/>
      <c r="B2303" s="798"/>
      <c r="D2303" s="798"/>
      <c r="E2303" s="798"/>
      <c r="F2303" s="798"/>
      <c r="G2303" s="798"/>
      <c r="J2303" s="778" t="str">
        <f aca="false">IF(I2303="","",H2303/I2303)</f>
        <v/>
      </c>
      <c r="K2303" s="798"/>
      <c r="P2303" s="798"/>
      <c r="Q2303" s="798"/>
      <c r="R2303" s="811"/>
    </row>
    <row r="2304" customFormat="false" ht="16.5" hidden="false" customHeight="true" outlineLevel="0" collapsed="false">
      <c r="A2304" s="747"/>
      <c r="B2304" s="798"/>
      <c r="D2304" s="798"/>
      <c r="E2304" s="798"/>
      <c r="F2304" s="798"/>
      <c r="G2304" s="798"/>
      <c r="J2304" s="778" t="str">
        <f aca="false">IF(I2304="","",H2304/I2304)</f>
        <v/>
      </c>
      <c r="K2304" s="798"/>
      <c r="P2304" s="798"/>
      <c r="Q2304" s="798"/>
      <c r="R2304" s="811"/>
    </row>
    <row r="2305" customFormat="false" ht="16.5" hidden="false" customHeight="true" outlineLevel="0" collapsed="false">
      <c r="A2305" s="747"/>
      <c r="B2305" s="798"/>
      <c r="D2305" s="798"/>
      <c r="E2305" s="798"/>
      <c r="F2305" s="798"/>
      <c r="G2305" s="798"/>
      <c r="J2305" s="778" t="str">
        <f aca="false">IF(I2305="","",H2305/I2305)</f>
        <v/>
      </c>
      <c r="K2305" s="798"/>
      <c r="P2305" s="798"/>
      <c r="Q2305" s="798"/>
      <c r="R2305" s="811"/>
    </row>
    <row r="2306" customFormat="false" ht="16.5" hidden="false" customHeight="true" outlineLevel="0" collapsed="false">
      <c r="A2306" s="747"/>
      <c r="B2306" s="798"/>
      <c r="D2306" s="798"/>
      <c r="E2306" s="798"/>
      <c r="F2306" s="798"/>
      <c r="G2306" s="798"/>
      <c r="J2306" s="778" t="str">
        <f aca="false">IF(I2306="","",H2306/I2306)</f>
        <v/>
      </c>
      <c r="K2306" s="798"/>
      <c r="P2306" s="798"/>
      <c r="Q2306" s="798"/>
      <c r="R2306" s="811"/>
    </row>
    <row r="2307" customFormat="false" ht="16.5" hidden="false" customHeight="true" outlineLevel="0" collapsed="false">
      <c r="A2307" s="747"/>
      <c r="B2307" s="798"/>
      <c r="D2307" s="798"/>
      <c r="E2307" s="798"/>
      <c r="F2307" s="798"/>
      <c r="G2307" s="798"/>
      <c r="J2307" s="778" t="str">
        <f aca="false">IF(I2307="","",H2307/I2307)</f>
        <v/>
      </c>
      <c r="K2307" s="798"/>
      <c r="P2307" s="798"/>
      <c r="Q2307" s="798"/>
      <c r="R2307" s="811"/>
    </row>
    <row r="2308" customFormat="false" ht="16.5" hidden="false" customHeight="true" outlineLevel="0" collapsed="false">
      <c r="A2308" s="747"/>
      <c r="B2308" s="798"/>
      <c r="D2308" s="798"/>
      <c r="E2308" s="798"/>
      <c r="F2308" s="798"/>
      <c r="G2308" s="798"/>
      <c r="J2308" s="778" t="str">
        <f aca="false">IF(I2308="","",H2308/I2308)</f>
        <v/>
      </c>
      <c r="K2308" s="798"/>
      <c r="P2308" s="798"/>
      <c r="Q2308" s="798"/>
      <c r="R2308" s="811"/>
    </row>
    <row r="2309" customFormat="false" ht="16.5" hidden="false" customHeight="true" outlineLevel="0" collapsed="false">
      <c r="A2309" s="747"/>
      <c r="B2309" s="798"/>
      <c r="D2309" s="798"/>
      <c r="E2309" s="798"/>
      <c r="F2309" s="798"/>
      <c r="G2309" s="798"/>
      <c r="J2309" s="778" t="str">
        <f aca="false">IF(I2309="","",H2309/I2309)</f>
        <v/>
      </c>
      <c r="K2309" s="798"/>
      <c r="P2309" s="798"/>
      <c r="Q2309" s="798"/>
      <c r="R2309" s="811"/>
    </row>
    <row r="2310" customFormat="false" ht="16.5" hidden="false" customHeight="true" outlineLevel="0" collapsed="false">
      <c r="A2310" s="747"/>
      <c r="B2310" s="798"/>
      <c r="D2310" s="798"/>
      <c r="E2310" s="798"/>
      <c r="F2310" s="798"/>
      <c r="G2310" s="798"/>
      <c r="J2310" s="778" t="str">
        <f aca="false">IF(I2310="","",H2310/I2310)</f>
        <v/>
      </c>
      <c r="K2310" s="798"/>
      <c r="P2310" s="798"/>
      <c r="Q2310" s="798"/>
      <c r="R2310" s="811"/>
    </row>
    <row r="2311" customFormat="false" ht="16.5" hidden="false" customHeight="true" outlineLevel="0" collapsed="false">
      <c r="A2311" s="747"/>
      <c r="B2311" s="798"/>
      <c r="D2311" s="798"/>
      <c r="E2311" s="798"/>
      <c r="F2311" s="798"/>
      <c r="G2311" s="798"/>
      <c r="J2311" s="778" t="str">
        <f aca="false">IF(I2311="","",H2311/I2311)</f>
        <v/>
      </c>
      <c r="K2311" s="798"/>
      <c r="P2311" s="798"/>
      <c r="Q2311" s="798"/>
      <c r="R2311" s="811"/>
    </row>
    <row r="2312" customFormat="false" ht="16.5" hidden="false" customHeight="true" outlineLevel="0" collapsed="false">
      <c r="A2312" s="747"/>
      <c r="B2312" s="798"/>
      <c r="D2312" s="798"/>
      <c r="E2312" s="798"/>
      <c r="F2312" s="798"/>
      <c r="G2312" s="798"/>
      <c r="J2312" s="778" t="str">
        <f aca="false">IF(I2312="","",H2312/I2312)</f>
        <v/>
      </c>
      <c r="K2312" s="798"/>
      <c r="P2312" s="798"/>
      <c r="Q2312" s="798"/>
      <c r="R2312" s="811"/>
    </row>
    <row r="2313" customFormat="false" ht="16.5" hidden="false" customHeight="true" outlineLevel="0" collapsed="false">
      <c r="A2313" s="747"/>
      <c r="B2313" s="798"/>
      <c r="D2313" s="798"/>
      <c r="E2313" s="798"/>
      <c r="F2313" s="798"/>
      <c r="G2313" s="798"/>
      <c r="J2313" s="778" t="str">
        <f aca="false">IF(I2313="","",H2313/I2313)</f>
        <v/>
      </c>
      <c r="K2313" s="798"/>
      <c r="P2313" s="798"/>
      <c r="Q2313" s="798"/>
      <c r="R2313" s="811"/>
    </row>
    <row r="2314" customFormat="false" ht="16.5" hidden="false" customHeight="true" outlineLevel="0" collapsed="false">
      <c r="A2314" s="747"/>
      <c r="B2314" s="798"/>
      <c r="D2314" s="798"/>
      <c r="E2314" s="798"/>
      <c r="F2314" s="798"/>
      <c r="G2314" s="798"/>
      <c r="J2314" s="778" t="str">
        <f aca="false">IF(I2314="","",H2314/I2314)</f>
        <v/>
      </c>
      <c r="K2314" s="798"/>
      <c r="P2314" s="798"/>
      <c r="Q2314" s="798"/>
      <c r="R2314" s="811"/>
    </row>
    <row r="2315" customFormat="false" ht="16.5" hidden="false" customHeight="true" outlineLevel="0" collapsed="false">
      <c r="A2315" s="747"/>
      <c r="B2315" s="798"/>
      <c r="D2315" s="798"/>
      <c r="E2315" s="798"/>
      <c r="F2315" s="798"/>
      <c r="G2315" s="798"/>
      <c r="J2315" s="778" t="str">
        <f aca="false">IF(I2315="","",H2315/I2315)</f>
        <v/>
      </c>
      <c r="K2315" s="798"/>
      <c r="P2315" s="798"/>
      <c r="Q2315" s="798"/>
      <c r="R2315" s="811"/>
    </row>
    <row r="2316" customFormat="false" ht="16.5" hidden="false" customHeight="true" outlineLevel="0" collapsed="false">
      <c r="A2316" s="747"/>
      <c r="B2316" s="798"/>
      <c r="D2316" s="798"/>
      <c r="E2316" s="798"/>
      <c r="F2316" s="798"/>
      <c r="G2316" s="798"/>
      <c r="J2316" s="778" t="str">
        <f aca="false">IF(I2316="","",H2316/I2316)</f>
        <v/>
      </c>
      <c r="K2316" s="798"/>
      <c r="P2316" s="798"/>
      <c r="Q2316" s="798"/>
      <c r="R2316" s="811"/>
    </row>
    <row r="2317" customFormat="false" ht="16.5" hidden="false" customHeight="true" outlineLevel="0" collapsed="false">
      <c r="A2317" s="747"/>
      <c r="B2317" s="798"/>
      <c r="D2317" s="798"/>
      <c r="E2317" s="798"/>
      <c r="F2317" s="798"/>
      <c r="G2317" s="798"/>
      <c r="J2317" s="778" t="str">
        <f aca="false">IF(I2317="","",H2317/I2317)</f>
        <v/>
      </c>
      <c r="K2317" s="798"/>
      <c r="P2317" s="798"/>
      <c r="Q2317" s="798"/>
      <c r="R2317" s="811"/>
    </row>
    <row r="2318" customFormat="false" ht="16.5" hidden="false" customHeight="true" outlineLevel="0" collapsed="false">
      <c r="A2318" s="747"/>
      <c r="B2318" s="798"/>
      <c r="D2318" s="798"/>
      <c r="E2318" s="798"/>
      <c r="F2318" s="798"/>
      <c r="G2318" s="798"/>
      <c r="J2318" s="778" t="str">
        <f aca="false">IF(I2318="","",H2318/I2318)</f>
        <v/>
      </c>
      <c r="K2318" s="798"/>
      <c r="P2318" s="798"/>
      <c r="Q2318" s="798"/>
      <c r="R2318" s="811"/>
    </row>
    <row r="2319" customFormat="false" ht="16.5" hidden="false" customHeight="true" outlineLevel="0" collapsed="false">
      <c r="A2319" s="747"/>
      <c r="B2319" s="798"/>
      <c r="D2319" s="798"/>
      <c r="E2319" s="798"/>
      <c r="F2319" s="798"/>
      <c r="G2319" s="798"/>
      <c r="J2319" s="778" t="str">
        <f aca="false">IF(I2319="","",H2319/I2319)</f>
        <v/>
      </c>
      <c r="K2319" s="798"/>
      <c r="P2319" s="798"/>
      <c r="Q2319" s="798"/>
      <c r="R2319" s="811"/>
    </row>
    <row r="2320" customFormat="false" ht="16.5" hidden="false" customHeight="true" outlineLevel="0" collapsed="false">
      <c r="A2320" s="747"/>
      <c r="B2320" s="798"/>
      <c r="D2320" s="798"/>
      <c r="E2320" s="798"/>
      <c r="F2320" s="798"/>
      <c r="G2320" s="798"/>
      <c r="J2320" s="778" t="str">
        <f aca="false">IF(I2320="","",H2320/I2320)</f>
        <v/>
      </c>
      <c r="K2320" s="798"/>
      <c r="P2320" s="798"/>
      <c r="Q2320" s="798"/>
      <c r="R2320" s="811"/>
    </row>
    <row r="2321" customFormat="false" ht="16.5" hidden="false" customHeight="true" outlineLevel="0" collapsed="false">
      <c r="A2321" s="747"/>
      <c r="B2321" s="798"/>
      <c r="D2321" s="798"/>
      <c r="E2321" s="798"/>
      <c r="F2321" s="798"/>
      <c r="G2321" s="798"/>
      <c r="J2321" s="778" t="str">
        <f aca="false">IF(I2321="","",H2321/I2321)</f>
        <v/>
      </c>
      <c r="K2321" s="798"/>
      <c r="P2321" s="798"/>
      <c r="Q2321" s="798"/>
      <c r="R2321" s="811"/>
    </row>
    <row r="2322" customFormat="false" ht="16.5" hidden="false" customHeight="true" outlineLevel="0" collapsed="false">
      <c r="A2322" s="747"/>
      <c r="B2322" s="798"/>
      <c r="D2322" s="798"/>
      <c r="E2322" s="798"/>
      <c r="F2322" s="798"/>
      <c r="G2322" s="798"/>
      <c r="J2322" s="778" t="str">
        <f aca="false">IF(I2322="","",H2322/I2322)</f>
        <v/>
      </c>
      <c r="K2322" s="798"/>
      <c r="P2322" s="798"/>
      <c r="Q2322" s="798"/>
      <c r="R2322" s="811"/>
    </row>
    <row r="2323" customFormat="false" ht="16.5" hidden="false" customHeight="true" outlineLevel="0" collapsed="false">
      <c r="A2323" s="747"/>
      <c r="B2323" s="798"/>
      <c r="D2323" s="798"/>
      <c r="E2323" s="798"/>
      <c r="F2323" s="798"/>
      <c r="G2323" s="798"/>
      <c r="J2323" s="778" t="str">
        <f aca="false">IF(I2323="","",H2323/I2323)</f>
        <v/>
      </c>
      <c r="K2323" s="798"/>
      <c r="P2323" s="798"/>
      <c r="Q2323" s="798"/>
      <c r="R2323" s="811"/>
    </row>
    <row r="2324" customFormat="false" ht="16.5" hidden="false" customHeight="true" outlineLevel="0" collapsed="false">
      <c r="A2324" s="747"/>
      <c r="B2324" s="798"/>
      <c r="D2324" s="798"/>
      <c r="E2324" s="798"/>
      <c r="F2324" s="798"/>
      <c r="G2324" s="798"/>
      <c r="J2324" s="778" t="str">
        <f aca="false">IF(I2324="","",H2324/I2324)</f>
        <v/>
      </c>
      <c r="K2324" s="798"/>
      <c r="P2324" s="798"/>
      <c r="Q2324" s="798"/>
      <c r="R2324" s="811"/>
    </row>
    <row r="2325" customFormat="false" ht="16.5" hidden="false" customHeight="true" outlineLevel="0" collapsed="false">
      <c r="A2325" s="747"/>
      <c r="B2325" s="798"/>
      <c r="D2325" s="798"/>
      <c r="E2325" s="798"/>
      <c r="F2325" s="798"/>
      <c r="G2325" s="798"/>
      <c r="J2325" s="778" t="str">
        <f aca="false">IF(I2325="","",H2325/I2325)</f>
        <v/>
      </c>
      <c r="K2325" s="798"/>
      <c r="P2325" s="798"/>
      <c r="Q2325" s="798"/>
      <c r="R2325" s="811"/>
    </row>
    <row r="2326" customFormat="false" ht="16.5" hidden="false" customHeight="true" outlineLevel="0" collapsed="false">
      <c r="A2326" s="747"/>
      <c r="B2326" s="798"/>
      <c r="D2326" s="798"/>
      <c r="E2326" s="798"/>
      <c r="F2326" s="798"/>
      <c r="G2326" s="798"/>
      <c r="J2326" s="778" t="str">
        <f aca="false">IF(I2326="","",H2326/I2326)</f>
        <v/>
      </c>
      <c r="K2326" s="798"/>
      <c r="P2326" s="798"/>
      <c r="Q2326" s="798"/>
      <c r="R2326" s="811"/>
    </row>
    <row r="2327" customFormat="false" ht="16.5" hidden="false" customHeight="true" outlineLevel="0" collapsed="false">
      <c r="A2327" s="747"/>
      <c r="B2327" s="798"/>
      <c r="D2327" s="798"/>
      <c r="E2327" s="798"/>
      <c r="F2327" s="798"/>
      <c r="G2327" s="798"/>
      <c r="J2327" s="778" t="str">
        <f aca="false">IF(I2327="","",H2327/I2327)</f>
        <v/>
      </c>
      <c r="K2327" s="798"/>
      <c r="P2327" s="798"/>
      <c r="Q2327" s="798"/>
      <c r="R2327" s="811"/>
    </row>
    <row r="2328" customFormat="false" ht="16.5" hidden="false" customHeight="true" outlineLevel="0" collapsed="false">
      <c r="A2328" s="747"/>
      <c r="B2328" s="798"/>
      <c r="D2328" s="798"/>
      <c r="E2328" s="798"/>
      <c r="F2328" s="798"/>
      <c r="G2328" s="798"/>
      <c r="J2328" s="778" t="str">
        <f aca="false">IF(I2328="","",H2328/I2328)</f>
        <v/>
      </c>
      <c r="K2328" s="798"/>
      <c r="P2328" s="798"/>
      <c r="Q2328" s="798"/>
      <c r="R2328" s="811"/>
    </row>
    <row r="2329" customFormat="false" ht="16.5" hidden="false" customHeight="true" outlineLevel="0" collapsed="false">
      <c r="A2329" s="747"/>
      <c r="B2329" s="798"/>
      <c r="D2329" s="798"/>
      <c r="E2329" s="798"/>
      <c r="F2329" s="798"/>
      <c r="G2329" s="798"/>
      <c r="J2329" s="778" t="str">
        <f aca="false">IF(I2329="","",H2329/I2329)</f>
        <v/>
      </c>
      <c r="K2329" s="798"/>
      <c r="P2329" s="798"/>
      <c r="Q2329" s="798"/>
      <c r="R2329" s="811"/>
    </row>
    <row r="2330" customFormat="false" ht="16.5" hidden="false" customHeight="true" outlineLevel="0" collapsed="false">
      <c r="A2330" s="747"/>
      <c r="B2330" s="798"/>
      <c r="D2330" s="798"/>
      <c r="E2330" s="798"/>
      <c r="F2330" s="798"/>
      <c r="G2330" s="798"/>
      <c r="J2330" s="778" t="str">
        <f aca="false">IF(I2330="","",H2330/I2330)</f>
        <v/>
      </c>
      <c r="K2330" s="798"/>
      <c r="P2330" s="798"/>
      <c r="Q2330" s="798"/>
      <c r="R2330" s="811"/>
    </row>
    <row r="2331" customFormat="false" ht="16.5" hidden="false" customHeight="true" outlineLevel="0" collapsed="false">
      <c r="A2331" s="747"/>
      <c r="B2331" s="798"/>
      <c r="D2331" s="798"/>
      <c r="E2331" s="798"/>
      <c r="F2331" s="798"/>
      <c r="G2331" s="798"/>
      <c r="J2331" s="778" t="str">
        <f aca="false">IF(I2331="","",H2331/I2331)</f>
        <v/>
      </c>
      <c r="K2331" s="798"/>
      <c r="P2331" s="798"/>
      <c r="Q2331" s="798"/>
      <c r="R2331" s="811"/>
    </row>
    <row r="2332" customFormat="false" ht="16.5" hidden="false" customHeight="true" outlineLevel="0" collapsed="false">
      <c r="A2332" s="747"/>
      <c r="B2332" s="798"/>
      <c r="D2332" s="798"/>
      <c r="E2332" s="798"/>
      <c r="F2332" s="798"/>
      <c r="G2332" s="798"/>
      <c r="J2332" s="778" t="str">
        <f aca="false">IF(I2332="","",H2332/I2332)</f>
        <v/>
      </c>
      <c r="K2332" s="798"/>
      <c r="P2332" s="798"/>
      <c r="Q2332" s="798"/>
      <c r="R2332" s="811"/>
    </row>
    <row r="2333" customFormat="false" ht="16.5" hidden="false" customHeight="true" outlineLevel="0" collapsed="false">
      <c r="A2333" s="747"/>
      <c r="B2333" s="798"/>
      <c r="D2333" s="798"/>
      <c r="E2333" s="798"/>
      <c r="F2333" s="798"/>
      <c r="G2333" s="798"/>
      <c r="J2333" s="778" t="str">
        <f aca="false">IF(I2333="","",H2333/I2333)</f>
        <v/>
      </c>
      <c r="K2333" s="798"/>
      <c r="P2333" s="798"/>
      <c r="Q2333" s="798"/>
      <c r="R2333" s="811"/>
    </row>
    <row r="2334" customFormat="false" ht="16.5" hidden="false" customHeight="true" outlineLevel="0" collapsed="false">
      <c r="A2334" s="747"/>
      <c r="B2334" s="798"/>
      <c r="D2334" s="798"/>
      <c r="E2334" s="798"/>
      <c r="F2334" s="798"/>
      <c r="G2334" s="798"/>
      <c r="J2334" s="778" t="str">
        <f aca="false">IF(I2334="","",H2334/I2334)</f>
        <v/>
      </c>
      <c r="K2334" s="798"/>
      <c r="P2334" s="798"/>
      <c r="Q2334" s="798"/>
      <c r="R2334" s="811"/>
    </row>
    <row r="2335" customFormat="false" ht="16.5" hidden="false" customHeight="true" outlineLevel="0" collapsed="false">
      <c r="A2335" s="747"/>
      <c r="B2335" s="798"/>
      <c r="D2335" s="798"/>
      <c r="E2335" s="798"/>
      <c r="F2335" s="798"/>
      <c r="G2335" s="798"/>
      <c r="J2335" s="778" t="str">
        <f aca="false">IF(I2335="","",H2335/I2335)</f>
        <v/>
      </c>
      <c r="K2335" s="798"/>
      <c r="P2335" s="798"/>
      <c r="Q2335" s="798"/>
      <c r="R2335" s="811"/>
    </row>
    <row r="2336" customFormat="false" ht="16.5" hidden="false" customHeight="true" outlineLevel="0" collapsed="false">
      <c r="A2336" s="747"/>
      <c r="B2336" s="798"/>
      <c r="D2336" s="798"/>
      <c r="E2336" s="798"/>
      <c r="F2336" s="798"/>
      <c r="G2336" s="798"/>
      <c r="J2336" s="778" t="str">
        <f aca="false">IF(I2336="","",H2336/I2336)</f>
        <v/>
      </c>
      <c r="K2336" s="798"/>
      <c r="P2336" s="798"/>
      <c r="Q2336" s="798"/>
      <c r="R2336" s="811"/>
    </row>
    <row r="2337" customFormat="false" ht="16.5" hidden="false" customHeight="true" outlineLevel="0" collapsed="false">
      <c r="A2337" s="747"/>
      <c r="B2337" s="798"/>
      <c r="D2337" s="798"/>
      <c r="E2337" s="798"/>
      <c r="F2337" s="798"/>
      <c r="G2337" s="798"/>
      <c r="J2337" s="778" t="str">
        <f aca="false">IF(I2337="","",H2337/I2337)</f>
        <v/>
      </c>
      <c r="K2337" s="798"/>
      <c r="P2337" s="798"/>
      <c r="Q2337" s="798"/>
      <c r="R2337" s="811"/>
    </row>
    <row r="2338" customFormat="false" ht="16.5" hidden="false" customHeight="true" outlineLevel="0" collapsed="false">
      <c r="A2338" s="747"/>
      <c r="B2338" s="798"/>
      <c r="D2338" s="798"/>
      <c r="E2338" s="798"/>
      <c r="F2338" s="798"/>
      <c r="G2338" s="798"/>
      <c r="J2338" s="778" t="str">
        <f aca="false">IF(I2338="","",H2338/I2338)</f>
        <v/>
      </c>
      <c r="K2338" s="798"/>
      <c r="P2338" s="798"/>
      <c r="Q2338" s="798"/>
      <c r="R2338" s="811"/>
    </row>
    <row r="2339" customFormat="false" ht="16.5" hidden="false" customHeight="true" outlineLevel="0" collapsed="false">
      <c r="A2339" s="747"/>
      <c r="B2339" s="798"/>
      <c r="D2339" s="798"/>
      <c r="E2339" s="798"/>
      <c r="F2339" s="798"/>
      <c r="G2339" s="798"/>
      <c r="J2339" s="778" t="str">
        <f aca="false">IF(I2339="","",H2339/I2339)</f>
        <v/>
      </c>
      <c r="K2339" s="798"/>
      <c r="P2339" s="798"/>
      <c r="Q2339" s="798"/>
      <c r="R2339" s="811"/>
    </row>
    <row r="2340" customFormat="false" ht="16.5" hidden="false" customHeight="true" outlineLevel="0" collapsed="false">
      <c r="A2340" s="747"/>
      <c r="B2340" s="798"/>
      <c r="D2340" s="798"/>
      <c r="E2340" s="798"/>
      <c r="F2340" s="798"/>
      <c r="G2340" s="798"/>
      <c r="J2340" s="778" t="str">
        <f aca="false">IF(I2340="","",H2340/I2340)</f>
        <v/>
      </c>
      <c r="K2340" s="798"/>
      <c r="P2340" s="798"/>
      <c r="Q2340" s="798"/>
      <c r="R2340" s="811"/>
    </row>
    <row r="2341" customFormat="false" ht="16.5" hidden="false" customHeight="true" outlineLevel="0" collapsed="false">
      <c r="A2341" s="747"/>
      <c r="B2341" s="798"/>
      <c r="D2341" s="798"/>
      <c r="E2341" s="798"/>
      <c r="F2341" s="798"/>
      <c r="G2341" s="798"/>
      <c r="J2341" s="778" t="str">
        <f aca="false">IF(I2341="","",H2341/I2341)</f>
        <v/>
      </c>
      <c r="K2341" s="798"/>
      <c r="P2341" s="798"/>
      <c r="Q2341" s="798"/>
      <c r="R2341" s="811"/>
    </row>
    <row r="2342" customFormat="false" ht="16.5" hidden="false" customHeight="true" outlineLevel="0" collapsed="false">
      <c r="A2342" s="747"/>
      <c r="B2342" s="798"/>
      <c r="D2342" s="798"/>
      <c r="E2342" s="798"/>
      <c r="F2342" s="798"/>
      <c r="G2342" s="798"/>
      <c r="J2342" s="778" t="str">
        <f aca="false">IF(I2342="","",H2342/I2342)</f>
        <v/>
      </c>
      <c r="K2342" s="798"/>
      <c r="P2342" s="798"/>
      <c r="Q2342" s="798"/>
      <c r="R2342" s="811"/>
    </row>
    <row r="2343" customFormat="false" ht="16.5" hidden="false" customHeight="true" outlineLevel="0" collapsed="false">
      <c r="A2343" s="747"/>
      <c r="B2343" s="798"/>
      <c r="D2343" s="798"/>
      <c r="E2343" s="798"/>
      <c r="F2343" s="798"/>
      <c r="G2343" s="798"/>
      <c r="J2343" s="778" t="str">
        <f aca="false">IF(I2343="","",H2343/I2343)</f>
        <v/>
      </c>
      <c r="K2343" s="798"/>
      <c r="P2343" s="798"/>
      <c r="Q2343" s="798"/>
      <c r="R2343" s="811"/>
    </row>
    <row r="2344" customFormat="false" ht="16.5" hidden="false" customHeight="true" outlineLevel="0" collapsed="false">
      <c r="A2344" s="747"/>
      <c r="B2344" s="798"/>
      <c r="D2344" s="798"/>
      <c r="E2344" s="798"/>
      <c r="F2344" s="798"/>
      <c r="G2344" s="798"/>
      <c r="J2344" s="778" t="str">
        <f aca="false">IF(I2344="","",H2344/I2344)</f>
        <v/>
      </c>
      <c r="K2344" s="798"/>
      <c r="P2344" s="798"/>
      <c r="Q2344" s="798"/>
      <c r="R2344" s="811"/>
    </row>
    <row r="2345" customFormat="false" ht="16.5" hidden="false" customHeight="true" outlineLevel="0" collapsed="false">
      <c r="A2345" s="747"/>
      <c r="B2345" s="798"/>
      <c r="D2345" s="798"/>
      <c r="E2345" s="798"/>
      <c r="F2345" s="798"/>
      <c r="G2345" s="798"/>
      <c r="J2345" s="778" t="str">
        <f aca="false">IF(I2345="","",H2345/I2345)</f>
        <v/>
      </c>
      <c r="K2345" s="798"/>
      <c r="P2345" s="798"/>
      <c r="Q2345" s="798"/>
      <c r="R2345" s="811"/>
    </row>
    <row r="2346" customFormat="false" ht="16.5" hidden="false" customHeight="true" outlineLevel="0" collapsed="false">
      <c r="A2346" s="747"/>
      <c r="B2346" s="798"/>
      <c r="D2346" s="798"/>
      <c r="E2346" s="798"/>
      <c r="F2346" s="798"/>
      <c r="G2346" s="798"/>
      <c r="J2346" s="778" t="str">
        <f aca="false">IF(I2346="","",H2346/I2346)</f>
        <v/>
      </c>
      <c r="K2346" s="798"/>
      <c r="P2346" s="798"/>
      <c r="Q2346" s="798"/>
      <c r="R2346" s="811"/>
    </row>
    <row r="2347" customFormat="false" ht="16.5" hidden="false" customHeight="true" outlineLevel="0" collapsed="false">
      <c r="A2347" s="747"/>
      <c r="B2347" s="798"/>
      <c r="D2347" s="798"/>
      <c r="E2347" s="798"/>
      <c r="F2347" s="798"/>
      <c r="G2347" s="798"/>
      <c r="J2347" s="778" t="str">
        <f aca="false">IF(I2347="","",H2347/I2347)</f>
        <v/>
      </c>
      <c r="K2347" s="798"/>
      <c r="P2347" s="798"/>
      <c r="Q2347" s="798"/>
      <c r="R2347" s="811"/>
    </row>
    <row r="2348" customFormat="false" ht="16.5" hidden="false" customHeight="true" outlineLevel="0" collapsed="false">
      <c r="A2348" s="747"/>
      <c r="B2348" s="798"/>
      <c r="D2348" s="798"/>
      <c r="E2348" s="798"/>
      <c r="F2348" s="798"/>
      <c r="G2348" s="798"/>
      <c r="J2348" s="778" t="str">
        <f aca="false">IF(I2348="","",H2348/I2348)</f>
        <v/>
      </c>
      <c r="K2348" s="798"/>
      <c r="P2348" s="798"/>
      <c r="Q2348" s="798"/>
      <c r="R2348" s="811"/>
    </row>
    <row r="2349" customFormat="false" ht="16.5" hidden="false" customHeight="true" outlineLevel="0" collapsed="false">
      <c r="A2349" s="747"/>
      <c r="B2349" s="798"/>
      <c r="D2349" s="798"/>
      <c r="E2349" s="798"/>
      <c r="F2349" s="798"/>
      <c r="G2349" s="798"/>
      <c r="J2349" s="778" t="str">
        <f aca="false">IF(I2349="","",H2349/I2349)</f>
        <v/>
      </c>
      <c r="K2349" s="798"/>
      <c r="P2349" s="798"/>
      <c r="Q2349" s="798"/>
      <c r="R2349" s="811"/>
    </row>
    <row r="2350" customFormat="false" ht="16.5" hidden="false" customHeight="true" outlineLevel="0" collapsed="false">
      <c r="A2350" s="747"/>
      <c r="B2350" s="798"/>
      <c r="D2350" s="798"/>
      <c r="E2350" s="798"/>
      <c r="F2350" s="798"/>
      <c r="G2350" s="798"/>
      <c r="J2350" s="778" t="str">
        <f aca="false">IF(I2350="","",H2350/I2350)</f>
        <v/>
      </c>
      <c r="K2350" s="798"/>
      <c r="P2350" s="798"/>
      <c r="Q2350" s="798"/>
      <c r="R2350" s="811"/>
    </row>
    <row r="2351" customFormat="false" ht="16.5" hidden="false" customHeight="true" outlineLevel="0" collapsed="false">
      <c r="A2351" s="747"/>
      <c r="B2351" s="798"/>
      <c r="D2351" s="798"/>
      <c r="E2351" s="798"/>
      <c r="F2351" s="798"/>
      <c r="G2351" s="798"/>
      <c r="J2351" s="778" t="str">
        <f aca="false">IF(I2351="","",H2351/I2351)</f>
        <v/>
      </c>
      <c r="K2351" s="798"/>
      <c r="P2351" s="798"/>
      <c r="Q2351" s="798"/>
      <c r="R2351" s="811"/>
    </row>
    <row r="2352" customFormat="false" ht="16.5" hidden="false" customHeight="true" outlineLevel="0" collapsed="false">
      <c r="A2352" s="747"/>
      <c r="B2352" s="798"/>
      <c r="D2352" s="798"/>
      <c r="E2352" s="798"/>
      <c r="F2352" s="798"/>
      <c r="G2352" s="798"/>
      <c r="J2352" s="778" t="str">
        <f aca="false">IF(I2352="","",H2352/I2352)</f>
        <v/>
      </c>
      <c r="K2352" s="798"/>
      <c r="P2352" s="798"/>
      <c r="Q2352" s="798"/>
      <c r="R2352" s="811"/>
    </row>
    <row r="2353" customFormat="false" ht="16.5" hidden="false" customHeight="true" outlineLevel="0" collapsed="false">
      <c r="A2353" s="747"/>
      <c r="B2353" s="798"/>
      <c r="D2353" s="798"/>
      <c r="E2353" s="798"/>
      <c r="F2353" s="798"/>
      <c r="G2353" s="798"/>
      <c r="J2353" s="778" t="str">
        <f aca="false">IF(I2353="","",H2353/I2353)</f>
        <v/>
      </c>
      <c r="K2353" s="798"/>
      <c r="P2353" s="798"/>
      <c r="Q2353" s="798"/>
      <c r="R2353" s="811"/>
    </row>
    <row r="2354" customFormat="false" ht="16.5" hidden="false" customHeight="true" outlineLevel="0" collapsed="false">
      <c r="A2354" s="747"/>
      <c r="B2354" s="798"/>
      <c r="D2354" s="798"/>
      <c r="E2354" s="798"/>
      <c r="F2354" s="798"/>
      <c r="G2354" s="798"/>
      <c r="J2354" s="778" t="str">
        <f aca="false">IF(I2354="","",H2354/I2354)</f>
        <v/>
      </c>
      <c r="K2354" s="798"/>
      <c r="P2354" s="798"/>
      <c r="Q2354" s="798"/>
      <c r="R2354" s="811"/>
    </row>
    <row r="2355" customFormat="false" ht="16.5" hidden="false" customHeight="true" outlineLevel="0" collapsed="false">
      <c r="A2355" s="747"/>
      <c r="B2355" s="798"/>
      <c r="D2355" s="798"/>
      <c r="E2355" s="798"/>
      <c r="F2355" s="798"/>
      <c r="G2355" s="798"/>
      <c r="J2355" s="778" t="str">
        <f aca="false">IF(I2355="","",H2355/I2355)</f>
        <v/>
      </c>
      <c r="K2355" s="798"/>
      <c r="P2355" s="798"/>
      <c r="Q2355" s="798"/>
      <c r="R2355" s="811"/>
    </row>
    <row r="2356" customFormat="false" ht="16.5" hidden="false" customHeight="true" outlineLevel="0" collapsed="false">
      <c r="A2356" s="747"/>
      <c r="B2356" s="798"/>
      <c r="D2356" s="798"/>
      <c r="E2356" s="798"/>
      <c r="F2356" s="798"/>
      <c r="G2356" s="798"/>
      <c r="J2356" s="778" t="str">
        <f aca="false">IF(I2356="","",H2356/I2356)</f>
        <v/>
      </c>
      <c r="K2356" s="798"/>
      <c r="P2356" s="798"/>
      <c r="Q2356" s="798"/>
      <c r="R2356" s="811"/>
    </row>
    <row r="2357" customFormat="false" ht="16.5" hidden="false" customHeight="true" outlineLevel="0" collapsed="false">
      <c r="A2357" s="747"/>
      <c r="B2357" s="798"/>
      <c r="D2357" s="798"/>
      <c r="E2357" s="798"/>
      <c r="F2357" s="798"/>
      <c r="G2357" s="798"/>
      <c r="J2357" s="778" t="str">
        <f aca="false">IF(I2357="","",H2357/I2357)</f>
        <v/>
      </c>
      <c r="K2357" s="798"/>
      <c r="P2357" s="798"/>
      <c r="Q2357" s="798"/>
      <c r="R2357" s="811"/>
    </row>
    <row r="2358" customFormat="false" ht="16.5" hidden="false" customHeight="true" outlineLevel="0" collapsed="false">
      <c r="A2358" s="747"/>
      <c r="B2358" s="798"/>
      <c r="D2358" s="798"/>
      <c r="E2358" s="798"/>
      <c r="F2358" s="798"/>
      <c r="G2358" s="798"/>
      <c r="J2358" s="778" t="str">
        <f aca="false">IF(I2358="","",H2358/I2358)</f>
        <v/>
      </c>
      <c r="K2358" s="798"/>
      <c r="P2358" s="798"/>
      <c r="Q2358" s="798"/>
      <c r="R2358" s="811"/>
    </row>
    <row r="2359" customFormat="false" ht="16.5" hidden="false" customHeight="true" outlineLevel="0" collapsed="false">
      <c r="A2359" s="747"/>
      <c r="B2359" s="798"/>
      <c r="D2359" s="798"/>
      <c r="E2359" s="798"/>
      <c r="F2359" s="798"/>
      <c r="G2359" s="798"/>
      <c r="J2359" s="778" t="str">
        <f aca="false">IF(I2359="","",H2359/I2359)</f>
        <v/>
      </c>
      <c r="K2359" s="798"/>
      <c r="P2359" s="798"/>
      <c r="Q2359" s="798"/>
      <c r="R2359" s="811"/>
    </row>
    <row r="2360" customFormat="false" ht="16.5" hidden="false" customHeight="true" outlineLevel="0" collapsed="false">
      <c r="A2360" s="747"/>
      <c r="B2360" s="798"/>
      <c r="D2360" s="798"/>
      <c r="E2360" s="798"/>
      <c r="F2360" s="798"/>
      <c r="G2360" s="798"/>
      <c r="J2360" s="778" t="str">
        <f aca="false">IF(I2360="","",H2360/I2360)</f>
        <v/>
      </c>
      <c r="K2360" s="798"/>
      <c r="P2360" s="798"/>
      <c r="Q2360" s="798"/>
      <c r="R2360" s="811"/>
    </row>
    <row r="2361" customFormat="false" ht="16.5" hidden="false" customHeight="true" outlineLevel="0" collapsed="false">
      <c r="A2361" s="747"/>
      <c r="B2361" s="798"/>
      <c r="D2361" s="798"/>
      <c r="E2361" s="798"/>
      <c r="F2361" s="798"/>
      <c r="G2361" s="798"/>
      <c r="J2361" s="778" t="str">
        <f aca="false">IF(I2361="","",H2361/I2361)</f>
        <v/>
      </c>
      <c r="K2361" s="798"/>
      <c r="P2361" s="798"/>
      <c r="Q2361" s="798"/>
      <c r="R2361" s="811"/>
    </row>
    <row r="2362" customFormat="false" ht="16.5" hidden="false" customHeight="true" outlineLevel="0" collapsed="false">
      <c r="A2362" s="747"/>
      <c r="B2362" s="798"/>
      <c r="D2362" s="798"/>
      <c r="E2362" s="798"/>
      <c r="F2362" s="798"/>
      <c r="G2362" s="798"/>
      <c r="J2362" s="778" t="str">
        <f aca="false">IF(I2362="","",H2362/I2362)</f>
        <v/>
      </c>
      <c r="K2362" s="798"/>
      <c r="P2362" s="798"/>
      <c r="Q2362" s="798"/>
      <c r="R2362" s="811"/>
    </row>
    <row r="2363" customFormat="false" ht="16.5" hidden="false" customHeight="true" outlineLevel="0" collapsed="false">
      <c r="A2363" s="747"/>
      <c r="B2363" s="798"/>
      <c r="D2363" s="798"/>
      <c r="E2363" s="798"/>
      <c r="F2363" s="798"/>
      <c r="G2363" s="798"/>
      <c r="J2363" s="778" t="str">
        <f aca="false">IF(I2363="","",H2363/I2363)</f>
        <v/>
      </c>
      <c r="K2363" s="798"/>
      <c r="P2363" s="798"/>
      <c r="Q2363" s="798"/>
      <c r="R2363" s="811"/>
    </row>
    <row r="2364" customFormat="false" ht="16.5" hidden="false" customHeight="true" outlineLevel="0" collapsed="false">
      <c r="A2364" s="747"/>
      <c r="B2364" s="798"/>
      <c r="D2364" s="798"/>
      <c r="E2364" s="798"/>
      <c r="F2364" s="798"/>
      <c r="G2364" s="798"/>
      <c r="J2364" s="778" t="str">
        <f aca="false">IF(I2364="","",H2364/I2364)</f>
        <v/>
      </c>
      <c r="K2364" s="798"/>
      <c r="P2364" s="798"/>
      <c r="Q2364" s="798"/>
      <c r="R2364" s="811"/>
    </row>
    <row r="2365" customFormat="false" ht="16.5" hidden="false" customHeight="true" outlineLevel="0" collapsed="false">
      <c r="A2365" s="747"/>
      <c r="B2365" s="798"/>
      <c r="D2365" s="798"/>
      <c r="E2365" s="798"/>
      <c r="F2365" s="798"/>
      <c r="G2365" s="798"/>
      <c r="J2365" s="778" t="str">
        <f aca="false">IF(I2365="","",H2365/I2365)</f>
        <v/>
      </c>
      <c r="K2365" s="798"/>
      <c r="P2365" s="798"/>
      <c r="Q2365" s="798"/>
      <c r="R2365" s="811"/>
    </row>
    <row r="2366" customFormat="false" ht="16.5" hidden="false" customHeight="true" outlineLevel="0" collapsed="false">
      <c r="A2366" s="747"/>
      <c r="B2366" s="798"/>
      <c r="D2366" s="798"/>
      <c r="E2366" s="798"/>
      <c r="F2366" s="798"/>
      <c r="G2366" s="798"/>
      <c r="J2366" s="778" t="str">
        <f aca="false">IF(I2366="","",H2366/I2366)</f>
        <v/>
      </c>
      <c r="K2366" s="798"/>
      <c r="P2366" s="798"/>
      <c r="Q2366" s="798"/>
      <c r="R2366" s="811"/>
    </row>
    <row r="2367" customFormat="false" ht="16.5" hidden="false" customHeight="true" outlineLevel="0" collapsed="false">
      <c r="A2367" s="747"/>
      <c r="B2367" s="798"/>
      <c r="D2367" s="798"/>
      <c r="E2367" s="798"/>
      <c r="F2367" s="798"/>
      <c r="G2367" s="798"/>
      <c r="J2367" s="778" t="str">
        <f aca="false">IF(I2367="","",H2367/I2367)</f>
        <v/>
      </c>
      <c r="K2367" s="798"/>
      <c r="P2367" s="798"/>
      <c r="Q2367" s="798"/>
      <c r="R2367" s="811"/>
    </row>
    <row r="2368" customFormat="false" ht="16.5" hidden="false" customHeight="true" outlineLevel="0" collapsed="false">
      <c r="A2368" s="747"/>
      <c r="B2368" s="798"/>
      <c r="D2368" s="798"/>
      <c r="E2368" s="798"/>
      <c r="F2368" s="798"/>
      <c r="G2368" s="798"/>
      <c r="J2368" s="778" t="str">
        <f aca="false">IF(I2368="","",H2368/I2368)</f>
        <v/>
      </c>
      <c r="K2368" s="798"/>
      <c r="P2368" s="798"/>
      <c r="Q2368" s="798"/>
      <c r="R2368" s="811"/>
    </row>
    <row r="2369" customFormat="false" ht="16.5" hidden="false" customHeight="true" outlineLevel="0" collapsed="false">
      <c r="A2369" s="747"/>
      <c r="B2369" s="798"/>
      <c r="D2369" s="798"/>
      <c r="E2369" s="798"/>
      <c r="F2369" s="798"/>
      <c r="G2369" s="798"/>
      <c r="J2369" s="778" t="str">
        <f aca="false">IF(I2369="","",H2369/I2369)</f>
        <v/>
      </c>
      <c r="K2369" s="798"/>
      <c r="P2369" s="798"/>
      <c r="Q2369" s="798"/>
      <c r="R2369" s="811"/>
    </row>
    <row r="2370" customFormat="false" ht="16.5" hidden="false" customHeight="true" outlineLevel="0" collapsed="false">
      <c r="A2370" s="747"/>
      <c r="B2370" s="798"/>
      <c r="D2370" s="798"/>
      <c r="E2370" s="798"/>
      <c r="F2370" s="798"/>
      <c r="G2370" s="798"/>
      <c r="J2370" s="778" t="str">
        <f aca="false">IF(I2370="","",H2370/I2370)</f>
        <v/>
      </c>
      <c r="K2370" s="798"/>
      <c r="P2370" s="798"/>
      <c r="Q2370" s="798"/>
      <c r="R2370" s="811"/>
    </row>
    <row r="2371" customFormat="false" ht="16.5" hidden="false" customHeight="true" outlineLevel="0" collapsed="false">
      <c r="A2371" s="747"/>
      <c r="B2371" s="798"/>
      <c r="D2371" s="798"/>
      <c r="E2371" s="798"/>
      <c r="F2371" s="798"/>
      <c r="G2371" s="798"/>
      <c r="J2371" s="778" t="str">
        <f aca="false">IF(I2371="","",H2371/I2371)</f>
        <v/>
      </c>
      <c r="K2371" s="798"/>
      <c r="P2371" s="798"/>
      <c r="Q2371" s="798"/>
      <c r="R2371" s="811"/>
    </row>
    <row r="2372" customFormat="false" ht="16.5" hidden="false" customHeight="true" outlineLevel="0" collapsed="false">
      <c r="A2372" s="747"/>
      <c r="B2372" s="798"/>
      <c r="D2372" s="798"/>
      <c r="E2372" s="798"/>
      <c r="F2372" s="798"/>
      <c r="G2372" s="798"/>
      <c r="J2372" s="778" t="str">
        <f aca="false">IF(I2372="","",H2372/I2372)</f>
        <v/>
      </c>
      <c r="K2372" s="798"/>
      <c r="P2372" s="798"/>
      <c r="Q2372" s="798"/>
      <c r="R2372" s="811"/>
    </row>
    <row r="2373" customFormat="false" ht="16.5" hidden="false" customHeight="true" outlineLevel="0" collapsed="false">
      <c r="A2373" s="747"/>
      <c r="B2373" s="798"/>
      <c r="D2373" s="798"/>
      <c r="E2373" s="798"/>
      <c r="F2373" s="798"/>
      <c r="G2373" s="798"/>
      <c r="J2373" s="778" t="str">
        <f aca="false">IF(I2373="","",H2373/I2373)</f>
        <v/>
      </c>
      <c r="K2373" s="798"/>
      <c r="P2373" s="798"/>
      <c r="Q2373" s="798"/>
      <c r="R2373" s="811"/>
    </row>
    <row r="2374" customFormat="false" ht="16.5" hidden="false" customHeight="true" outlineLevel="0" collapsed="false">
      <c r="A2374" s="747"/>
      <c r="B2374" s="798"/>
      <c r="D2374" s="798"/>
      <c r="E2374" s="798"/>
      <c r="F2374" s="798"/>
      <c r="G2374" s="798"/>
      <c r="J2374" s="778" t="str">
        <f aca="false">IF(I2374="","",H2374/I2374)</f>
        <v/>
      </c>
      <c r="K2374" s="798"/>
      <c r="P2374" s="798"/>
      <c r="Q2374" s="798"/>
      <c r="R2374" s="811"/>
    </row>
    <row r="2375" customFormat="false" ht="16.5" hidden="false" customHeight="true" outlineLevel="0" collapsed="false">
      <c r="A2375" s="747"/>
      <c r="B2375" s="798"/>
      <c r="D2375" s="798"/>
      <c r="E2375" s="798"/>
      <c r="F2375" s="798"/>
      <c r="G2375" s="798"/>
      <c r="J2375" s="778" t="str">
        <f aca="false">IF(I2375="","",H2375/I2375)</f>
        <v/>
      </c>
      <c r="K2375" s="798"/>
      <c r="P2375" s="798"/>
      <c r="Q2375" s="798"/>
      <c r="R2375" s="811"/>
    </row>
    <row r="2376" customFormat="false" ht="16.5" hidden="false" customHeight="true" outlineLevel="0" collapsed="false">
      <c r="A2376" s="747"/>
      <c r="B2376" s="798"/>
      <c r="D2376" s="798"/>
      <c r="E2376" s="798"/>
      <c r="F2376" s="798"/>
      <c r="G2376" s="798"/>
      <c r="J2376" s="778" t="str">
        <f aca="false">IF(I2376="","",H2376/I2376)</f>
        <v/>
      </c>
      <c r="K2376" s="798"/>
      <c r="P2376" s="798"/>
      <c r="Q2376" s="798"/>
      <c r="R2376" s="811"/>
    </row>
    <row r="2377" customFormat="false" ht="16.5" hidden="false" customHeight="true" outlineLevel="0" collapsed="false">
      <c r="A2377" s="747"/>
      <c r="B2377" s="798"/>
      <c r="D2377" s="798"/>
      <c r="E2377" s="798"/>
      <c r="F2377" s="798"/>
      <c r="G2377" s="798"/>
      <c r="J2377" s="778" t="str">
        <f aca="false">IF(I2377="","",H2377/I2377)</f>
        <v/>
      </c>
      <c r="K2377" s="798"/>
      <c r="P2377" s="798"/>
      <c r="Q2377" s="798"/>
      <c r="R2377" s="811"/>
    </row>
    <row r="2378" customFormat="false" ht="16.5" hidden="false" customHeight="true" outlineLevel="0" collapsed="false">
      <c r="A2378" s="747"/>
      <c r="B2378" s="798"/>
      <c r="D2378" s="798"/>
      <c r="E2378" s="798"/>
      <c r="F2378" s="798"/>
      <c r="G2378" s="798"/>
      <c r="J2378" s="778" t="str">
        <f aca="false">IF(I2378="","",H2378/I2378)</f>
        <v/>
      </c>
      <c r="K2378" s="798"/>
      <c r="P2378" s="798"/>
      <c r="Q2378" s="798"/>
      <c r="R2378" s="811"/>
    </row>
    <row r="2379" customFormat="false" ht="16.5" hidden="false" customHeight="true" outlineLevel="0" collapsed="false">
      <c r="A2379" s="747"/>
      <c r="B2379" s="798"/>
      <c r="D2379" s="798"/>
      <c r="E2379" s="798"/>
      <c r="F2379" s="798"/>
      <c r="G2379" s="798"/>
      <c r="J2379" s="778" t="str">
        <f aca="false">IF(I2379="","",H2379/I2379)</f>
        <v/>
      </c>
      <c r="K2379" s="798"/>
      <c r="P2379" s="798"/>
      <c r="Q2379" s="798"/>
      <c r="R2379" s="811"/>
    </row>
    <row r="2380" customFormat="false" ht="16.5" hidden="false" customHeight="true" outlineLevel="0" collapsed="false">
      <c r="A2380" s="747"/>
      <c r="B2380" s="798"/>
      <c r="D2380" s="798"/>
      <c r="E2380" s="798"/>
      <c r="F2380" s="798"/>
      <c r="G2380" s="798"/>
      <c r="J2380" s="778" t="str">
        <f aca="false">IF(I2380="","",H2380/I2380)</f>
        <v/>
      </c>
      <c r="K2380" s="798"/>
      <c r="P2380" s="798"/>
      <c r="Q2380" s="798"/>
      <c r="R2380" s="811"/>
    </row>
    <row r="2381" customFormat="false" ht="16.5" hidden="false" customHeight="true" outlineLevel="0" collapsed="false">
      <c r="A2381" s="747"/>
      <c r="B2381" s="798"/>
      <c r="D2381" s="798"/>
      <c r="E2381" s="798"/>
      <c r="F2381" s="798"/>
      <c r="G2381" s="798"/>
      <c r="J2381" s="778" t="str">
        <f aca="false">IF(I2381="","",H2381/I2381)</f>
        <v/>
      </c>
      <c r="K2381" s="798"/>
      <c r="P2381" s="798"/>
      <c r="Q2381" s="798"/>
      <c r="R2381" s="811"/>
    </row>
    <row r="2382" customFormat="false" ht="16.5" hidden="false" customHeight="true" outlineLevel="0" collapsed="false">
      <c r="A2382" s="747"/>
      <c r="B2382" s="798"/>
      <c r="D2382" s="798"/>
      <c r="E2382" s="798"/>
      <c r="F2382" s="798"/>
      <c r="G2382" s="798"/>
      <c r="J2382" s="778" t="str">
        <f aca="false">IF(I2382="","",H2382/I2382)</f>
        <v/>
      </c>
      <c r="K2382" s="798"/>
      <c r="P2382" s="798"/>
      <c r="Q2382" s="798"/>
      <c r="R2382" s="811"/>
    </row>
    <row r="2383" customFormat="false" ht="16.5" hidden="false" customHeight="true" outlineLevel="0" collapsed="false">
      <c r="A2383" s="747"/>
      <c r="B2383" s="798"/>
      <c r="D2383" s="798"/>
      <c r="E2383" s="798"/>
      <c r="F2383" s="798"/>
      <c r="G2383" s="798"/>
      <c r="J2383" s="778" t="str">
        <f aca="false">IF(I2383="","",H2383/I2383)</f>
        <v/>
      </c>
      <c r="K2383" s="798"/>
      <c r="P2383" s="798"/>
      <c r="Q2383" s="798"/>
      <c r="R2383" s="811"/>
    </row>
    <row r="2384" customFormat="false" ht="16.5" hidden="false" customHeight="true" outlineLevel="0" collapsed="false">
      <c r="A2384" s="747"/>
      <c r="B2384" s="798"/>
      <c r="D2384" s="798"/>
      <c r="E2384" s="798"/>
      <c r="F2384" s="798"/>
      <c r="G2384" s="798"/>
      <c r="J2384" s="778" t="str">
        <f aca="false">IF(I2384="","",H2384/I2384)</f>
        <v/>
      </c>
      <c r="K2384" s="798"/>
      <c r="P2384" s="798"/>
      <c r="Q2384" s="798"/>
      <c r="R2384" s="811"/>
    </row>
    <row r="2385" customFormat="false" ht="16.5" hidden="false" customHeight="true" outlineLevel="0" collapsed="false">
      <c r="A2385" s="747"/>
      <c r="B2385" s="798"/>
      <c r="D2385" s="798"/>
      <c r="E2385" s="798"/>
      <c r="F2385" s="798"/>
      <c r="G2385" s="798"/>
      <c r="J2385" s="778" t="str">
        <f aca="false">IF(I2385="","",H2385/I2385)</f>
        <v/>
      </c>
      <c r="K2385" s="798"/>
      <c r="P2385" s="798"/>
      <c r="Q2385" s="798"/>
      <c r="R2385" s="811"/>
    </row>
    <row r="2386" customFormat="false" ht="16.5" hidden="false" customHeight="true" outlineLevel="0" collapsed="false">
      <c r="A2386" s="747"/>
      <c r="B2386" s="798"/>
      <c r="D2386" s="798"/>
      <c r="E2386" s="798"/>
      <c r="F2386" s="798"/>
      <c r="G2386" s="798"/>
      <c r="J2386" s="778" t="str">
        <f aca="false">IF(I2386="","",H2386/I2386)</f>
        <v/>
      </c>
      <c r="K2386" s="798"/>
      <c r="P2386" s="798"/>
      <c r="Q2386" s="798"/>
      <c r="R2386" s="811"/>
    </row>
    <row r="2387" customFormat="false" ht="16.5" hidden="false" customHeight="true" outlineLevel="0" collapsed="false">
      <c r="A2387" s="747"/>
      <c r="B2387" s="798"/>
      <c r="D2387" s="798"/>
      <c r="E2387" s="798"/>
      <c r="F2387" s="798"/>
      <c r="G2387" s="798"/>
      <c r="J2387" s="778" t="str">
        <f aca="false">IF(I2387="","",H2387/I2387)</f>
        <v/>
      </c>
      <c r="K2387" s="798"/>
      <c r="P2387" s="798"/>
      <c r="Q2387" s="798"/>
      <c r="R2387" s="811"/>
    </row>
    <row r="2388" customFormat="false" ht="16.5" hidden="false" customHeight="true" outlineLevel="0" collapsed="false">
      <c r="A2388" s="747"/>
      <c r="B2388" s="798"/>
      <c r="D2388" s="798"/>
      <c r="E2388" s="798"/>
      <c r="F2388" s="798"/>
      <c r="G2388" s="798"/>
      <c r="J2388" s="778" t="str">
        <f aca="false">IF(I2388="","",H2388/I2388)</f>
        <v/>
      </c>
      <c r="K2388" s="798"/>
      <c r="P2388" s="798"/>
      <c r="Q2388" s="798"/>
      <c r="R2388" s="811"/>
    </row>
    <row r="2389" customFormat="false" ht="16.5" hidden="false" customHeight="true" outlineLevel="0" collapsed="false">
      <c r="A2389" s="747"/>
      <c r="B2389" s="798"/>
      <c r="D2389" s="798"/>
      <c r="E2389" s="798"/>
      <c r="F2389" s="798"/>
      <c r="G2389" s="798"/>
      <c r="J2389" s="778" t="str">
        <f aca="false">IF(I2389="","",H2389/I2389)</f>
        <v/>
      </c>
      <c r="K2389" s="798"/>
      <c r="P2389" s="798"/>
      <c r="Q2389" s="798"/>
      <c r="R2389" s="811"/>
    </row>
    <row r="2390" customFormat="false" ht="16.5" hidden="false" customHeight="true" outlineLevel="0" collapsed="false">
      <c r="A2390" s="747"/>
      <c r="B2390" s="798"/>
      <c r="D2390" s="798"/>
      <c r="E2390" s="798"/>
      <c r="F2390" s="798"/>
      <c r="G2390" s="798"/>
      <c r="J2390" s="778" t="str">
        <f aca="false">IF(I2390="","",H2390/I2390)</f>
        <v/>
      </c>
      <c r="K2390" s="798"/>
      <c r="P2390" s="798"/>
      <c r="Q2390" s="798"/>
      <c r="R2390" s="811"/>
    </row>
    <row r="2391" customFormat="false" ht="16.5" hidden="false" customHeight="true" outlineLevel="0" collapsed="false">
      <c r="A2391" s="747"/>
      <c r="B2391" s="798"/>
      <c r="D2391" s="798"/>
      <c r="E2391" s="798"/>
      <c r="F2391" s="798"/>
      <c r="G2391" s="798"/>
      <c r="J2391" s="778" t="str">
        <f aca="false">IF(I2391="","",H2391/I2391)</f>
        <v/>
      </c>
      <c r="K2391" s="798"/>
      <c r="P2391" s="798"/>
      <c r="Q2391" s="798"/>
      <c r="R2391" s="811"/>
    </row>
    <row r="2392" customFormat="false" ht="16.5" hidden="false" customHeight="true" outlineLevel="0" collapsed="false">
      <c r="A2392" s="747"/>
      <c r="B2392" s="798"/>
      <c r="D2392" s="798"/>
      <c r="E2392" s="798"/>
      <c r="F2392" s="798"/>
      <c r="G2392" s="798"/>
      <c r="J2392" s="778" t="str">
        <f aca="false">IF(I2392="","",H2392/I2392)</f>
        <v/>
      </c>
      <c r="K2392" s="798"/>
      <c r="P2392" s="798"/>
      <c r="Q2392" s="798"/>
      <c r="R2392" s="811"/>
    </row>
    <row r="2393" customFormat="false" ht="16.5" hidden="false" customHeight="true" outlineLevel="0" collapsed="false">
      <c r="A2393" s="747"/>
      <c r="B2393" s="798"/>
      <c r="D2393" s="798"/>
      <c r="E2393" s="798"/>
      <c r="F2393" s="798"/>
      <c r="G2393" s="798"/>
      <c r="J2393" s="778" t="str">
        <f aca="false">IF(I2393="","",H2393/I2393)</f>
        <v/>
      </c>
      <c r="K2393" s="798"/>
      <c r="P2393" s="798"/>
      <c r="Q2393" s="798"/>
      <c r="R2393" s="811"/>
    </row>
    <row r="2394" customFormat="false" ht="16.5" hidden="false" customHeight="true" outlineLevel="0" collapsed="false">
      <c r="A2394" s="747"/>
      <c r="B2394" s="798"/>
      <c r="D2394" s="798"/>
      <c r="E2394" s="798"/>
      <c r="F2394" s="798"/>
      <c r="G2394" s="798"/>
      <c r="J2394" s="778" t="str">
        <f aca="false">IF(I2394="","",H2394/I2394)</f>
        <v/>
      </c>
      <c r="K2394" s="798"/>
      <c r="P2394" s="798"/>
      <c r="Q2394" s="798"/>
      <c r="R2394" s="811"/>
    </row>
    <row r="2395" customFormat="false" ht="16.5" hidden="false" customHeight="true" outlineLevel="0" collapsed="false">
      <c r="A2395" s="747"/>
      <c r="B2395" s="798"/>
      <c r="D2395" s="798"/>
      <c r="E2395" s="798"/>
      <c r="F2395" s="798"/>
      <c r="G2395" s="798"/>
      <c r="J2395" s="778" t="str">
        <f aca="false">IF(I2395="","",H2395/I2395)</f>
        <v/>
      </c>
      <c r="K2395" s="798"/>
      <c r="P2395" s="798"/>
      <c r="Q2395" s="798"/>
      <c r="R2395" s="811"/>
    </row>
    <row r="2396" customFormat="false" ht="16.5" hidden="false" customHeight="true" outlineLevel="0" collapsed="false">
      <c r="A2396" s="747"/>
      <c r="B2396" s="798"/>
      <c r="D2396" s="798"/>
      <c r="E2396" s="798"/>
      <c r="F2396" s="798"/>
      <c r="G2396" s="798"/>
      <c r="J2396" s="778" t="str">
        <f aca="false">IF(I2396="","",H2396/I2396)</f>
        <v/>
      </c>
      <c r="K2396" s="798"/>
      <c r="P2396" s="798"/>
      <c r="Q2396" s="798"/>
      <c r="R2396" s="811"/>
    </row>
    <row r="2397" customFormat="false" ht="16.5" hidden="false" customHeight="true" outlineLevel="0" collapsed="false">
      <c r="A2397" s="747"/>
      <c r="B2397" s="798"/>
      <c r="D2397" s="798"/>
      <c r="E2397" s="798"/>
      <c r="F2397" s="798"/>
      <c r="G2397" s="798"/>
      <c r="J2397" s="778" t="str">
        <f aca="false">IF(I2397="","",H2397/I2397)</f>
        <v/>
      </c>
      <c r="K2397" s="798"/>
      <c r="P2397" s="798"/>
      <c r="Q2397" s="798"/>
      <c r="R2397" s="811"/>
    </row>
    <row r="2398" customFormat="false" ht="16.5" hidden="false" customHeight="true" outlineLevel="0" collapsed="false">
      <c r="A2398" s="747"/>
      <c r="B2398" s="798"/>
      <c r="D2398" s="798"/>
      <c r="E2398" s="798"/>
      <c r="F2398" s="798"/>
      <c r="G2398" s="798"/>
      <c r="J2398" s="778" t="str">
        <f aca="false">IF(I2398="","",H2398/I2398)</f>
        <v/>
      </c>
      <c r="K2398" s="798"/>
      <c r="P2398" s="798"/>
      <c r="Q2398" s="798"/>
      <c r="R2398" s="811"/>
    </row>
    <row r="2399" customFormat="false" ht="16.5" hidden="false" customHeight="true" outlineLevel="0" collapsed="false">
      <c r="A2399" s="747"/>
      <c r="B2399" s="798"/>
      <c r="D2399" s="798"/>
      <c r="E2399" s="798"/>
      <c r="F2399" s="798"/>
      <c r="G2399" s="798"/>
      <c r="J2399" s="778" t="str">
        <f aca="false">IF(I2399="","",H2399/I2399)</f>
        <v/>
      </c>
      <c r="K2399" s="798"/>
      <c r="P2399" s="798"/>
      <c r="Q2399" s="798"/>
      <c r="R2399" s="811"/>
    </row>
    <row r="2400" customFormat="false" ht="16.5" hidden="false" customHeight="true" outlineLevel="0" collapsed="false">
      <c r="A2400" s="747"/>
      <c r="B2400" s="798"/>
      <c r="D2400" s="798"/>
      <c r="E2400" s="798"/>
      <c r="F2400" s="798"/>
      <c r="G2400" s="798"/>
      <c r="J2400" s="778" t="str">
        <f aca="false">IF(I2400="","",H2400/I2400)</f>
        <v/>
      </c>
      <c r="K2400" s="798"/>
      <c r="P2400" s="798"/>
      <c r="Q2400" s="798"/>
      <c r="R2400" s="811"/>
    </row>
    <row r="2401" customFormat="false" ht="16.5" hidden="false" customHeight="true" outlineLevel="0" collapsed="false">
      <c r="A2401" s="747"/>
      <c r="B2401" s="798"/>
      <c r="D2401" s="798"/>
      <c r="E2401" s="798"/>
      <c r="F2401" s="798"/>
      <c r="G2401" s="798"/>
      <c r="J2401" s="778" t="str">
        <f aca="false">IF(I2401="","",H2401/I2401)</f>
        <v/>
      </c>
      <c r="K2401" s="798"/>
      <c r="P2401" s="798"/>
      <c r="Q2401" s="798"/>
      <c r="R2401" s="811"/>
    </row>
    <row r="2402" customFormat="false" ht="16.5" hidden="false" customHeight="true" outlineLevel="0" collapsed="false">
      <c r="A2402" s="747"/>
      <c r="B2402" s="798"/>
      <c r="D2402" s="798"/>
      <c r="E2402" s="798"/>
      <c r="F2402" s="798"/>
      <c r="G2402" s="798"/>
      <c r="J2402" s="778" t="str">
        <f aca="false">IF(I2402="","",H2402/I2402)</f>
        <v/>
      </c>
      <c r="K2402" s="798"/>
      <c r="P2402" s="798"/>
      <c r="Q2402" s="798"/>
      <c r="R2402" s="811"/>
    </row>
    <row r="2403" customFormat="false" ht="16.5" hidden="false" customHeight="true" outlineLevel="0" collapsed="false">
      <c r="A2403" s="747"/>
      <c r="B2403" s="798"/>
      <c r="D2403" s="798"/>
      <c r="E2403" s="798"/>
      <c r="F2403" s="798"/>
      <c r="G2403" s="798"/>
      <c r="J2403" s="778" t="str">
        <f aca="false">IF(I2403="","",H2403/I2403)</f>
        <v/>
      </c>
      <c r="K2403" s="798"/>
      <c r="P2403" s="798"/>
      <c r="Q2403" s="798"/>
      <c r="R2403" s="811"/>
    </row>
    <row r="2404" customFormat="false" ht="16.5" hidden="false" customHeight="true" outlineLevel="0" collapsed="false">
      <c r="A2404" s="747"/>
      <c r="B2404" s="798"/>
      <c r="D2404" s="798"/>
      <c r="E2404" s="798"/>
      <c r="F2404" s="798"/>
      <c r="G2404" s="798"/>
      <c r="J2404" s="778" t="str">
        <f aca="false">IF(I2404="","",H2404/I2404)</f>
        <v/>
      </c>
      <c r="K2404" s="798"/>
      <c r="P2404" s="798"/>
      <c r="Q2404" s="798"/>
      <c r="R2404" s="811"/>
    </row>
    <row r="2405" customFormat="false" ht="16.5" hidden="false" customHeight="true" outlineLevel="0" collapsed="false">
      <c r="A2405" s="747"/>
      <c r="B2405" s="798"/>
      <c r="D2405" s="798"/>
      <c r="E2405" s="798"/>
      <c r="F2405" s="798"/>
      <c r="G2405" s="798"/>
      <c r="J2405" s="778" t="str">
        <f aca="false">IF(I2405="","",H2405/I2405)</f>
        <v/>
      </c>
      <c r="K2405" s="798"/>
      <c r="P2405" s="798"/>
      <c r="Q2405" s="798"/>
      <c r="R2405" s="811"/>
    </row>
    <row r="2406" customFormat="false" ht="16.5" hidden="false" customHeight="true" outlineLevel="0" collapsed="false">
      <c r="A2406" s="747"/>
      <c r="B2406" s="798"/>
      <c r="D2406" s="798"/>
      <c r="E2406" s="798"/>
      <c r="F2406" s="798"/>
      <c r="G2406" s="798"/>
      <c r="J2406" s="778" t="str">
        <f aca="false">IF(I2406="","",H2406/I2406)</f>
        <v/>
      </c>
      <c r="K2406" s="798"/>
      <c r="P2406" s="798"/>
      <c r="Q2406" s="798"/>
      <c r="R2406" s="811"/>
    </row>
    <row r="2407" customFormat="false" ht="16.5" hidden="false" customHeight="true" outlineLevel="0" collapsed="false">
      <c r="A2407" s="747"/>
      <c r="B2407" s="798"/>
      <c r="D2407" s="798"/>
      <c r="E2407" s="798"/>
      <c r="F2407" s="798"/>
      <c r="G2407" s="798"/>
      <c r="J2407" s="778" t="str">
        <f aca="false">IF(I2407="","",H2407/I2407)</f>
        <v/>
      </c>
      <c r="K2407" s="798"/>
      <c r="P2407" s="798"/>
      <c r="Q2407" s="798"/>
      <c r="R2407" s="811"/>
    </row>
    <row r="2408" customFormat="false" ht="16.5" hidden="false" customHeight="true" outlineLevel="0" collapsed="false">
      <c r="A2408" s="747"/>
      <c r="B2408" s="798"/>
      <c r="D2408" s="798"/>
      <c r="E2408" s="798"/>
      <c r="F2408" s="798"/>
      <c r="G2408" s="798"/>
      <c r="J2408" s="778" t="str">
        <f aca="false">IF(I2408="","",H2408/I2408)</f>
        <v/>
      </c>
      <c r="K2408" s="798"/>
      <c r="P2408" s="798"/>
      <c r="Q2408" s="798"/>
      <c r="R2408" s="811"/>
    </row>
    <row r="2409" customFormat="false" ht="16.5" hidden="false" customHeight="true" outlineLevel="0" collapsed="false">
      <c r="A2409" s="747"/>
      <c r="B2409" s="798"/>
      <c r="D2409" s="798"/>
      <c r="E2409" s="798"/>
      <c r="F2409" s="798"/>
      <c r="G2409" s="798"/>
      <c r="J2409" s="778" t="str">
        <f aca="false">IF(I2409="","",H2409/I2409)</f>
        <v/>
      </c>
      <c r="K2409" s="798"/>
      <c r="P2409" s="798"/>
      <c r="Q2409" s="798"/>
      <c r="R2409" s="811"/>
    </row>
    <row r="2410" customFormat="false" ht="16.5" hidden="false" customHeight="true" outlineLevel="0" collapsed="false">
      <c r="A2410" s="747"/>
      <c r="B2410" s="798"/>
      <c r="D2410" s="798"/>
      <c r="E2410" s="798"/>
      <c r="F2410" s="798"/>
      <c r="G2410" s="798"/>
      <c r="J2410" s="778" t="str">
        <f aca="false">IF(I2410="","",H2410/I2410)</f>
        <v/>
      </c>
      <c r="K2410" s="798"/>
      <c r="P2410" s="798"/>
      <c r="Q2410" s="798"/>
      <c r="R2410" s="811"/>
    </row>
    <row r="2411" customFormat="false" ht="16.5" hidden="false" customHeight="true" outlineLevel="0" collapsed="false">
      <c r="A2411" s="747"/>
      <c r="B2411" s="798"/>
      <c r="D2411" s="798"/>
      <c r="E2411" s="798"/>
      <c r="F2411" s="798"/>
      <c r="G2411" s="798"/>
      <c r="J2411" s="778" t="str">
        <f aca="false">IF(I2411="","",H2411/I2411)</f>
        <v/>
      </c>
      <c r="K2411" s="798"/>
      <c r="P2411" s="798"/>
      <c r="Q2411" s="798"/>
      <c r="R2411" s="811"/>
    </row>
    <row r="2412" customFormat="false" ht="16.5" hidden="false" customHeight="true" outlineLevel="0" collapsed="false">
      <c r="A2412" s="747"/>
      <c r="B2412" s="798"/>
      <c r="D2412" s="798"/>
      <c r="E2412" s="798"/>
      <c r="F2412" s="798"/>
      <c r="G2412" s="798"/>
      <c r="J2412" s="778" t="str">
        <f aca="false">IF(I2412="","",H2412/I2412)</f>
        <v/>
      </c>
      <c r="K2412" s="798"/>
      <c r="P2412" s="798"/>
      <c r="Q2412" s="798"/>
      <c r="R2412" s="811"/>
    </row>
    <row r="2413" customFormat="false" ht="16.5" hidden="false" customHeight="true" outlineLevel="0" collapsed="false">
      <c r="A2413" s="747"/>
      <c r="B2413" s="798"/>
      <c r="D2413" s="798"/>
      <c r="E2413" s="798"/>
      <c r="F2413" s="798"/>
      <c r="G2413" s="798"/>
      <c r="J2413" s="778" t="str">
        <f aca="false">IF(I2413="","",H2413/I2413)</f>
        <v/>
      </c>
      <c r="K2413" s="798"/>
      <c r="P2413" s="798"/>
      <c r="Q2413" s="798"/>
      <c r="R2413" s="811"/>
    </row>
    <row r="2414" customFormat="false" ht="16.5" hidden="false" customHeight="true" outlineLevel="0" collapsed="false">
      <c r="A2414" s="747"/>
      <c r="B2414" s="798"/>
      <c r="D2414" s="798"/>
      <c r="E2414" s="798"/>
      <c r="F2414" s="798"/>
      <c r="G2414" s="798"/>
      <c r="J2414" s="778" t="str">
        <f aca="false">IF(I2414="","",H2414/I2414)</f>
        <v/>
      </c>
      <c r="K2414" s="798"/>
      <c r="P2414" s="798"/>
      <c r="Q2414" s="798"/>
      <c r="R2414" s="811"/>
    </row>
    <row r="2415" customFormat="false" ht="16.5" hidden="false" customHeight="true" outlineLevel="0" collapsed="false">
      <c r="A2415" s="747"/>
      <c r="B2415" s="798"/>
      <c r="D2415" s="798"/>
      <c r="E2415" s="798"/>
      <c r="F2415" s="798"/>
      <c r="G2415" s="798"/>
      <c r="J2415" s="778" t="str">
        <f aca="false">IF(I2415="","",H2415/I2415)</f>
        <v/>
      </c>
      <c r="K2415" s="798"/>
      <c r="P2415" s="798"/>
      <c r="Q2415" s="798"/>
      <c r="R2415" s="811"/>
    </row>
    <row r="2416" customFormat="false" ht="16.5" hidden="false" customHeight="true" outlineLevel="0" collapsed="false">
      <c r="A2416" s="747"/>
      <c r="B2416" s="798"/>
      <c r="D2416" s="798"/>
      <c r="E2416" s="798"/>
      <c r="F2416" s="798"/>
      <c r="G2416" s="798"/>
      <c r="J2416" s="778" t="str">
        <f aca="false">IF(I2416="","",H2416/I2416)</f>
        <v/>
      </c>
      <c r="K2416" s="798"/>
      <c r="P2416" s="798"/>
      <c r="Q2416" s="798"/>
      <c r="R2416" s="811"/>
    </row>
    <row r="2417" customFormat="false" ht="16.5" hidden="false" customHeight="true" outlineLevel="0" collapsed="false">
      <c r="A2417" s="747"/>
      <c r="B2417" s="798"/>
      <c r="D2417" s="798"/>
      <c r="E2417" s="798"/>
      <c r="F2417" s="798"/>
      <c r="G2417" s="798"/>
      <c r="J2417" s="778" t="str">
        <f aca="false">IF(I2417="","",H2417/I2417)</f>
        <v/>
      </c>
      <c r="K2417" s="798"/>
      <c r="P2417" s="798"/>
      <c r="Q2417" s="798"/>
      <c r="R2417" s="811"/>
    </row>
    <row r="2418" customFormat="false" ht="16.5" hidden="false" customHeight="true" outlineLevel="0" collapsed="false">
      <c r="A2418" s="747"/>
      <c r="B2418" s="798"/>
      <c r="D2418" s="798"/>
      <c r="E2418" s="798"/>
      <c r="F2418" s="798"/>
      <c r="G2418" s="798"/>
      <c r="J2418" s="778" t="str">
        <f aca="false">IF(I2418="","",H2418/I2418)</f>
        <v/>
      </c>
      <c r="K2418" s="798"/>
      <c r="P2418" s="798"/>
      <c r="Q2418" s="798"/>
      <c r="R2418" s="811"/>
    </row>
    <row r="2419" customFormat="false" ht="16.5" hidden="false" customHeight="true" outlineLevel="0" collapsed="false">
      <c r="A2419" s="747"/>
      <c r="B2419" s="798"/>
      <c r="D2419" s="798"/>
      <c r="E2419" s="798"/>
      <c r="F2419" s="798"/>
      <c r="G2419" s="798"/>
      <c r="J2419" s="778" t="str">
        <f aca="false">IF(I2419="","",H2419/I2419)</f>
        <v/>
      </c>
      <c r="K2419" s="798"/>
      <c r="P2419" s="798"/>
      <c r="Q2419" s="798"/>
      <c r="R2419" s="811"/>
    </row>
    <row r="2420" customFormat="false" ht="16.5" hidden="false" customHeight="true" outlineLevel="0" collapsed="false">
      <c r="A2420" s="747"/>
      <c r="B2420" s="798"/>
      <c r="D2420" s="798"/>
      <c r="E2420" s="798"/>
      <c r="F2420" s="798"/>
      <c r="G2420" s="798"/>
      <c r="J2420" s="778" t="str">
        <f aca="false">IF(I2420="","",H2420/I2420)</f>
        <v/>
      </c>
      <c r="K2420" s="798"/>
      <c r="P2420" s="798"/>
      <c r="Q2420" s="798"/>
      <c r="R2420" s="811"/>
    </row>
    <row r="2421" customFormat="false" ht="16.5" hidden="false" customHeight="true" outlineLevel="0" collapsed="false">
      <c r="A2421" s="747"/>
      <c r="B2421" s="798"/>
      <c r="D2421" s="798"/>
      <c r="E2421" s="798"/>
      <c r="F2421" s="798"/>
      <c r="G2421" s="798"/>
      <c r="J2421" s="778" t="str">
        <f aca="false">IF(I2421="","",H2421/I2421)</f>
        <v/>
      </c>
      <c r="K2421" s="798"/>
      <c r="P2421" s="798"/>
      <c r="Q2421" s="798"/>
      <c r="R2421" s="811"/>
    </row>
    <row r="2422" customFormat="false" ht="16.5" hidden="false" customHeight="true" outlineLevel="0" collapsed="false">
      <c r="A2422" s="747"/>
      <c r="B2422" s="798"/>
      <c r="D2422" s="798"/>
      <c r="E2422" s="798"/>
      <c r="F2422" s="798"/>
      <c r="G2422" s="798"/>
      <c r="J2422" s="778" t="str">
        <f aca="false">IF(I2422="","",H2422/I2422)</f>
        <v/>
      </c>
      <c r="K2422" s="798"/>
      <c r="P2422" s="798"/>
      <c r="Q2422" s="798"/>
      <c r="R2422" s="811"/>
    </row>
    <row r="2423" customFormat="false" ht="16.5" hidden="false" customHeight="true" outlineLevel="0" collapsed="false">
      <c r="A2423" s="747"/>
      <c r="B2423" s="798"/>
      <c r="D2423" s="798"/>
      <c r="E2423" s="798"/>
      <c r="F2423" s="798"/>
      <c r="G2423" s="798"/>
      <c r="J2423" s="778" t="str">
        <f aca="false">IF(I2423="","",H2423/I2423)</f>
        <v/>
      </c>
      <c r="K2423" s="798"/>
      <c r="P2423" s="798"/>
      <c r="Q2423" s="798"/>
      <c r="R2423" s="811"/>
    </row>
    <row r="2424" customFormat="false" ht="16.5" hidden="false" customHeight="true" outlineLevel="0" collapsed="false">
      <c r="A2424" s="747"/>
      <c r="B2424" s="798"/>
      <c r="D2424" s="798"/>
      <c r="E2424" s="798"/>
      <c r="F2424" s="798"/>
      <c r="G2424" s="798"/>
      <c r="J2424" s="778" t="str">
        <f aca="false">IF(I2424="","",H2424/I2424)</f>
        <v/>
      </c>
      <c r="K2424" s="798"/>
      <c r="P2424" s="798"/>
      <c r="Q2424" s="798"/>
      <c r="R2424" s="811"/>
    </row>
    <row r="2425" customFormat="false" ht="16.5" hidden="false" customHeight="true" outlineLevel="0" collapsed="false">
      <c r="A2425" s="747"/>
      <c r="B2425" s="798"/>
      <c r="D2425" s="798"/>
      <c r="E2425" s="798"/>
      <c r="F2425" s="798"/>
      <c r="G2425" s="798"/>
      <c r="J2425" s="778" t="str">
        <f aca="false">IF(I2425="","",H2425/I2425)</f>
        <v/>
      </c>
      <c r="K2425" s="798"/>
      <c r="P2425" s="798"/>
      <c r="Q2425" s="798"/>
      <c r="R2425" s="811"/>
    </row>
    <row r="2426" customFormat="false" ht="16.5" hidden="false" customHeight="true" outlineLevel="0" collapsed="false">
      <c r="A2426" s="747"/>
      <c r="B2426" s="798"/>
      <c r="D2426" s="798"/>
      <c r="E2426" s="798"/>
      <c r="F2426" s="798"/>
      <c r="G2426" s="798"/>
      <c r="J2426" s="778" t="str">
        <f aca="false">IF(I2426="","",H2426/I2426)</f>
        <v/>
      </c>
      <c r="K2426" s="798"/>
      <c r="P2426" s="798"/>
      <c r="Q2426" s="798"/>
      <c r="R2426" s="811"/>
    </row>
    <row r="2427" customFormat="false" ht="16.5" hidden="false" customHeight="true" outlineLevel="0" collapsed="false">
      <c r="A2427" s="747"/>
      <c r="B2427" s="798"/>
      <c r="D2427" s="798"/>
      <c r="E2427" s="798"/>
      <c r="F2427" s="798"/>
      <c r="G2427" s="798"/>
      <c r="J2427" s="778" t="str">
        <f aca="false">IF(I2427="","",H2427/I2427)</f>
        <v/>
      </c>
      <c r="K2427" s="798"/>
      <c r="P2427" s="798"/>
      <c r="Q2427" s="798"/>
      <c r="R2427" s="811"/>
    </row>
    <row r="2428" customFormat="false" ht="16.5" hidden="false" customHeight="true" outlineLevel="0" collapsed="false">
      <c r="A2428" s="747"/>
      <c r="B2428" s="798"/>
      <c r="D2428" s="798"/>
      <c r="E2428" s="798"/>
      <c r="F2428" s="798"/>
      <c r="G2428" s="798"/>
      <c r="J2428" s="778" t="str">
        <f aca="false">IF(I2428="","",H2428/I2428)</f>
        <v/>
      </c>
      <c r="K2428" s="798"/>
      <c r="P2428" s="798"/>
      <c r="Q2428" s="798"/>
      <c r="R2428" s="811"/>
    </row>
    <row r="2429" customFormat="false" ht="16.5" hidden="false" customHeight="true" outlineLevel="0" collapsed="false">
      <c r="A2429" s="747"/>
      <c r="B2429" s="798"/>
      <c r="D2429" s="798"/>
      <c r="E2429" s="798"/>
      <c r="F2429" s="798"/>
      <c r="G2429" s="798"/>
      <c r="J2429" s="778" t="str">
        <f aca="false">IF(I2429="","",H2429/I2429)</f>
        <v/>
      </c>
      <c r="K2429" s="798"/>
      <c r="P2429" s="798"/>
      <c r="Q2429" s="798"/>
      <c r="R2429" s="811"/>
    </row>
    <row r="2430" customFormat="false" ht="16.5" hidden="false" customHeight="true" outlineLevel="0" collapsed="false">
      <c r="A2430" s="747"/>
      <c r="B2430" s="798"/>
      <c r="D2430" s="798"/>
      <c r="E2430" s="798"/>
      <c r="F2430" s="798"/>
      <c r="G2430" s="798"/>
      <c r="J2430" s="778" t="str">
        <f aca="false">IF(I2430="","",H2430/I2430)</f>
        <v/>
      </c>
      <c r="K2430" s="798"/>
      <c r="P2430" s="798"/>
      <c r="Q2430" s="798"/>
      <c r="R2430" s="811"/>
    </row>
    <row r="2431" customFormat="false" ht="16.5" hidden="false" customHeight="true" outlineLevel="0" collapsed="false">
      <c r="A2431" s="747"/>
      <c r="B2431" s="798"/>
      <c r="D2431" s="798"/>
      <c r="E2431" s="798"/>
      <c r="F2431" s="798"/>
      <c r="G2431" s="798"/>
      <c r="J2431" s="778" t="str">
        <f aca="false">IF(I2431="","",H2431/I2431)</f>
        <v/>
      </c>
      <c r="K2431" s="798"/>
      <c r="P2431" s="798"/>
      <c r="Q2431" s="798"/>
      <c r="R2431" s="811"/>
    </row>
    <row r="2432" customFormat="false" ht="16.5" hidden="false" customHeight="true" outlineLevel="0" collapsed="false">
      <c r="A2432" s="747"/>
      <c r="B2432" s="798"/>
      <c r="D2432" s="798"/>
      <c r="E2432" s="798"/>
      <c r="F2432" s="798"/>
      <c r="G2432" s="798"/>
      <c r="J2432" s="778" t="str">
        <f aca="false">IF(I2432="","",H2432/I2432)</f>
        <v/>
      </c>
      <c r="K2432" s="798"/>
      <c r="P2432" s="798"/>
      <c r="Q2432" s="798"/>
      <c r="R2432" s="811"/>
    </row>
    <row r="2433" customFormat="false" ht="16.5" hidden="false" customHeight="true" outlineLevel="0" collapsed="false">
      <c r="A2433" s="747"/>
      <c r="B2433" s="798"/>
      <c r="D2433" s="798"/>
      <c r="E2433" s="798"/>
      <c r="F2433" s="798"/>
      <c r="G2433" s="798"/>
      <c r="J2433" s="778" t="str">
        <f aca="false">IF(I2433="","",H2433/I2433)</f>
        <v/>
      </c>
      <c r="K2433" s="798"/>
      <c r="P2433" s="798"/>
      <c r="Q2433" s="798"/>
      <c r="R2433" s="811"/>
    </row>
    <row r="2434" customFormat="false" ht="16.5" hidden="false" customHeight="true" outlineLevel="0" collapsed="false">
      <c r="A2434" s="747"/>
      <c r="B2434" s="798"/>
      <c r="D2434" s="798"/>
      <c r="E2434" s="798"/>
      <c r="F2434" s="798"/>
      <c r="G2434" s="798"/>
      <c r="J2434" s="778" t="str">
        <f aca="false">IF(I2434="","",H2434/I2434)</f>
        <v/>
      </c>
      <c r="K2434" s="798"/>
      <c r="P2434" s="798"/>
      <c r="Q2434" s="798"/>
      <c r="R2434" s="811"/>
    </row>
    <row r="2435" customFormat="false" ht="16.5" hidden="false" customHeight="true" outlineLevel="0" collapsed="false">
      <c r="A2435" s="747"/>
      <c r="B2435" s="798"/>
      <c r="D2435" s="798"/>
      <c r="E2435" s="798"/>
      <c r="F2435" s="798"/>
      <c r="G2435" s="798"/>
      <c r="J2435" s="778" t="str">
        <f aca="false">IF(I2435="","",H2435/I2435)</f>
        <v/>
      </c>
      <c r="K2435" s="798"/>
      <c r="P2435" s="798"/>
      <c r="Q2435" s="798"/>
      <c r="R2435" s="811"/>
    </row>
    <row r="2436" customFormat="false" ht="16.5" hidden="false" customHeight="true" outlineLevel="0" collapsed="false">
      <c r="A2436" s="747"/>
      <c r="B2436" s="798"/>
      <c r="D2436" s="798"/>
      <c r="E2436" s="798"/>
      <c r="F2436" s="798"/>
      <c r="G2436" s="798"/>
      <c r="J2436" s="778" t="str">
        <f aca="false">IF(I2436="","",H2436/I2436)</f>
        <v/>
      </c>
      <c r="K2436" s="798"/>
      <c r="P2436" s="798"/>
      <c r="Q2436" s="798"/>
      <c r="R2436" s="811"/>
    </row>
    <row r="2437" customFormat="false" ht="16.5" hidden="false" customHeight="true" outlineLevel="0" collapsed="false">
      <c r="A2437" s="747"/>
      <c r="B2437" s="798"/>
      <c r="D2437" s="798"/>
      <c r="E2437" s="798"/>
      <c r="F2437" s="798"/>
      <c r="G2437" s="798"/>
      <c r="J2437" s="778" t="str">
        <f aca="false">IF(I2437="","",H2437/I2437)</f>
        <v/>
      </c>
      <c r="K2437" s="798"/>
      <c r="P2437" s="798"/>
      <c r="Q2437" s="798"/>
      <c r="R2437" s="811"/>
    </row>
    <row r="2438" customFormat="false" ht="16.5" hidden="false" customHeight="true" outlineLevel="0" collapsed="false">
      <c r="A2438" s="747"/>
      <c r="B2438" s="798"/>
      <c r="D2438" s="798"/>
      <c r="E2438" s="798"/>
      <c r="F2438" s="798"/>
      <c r="G2438" s="798"/>
      <c r="J2438" s="778" t="str">
        <f aca="false">IF(I2438="","",H2438/I2438)</f>
        <v/>
      </c>
      <c r="K2438" s="798"/>
      <c r="P2438" s="798"/>
      <c r="Q2438" s="798"/>
      <c r="R2438" s="811"/>
    </row>
    <row r="2439" customFormat="false" ht="16.5" hidden="false" customHeight="true" outlineLevel="0" collapsed="false">
      <c r="A2439" s="747"/>
      <c r="B2439" s="798"/>
      <c r="D2439" s="798"/>
      <c r="E2439" s="798"/>
      <c r="F2439" s="798"/>
      <c r="G2439" s="798"/>
      <c r="J2439" s="778" t="str">
        <f aca="false">IF(I2439="","",H2439/I2439)</f>
        <v/>
      </c>
      <c r="K2439" s="798"/>
      <c r="P2439" s="798"/>
      <c r="Q2439" s="798"/>
      <c r="R2439" s="811"/>
    </row>
    <row r="2440" customFormat="false" ht="16.5" hidden="false" customHeight="true" outlineLevel="0" collapsed="false">
      <c r="A2440" s="747"/>
      <c r="B2440" s="798"/>
      <c r="D2440" s="798"/>
      <c r="E2440" s="798"/>
      <c r="F2440" s="798"/>
      <c r="G2440" s="798"/>
      <c r="J2440" s="778" t="str">
        <f aca="false">IF(I2440="","",H2440/I2440)</f>
        <v/>
      </c>
      <c r="K2440" s="798"/>
      <c r="P2440" s="798"/>
      <c r="Q2440" s="798"/>
      <c r="R2440" s="811"/>
    </row>
    <row r="2441" customFormat="false" ht="16.5" hidden="false" customHeight="true" outlineLevel="0" collapsed="false">
      <c r="A2441" s="747"/>
      <c r="B2441" s="798"/>
      <c r="D2441" s="798"/>
      <c r="E2441" s="798"/>
      <c r="F2441" s="798"/>
      <c r="G2441" s="798"/>
      <c r="J2441" s="778" t="str">
        <f aca="false">IF(I2441="","",H2441/I2441)</f>
        <v/>
      </c>
      <c r="K2441" s="798"/>
      <c r="P2441" s="798"/>
      <c r="Q2441" s="798"/>
      <c r="R2441" s="811"/>
    </row>
    <row r="2442" customFormat="false" ht="16.5" hidden="false" customHeight="true" outlineLevel="0" collapsed="false">
      <c r="A2442" s="747"/>
      <c r="B2442" s="798"/>
      <c r="D2442" s="798"/>
      <c r="E2442" s="798"/>
      <c r="F2442" s="798"/>
      <c r="G2442" s="798"/>
      <c r="J2442" s="778" t="str">
        <f aca="false">IF(I2442="","",H2442/I2442)</f>
        <v/>
      </c>
      <c r="K2442" s="798"/>
      <c r="P2442" s="798"/>
      <c r="Q2442" s="798"/>
      <c r="R2442" s="811"/>
    </row>
    <row r="2443" customFormat="false" ht="16.5" hidden="false" customHeight="true" outlineLevel="0" collapsed="false">
      <c r="A2443" s="747"/>
      <c r="B2443" s="798"/>
      <c r="D2443" s="798"/>
      <c r="E2443" s="798"/>
      <c r="F2443" s="798"/>
      <c r="G2443" s="798"/>
      <c r="J2443" s="778" t="str">
        <f aca="false">IF(I2443="","",H2443/I2443)</f>
        <v/>
      </c>
      <c r="K2443" s="798"/>
      <c r="P2443" s="798"/>
      <c r="Q2443" s="798"/>
      <c r="R2443" s="811"/>
    </row>
    <row r="2444" customFormat="false" ht="16.5" hidden="false" customHeight="true" outlineLevel="0" collapsed="false">
      <c r="A2444" s="747"/>
      <c r="B2444" s="798"/>
      <c r="D2444" s="798"/>
      <c r="E2444" s="798"/>
      <c r="F2444" s="798"/>
      <c r="G2444" s="798"/>
      <c r="J2444" s="778" t="str">
        <f aca="false">IF(I2444="","",H2444/I2444)</f>
        <v/>
      </c>
      <c r="K2444" s="798"/>
      <c r="P2444" s="798"/>
      <c r="Q2444" s="798"/>
      <c r="R2444" s="811"/>
    </row>
    <row r="2445" customFormat="false" ht="16.5" hidden="false" customHeight="true" outlineLevel="0" collapsed="false">
      <c r="A2445" s="747"/>
      <c r="B2445" s="798"/>
      <c r="D2445" s="798"/>
      <c r="E2445" s="798"/>
      <c r="F2445" s="798"/>
      <c r="G2445" s="798"/>
      <c r="J2445" s="778" t="str">
        <f aca="false">IF(I2445="","",H2445/I2445)</f>
        <v/>
      </c>
      <c r="K2445" s="798"/>
      <c r="P2445" s="798"/>
      <c r="Q2445" s="798"/>
      <c r="R2445" s="811"/>
    </row>
    <row r="2446" customFormat="false" ht="16.5" hidden="false" customHeight="true" outlineLevel="0" collapsed="false">
      <c r="A2446" s="747"/>
      <c r="B2446" s="798"/>
      <c r="D2446" s="798"/>
      <c r="E2446" s="798"/>
      <c r="F2446" s="798"/>
      <c r="G2446" s="798"/>
      <c r="J2446" s="778" t="str">
        <f aca="false">IF(I2446="","",H2446/I2446)</f>
        <v/>
      </c>
      <c r="K2446" s="798"/>
      <c r="P2446" s="798"/>
      <c r="Q2446" s="798"/>
      <c r="R2446" s="811"/>
    </row>
    <row r="2447" customFormat="false" ht="16.5" hidden="false" customHeight="true" outlineLevel="0" collapsed="false">
      <c r="A2447" s="747"/>
      <c r="B2447" s="798"/>
      <c r="D2447" s="798"/>
      <c r="E2447" s="798"/>
      <c r="F2447" s="798"/>
      <c r="G2447" s="798"/>
      <c r="J2447" s="778" t="str">
        <f aca="false">IF(I2447="","",H2447/I2447)</f>
        <v/>
      </c>
      <c r="K2447" s="798"/>
      <c r="P2447" s="798"/>
      <c r="Q2447" s="798"/>
      <c r="R2447" s="811"/>
    </row>
    <row r="2448" customFormat="false" ht="16.5" hidden="false" customHeight="true" outlineLevel="0" collapsed="false">
      <c r="A2448" s="747"/>
      <c r="B2448" s="798"/>
      <c r="D2448" s="798"/>
      <c r="E2448" s="798"/>
      <c r="F2448" s="798"/>
      <c r="G2448" s="798"/>
      <c r="J2448" s="778" t="str">
        <f aca="false">IF(I2448="","",H2448/I2448)</f>
        <v/>
      </c>
      <c r="K2448" s="798"/>
      <c r="P2448" s="798"/>
      <c r="Q2448" s="798"/>
      <c r="R2448" s="811"/>
    </row>
    <row r="2449" customFormat="false" ht="16.5" hidden="false" customHeight="true" outlineLevel="0" collapsed="false">
      <c r="A2449" s="747"/>
      <c r="B2449" s="798"/>
      <c r="D2449" s="798"/>
      <c r="E2449" s="798"/>
      <c r="F2449" s="798"/>
      <c r="G2449" s="798"/>
      <c r="J2449" s="778" t="str">
        <f aca="false">IF(I2449="","",H2449/I2449)</f>
        <v/>
      </c>
      <c r="K2449" s="798"/>
      <c r="P2449" s="798"/>
      <c r="Q2449" s="798"/>
      <c r="R2449" s="811"/>
    </row>
    <row r="2450" customFormat="false" ht="16.5" hidden="false" customHeight="true" outlineLevel="0" collapsed="false">
      <c r="A2450" s="747"/>
      <c r="B2450" s="798"/>
      <c r="D2450" s="798"/>
      <c r="E2450" s="798"/>
      <c r="F2450" s="798"/>
      <c r="G2450" s="798"/>
      <c r="J2450" s="778" t="str">
        <f aca="false">IF(I2450="","",H2450/I2450)</f>
        <v/>
      </c>
      <c r="K2450" s="798"/>
      <c r="P2450" s="798"/>
      <c r="Q2450" s="798"/>
      <c r="R2450" s="811"/>
    </row>
    <row r="2451" customFormat="false" ht="16.5" hidden="false" customHeight="true" outlineLevel="0" collapsed="false">
      <c r="A2451" s="747"/>
      <c r="B2451" s="798"/>
      <c r="D2451" s="798"/>
      <c r="E2451" s="798"/>
      <c r="F2451" s="798"/>
      <c r="G2451" s="798"/>
      <c r="J2451" s="778" t="str">
        <f aca="false">IF(I2451="","",H2451/I2451)</f>
        <v/>
      </c>
      <c r="K2451" s="798"/>
      <c r="P2451" s="798"/>
      <c r="Q2451" s="798"/>
      <c r="R2451" s="811"/>
    </row>
    <row r="2452" customFormat="false" ht="16.5" hidden="false" customHeight="true" outlineLevel="0" collapsed="false">
      <c r="A2452" s="747"/>
      <c r="B2452" s="798"/>
      <c r="D2452" s="798"/>
      <c r="E2452" s="798"/>
      <c r="F2452" s="798"/>
      <c r="G2452" s="798"/>
      <c r="J2452" s="778" t="str">
        <f aca="false">IF(I2452="","",H2452/I2452)</f>
        <v/>
      </c>
      <c r="K2452" s="798"/>
      <c r="P2452" s="798"/>
      <c r="Q2452" s="798"/>
      <c r="R2452" s="811"/>
    </row>
    <row r="2453" customFormat="false" ht="16.5" hidden="false" customHeight="true" outlineLevel="0" collapsed="false">
      <c r="A2453" s="747"/>
      <c r="B2453" s="798"/>
      <c r="D2453" s="798"/>
      <c r="E2453" s="798"/>
      <c r="F2453" s="798"/>
      <c r="G2453" s="798"/>
      <c r="J2453" s="778" t="str">
        <f aca="false">IF(I2453="","",H2453/I2453)</f>
        <v/>
      </c>
      <c r="K2453" s="798"/>
      <c r="P2453" s="798"/>
      <c r="Q2453" s="798"/>
      <c r="R2453" s="811"/>
    </row>
    <row r="2454" customFormat="false" ht="16.5" hidden="false" customHeight="true" outlineLevel="0" collapsed="false">
      <c r="A2454" s="747"/>
      <c r="B2454" s="798"/>
      <c r="D2454" s="798"/>
      <c r="E2454" s="798"/>
      <c r="F2454" s="798"/>
      <c r="G2454" s="798"/>
      <c r="J2454" s="778" t="str">
        <f aca="false">IF(I2454="","",H2454/I2454)</f>
        <v/>
      </c>
      <c r="K2454" s="798"/>
      <c r="P2454" s="798"/>
      <c r="Q2454" s="798"/>
      <c r="R2454" s="811"/>
    </row>
    <row r="2455" customFormat="false" ht="16.5" hidden="false" customHeight="true" outlineLevel="0" collapsed="false">
      <c r="A2455" s="747"/>
      <c r="B2455" s="798"/>
      <c r="D2455" s="798"/>
      <c r="E2455" s="798"/>
      <c r="F2455" s="798"/>
      <c r="G2455" s="798"/>
      <c r="J2455" s="778" t="str">
        <f aca="false">IF(I2455="","",H2455/I2455)</f>
        <v/>
      </c>
      <c r="K2455" s="798"/>
      <c r="P2455" s="798"/>
      <c r="Q2455" s="798"/>
      <c r="R2455" s="811"/>
    </row>
    <row r="2456" customFormat="false" ht="16.5" hidden="false" customHeight="true" outlineLevel="0" collapsed="false">
      <c r="A2456" s="747"/>
      <c r="B2456" s="798"/>
      <c r="D2456" s="798"/>
      <c r="E2456" s="798"/>
      <c r="F2456" s="798"/>
      <c r="G2456" s="798"/>
      <c r="J2456" s="778" t="str">
        <f aca="false">IF(I2456="","",H2456/I2456)</f>
        <v/>
      </c>
      <c r="K2456" s="798"/>
      <c r="P2456" s="798"/>
      <c r="Q2456" s="798"/>
      <c r="R2456" s="811"/>
    </row>
    <row r="2457" customFormat="false" ht="16.5" hidden="false" customHeight="true" outlineLevel="0" collapsed="false">
      <c r="A2457" s="747"/>
      <c r="B2457" s="798"/>
      <c r="D2457" s="798"/>
      <c r="E2457" s="798"/>
      <c r="F2457" s="798"/>
      <c r="G2457" s="798"/>
      <c r="J2457" s="778" t="str">
        <f aca="false">IF(I2457="","",H2457/I2457)</f>
        <v/>
      </c>
      <c r="K2457" s="798"/>
      <c r="P2457" s="798"/>
      <c r="Q2457" s="798"/>
      <c r="R2457" s="811"/>
    </row>
    <row r="2458" customFormat="false" ht="16.5" hidden="false" customHeight="true" outlineLevel="0" collapsed="false">
      <c r="A2458" s="747"/>
      <c r="B2458" s="798"/>
      <c r="D2458" s="798"/>
      <c r="E2458" s="798"/>
      <c r="F2458" s="798"/>
      <c r="G2458" s="798"/>
      <c r="J2458" s="778" t="str">
        <f aca="false">IF(I2458="","",H2458/I2458)</f>
        <v/>
      </c>
      <c r="K2458" s="798"/>
      <c r="P2458" s="798"/>
      <c r="Q2458" s="798"/>
      <c r="R2458" s="811"/>
    </row>
    <row r="2459" customFormat="false" ht="16.5" hidden="false" customHeight="true" outlineLevel="0" collapsed="false">
      <c r="A2459" s="747"/>
      <c r="B2459" s="798"/>
      <c r="D2459" s="798"/>
      <c r="E2459" s="798"/>
      <c r="F2459" s="798"/>
      <c r="G2459" s="798"/>
      <c r="J2459" s="778" t="str">
        <f aca="false">IF(I2459="","",H2459/I2459)</f>
        <v/>
      </c>
      <c r="K2459" s="798"/>
      <c r="P2459" s="798"/>
      <c r="Q2459" s="798"/>
      <c r="R2459" s="811"/>
    </row>
    <row r="2460" customFormat="false" ht="16.5" hidden="false" customHeight="true" outlineLevel="0" collapsed="false">
      <c r="A2460" s="747"/>
      <c r="B2460" s="798"/>
      <c r="D2460" s="798"/>
      <c r="E2460" s="798"/>
      <c r="F2460" s="798"/>
      <c r="G2460" s="798"/>
      <c r="J2460" s="778" t="str">
        <f aca="false">IF(I2460="","",H2460/I2460)</f>
        <v/>
      </c>
      <c r="K2460" s="798"/>
      <c r="P2460" s="798"/>
      <c r="Q2460" s="798"/>
      <c r="R2460" s="811"/>
    </row>
    <row r="2461" customFormat="false" ht="16.5" hidden="false" customHeight="true" outlineLevel="0" collapsed="false">
      <c r="A2461" s="747"/>
      <c r="B2461" s="798"/>
      <c r="D2461" s="798"/>
      <c r="E2461" s="798"/>
      <c r="F2461" s="798"/>
      <c r="G2461" s="798"/>
      <c r="J2461" s="778" t="str">
        <f aca="false">IF(I2461="","",H2461/I2461)</f>
        <v/>
      </c>
      <c r="K2461" s="798"/>
      <c r="P2461" s="798"/>
      <c r="Q2461" s="798"/>
      <c r="R2461" s="811"/>
    </row>
    <row r="2462" customFormat="false" ht="16.5" hidden="false" customHeight="true" outlineLevel="0" collapsed="false">
      <c r="A2462" s="747"/>
      <c r="B2462" s="798"/>
      <c r="D2462" s="798"/>
      <c r="E2462" s="798"/>
      <c r="F2462" s="798"/>
      <c r="G2462" s="798"/>
      <c r="J2462" s="778" t="str">
        <f aca="false">IF(I2462="","",H2462/I2462)</f>
        <v/>
      </c>
      <c r="K2462" s="798"/>
      <c r="P2462" s="798"/>
      <c r="Q2462" s="798"/>
      <c r="R2462" s="811"/>
    </row>
    <row r="2463" customFormat="false" ht="16.5" hidden="false" customHeight="true" outlineLevel="0" collapsed="false">
      <c r="A2463" s="747"/>
      <c r="B2463" s="798"/>
      <c r="D2463" s="798"/>
      <c r="E2463" s="798"/>
      <c r="F2463" s="798"/>
      <c r="G2463" s="798"/>
      <c r="J2463" s="778" t="str">
        <f aca="false">IF(I2463="","",H2463/I2463)</f>
        <v/>
      </c>
      <c r="K2463" s="798"/>
      <c r="P2463" s="798"/>
      <c r="Q2463" s="798"/>
      <c r="R2463" s="811"/>
    </row>
    <row r="2464" customFormat="false" ht="16.5" hidden="false" customHeight="true" outlineLevel="0" collapsed="false">
      <c r="A2464" s="747"/>
      <c r="B2464" s="798"/>
      <c r="D2464" s="798"/>
      <c r="E2464" s="798"/>
      <c r="F2464" s="798"/>
      <c r="G2464" s="798"/>
      <c r="J2464" s="778" t="str">
        <f aca="false">IF(I2464="","",H2464/I2464)</f>
        <v/>
      </c>
      <c r="K2464" s="798"/>
      <c r="P2464" s="798"/>
      <c r="Q2464" s="798"/>
      <c r="R2464" s="811"/>
    </row>
    <row r="2465" customFormat="false" ht="16.5" hidden="false" customHeight="true" outlineLevel="0" collapsed="false">
      <c r="A2465" s="747"/>
      <c r="B2465" s="798"/>
      <c r="D2465" s="798"/>
      <c r="E2465" s="798"/>
      <c r="F2465" s="798"/>
      <c r="G2465" s="798"/>
      <c r="J2465" s="778" t="str">
        <f aca="false">IF(I2465="","",H2465/I2465)</f>
        <v/>
      </c>
      <c r="K2465" s="798"/>
      <c r="P2465" s="798"/>
      <c r="Q2465" s="798"/>
      <c r="R2465" s="811"/>
    </row>
    <row r="2466" customFormat="false" ht="16.5" hidden="false" customHeight="true" outlineLevel="0" collapsed="false">
      <c r="A2466" s="747"/>
      <c r="B2466" s="798"/>
      <c r="D2466" s="798"/>
      <c r="E2466" s="798"/>
      <c r="F2466" s="798"/>
      <c r="G2466" s="798"/>
      <c r="J2466" s="778" t="str">
        <f aca="false">IF(I2466="","",H2466/I2466)</f>
        <v/>
      </c>
      <c r="K2466" s="798"/>
      <c r="P2466" s="798"/>
      <c r="Q2466" s="798"/>
      <c r="R2466" s="811"/>
    </row>
    <row r="2467" customFormat="false" ht="16.5" hidden="false" customHeight="true" outlineLevel="0" collapsed="false">
      <c r="A2467" s="747"/>
      <c r="B2467" s="798"/>
      <c r="D2467" s="798"/>
      <c r="E2467" s="798"/>
      <c r="F2467" s="798"/>
      <c r="G2467" s="798"/>
      <c r="J2467" s="778" t="str">
        <f aca="false">IF(I2467="","",H2467/I2467)</f>
        <v/>
      </c>
      <c r="K2467" s="798"/>
      <c r="P2467" s="798"/>
      <c r="Q2467" s="798"/>
      <c r="R2467" s="811"/>
    </row>
    <row r="2468" customFormat="false" ht="16.5" hidden="false" customHeight="true" outlineLevel="0" collapsed="false">
      <c r="A2468" s="747"/>
      <c r="B2468" s="798"/>
      <c r="D2468" s="798"/>
      <c r="E2468" s="798"/>
      <c r="F2468" s="798"/>
      <c r="G2468" s="798"/>
      <c r="J2468" s="778" t="str">
        <f aca="false">IF(I2468="","",H2468/I2468)</f>
        <v/>
      </c>
      <c r="K2468" s="798"/>
      <c r="P2468" s="798"/>
      <c r="Q2468" s="798"/>
      <c r="R2468" s="811"/>
    </row>
    <row r="2469" customFormat="false" ht="16.5" hidden="false" customHeight="true" outlineLevel="0" collapsed="false">
      <c r="A2469" s="747"/>
      <c r="B2469" s="798"/>
      <c r="D2469" s="798"/>
      <c r="E2469" s="798"/>
      <c r="F2469" s="798"/>
      <c r="G2469" s="798"/>
      <c r="J2469" s="778" t="str">
        <f aca="false">IF(I2469="","",H2469/I2469)</f>
        <v/>
      </c>
      <c r="K2469" s="798"/>
      <c r="P2469" s="798"/>
      <c r="Q2469" s="798"/>
      <c r="R2469" s="811"/>
    </row>
    <row r="2470" customFormat="false" ht="16.5" hidden="false" customHeight="true" outlineLevel="0" collapsed="false">
      <c r="A2470" s="747"/>
      <c r="B2470" s="798"/>
      <c r="D2470" s="798"/>
      <c r="E2470" s="798"/>
      <c r="F2470" s="798"/>
      <c r="G2470" s="798"/>
      <c r="J2470" s="778" t="str">
        <f aca="false">IF(I2470="","",H2470/I2470)</f>
        <v/>
      </c>
      <c r="K2470" s="798"/>
      <c r="P2470" s="798"/>
      <c r="Q2470" s="798"/>
      <c r="R2470" s="811"/>
    </row>
    <row r="2471" customFormat="false" ht="16.5" hidden="false" customHeight="true" outlineLevel="0" collapsed="false">
      <c r="A2471" s="747"/>
      <c r="B2471" s="798"/>
      <c r="D2471" s="798"/>
      <c r="E2471" s="798"/>
      <c r="F2471" s="798"/>
      <c r="G2471" s="798"/>
      <c r="J2471" s="778" t="str">
        <f aca="false">IF(I2471="","",H2471/I2471)</f>
        <v/>
      </c>
      <c r="K2471" s="798"/>
      <c r="P2471" s="798"/>
      <c r="Q2471" s="798"/>
      <c r="R2471" s="811"/>
    </row>
    <row r="2472" customFormat="false" ht="16.5" hidden="false" customHeight="true" outlineLevel="0" collapsed="false">
      <c r="A2472" s="747"/>
      <c r="B2472" s="798"/>
      <c r="D2472" s="798"/>
      <c r="E2472" s="798"/>
      <c r="F2472" s="798"/>
      <c r="G2472" s="798"/>
      <c r="J2472" s="778" t="str">
        <f aca="false">IF(I2472="","",H2472/I2472)</f>
        <v/>
      </c>
      <c r="K2472" s="798"/>
      <c r="P2472" s="798"/>
      <c r="Q2472" s="798"/>
      <c r="R2472" s="811"/>
    </row>
    <row r="2473" customFormat="false" ht="16.5" hidden="false" customHeight="true" outlineLevel="0" collapsed="false">
      <c r="A2473" s="747"/>
      <c r="B2473" s="798"/>
      <c r="D2473" s="798"/>
      <c r="E2473" s="798"/>
      <c r="F2473" s="798"/>
      <c r="G2473" s="798"/>
      <c r="J2473" s="778" t="str">
        <f aca="false">IF(I2473="","",H2473/I2473)</f>
        <v/>
      </c>
      <c r="K2473" s="798"/>
      <c r="P2473" s="798"/>
      <c r="Q2473" s="798"/>
      <c r="R2473" s="811"/>
    </row>
    <row r="2474" customFormat="false" ht="16.5" hidden="false" customHeight="true" outlineLevel="0" collapsed="false">
      <c r="A2474" s="747"/>
      <c r="B2474" s="798"/>
      <c r="D2474" s="798"/>
      <c r="E2474" s="798"/>
      <c r="F2474" s="798"/>
      <c r="G2474" s="798"/>
      <c r="J2474" s="778" t="str">
        <f aca="false">IF(I2474="","",H2474/I2474)</f>
        <v/>
      </c>
      <c r="K2474" s="798"/>
      <c r="P2474" s="798"/>
      <c r="Q2474" s="798"/>
      <c r="R2474" s="811"/>
    </row>
    <row r="2475" customFormat="false" ht="16.5" hidden="false" customHeight="true" outlineLevel="0" collapsed="false">
      <c r="A2475" s="747"/>
      <c r="B2475" s="798"/>
      <c r="D2475" s="798"/>
      <c r="E2475" s="798"/>
      <c r="F2475" s="798"/>
      <c r="G2475" s="798"/>
      <c r="J2475" s="778" t="str">
        <f aca="false">IF(I2475="","",H2475/I2475)</f>
        <v/>
      </c>
      <c r="K2475" s="798"/>
      <c r="P2475" s="798"/>
      <c r="Q2475" s="798"/>
      <c r="R2475" s="811"/>
    </row>
    <row r="2476" customFormat="false" ht="16.5" hidden="false" customHeight="true" outlineLevel="0" collapsed="false">
      <c r="A2476" s="747"/>
      <c r="B2476" s="798"/>
      <c r="D2476" s="798"/>
      <c r="E2476" s="798"/>
      <c r="F2476" s="798"/>
      <c r="G2476" s="798"/>
      <c r="J2476" s="778" t="str">
        <f aca="false">IF(I2476="","",H2476/I2476)</f>
        <v/>
      </c>
      <c r="K2476" s="798"/>
      <c r="P2476" s="798"/>
      <c r="Q2476" s="798"/>
      <c r="R2476" s="811"/>
    </row>
    <row r="2477" customFormat="false" ht="16.5" hidden="false" customHeight="true" outlineLevel="0" collapsed="false">
      <c r="A2477" s="747"/>
      <c r="B2477" s="798"/>
      <c r="D2477" s="798"/>
      <c r="E2477" s="798"/>
      <c r="F2477" s="798"/>
      <c r="G2477" s="798"/>
      <c r="J2477" s="778" t="str">
        <f aca="false">IF(I2477="","",H2477/I2477)</f>
        <v/>
      </c>
      <c r="K2477" s="798"/>
      <c r="P2477" s="798"/>
      <c r="Q2477" s="798"/>
      <c r="R2477" s="811"/>
    </row>
    <row r="2478" customFormat="false" ht="16.5" hidden="false" customHeight="true" outlineLevel="0" collapsed="false">
      <c r="A2478" s="747"/>
      <c r="B2478" s="798"/>
      <c r="D2478" s="798"/>
      <c r="E2478" s="798"/>
      <c r="F2478" s="798"/>
      <c r="G2478" s="798"/>
      <c r="J2478" s="778" t="str">
        <f aca="false">IF(I2478="","",H2478/I2478)</f>
        <v/>
      </c>
      <c r="K2478" s="798"/>
      <c r="P2478" s="798"/>
      <c r="Q2478" s="798"/>
      <c r="R2478" s="811"/>
    </row>
    <row r="2479" customFormat="false" ht="16.5" hidden="false" customHeight="true" outlineLevel="0" collapsed="false">
      <c r="A2479" s="747"/>
      <c r="B2479" s="798"/>
      <c r="D2479" s="798"/>
      <c r="E2479" s="798"/>
      <c r="F2479" s="798"/>
      <c r="G2479" s="798"/>
      <c r="J2479" s="778" t="str">
        <f aca="false">IF(I2479="","",H2479/I2479)</f>
        <v/>
      </c>
      <c r="K2479" s="798"/>
      <c r="P2479" s="798"/>
      <c r="Q2479" s="798"/>
      <c r="R2479" s="811"/>
    </row>
    <row r="2480" customFormat="false" ht="16.5" hidden="false" customHeight="true" outlineLevel="0" collapsed="false">
      <c r="A2480" s="747"/>
      <c r="B2480" s="798"/>
      <c r="D2480" s="798"/>
      <c r="E2480" s="798"/>
      <c r="F2480" s="798"/>
      <c r="G2480" s="798"/>
      <c r="J2480" s="778" t="str">
        <f aca="false">IF(I2480="","",H2480/I2480)</f>
        <v/>
      </c>
      <c r="K2480" s="798"/>
      <c r="P2480" s="798"/>
      <c r="Q2480" s="798"/>
      <c r="R2480" s="811"/>
    </row>
    <row r="2481" customFormat="false" ht="16.5" hidden="false" customHeight="true" outlineLevel="0" collapsed="false">
      <c r="A2481" s="747"/>
      <c r="B2481" s="798"/>
      <c r="D2481" s="798"/>
      <c r="E2481" s="798"/>
      <c r="F2481" s="798"/>
      <c r="G2481" s="798"/>
      <c r="J2481" s="778" t="str">
        <f aca="false">IF(I2481="","",H2481/I2481)</f>
        <v/>
      </c>
      <c r="K2481" s="798"/>
      <c r="P2481" s="798"/>
      <c r="Q2481" s="798"/>
      <c r="R2481" s="811"/>
    </row>
    <row r="2482" customFormat="false" ht="16.5" hidden="false" customHeight="true" outlineLevel="0" collapsed="false">
      <c r="A2482" s="747"/>
      <c r="B2482" s="798"/>
      <c r="D2482" s="798"/>
      <c r="E2482" s="798"/>
      <c r="F2482" s="798"/>
      <c r="G2482" s="798"/>
      <c r="J2482" s="778" t="str">
        <f aca="false">IF(I2482="","",H2482/I2482)</f>
        <v/>
      </c>
      <c r="K2482" s="798"/>
      <c r="P2482" s="798"/>
      <c r="Q2482" s="798"/>
      <c r="R2482" s="811"/>
    </row>
    <row r="2483" customFormat="false" ht="16.5" hidden="false" customHeight="true" outlineLevel="0" collapsed="false">
      <c r="A2483" s="747"/>
      <c r="B2483" s="798"/>
      <c r="D2483" s="798"/>
      <c r="E2483" s="798"/>
      <c r="F2483" s="798"/>
      <c r="G2483" s="798"/>
      <c r="J2483" s="778" t="str">
        <f aca="false">IF(I2483="","",H2483/I2483)</f>
        <v/>
      </c>
      <c r="K2483" s="798"/>
      <c r="P2483" s="798"/>
      <c r="Q2483" s="798"/>
      <c r="R2483" s="811"/>
    </row>
    <row r="2484" customFormat="false" ht="16.5" hidden="false" customHeight="true" outlineLevel="0" collapsed="false">
      <c r="A2484" s="747"/>
      <c r="B2484" s="798"/>
      <c r="D2484" s="798"/>
      <c r="E2484" s="798"/>
      <c r="F2484" s="798"/>
      <c r="G2484" s="798"/>
      <c r="J2484" s="778" t="str">
        <f aca="false">IF(I2484="","",H2484/I2484)</f>
        <v/>
      </c>
      <c r="K2484" s="798"/>
      <c r="P2484" s="798"/>
      <c r="Q2484" s="798"/>
      <c r="R2484" s="811"/>
    </row>
    <row r="2485" customFormat="false" ht="16.5" hidden="false" customHeight="true" outlineLevel="0" collapsed="false">
      <c r="A2485" s="747"/>
      <c r="B2485" s="798"/>
      <c r="D2485" s="798"/>
      <c r="E2485" s="798"/>
      <c r="F2485" s="798"/>
      <c r="G2485" s="798"/>
      <c r="J2485" s="778" t="str">
        <f aca="false">IF(I2485="","",H2485/I2485)</f>
        <v/>
      </c>
      <c r="K2485" s="798"/>
      <c r="P2485" s="798"/>
      <c r="Q2485" s="798"/>
      <c r="R2485" s="811"/>
    </row>
    <row r="2486" customFormat="false" ht="16.5" hidden="false" customHeight="true" outlineLevel="0" collapsed="false">
      <c r="A2486" s="747"/>
      <c r="B2486" s="798"/>
      <c r="D2486" s="798"/>
      <c r="E2486" s="798"/>
      <c r="F2486" s="798"/>
      <c r="G2486" s="798"/>
      <c r="J2486" s="778" t="str">
        <f aca="false">IF(I2486="","",H2486/I2486)</f>
        <v/>
      </c>
      <c r="K2486" s="798"/>
      <c r="P2486" s="798"/>
      <c r="Q2486" s="798"/>
      <c r="R2486" s="811"/>
    </row>
    <row r="2487" customFormat="false" ht="16.5" hidden="false" customHeight="true" outlineLevel="0" collapsed="false">
      <c r="A2487" s="747"/>
      <c r="B2487" s="798"/>
      <c r="D2487" s="798"/>
      <c r="E2487" s="798"/>
      <c r="F2487" s="798"/>
      <c r="G2487" s="798"/>
      <c r="J2487" s="778" t="str">
        <f aca="false">IF(I2487="","",H2487/I2487)</f>
        <v/>
      </c>
      <c r="K2487" s="798"/>
      <c r="P2487" s="798"/>
      <c r="Q2487" s="798"/>
      <c r="R2487" s="811"/>
    </row>
    <row r="2488" customFormat="false" ht="16.5" hidden="false" customHeight="true" outlineLevel="0" collapsed="false">
      <c r="A2488" s="747"/>
      <c r="B2488" s="798"/>
      <c r="D2488" s="798"/>
      <c r="E2488" s="798"/>
      <c r="F2488" s="798"/>
      <c r="G2488" s="798"/>
      <c r="J2488" s="778" t="str">
        <f aca="false">IF(I2488="","",H2488/I2488)</f>
        <v/>
      </c>
      <c r="K2488" s="798"/>
      <c r="P2488" s="798"/>
      <c r="Q2488" s="798"/>
      <c r="R2488" s="811"/>
    </row>
    <row r="2489" customFormat="false" ht="16.5" hidden="false" customHeight="true" outlineLevel="0" collapsed="false">
      <c r="A2489" s="747"/>
      <c r="B2489" s="798"/>
      <c r="D2489" s="798"/>
      <c r="E2489" s="798"/>
      <c r="F2489" s="798"/>
      <c r="G2489" s="798"/>
      <c r="J2489" s="778" t="str">
        <f aca="false">IF(I2489="","",H2489/I2489)</f>
        <v/>
      </c>
      <c r="K2489" s="798"/>
      <c r="P2489" s="798"/>
      <c r="Q2489" s="798"/>
      <c r="R2489" s="811"/>
    </row>
    <row r="2490" customFormat="false" ht="16.5" hidden="false" customHeight="true" outlineLevel="0" collapsed="false">
      <c r="A2490" s="747"/>
      <c r="B2490" s="798"/>
      <c r="D2490" s="798"/>
      <c r="E2490" s="798"/>
      <c r="F2490" s="798"/>
      <c r="G2490" s="798"/>
      <c r="J2490" s="778" t="str">
        <f aca="false">IF(I2490="","",H2490/I2490)</f>
        <v/>
      </c>
      <c r="K2490" s="798"/>
      <c r="P2490" s="798"/>
      <c r="Q2490" s="798"/>
      <c r="R2490" s="811"/>
    </row>
    <row r="2491" customFormat="false" ht="16.5" hidden="false" customHeight="true" outlineLevel="0" collapsed="false">
      <c r="A2491" s="747"/>
      <c r="B2491" s="798"/>
      <c r="D2491" s="798"/>
      <c r="E2491" s="798"/>
      <c r="F2491" s="798"/>
      <c r="G2491" s="798"/>
      <c r="J2491" s="778" t="str">
        <f aca="false">IF(I2491="","",H2491/I2491)</f>
        <v/>
      </c>
      <c r="K2491" s="798"/>
      <c r="P2491" s="798"/>
      <c r="Q2491" s="798"/>
      <c r="R2491" s="811"/>
    </row>
    <row r="2492" customFormat="false" ht="16.5" hidden="false" customHeight="true" outlineLevel="0" collapsed="false">
      <c r="A2492" s="747"/>
      <c r="B2492" s="798"/>
      <c r="D2492" s="798"/>
      <c r="E2492" s="798"/>
      <c r="F2492" s="798"/>
      <c r="G2492" s="798"/>
      <c r="J2492" s="778" t="str">
        <f aca="false">IF(I2492="","",H2492/I2492)</f>
        <v/>
      </c>
      <c r="K2492" s="798"/>
      <c r="P2492" s="798"/>
      <c r="Q2492" s="798"/>
      <c r="R2492" s="811"/>
    </row>
    <row r="2493" customFormat="false" ht="16.5" hidden="false" customHeight="true" outlineLevel="0" collapsed="false">
      <c r="A2493" s="747"/>
      <c r="B2493" s="798"/>
      <c r="D2493" s="798"/>
      <c r="E2493" s="798"/>
      <c r="F2493" s="798"/>
      <c r="G2493" s="798"/>
      <c r="J2493" s="778" t="str">
        <f aca="false">IF(I2493="","",H2493/I2493)</f>
        <v/>
      </c>
      <c r="K2493" s="798"/>
      <c r="P2493" s="798"/>
      <c r="Q2493" s="798"/>
      <c r="R2493" s="811"/>
    </row>
    <row r="2494" customFormat="false" ht="16.5" hidden="false" customHeight="true" outlineLevel="0" collapsed="false">
      <c r="A2494" s="747"/>
      <c r="B2494" s="798"/>
      <c r="D2494" s="798"/>
      <c r="E2494" s="798"/>
      <c r="F2494" s="798"/>
      <c r="G2494" s="798"/>
      <c r="J2494" s="778" t="str">
        <f aca="false">IF(I2494="","",H2494/I2494)</f>
        <v/>
      </c>
      <c r="K2494" s="798"/>
      <c r="P2494" s="798"/>
      <c r="Q2494" s="798"/>
      <c r="R2494" s="811"/>
    </row>
    <row r="2495" customFormat="false" ht="16.5" hidden="false" customHeight="true" outlineLevel="0" collapsed="false">
      <c r="A2495" s="747"/>
      <c r="B2495" s="798"/>
      <c r="D2495" s="798"/>
      <c r="E2495" s="798"/>
      <c r="F2495" s="798"/>
      <c r="G2495" s="798"/>
      <c r="J2495" s="778" t="str">
        <f aca="false">IF(I2495="","",H2495/I2495)</f>
        <v/>
      </c>
      <c r="K2495" s="798"/>
      <c r="P2495" s="798"/>
      <c r="Q2495" s="798"/>
      <c r="R2495" s="811"/>
    </row>
    <row r="2496" customFormat="false" ht="16.5" hidden="false" customHeight="true" outlineLevel="0" collapsed="false">
      <c r="A2496" s="747"/>
      <c r="B2496" s="798"/>
      <c r="D2496" s="798"/>
      <c r="E2496" s="798"/>
      <c r="F2496" s="798"/>
      <c r="G2496" s="798"/>
      <c r="J2496" s="778" t="str">
        <f aca="false">IF(I2496="","",H2496/I2496)</f>
        <v/>
      </c>
      <c r="K2496" s="798"/>
      <c r="P2496" s="798"/>
      <c r="Q2496" s="798"/>
      <c r="R2496" s="811"/>
    </row>
    <row r="2497" customFormat="false" ht="16.5" hidden="false" customHeight="true" outlineLevel="0" collapsed="false">
      <c r="A2497" s="747"/>
      <c r="B2497" s="798"/>
      <c r="D2497" s="798"/>
      <c r="E2497" s="798"/>
      <c r="F2497" s="798"/>
      <c r="G2497" s="798"/>
      <c r="J2497" s="778" t="str">
        <f aca="false">IF(I2497="","",H2497/I2497)</f>
        <v/>
      </c>
      <c r="K2497" s="798"/>
      <c r="P2497" s="798"/>
      <c r="Q2497" s="798"/>
      <c r="R2497" s="811"/>
    </row>
    <row r="2498" customFormat="false" ht="16.5" hidden="false" customHeight="true" outlineLevel="0" collapsed="false">
      <c r="A2498" s="747"/>
      <c r="B2498" s="798"/>
      <c r="D2498" s="798"/>
      <c r="E2498" s="798"/>
      <c r="F2498" s="798"/>
      <c r="G2498" s="798"/>
      <c r="J2498" s="778" t="str">
        <f aca="false">IF(I2498="","",H2498/I2498)</f>
        <v/>
      </c>
      <c r="K2498" s="798"/>
      <c r="P2498" s="798"/>
      <c r="Q2498" s="798"/>
      <c r="R2498" s="811"/>
    </row>
    <row r="2499" customFormat="false" ht="16.5" hidden="false" customHeight="true" outlineLevel="0" collapsed="false">
      <c r="A2499" s="747"/>
      <c r="B2499" s="798"/>
      <c r="D2499" s="798"/>
      <c r="E2499" s="798"/>
      <c r="F2499" s="798"/>
      <c r="G2499" s="798"/>
      <c r="J2499" s="778" t="str">
        <f aca="false">IF(I2499="","",H2499/I2499)</f>
        <v/>
      </c>
      <c r="K2499" s="798"/>
      <c r="P2499" s="798"/>
      <c r="Q2499" s="798"/>
      <c r="R2499" s="811"/>
    </row>
    <row r="2500" customFormat="false" ht="16.5" hidden="false" customHeight="true" outlineLevel="0" collapsed="false">
      <c r="A2500" s="747"/>
      <c r="B2500" s="798"/>
      <c r="D2500" s="798"/>
      <c r="E2500" s="798"/>
      <c r="F2500" s="798"/>
      <c r="G2500" s="798"/>
      <c r="J2500" s="778" t="str">
        <f aca="false">IF(I2500="","",H2500/I2500)</f>
        <v/>
      </c>
      <c r="K2500" s="798"/>
      <c r="P2500" s="798"/>
      <c r="Q2500" s="798"/>
      <c r="R2500" s="811"/>
    </row>
    <row r="2501" customFormat="false" ht="16.5" hidden="false" customHeight="true" outlineLevel="0" collapsed="false">
      <c r="A2501" s="747"/>
      <c r="B2501" s="798"/>
      <c r="D2501" s="798"/>
      <c r="E2501" s="798"/>
      <c r="F2501" s="798"/>
      <c r="G2501" s="798"/>
      <c r="J2501" s="778" t="str">
        <f aca="false">IF(I2501="","",H2501/I2501)</f>
        <v/>
      </c>
      <c r="K2501" s="798"/>
      <c r="P2501" s="798"/>
      <c r="Q2501" s="798"/>
      <c r="R2501" s="811"/>
    </row>
    <row r="2502" customFormat="false" ht="16.5" hidden="false" customHeight="true" outlineLevel="0" collapsed="false">
      <c r="A2502" s="747"/>
      <c r="B2502" s="798"/>
      <c r="D2502" s="798"/>
      <c r="E2502" s="798"/>
      <c r="F2502" s="798"/>
      <c r="G2502" s="798"/>
      <c r="J2502" s="778" t="str">
        <f aca="false">IF(I2502="","",H2502/I2502)</f>
        <v/>
      </c>
      <c r="K2502" s="798"/>
      <c r="P2502" s="798"/>
      <c r="Q2502" s="798"/>
      <c r="R2502" s="811"/>
    </row>
    <row r="2503" customFormat="false" ht="16.5" hidden="false" customHeight="true" outlineLevel="0" collapsed="false">
      <c r="A2503" s="747"/>
      <c r="B2503" s="798"/>
      <c r="D2503" s="798"/>
      <c r="E2503" s="798"/>
      <c r="F2503" s="798"/>
      <c r="G2503" s="798"/>
      <c r="J2503" s="778" t="str">
        <f aca="false">IF(I2503="","",H2503/I2503)</f>
        <v/>
      </c>
      <c r="K2503" s="798"/>
      <c r="P2503" s="798"/>
      <c r="Q2503" s="798"/>
      <c r="R2503" s="811"/>
    </row>
    <row r="2504" customFormat="false" ht="16.5" hidden="false" customHeight="true" outlineLevel="0" collapsed="false">
      <c r="A2504" s="747"/>
      <c r="B2504" s="798"/>
      <c r="D2504" s="798"/>
      <c r="E2504" s="798"/>
      <c r="F2504" s="798"/>
      <c r="G2504" s="798"/>
      <c r="J2504" s="778" t="str">
        <f aca="false">IF(I2504="","",H2504/I2504)</f>
        <v/>
      </c>
      <c r="K2504" s="798"/>
      <c r="P2504" s="798"/>
      <c r="Q2504" s="798"/>
      <c r="R2504" s="811"/>
    </row>
    <row r="2505" customFormat="false" ht="16.5" hidden="false" customHeight="true" outlineLevel="0" collapsed="false">
      <c r="A2505" s="747"/>
      <c r="B2505" s="798"/>
      <c r="D2505" s="798"/>
      <c r="E2505" s="798"/>
      <c r="F2505" s="798"/>
      <c r="G2505" s="798"/>
      <c r="J2505" s="778" t="str">
        <f aca="false">IF(I2505="","",H2505/I2505)</f>
        <v/>
      </c>
      <c r="K2505" s="798"/>
      <c r="P2505" s="798"/>
      <c r="Q2505" s="798"/>
      <c r="R2505" s="811"/>
    </row>
    <row r="2506" customFormat="false" ht="16.5" hidden="false" customHeight="true" outlineLevel="0" collapsed="false">
      <c r="A2506" s="747"/>
      <c r="B2506" s="798"/>
      <c r="D2506" s="798"/>
      <c r="E2506" s="798"/>
      <c r="F2506" s="798"/>
      <c r="G2506" s="798"/>
      <c r="J2506" s="778" t="str">
        <f aca="false">IF(I2506="","",H2506/I2506)</f>
        <v/>
      </c>
      <c r="K2506" s="798"/>
      <c r="P2506" s="798"/>
      <c r="Q2506" s="798"/>
      <c r="R2506" s="811"/>
    </row>
    <row r="2507" customFormat="false" ht="16.5" hidden="false" customHeight="true" outlineLevel="0" collapsed="false">
      <c r="A2507" s="747"/>
      <c r="B2507" s="798"/>
      <c r="D2507" s="798"/>
      <c r="E2507" s="798"/>
      <c r="F2507" s="798"/>
      <c r="G2507" s="798"/>
      <c r="J2507" s="778" t="str">
        <f aca="false">IF(I2507="","",H2507/I2507)</f>
        <v/>
      </c>
      <c r="K2507" s="798"/>
      <c r="P2507" s="798"/>
      <c r="Q2507" s="798"/>
      <c r="R2507" s="811"/>
    </row>
    <row r="2508" customFormat="false" ht="16.5" hidden="false" customHeight="true" outlineLevel="0" collapsed="false">
      <c r="A2508" s="747"/>
      <c r="B2508" s="798"/>
      <c r="D2508" s="798"/>
      <c r="E2508" s="798"/>
      <c r="F2508" s="798"/>
      <c r="G2508" s="798"/>
      <c r="J2508" s="778" t="str">
        <f aca="false">IF(I2508="","",H2508/I2508)</f>
        <v/>
      </c>
      <c r="K2508" s="798"/>
      <c r="P2508" s="798"/>
      <c r="Q2508" s="798"/>
      <c r="R2508" s="811"/>
    </row>
    <row r="2509" customFormat="false" ht="16.5" hidden="false" customHeight="true" outlineLevel="0" collapsed="false">
      <c r="A2509" s="747"/>
      <c r="B2509" s="798"/>
      <c r="D2509" s="798"/>
      <c r="E2509" s="798"/>
      <c r="F2509" s="798"/>
      <c r="G2509" s="798"/>
      <c r="J2509" s="778" t="str">
        <f aca="false">IF(I2509="","",H2509/I2509)</f>
        <v/>
      </c>
      <c r="K2509" s="798"/>
      <c r="P2509" s="798"/>
      <c r="Q2509" s="798"/>
      <c r="R2509" s="811"/>
    </row>
    <row r="2510" customFormat="false" ht="16.5" hidden="false" customHeight="true" outlineLevel="0" collapsed="false">
      <c r="A2510" s="747"/>
      <c r="B2510" s="798"/>
      <c r="D2510" s="798"/>
      <c r="E2510" s="798"/>
      <c r="F2510" s="798"/>
      <c r="G2510" s="798"/>
      <c r="J2510" s="778" t="str">
        <f aca="false">IF(I2510="","",H2510/I2510)</f>
        <v/>
      </c>
      <c r="K2510" s="798"/>
      <c r="P2510" s="798"/>
      <c r="Q2510" s="798"/>
      <c r="R2510" s="811"/>
    </row>
    <row r="2511" customFormat="false" ht="16.5" hidden="false" customHeight="true" outlineLevel="0" collapsed="false">
      <c r="A2511" s="747"/>
      <c r="B2511" s="798"/>
      <c r="D2511" s="798"/>
      <c r="E2511" s="798"/>
      <c r="F2511" s="798"/>
      <c r="G2511" s="798"/>
      <c r="J2511" s="778" t="str">
        <f aca="false">IF(I2511="","",H2511/I2511)</f>
        <v/>
      </c>
      <c r="K2511" s="798"/>
      <c r="P2511" s="798"/>
      <c r="Q2511" s="798"/>
      <c r="R2511" s="811"/>
    </row>
    <row r="2512" customFormat="false" ht="16.5" hidden="false" customHeight="true" outlineLevel="0" collapsed="false">
      <c r="A2512" s="747"/>
      <c r="B2512" s="798"/>
      <c r="D2512" s="798"/>
      <c r="E2512" s="798"/>
      <c r="F2512" s="798"/>
      <c r="G2512" s="798"/>
      <c r="J2512" s="778" t="str">
        <f aca="false">IF(I2512="","",H2512/I2512)</f>
        <v/>
      </c>
      <c r="K2512" s="798"/>
      <c r="P2512" s="798"/>
      <c r="Q2512" s="798"/>
      <c r="R2512" s="811"/>
    </row>
    <row r="2513" customFormat="false" ht="16.5" hidden="false" customHeight="true" outlineLevel="0" collapsed="false">
      <c r="A2513" s="747"/>
      <c r="B2513" s="798"/>
      <c r="D2513" s="798"/>
      <c r="E2513" s="798"/>
      <c r="F2513" s="798"/>
      <c r="G2513" s="798"/>
      <c r="J2513" s="778" t="str">
        <f aca="false">IF(I2513="","",H2513/I2513)</f>
        <v/>
      </c>
      <c r="K2513" s="798"/>
      <c r="P2513" s="798"/>
      <c r="Q2513" s="798"/>
      <c r="R2513" s="811"/>
    </row>
    <row r="2514" customFormat="false" ht="16.5" hidden="false" customHeight="true" outlineLevel="0" collapsed="false">
      <c r="A2514" s="747"/>
      <c r="B2514" s="798"/>
      <c r="D2514" s="798"/>
      <c r="E2514" s="798"/>
      <c r="F2514" s="798"/>
      <c r="G2514" s="798"/>
      <c r="J2514" s="778" t="str">
        <f aca="false">IF(I2514="","",H2514/I2514)</f>
        <v/>
      </c>
      <c r="K2514" s="798"/>
      <c r="P2514" s="798"/>
      <c r="Q2514" s="798"/>
      <c r="R2514" s="811"/>
    </row>
    <row r="2515" customFormat="false" ht="16.5" hidden="false" customHeight="true" outlineLevel="0" collapsed="false">
      <c r="A2515" s="747"/>
      <c r="B2515" s="798"/>
      <c r="D2515" s="798"/>
      <c r="E2515" s="798"/>
      <c r="F2515" s="798"/>
      <c r="G2515" s="798"/>
      <c r="J2515" s="778" t="str">
        <f aca="false">IF(I2515="","",H2515/I2515)</f>
        <v/>
      </c>
      <c r="K2515" s="798"/>
      <c r="P2515" s="798"/>
      <c r="Q2515" s="798"/>
      <c r="R2515" s="811"/>
    </row>
    <row r="2516" customFormat="false" ht="16.5" hidden="false" customHeight="true" outlineLevel="0" collapsed="false">
      <c r="A2516" s="747"/>
      <c r="B2516" s="798"/>
      <c r="D2516" s="798"/>
      <c r="E2516" s="798"/>
      <c r="F2516" s="798"/>
      <c r="G2516" s="798"/>
      <c r="J2516" s="778" t="str">
        <f aca="false">IF(I2516="","",H2516/I2516)</f>
        <v/>
      </c>
      <c r="K2516" s="798"/>
      <c r="P2516" s="798"/>
      <c r="Q2516" s="798"/>
      <c r="R2516" s="811"/>
    </row>
    <row r="2517" customFormat="false" ht="16.5" hidden="false" customHeight="true" outlineLevel="0" collapsed="false">
      <c r="A2517" s="747"/>
      <c r="B2517" s="798"/>
      <c r="D2517" s="798"/>
      <c r="E2517" s="798"/>
      <c r="F2517" s="798"/>
      <c r="G2517" s="798"/>
      <c r="J2517" s="778" t="str">
        <f aca="false">IF(I2517="","",H2517/I2517)</f>
        <v/>
      </c>
      <c r="K2517" s="798"/>
      <c r="P2517" s="798"/>
      <c r="Q2517" s="798"/>
      <c r="R2517" s="811"/>
    </row>
    <row r="2518" customFormat="false" ht="16.5" hidden="false" customHeight="true" outlineLevel="0" collapsed="false">
      <c r="A2518" s="747"/>
      <c r="B2518" s="798"/>
      <c r="D2518" s="798"/>
      <c r="E2518" s="798"/>
      <c r="F2518" s="798"/>
      <c r="G2518" s="798"/>
      <c r="J2518" s="778" t="str">
        <f aca="false">IF(I2518="","",H2518/I2518)</f>
        <v/>
      </c>
      <c r="K2518" s="798"/>
      <c r="P2518" s="798"/>
      <c r="Q2518" s="798"/>
      <c r="R2518" s="811"/>
    </row>
    <row r="2519" customFormat="false" ht="16.5" hidden="false" customHeight="true" outlineLevel="0" collapsed="false">
      <c r="A2519" s="747"/>
      <c r="B2519" s="798"/>
      <c r="D2519" s="798"/>
      <c r="E2519" s="798"/>
      <c r="F2519" s="798"/>
      <c r="G2519" s="798"/>
      <c r="J2519" s="778" t="str">
        <f aca="false">IF(I2519="","",H2519/I2519)</f>
        <v/>
      </c>
      <c r="K2519" s="798"/>
      <c r="P2519" s="798"/>
      <c r="Q2519" s="798"/>
      <c r="R2519" s="811"/>
    </row>
    <row r="2520" customFormat="false" ht="16.5" hidden="false" customHeight="true" outlineLevel="0" collapsed="false">
      <c r="A2520" s="747"/>
      <c r="B2520" s="798"/>
      <c r="D2520" s="798"/>
      <c r="E2520" s="798"/>
      <c r="F2520" s="798"/>
      <c r="G2520" s="798"/>
      <c r="J2520" s="778" t="str">
        <f aca="false">IF(I2520="","",H2520/I2520)</f>
        <v/>
      </c>
      <c r="K2520" s="798"/>
      <c r="P2520" s="798"/>
      <c r="Q2520" s="798"/>
      <c r="R2520" s="811"/>
    </row>
    <row r="2521" customFormat="false" ht="16.5" hidden="false" customHeight="true" outlineLevel="0" collapsed="false">
      <c r="A2521" s="747"/>
      <c r="B2521" s="798"/>
      <c r="D2521" s="798"/>
      <c r="E2521" s="798"/>
      <c r="F2521" s="798"/>
      <c r="G2521" s="798"/>
      <c r="J2521" s="778" t="str">
        <f aca="false">IF(I2521="","",H2521/I2521)</f>
        <v/>
      </c>
      <c r="K2521" s="798"/>
      <c r="P2521" s="798"/>
      <c r="Q2521" s="798"/>
      <c r="R2521" s="811"/>
    </row>
    <row r="2522" customFormat="false" ht="16.5" hidden="false" customHeight="true" outlineLevel="0" collapsed="false">
      <c r="A2522" s="747"/>
      <c r="B2522" s="798"/>
      <c r="D2522" s="798"/>
      <c r="E2522" s="798"/>
      <c r="F2522" s="798"/>
      <c r="G2522" s="798"/>
      <c r="J2522" s="778" t="str">
        <f aca="false">IF(I2522="","",H2522/I2522)</f>
        <v/>
      </c>
      <c r="K2522" s="798"/>
      <c r="P2522" s="798"/>
      <c r="Q2522" s="798"/>
      <c r="R2522" s="811"/>
    </row>
    <row r="2523" customFormat="false" ht="16.5" hidden="false" customHeight="true" outlineLevel="0" collapsed="false">
      <c r="A2523" s="747"/>
      <c r="B2523" s="798"/>
      <c r="D2523" s="798"/>
      <c r="E2523" s="798"/>
      <c r="F2523" s="798"/>
      <c r="G2523" s="798"/>
      <c r="J2523" s="778" t="str">
        <f aca="false">IF(I2523="","",H2523/I2523)</f>
        <v/>
      </c>
      <c r="K2523" s="798"/>
      <c r="P2523" s="798"/>
      <c r="Q2523" s="798"/>
      <c r="R2523" s="811"/>
    </row>
    <row r="2524" customFormat="false" ht="16.5" hidden="false" customHeight="true" outlineLevel="0" collapsed="false">
      <c r="A2524" s="747"/>
      <c r="B2524" s="798"/>
      <c r="D2524" s="798"/>
      <c r="E2524" s="798"/>
      <c r="F2524" s="798"/>
      <c r="G2524" s="798"/>
      <c r="J2524" s="778" t="str">
        <f aca="false">IF(I2524="","",H2524/I2524)</f>
        <v/>
      </c>
      <c r="K2524" s="798"/>
      <c r="P2524" s="798"/>
      <c r="Q2524" s="798"/>
      <c r="R2524" s="811"/>
    </row>
    <row r="2525" customFormat="false" ht="16.5" hidden="false" customHeight="true" outlineLevel="0" collapsed="false">
      <c r="A2525" s="747"/>
      <c r="B2525" s="798"/>
      <c r="D2525" s="798"/>
      <c r="E2525" s="798"/>
      <c r="F2525" s="798"/>
      <c r="G2525" s="798"/>
      <c r="J2525" s="778" t="str">
        <f aca="false">IF(I2525="","",H2525/I2525)</f>
        <v/>
      </c>
      <c r="K2525" s="798"/>
      <c r="P2525" s="798"/>
      <c r="Q2525" s="798"/>
      <c r="R2525" s="811"/>
    </row>
    <row r="2526" customFormat="false" ht="16.5" hidden="false" customHeight="true" outlineLevel="0" collapsed="false">
      <c r="A2526" s="747"/>
      <c r="B2526" s="798"/>
      <c r="D2526" s="798"/>
      <c r="E2526" s="798"/>
      <c r="F2526" s="798"/>
      <c r="G2526" s="798"/>
      <c r="J2526" s="778" t="str">
        <f aca="false">IF(I2526="","",H2526/I2526)</f>
        <v/>
      </c>
      <c r="K2526" s="798"/>
      <c r="P2526" s="798"/>
      <c r="Q2526" s="798"/>
      <c r="R2526" s="811"/>
    </row>
    <row r="2527" customFormat="false" ht="16.5" hidden="false" customHeight="true" outlineLevel="0" collapsed="false">
      <c r="A2527" s="747"/>
      <c r="B2527" s="798"/>
      <c r="D2527" s="798"/>
      <c r="E2527" s="798"/>
      <c r="F2527" s="798"/>
      <c r="G2527" s="798"/>
      <c r="J2527" s="778" t="str">
        <f aca="false">IF(I2527="","",H2527/I2527)</f>
        <v/>
      </c>
      <c r="K2527" s="798"/>
      <c r="P2527" s="798"/>
      <c r="Q2527" s="798"/>
      <c r="R2527" s="811"/>
    </row>
    <row r="2528" customFormat="false" ht="16.5" hidden="false" customHeight="true" outlineLevel="0" collapsed="false">
      <c r="A2528" s="747"/>
      <c r="B2528" s="798"/>
      <c r="D2528" s="798"/>
      <c r="E2528" s="798"/>
      <c r="F2528" s="798"/>
      <c r="G2528" s="798"/>
      <c r="J2528" s="778" t="str">
        <f aca="false">IF(I2528="","",H2528/I2528)</f>
        <v/>
      </c>
      <c r="K2528" s="798"/>
      <c r="P2528" s="798"/>
      <c r="Q2528" s="798"/>
      <c r="R2528" s="811"/>
    </row>
    <row r="2529" customFormat="false" ht="16.5" hidden="false" customHeight="true" outlineLevel="0" collapsed="false">
      <c r="A2529" s="747"/>
      <c r="B2529" s="798"/>
      <c r="D2529" s="798"/>
      <c r="E2529" s="798"/>
      <c r="F2529" s="798"/>
      <c r="G2529" s="798"/>
      <c r="J2529" s="778" t="str">
        <f aca="false">IF(I2529="","",H2529/I2529)</f>
        <v/>
      </c>
      <c r="K2529" s="798"/>
      <c r="P2529" s="798"/>
      <c r="Q2529" s="798"/>
      <c r="R2529" s="811"/>
    </row>
    <row r="2530" customFormat="false" ht="16.5" hidden="false" customHeight="true" outlineLevel="0" collapsed="false">
      <c r="A2530" s="747"/>
      <c r="B2530" s="798"/>
      <c r="D2530" s="798"/>
      <c r="E2530" s="798"/>
      <c r="F2530" s="798"/>
      <c r="G2530" s="798"/>
      <c r="J2530" s="778" t="str">
        <f aca="false">IF(I2530="","",H2530/I2530)</f>
        <v/>
      </c>
      <c r="K2530" s="798"/>
      <c r="P2530" s="798"/>
      <c r="Q2530" s="798"/>
      <c r="R2530" s="811"/>
    </row>
    <row r="2531" customFormat="false" ht="16.5" hidden="false" customHeight="true" outlineLevel="0" collapsed="false">
      <c r="A2531" s="747"/>
      <c r="B2531" s="798"/>
      <c r="D2531" s="798"/>
      <c r="E2531" s="798"/>
      <c r="F2531" s="798"/>
      <c r="G2531" s="798"/>
      <c r="J2531" s="778" t="str">
        <f aca="false">IF(I2531="","",H2531/I2531)</f>
        <v/>
      </c>
      <c r="K2531" s="798"/>
      <c r="P2531" s="798"/>
      <c r="Q2531" s="798"/>
      <c r="R2531" s="811"/>
    </row>
    <row r="2532" customFormat="false" ht="16.5" hidden="false" customHeight="true" outlineLevel="0" collapsed="false">
      <c r="A2532" s="747"/>
      <c r="B2532" s="798"/>
      <c r="D2532" s="798"/>
      <c r="E2532" s="798"/>
      <c r="F2532" s="798"/>
      <c r="G2532" s="798"/>
      <c r="J2532" s="778" t="str">
        <f aca="false">IF(I2532="","",H2532/I2532)</f>
        <v/>
      </c>
      <c r="K2532" s="798"/>
      <c r="P2532" s="798"/>
      <c r="Q2532" s="798"/>
      <c r="R2532" s="811"/>
    </row>
    <row r="2533" customFormat="false" ht="16.5" hidden="false" customHeight="true" outlineLevel="0" collapsed="false">
      <c r="A2533" s="747"/>
      <c r="B2533" s="798"/>
      <c r="D2533" s="798"/>
      <c r="E2533" s="798"/>
      <c r="F2533" s="798"/>
      <c r="G2533" s="798"/>
      <c r="J2533" s="778" t="str">
        <f aca="false">IF(I2533="","",H2533/I2533)</f>
        <v/>
      </c>
      <c r="K2533" s="798"/>
      <c r="P2533" s="798"/>
      <c r="Q2533" s="798"/>
      <c r="R2533" s="811"/>
    </row>
    <row r="2534" customFormat="false" ht="16.5" hidden="false" customHeight="true" outlineLevel="0" collapsed="false">
      <c r="A2534" s="747"/>
      <c r="B2534" s="798"/>
      <c r="D2534" s="798"/>
      <c r="E2534" s="798"/>
      <c r="F2534" s="798"/>
      <c r="G2534" s="798"/>
      <c r="J2534" s="778" t="str">
        <f aca="false">IF(I2534="","",H2534/I2534)</f>
        <v/>
      </c>
      <c r="K2534" s="798"/>
      <c r="P2534" s="798"/>
      <c r="Q2534" s="798"/>
      <c r="R2534" s="811"/>
    </row>
    <row r="2535" customFormat="false" ht="16.5" hidden="false" customHeight="true" outlineLevel="0" collapsed="false">
      <c r="A2535" s="747"/>
      <c r="B2535" s="798"/>
      <c r="D2535" s="798"/>
      <c r="E2535" s="798"/>
      <c r="F2535" s="798"/>
      <c r="G2535" s="798"/>
      <c r="J2535" s="778" t="str">
        <f aca="false">IF(I2535="","",H2535/I2535)</f>
        <v/>
      </c>
      <c r="K2535" s="798"/>
      <c r="P2535" s="798"/>
      <c r="Q2535" s="798"/>
      <c r="R2535" s="811"/>
    </row>
    <row r="2536" customFormat="false" ht="16.5" hidden="false" customHeight="true" outlineLevel="0" collapsed="false">
      <c r="A2536" s="747"/>
      <c r="B2536" s="798"/>
      <c r="D2536" s="798"/>
      <c r="E2536" s="798"/>
      <c r="F2536" s="798"/>
      <c r="G2536" s="798"/>
      <c r="J2536" s="778" t="str">
        <f aca="false">IF(I2536="","",H2536/I2536)</f>
        <v/>
      </c>
      <c r="K2536" s="798"/>
      <c r="P2536" s="798"/>
      <c r="Q2536" s="798"/>
      <c r="R2536" s="811"/>
    </row>
    <row r="2537" customFormat="false" ht="16.5" hidden="false" customHeight="true" outlineLevel="0" collapsed="false">
      <c r="A2537" s="747"/>
      <c r="B2537" s="798"/>
      <c r="D2537" s="798"/>
      <c r="E2537" s="798"/>
      <c r="F2537" s="798"/>
      <c r="G2537" s="798"/>
      <c r="J2537" s="778" t="str">
        <f aca="false">IF(I2537="","",H2537/I2537)</f>
        <v/>
      </c>
      <c r="K2537" s="798"/>
      <c r="P2537" s="798"/>
      <c r="Q2537" s="798"/>
      <c r="R2537" s="811"/>
    </row>
    <row r="2538" customFormat="false" ht="16.5" hidden="false" customHeight="true" outlineLevel="0" collapsed="false">
      <c r="A2538" s="747"/>
      <c r="B2538" s="798"/>
      <c r="D2538" s="798"/>
      <c r="E2538" s="798"/>
      <c r="F2538" s="798"/>
      <c r="G2538" s="798"/>
      <c r="J2538" s="778" t="str">
        <f aca="false">IF(I2538="","",H2538/I2538)</f>
        <v/>
      </c>
      <c r="K2538" s="798"/>
      <c r="P2538" s="798"/>
      <c r="Q2538" s="798"/>
      <c r="R2538" s="811"/>
    </row>
    <row r="2539" customFormat="false" ht="16.5" hidden="false" customHeight="true" outlineLevel="0" collapsed="false">
      <c r="A2539" s="747"/>
      <c r="B2539" s="798"/>
      <c r="D2539" s="798"/>
      <c r="E2539" s="798"/>
      <c r="F2539" s="798"/>
      <c r="G2539" s="798"/>
      <c r="J2539" s="778" t="str">
        <f aca="false">IF(I2539="","",H2539/I2539)</f>
        <v/>
      </c>
      <c r="K2539" s="798"/>
      <c r="P2539" s="798"/>
      <c r="Q2539" s="798"/>
      <c r="R2539" s="811"/>
    </row>
    <row r="2540" customFormat="false" ht="16.5" hidden="false" customHeight="true" outlineLevel="0" collapsed="false">
      <c r="A2540" s="747"/>
      <c r="B2540" s="798"/>
      <c r="D2540" s="798"/>
      <c r="E2540" s="798"/>
      <c r="F2540" s="798"/>
      <c r="G2540" s="798"/>
      <c r="J2540" s="778" t="str">
        <f aca="false">IF(I2540="","",H2540/I2540)</f>
        <v/>
      </c>
      <c r="K2540" s="798"/>
      <c r="P2540" s="798"/>
      <c r="Q2540" s="798"/>
      <c r="R2540" s="811"/>
    </row>
    <row r="2541" customFormat="false" ht="16.5" hidden="false" customHeight="true" outlineLevel="0" collapsed="false">
      <c r="A2541" s="747"/>
      <c r="B2541" s="798"/>
      <c r="D2541" s="798"/>
      <c r="E2541" s="798"/>
      <c r="F2541" s="798"/>
      <c r="G2541" s="798"/>
      <c r="J2541" s="778" t="str">
        <f aca="false">IF(I2541="","",H2541/I2541)</f>
        <v/>
      </c>
      <c r="K2541" s="798"/>
      <c r="P2541" s="798"/>
      <c r="Q2541" s="798"/>
      <c r="R2541" s="811"/>
    </row>
    <row r="2542" customFormat="false" ht="16.5" hidden="false" customHeight="true" outlineLevel="0" collapsed="false">
      <c r="A2542" s="747"/>
      <c r="B2542" s="798"/>
      <c r="D2542" s="798"/>
      <c r="E2542" s="798"/>
      <c r="F2542" s="798"/>
      <c r="G2542" s="798"/>
      <c r="J2542" s="778" t="str">
        <f aca="false">IF(I2542="","",H2542/I2542)</f>
        <v/>
      </c>
      <c r="K2542" s="798"/>
      <c r="P2542" s="798"/>
      <c r="Q2542" s="798"/>
      <c r="R2542" s="811"/>
    </row>
    <row r="2543" customFormat="false" ht="16.5" hidden="false" customHeight="true" outlineLevel="0" collapsed="false">
      <c r="A2543" s="747"/>
      <c r="B2543" s="798"/>
      <c r="D2543" s="798"/>
      <c r="E2543" s="798"/>
      <c r="F2543" s="798"/>
      <c r="G2543" s="798"/>
      <c r="J2543" s="778" t="str">
        <f aca="false">IF(I2543="","",H2543/I2543)</f>
        <v/>
      </c>
      <c r="K2543" s="798"/>
      <c r="P2543" s="798"/>
      <c r="Q2543" s="798"/>
      <c r="R2543" s="811"/>
    </row>
    <row r="2544" customFormat="false" ht="16.5" hidden="false" customHeight="true" outlineLevel="0" collapsed="false">
      <c r="A2544" s="747"/>
      <c r="B2544" s="798"/>
      <c r="D2544" s="798"/>
      <c r="E2544" s="798"/>
      <c r="F2544" s="798"/>
      <c r="G2544" s="798"/>
      <c r="J2544" s="778" t="str">
        <f aca="false">IF(I2544="","",H2544/I2544)</f>
        <v/>
      </c>
      <c r="K2544" s="798"/>
      <c r="P2544" s="798"/>
      <c r="Q2544" s="798"/>
      <c r="R2544" s="811"/>
    </row>
    <row r="2545" customFormat="false" ht="16.5" hidden="false" customHeight="true" outlineLevel="0" collapsed="false">
      <c r="A2545" s="747"/>
      <c r="B2545" s="798"/>
      <c r="D2545" s="798"/>
      <c r="E2545" s="798"/>
      <c r="F2545" s="798"/>
      <c r="G2545" s="798"/>
      <c r="J2545" s="778" t="str">
        <f aca="false">IF(I2545="","",H2545/I2545)</f>
        <v/>
      </c>
      <c r="K2545" s="798"/>
      <c r="P2545" s="798"/>
      <c r="Q2545" s="798"/>
      <c r="R2545" s="811"/>
    </row>
    <row r="2546" customFormat="false" ht="16.5" hidden="false" customHeight="true" outlineLevel="0" collapsed="false">
      <c r="A2546" s="747"/>
      <c r="B2546" s="798"/>
      <c r="D2546" s="798"/>
      <c r="E2546" s="798"/>
      <c r="F2546" s="798"/>
      <c r="G2546" s="798"/>
      <c r="J2546" s="778" t="str">
        <f aca="false">IF(I2546="","",H2546/I2546)</f>
        <v/>
      </c>
      <c r="K2546" s="798"/>
      <c r="P2546" s="798"/>
      <c r="Q2546" s="798"/>
      <c r="R2546" s="811"/>
    </row>
    <row r="2547" customFormat="false" ht="16.5" hidden="false" customHeight="true" outlineLevel="0" collapsed="false">
      <c r="A2547" s="747"/>
      <c r="B2547" s="798"/>
      <c r="D2547" s="798"/>
      <c r="E2547" s="798"/>
      <c r="F2547" s="798"/>
      <c r="G2547" s="798"/>
      <c r="J2547" s="778" t="str">
        <f aca="false">IF(I2547="","",H2547/I2547)</f>
        <v/>
      </c>
      <c r="K2547" s="798"/>
      <c r="P2547" s="798"/>
      <c r="Q2547" s="798"/>
      <c r="R2547" s="811"/>
    </row>
    <row r="2548" customFormat="false" ht="16.5" hidden="false" customHeight="true" outlineLevel="0" collapsed="false">
      <c r="A2548" s="747"/>
      <c r="B2548" s="798"/>
      <c r="D2548" s="798"/>
      <c r="E2548" s="798"/>
      <c r="F2548" s="798"/>
      <c r="G2548" s="798"/>
      <c r="J2548" s="778" t="str">
        <f aca="false">IF(I2548="","",H2548/I2548)</f>
        <v/>
      </c>
      <c r="K2548" s="798"/>
      <c r="P2548" s="798"/>
      <c r="Q2548" s="798"/>
      <c r="R2548" s="811"/>
    </row>
    <row r="2549" customFormat="false" ht="16.5" hidden="false" customHeight="true" outlineLevel="0" collapsed="false">
      <c r="A2549" s="747"/>
      <c r="B2549" s="798"/>
      <c r="D2549" s="798"/>
      <c r="E2549" s="798"/>
      <c r="F2549" s="798"/>
      <c r="G2549" s="798"/>
      <c r="J2549" s="778" t="str">
        <f aca="false">IF(I2549="","",H2549/I2549)</f>
        <v/>
      </c>
      <c r="K2549" s="798"/>
      <c r="P2549" s="798"/>
      <c r="Q2549" s="798"/>
      <c r="R2549" s="811"/>
    </row>
    <row r="2550" customFormat="false" ht="16.5" hidden="false" customHeight="true" outlineLevel="0" collapsed="false">
      <c r="A2550" s="747"/>
      <c r="B2550" s="798"/>
      <c r="D2550" s="798"/>
      <c r="E2550" s="798"/>
      <c r="F2550" s="798"/>
      <c r="G2550" s="798"/>
      <c r="J2550" s="778" t="str">
        <f aca="false">IF(I2550="","",H2550/I2550)</f>
        <v/>
      </c>
      <c r="K2550" s="798"/>
      <c r="P2550" s="798"/>
      <c r="Q2550" s="798"/>
      <c r="R2550" s="811"/>
    </row>
    <row r="2551" customFormat="false" ht="16.5" hidden="false" customHeight="true" outlineLevel="0" collapsed="false">
      <c r="A2551" s="747"/>
      <c r="B2551" s="798"/>
      <c r="D2551" s="798"/>
      <c r="E2551" s="798"/>
      <c r="F2551" s="798"/>
      <c r="G2551" s="798"/>
      <c r="J2551" s="778" t="str">
        <f aca="false">IF(I2551="","",H2551/I2551)</f>
        <v/>
      </c>
      <c r="K2551" s="798"/>
      <c r="P2551" s="798"/>
      <c r="Q2551" s="798"/>
      <c r="R2551" s="811"/>
    </row>
    <row r="2552" customFormat="false" ht="16.5" hidden="false" customHeight="true" outlineLevel="0" collapsed="false">
      <c r="A2552" s="747"/>
      <c r="B2552" s="798"/>
      <c r="D2552" s="798"/>
      <c r="E2552" s="798"/>
      <c r="F2552" s="798"/>
      <c r="G2552" s="798"/>
      <c r="J2552" s="778" t="str">
        <f aca="false">IF(I2552="","",H2552/I2552)</f>
        <v/>
      </c>
      <c r="K2552" s="798"/>
      <c r="P2552" s="798"/>
      <c r="Q2552" s="798"/>
      <c r="R2552" s="811"/>
    </row>
    <row r="2553" customFormat="false" ht="16.5" hidden="false" customHeight="true" outlineLevel="0" collapsed="false">
      <c r="A2553" s="747"/>
      <c r="B2553" s="798"/>
      <c r="D2553" s="798"/>
      <c r="E2553" s="798"/>
      <c r="F2553" s="798"/>
      <c r="G2553" s="798"/>
      <c r="J2553" s="778" t="str">
        <f aca="false">IF(I2553="","",H2553/I2553)</f>
        <v/>
      </c>
      <c r="K2553" s="798"/>
      <c r="P2553" s="798"/>
      <c r="Q2553" s="798"/>
      <c r="R2553" s="811"/>
    </row>
    <row r="2554" customFormat="false" ht="16.5" hidden="false" customHeight="true" outlineLevel="0" collapsed="false">
      <c r="A2554" s="747"/>
      <c r="B2554" s="798"/>
      <c r="D2554" s="798"/>
      <c r="E2554" s="798"/>
      <c r="F2554" s="798"/>
      <c r="G2554" s="798"/>
      <c r="J2554" s="778" t="str">
        <f aca="false">IF(I2554="","",H2554/I2554)</f>
        <v/>
      </c>
      <c r="K2554" s="798"/>
      <c r="P2554" s="798"/>
      <c r="Q2554" s="798"/>
      <c r="R2554" s="811"/>
    </row>
    <row r="2555" customFormat="false" ht="16.5" hidden="false" customHeight="true" outlineLevel="0" collapsed="false">
      <c r="A2555" s="747"/>
      <c r="B2555" s="798"/>
      <c r="D2555" s="798"/>
      <c r="E2555" s="798"/>
      <c r="F2555" s="798"/>
      <c r="G2555" s="798"/>
      <c r="J2555" s="778" t="str">
        <f aca="false">IF(I2555="","",H2555/I2555)</f>
        <v/>
      </c>
      <c r="K2555" s="798"/>
      <c r="P2555" s="798"/>
      <c r="Q2555" s="798"/>
      <c r="R2555" s="811"/>
    </row>
    <row r="2556" customFormat="false" ht="16.5" hidden="false" customHeight="true" outlineLevel="0" collapsed="false">
      <c r="A2556" s="747"/>
      <c r="B2556" s="798"/>
      <c r="D2556" s="798"/>
      <c r="E2556" s="798"/>
      <c r="F2556" s="798"/>
      <c r="G2556" s="798"/>
      <c r="J2556" s="778" t="str">
        <f aca="false">IF(I2556="","",H2556/I2556)</f>
        <v/>
      </c>
      <c r="K2556" s="798"/>
      <c r="P2556" s="798"/>
      <c r="Q2556" s="798"/>
      <c r="R2556" s="811"/>
    </row>
    <row r="2557" customFormat="false" ht="16.5" hidden="false" customHeight="true" outlineLevel="0" collapsed="false">
      <c r="A2557" s="747"/>
      <c r="B2557" s="798"/>
      <c r="D2557" s="798"/>
      <c r="E2557" s="798"/>
      <c r="F2557" s="798"/>
      <c r="G2557" s="798"/>
      <c r="J2557" s="778" t="str">
        <f aca="false">IF(I2557="","",H2557/I2557)</f>
        <v/>
      </c>
      <c r="K2557" s="798"/>
      <c r="P2557" s="798"/>
      <c r="Q2557" s="798"/>
      <c r="R2557" s="811"/>
    </row>
    <row r="2558" customFormat="false" ht="16.5" hidden="false" customHeight="true" outlineLevel="0" collapsed="false">
      <c r="A2558" s="747"/>
      <c r="B2558" s="798"/>
      <c r="D2558" s="798"/>
      <c r="E2558" s="798"/>
      <c r="F2558" s="798"/>
      <c r="G2558" s="798"/>
      <c r="J2558" s="778" t="str">
        <f aca="false">IF(I2558="","",H2558/I2558)</f>
        <v/>
      </c>
      <c r="K2558" s="798"/>
      <c r="P2558" s="798"/>
      <c r="Q2558" s="798"/>
      <c r="R2558" s="811"/>
    </row>
    <row r="2559" customFormat="false" ht="16.5" hidden="false" customHeight="true" outlineLevel="0" collapsed="false">
      <c r="A2559" s="747"/>
      <c r="B2559" s="798"/>
      <c r="D2559" s="798"/>
      <c r="E2559" s="798"/>
      <c r="F2559" s="798"/>
      <c r="G2559" s="798"/>
      <c r="J2559" s="778" t="str">
        <f aca="false">IF(I2559="","",H2559/I2559)</f>
        <v/>
      </c>
      <c r="K2559" s="798"/>
      <c r="P2559" s="798"/>
      <c r="Q2559" s="798"/>
      <c r="R2559" s="811"/>
    </row>
    <row r="2560" customFormat="false" ht="16.5" hidden="false" customHeight="true" outlineLevel="0" collapsed="false">
      <c r="A2560" s="747"/>
      <c r="B2560" s="798"/>
      <c r="D2560" s="798"/>
      <c r="E2560" s="798"/>
      <c r="F2560" s="798"/>
      <c r="G2560" s="798"/>
      <c r="J2560" s="778" t="str">
        <f aca="false">IF(I2560="","",H2560/I2560)</f>
        <v/>
      </c>
      <c r="K2560" s="798"/>
      <c r="P2560" s="798"/>
      <c r="Q2560" s="798"/>
      <c r="R2560" s="811"/>
    </row>
    <row r="2561" customFormat="false" ht="16.5" hidden="false" customHeight="true" outlineLevel="0" collapsed="false">
      <c r="A2561" s="747"/>
      <c r="B2561" s="798"/>
      <c r="D2561" s="798"/>
      <c r="E2561" s="798"/>
      <c r="F2561" s="798"/>
      <c r="G2561" s="798"/>
      <c r="J2561" s="778" t="str">
        <f aca="false">IF(I2561="","",H2561/I2561)</f>
        <v/>
      </c>
      <c r="K2561" s="798"/>
      <c r="P2561" s="798"/>
      <c r="Q2561" s="798"/>
      <c r="R2561" s="811"/>
    </row>
    <row r="2562" customFormat="false" ht="16.5" hidden="false" customHeight="true" outlineLevel="0" collapsed="false">
      <c r="A2562" s="747"/>
      <c r="B2562" s="798"/>
      <c r="D2562" s="798"/>
      <c r="E2562" s="798"/>
      <c r="F2562" s="798"/>
      <c r="G2562" s="798"/>
      <c r="J2562" s="778" t="str">
        <f aca="false">IF(I2562="","",H2562/I2562)</f>
        <v/>
      </c>
      <c r="K2562" s="798"/>
      <c r="P2562" s="798"/>
      <c r="Q2562" s="798"/>
      <c r="R2562" s="811"/>
    </row>
    <row r="2563" customFormat="false" ht="16.5" hidden="false" customHeight="true" outlineLevel="0" collapsed="false">
      <c r="A2563" s="747"/>
      <c r="B2563" s="798"/>
      <c r="D2563" s="798"/>
      <c r="E2563" s="798"/>
      <c r="F2563" s="798"/>
      <c r="G2563" s="798"/>
      <c r="J2563" s="778" t="str">
        <f aca="false">IF(I2563="","",H2563/I2563)</f>
        <v/>
      </c>
      <c r="K2563" s="798"/>
      <c r="P2563" s="798"/>
      <c r="Q2563" s="798"/>
      <c r="R2563" s="811"/>
    </row>
    <row r="2564" customFormat="false" ht="16.5" hidden="false" customHeight="true" outlineLevel="0" collapsed="false">
      <c r="A2564" s="747"/>
      <c r="B2564" s="798"/>
      <c r="D2564" s="798"/>
      <c r="E2564" s="798"/>
      <c r="F2564" s="798"/>
      <c r="G2564" s="798"/>
      <c r="J2564" s="778" t="str">
        <f aca="false">IF(I2564="","",H2564/I2564)</f>
        <v/>
      </c>
      <c r="K2564" s="798"/>
      <c r="P2564" s="798"/>
      <c r="Q2564" s="798"/>
      <c r="R2564" s="811"/>
    </row>
    <row r="2565" customFormat="false" ht="16.5" hidden="false" customHeight="true" outlineLevel="0" collapsed="false">
      <c r="A2565" s="747"/>
      <c r="B2565" s="798"/>
      <c r="D2565" s="798"/>
      <c r="E2565" s="798"/>
      <c r="F2565" s="798"/>
      <c r="G2565" s="798"/>
      <c r="J2565" s="778" t="str">
        <f aca="false">IF(I2565="","",H2565/I2565)</f>
        <v/>
      </c>
      <c r="K2565" s="798"/>
      <c r="P2565" s="798"/>
      <c r="Q2565" s="798"/>
      <c r="R2565" s="811"/>
    </row>
    <row r="2566" customFormat="false" ht="16.5" hidden="false" customHeight="true" outlineLevel="0" collapsed="false">
      <c r="A2566" s="747"/>
      <c r="B2566" s="798"/>
      <c r="D2566" s="798"/>
      <c r="E2566" s="798"/>
      <c r="F2566" s="798"/>
      <c r="G2566" s="798"/>
      <c r="J2566" s="778" t="str">
        <f aca="false">IF(I2566="","",H2566/I2566)</f>
        <v/>
      </c>
      <c r="K2566" s="798"/>
      <c r="P2566" s="798"/>
      <c r="Q2566" s="798"/>
      <c r="R2566" s="811"/>
    </row>
    <row r="2567" customFormat="false" ht="16.5" hidden="false" customHeight="true" outlineLevel="0" collapsed="false">
      <c r="A2567" s="747"/>
      <c r="B2567" s="798"/>
      <c r="D2567" s="798"/>
      <c r="E2567" s="798"/>
      <c r="F2567" s="798"/>
      <c r="G2567" s="798"/>
      <c r="J2567" s="778" t="str">
        <f aca="false">IF(I2567="","",H2567/I2567)</f>
        <v/>
      </c>
      <c r="K2567" s="798"/>
      <c r="P2567" s="798"/>
      <c r="Q2567" s="798"/>
      <c r="R2567" s="811"/>
    </row>
    <row r="2568" customFormat="false" ht="16.5" hidden="false" customHeight="true" outlineLevel="0" collapsed="false">
      <c r="A2568" s="747"/>
      <c r="B2568" s="798"/>
      <c r="D2568" s="798"/>
      <c r="E2568" s="798"/>
      <c r="F2568" s="798"/>
      <c r="G2568" s="798"/>
      <c r="J2568" s="778" t="str">
        <f aca="false">IF(I2568="","",H2568/I2568)</f>
        <v/>
      </c>
      <c r="K2568" s="798"/>
      <c r="P2568" s="798"/>
      <c r="Q2568" s="798"/>
      <c r="R2568" s="811"/>
    </row>
    <row r="2569" customFormat="false" ht="16.5" hidden="false" customHeight="true" outlineLevel="0" collapsed="false">
      <c r="A2569" s="747"/>
      <c r="B2569" s="798"/>
      <c r="D2569" s="798"/>
      <c r="E2569" s="798"/>
      <c r="F2569" s="798"/>
      <c r="G2569" s="798"/>
      <c r="J2569" s="778" t="str">
        <f aca="false">IF(I2569="","",H2569/I2569)</f>
        <v/>
      </c>
      <c r="K2569" s="798"/>
      <c r="P2569" s="798"/>
      <c r="Q2569" s="798"/>
      <c r="R2569" s="811"/>
    </row>
    <row r="2570" customFormat="false" ht="16.5" hidden="false" customHeight="true" outlineLevel="0" collapsed="false">
      <c r="A2570" s="747"/>
      <c r="B2570" s="798"/>
      <c r="D2570" s="798"/>
      <c r="E2570" s="798"/>
      <c r="F2570" s="798"/>
      <c r="G2570" s="798"/>
      <c r="J2570" s="778" t="str">
        <f aca="false">IF(I2570="","",H2570/I2570)</f>
        <v/>
      </c>
      <c r="K2570" s="798"/>
      <c r="P2570" s="798"/>
      <c r="Q2570" s="798"/>
      <c r="R2570" s="811"/>
    </row>
    <row r="2571" customFormat="false" ht="16.5" hidden="false" customHeight="true" outlineLevel="0" collapsed="false">
      <c r="A2571" s="747"/>
      <c r="B2571" s="798"/>
      <c r="D2571" s="798"/>
      <c r="E2571" s="798"/>
      <c r="F2571" s="798"/>
      <c r="G2571" s="798"/>
      <c r="J2571" s="778" t="str">
        <f aca="false">IF(I2571="","",H2571/I2571)</f>
        <v/>
      </c>
      <c r="K2571" s="798"/>
      <c r="P2571" s="798"/>
      <c r="Q2571" s="798"/>
      <c r="R2571" s="811"/>
    </row>
    <row r="2572" customFormat="false" ht="16.5" hidden="false" customHeight="true" outlineLevel="0" collapsed="false">
      <c r="A2572" s="747"/>
      <c r="B2572" s="798"/>
      <c r="D2572" s="798"/>
      <c r="E2572" s="798"/>
      <c r="F2572" s="798"/>
      <c r="G2572" s="798"/>
      <c r="J2572" s="778" t="str">
        <f aca="false">IF(I2572="","",H2572/I2572)</f>
        <v/>
      </c>
      <c r="K2572" s="798"/>
      <c r="P2572" s="798"/>
      <c r="Q2572" s="798"/>
      <c r="R2572" s="811"/>
    </row>
    <row r="2573" customFormat="false" ht="16.5" hidden="false" customHeight="true" outlineLevel="0" collapsed="false">
      <c r="A2573" s="747"/>
      <c r="B2573" s="798"/>
      <c r="D2573" s="798"/>
      <c r="E2573" s="798"/>
      <c r="F2573" s="798"/>
      <c r="G2573" s="798"/>
      <c r="J2573" s="778" t="str">
        <f aca="false">IF(I2573="","",H2573/I2573)</f>
        <v/>
      </c>
      <c r="K2573" s="798"/>
      <c r="P2573" s="798"/>
      <c r="Q2573" s="798"/>
      <c r="R2573" s="811"/>
    </row>
    <row r="2574" customFormat="false" ht="16.5" hidden="false" customHeight="true" outlineLevel="0" collapsed="false">
      <c r="A2574" s="747"/>
      <c r="B2574" s="798"/>
      <c r="D2574" s="798"/>
      <c r="E2574" s="798"/>
      <c r="F2574" s="798"/>
      <c r="G2574" s="798"/>
      <c r="J2574" s="778" t="str">
        <f aca="false">IF(I2574="","",H2574/I2574)</f>
        <v/>
      </c>
      <c r="K2574" s="798"/>
      <c r="P2574" s="798"/>
      <c r="Q2574" s="798"/>
      <c r="R2574" s="811"/>
    </row>
    <row r="2575" customFormat="false" ht="16.5" hidden="false" customHeight="true" outlineLevel="0" collapsed="false">
      <c r="A2575" s="747"/>
      <c r="B2575" s="798"/>
      <c r="D2575" s="798"/>
      <c r="E2575" s="798"/>
      <c r="F2575" s="798"/>
      <c r="G2575" s="798"/>
      <c r="J2575" s="778" t="str">
        <f aca="false">IF(I2575="","",H2575/I2575)</f>
        <v/>
      </c>
      <c r="K2575" s="798"/>
      <c r="P2575" s="798"/>
      <c r="Q2575" s="798"/>
      <c r="R2575" s="811"/>
    </row>
    <row r="2576" customFormat="false" ht="16.5" hidden="false" customHeight="true" outlineLevel="0" collapsed="false">
      <c r="A2576" s="747"/>
      <c r="B2576" s="798"/>
      <c r="D2576" s="798"/>
      <c r="E2576" s="798"/>
      <c r="F2576" s="798"/>
      <c r="G2576" s="798"/>
      <c r="J2576" s="778" t="str">
        <f aca="false">IF(I2576="","",H2576/I2576)</f>
        <v/>
      </c>
      <c r="K2576" s="798"/>
      <c r="P2576" s="798"/>
      <c r="Q2576" s="798"/>
      <c r="R2576" s="811"/>
    </row>
    <row r="2577" customFormat="false" ht="16.5" hidden="false" customHeight="true" outlineLevel="0" collapsed="false">
      <c r="A2577" s="747"/>
      <c r="B2577" s="798"/>
      <c r="D2577" s="798"/>
      <c r="E2577" s="798"/>
      <c r="F2577" s="798"/>
      <c r="G2577" s="798"/>
      <c r="J2577" s="778" t="str">
        <f aca="false">IF(I2577="","",H2577/I2577)</f>
        <v/>
      </c>
      <c r="K2577" s="798"/>
      <c r="P2577" s="798"/>
      <c r="Q2577" s="798"/>
      <c r="R2577" s="811"/>
    </row>
    <row r="2578" customFormat="false" ht="16.5" hidden="false" customHeight="true" outlineLevel="0" collapsed="false">
      <c r="A2578" s="747"/>
      <c r="B2578" s="798"/>
      <c r="D2578" s="798"/>
      <c r="E2578" s="798"/>
      <c r="F2578" s="798"/>
      <c r="G2578" s="798"/>
      <c r="J2578" s="778" t="str">
        <f aca="false">IF(I2578="","",H2578/I2578)</f>
        <v/>
      </c>
      <c r="K2578" s="798"/>
      <c r="P2578" s="798"/>
      <c r="Q2578" s="798"/>
      <c r="R2578" s="811"/>
    </row>
    <row r="2579" customFormat="false" ht="16.5" hidden="false" customHeight="true" outlineLevel="0" collapsed="false">
      <c r="A2579" s="747"/>
      <c r="B2579" s="798"/>
      <c r="D2579" s="798"/>
      <c r="E2579" s="798"/>
      <c r="F2579" s="798"/>
      <c r="G2579" s="798"/>
      <c r="J2579" s="778" t="str">
        <f aca="false">IF(I2579="","",H2579/I2579)</f>
        <v/>
      </c>
      <c r="K2579" s="798"/>
      <c r="P2579" s="798"/>
      <c r="Q2579" s="798"/>
      <c r="R2579" s="811"/>
    </row>
    <row r="2580" customFormat="false" ht="16.5" hidden="false" customHeight="true" outlineLevel="0" collapsed="false">
      <c r="A2580" s="747"/>
      <c r="B2580" s="798"/>
      <c r="D2580" s="798"/>
      <c r="E2580" s="798"/>
      <c r="F2580" s="798"/>
      <c r="G2580" s="798"/>
      <c r="J2580" s="778" t="str">
        <f aca="false">IF(I2580="","",H2580/I2580)</f>
        <v/>
      </c>
      <c r="K2580" s="798"/>
      <c r="P2580" s="798"/>
      <c r="Q2580" s="798"/>
      <c r="R2580" s="811"/>
    </row>
    <row r="2581" customFormat="false" ht="16.5" hidden="false" customHeight="true" outlineLevel="0" collapsed="false">
      <c r="A2581" s="747"/>
      <c r="B2581" s="798"/>
      <c r="D2581" s="798"/>
      <c r="E2581" s="798"/>
      <c r="F2581" s="798"/>
      <c r="G2581" s="798"/>
      <c r="J2581" s="778" t="str">
        <f aca="false">IF(I2581="","",H2581/I2581)</f>
        <v/>
      </c>
      <c r="K2581" s="798"/>
      <c r="P2581" s="798"/>
      <c r="Q2581" s="798"/>
      <c r="R2581" s="811"/>
    </row>
    <row r="2582" customFormat="false" ht="16.5" hidden="false" customHeight="true" outlineLevel="0" collapsed="false">
      <c r="A2582" s="747"/>
      <c r="B2582" s="798"/>
      <c r="D2582" s="798"/>
      <c r="E2582" s="798"/>
      <c r="F2582" s="798"/>
      <c r="G2582" s="798"/>
      <c r="J2582" s="778" t="str">
        <f aca="false">IF(I2582="","",H2582/I2582)</f>
        <v/>
      </c>
      <c r="K2582" s="798"/>
      <c r="P2582" s="798"/>
      <c r="Q2582" s="798"/>
      <c r="R2582" s="811"/>
    </row>
    <row r="2583" customFormat="false" ht="16.5" hidden="false" customHeight="true" outlineLevel="0" collapsed="false">
      <c r="A2583" s="747"/>
      <c r="B2583" s="798"/>
      <c r="D2583" s="798"/>
      <c r="E2583" s="798"/>
      <c r="F2583" s="798"/>
      <c r="G2583" s="798"/>
      <c r="J2583" s="778" t="str">
        <f aca="false">IF(I2583="","",H2583/I2583)</f>
        <v/>
      </c>
      <c r="K2583" s="798"/>
      <c r="P2583" s="798"/>
      <c r="Q2583" s="798"/>
      <c r="R2583" s="811"/>
    </row>
    <row r="2584" customFormat="false" ht="16.5" hidden="false" customHeight="true" outlineLevel="0" collapsed="false">
      <c r="A2584" s="747"/>
      <c r="B2584" s="798"/>
      <c r="D2584" s="798"/>
      <c r="E2584" s="798"/>
      <c r="F2584" s="798"/>
      <c r="G2584" s="798"/>
      <c r="J2584" s="778" t="str">
        <f aca="false">IF(I2584="","",H2584/I2584)</f>
        <v/>
      </c>
      <c r="K2584" s="798"/>
      <c r="P2584" s="798"/>
      <c r="Q2584" s="798"/>
      <c r="R2584" s="811"/>
    </row>
    <row r="2585" customFormat="false" ht="16.5" hidden="false" customHeight="true" outlineLevel="0" collapsed="false">
      <c r="A2585" s="747"/>
      <c r="B2585" s="798"/>
      <c r="D2585" s="798"/>
      <c r="E2585" s="798"/>
      <c r="F2585" s="798"/>
      <c r="G2585" s="798"/>
      <c r="J2585" s="778" t="str">
        <f aca="false">IF(I2585="","",H2585/I2585)</f>
        <v/>
      </c>
      <c r="K2585" s="798"/>
      <c r="P2585" s="798"/>
      <c r="Q2585" s="798"/>
      <c r="R2585" s="811"/>
    </row>
    <row r="2586" customFormat="false" ht="16.5" hidden="false" customHeight="true" outlineLevel="0" collapsed="false">
      <c r="A2586" s="747"/>
      <c r="B2586" s="798"/>
      <c r="D2586" s="798"/>
      <c r="E2586" s="798"/>
      <c r="F2586" s="798"/>
      <c r="G2586" s="798"/>
      <c r="J2586" s="778" t="str">
        <f aca="false">IF(I2586="","",H2586/I2586)</f>
        <v/>
      </c>
      <c r="K2586" s="798"/>
      <c r="P2586" s="798"/>
      <c r="Q2586" s="798"/>
      <c r="R2586" s="811"/>
    </row>
    <row r="2587" customFormat="false" ht="16.5" hidden="false" customHeight="true" outlineLevel="0" collapsed="false">
      <c r="A2587" s="747"/>
      <c r="B2587" s="798"/>
      <c r="D2587" s="798"/>
      <c r="E2587" s="798"/>
      <c r="F2587" s="798"/>
      <c r="G2587" s="798"/>
      <c r="J2587" s="778" t="str">
        <f aca="false">IF(I2587="","",H2587/I2587)</f>
        <v/>
      </c>
      <c r="K2587" s="798"/>
      <c r="P2587" s="798"/>
      <c r="Q2587" s="798"/>
      <c r="R2587" s="811"/>
    </row>
    <row r="2588" customFormat="false" ht="16.5" hidden="false" customHeight="true" outlineLevel="0" collapsed="false">
      <c r="A2588" s="747"/>
      <c r="B2588" s="798"/>
      <c r="D2588" s="798"/>
      <c r="E2588" s="798"/>
      <c r="F2588" s="798"/>
      <c r="G2588" s="798"/>
      <c r="J2588" s="778" t="str">
        <f aca="false">IF(I2588="","",H2588/I2588)</f>
        <v/>
      </c>
      <c r="K2588" s="798"/>
      <c r="P2588" s="798"/>
      <c r="Q2588" s="798"/>
      <c r="R2588" s="811"/>
    </row>
    <row r="2589" customFormat="false" ht="16.5" hidden="false" customHeight="true" outlineLevel="0" collapsed="false">
      <c r="A2589" s="747"/>
      <c r="B2589" s="798"/>
      <c r="D2589" s="798"/>
      <c r="E2589" s="798"/>
      <c r="F2589" s="798"/>
      <c r="G2589" s="798"/>
      <c r="J2589" s="778" t="str">
        <f aca="false">IF(I2589="","",H2589/I2589)</f>
        <v/>
      </c>
      <c r="K2589" s="798"/>
      <c r="P2589" s="798"/>
      <c r="Q2589" s="798"/>
      <c r="R2589" s="811"/>
    </row>
    <row r="2590" customFormat="false" ht="16.5" hidden="false" customHeight="true" outlineLevel="0" collapsed="false">
      <c r="A2590" s="747"/>
      <c r="B2590" s="798"/>
      <c r="D2590" s="798"/>
      <c r="E2590" s="798"/>
      <c r="F2590" s="798"/>
      <c r="G2590" s="798"/>
      <c r="J2590" s="778" t="str">
        <f aca="false">IF(I2590="","",H2590/I2590)</f>
        <v/>
      </c>
      <c r="K2590" s="798"/>
      <c r="P2590" s="798"/>
      <c r="Q2590" s="798"/>
      <c r="R2590" s="811"/>
    </row>
    <row r="2591" customFormat="false" ht="16.5" hidden="false" customHeight="true" outlineLevel="0" collapsed="false">
      <c r="A2591" s="747"/>
      <c r="B2591" s="798"/>
      <c r="D2591" s="798"/>
      <c r="E2591" s="798"/>
      <c r="F2591" s="798"/>
      <c r="G2591" s="798"/>
      <c r="J2591" s="778" t="str">
        <f aca="false">IF(I2591="","",H2591/I2591)</f>
        <v/>
      </c>
      <c r="K2591" s="798"/>
      <c r="P2591" s="798"/>
      <c r="Q2591" s="798"/>
      <c r="R2591" s="811"/>
    </row>
    <row r="2592" customFormat="false" ht="16.5" hidden="false" customHeight="true" outlineLevel="0" collapsed="false">
      <c r="A2592" s="747"/>
      <c r="B2592" s="798"/>
      <c r="D2592" s="798"/>
      <c r="E2592" s="798"/>
      <c r="F2592" s="798"/>
      <c r="G2592" s="798"/>
      <c r="J2592" s="778" t="str">
        <f aca="false">IF(I2592="","",H2592/I2592)</f>
        <v/>
      </c>
      <c r="K2592" s="798"/>
      <c r="P2592" s="798"/>
      <c r="Q2592" s="798"/>
      <c r="R2592" s="811"/>
    </row>
    <row r="2593" customFormat="false" ht="16.5" hidden="false" customHeight="true" outlineLevel="0" collapsed="false">
      <c r="A2593" s="747"/>
      <c r="B2593" s="798"/>
      <c r="D2593" s="798"/>
      <c r="E2593" s="798"/>
      <c r="F2593" s="798"/>
      <c r="G2593" s="798"/>
      <c r="J2593" s="778" t="str">
        <f aca="false">IF(I2593="","",H2593/I2593)</f>
        <v/>
      </c>
      <c r="K2593" s="798"/>
      <c r="P2593" s="798"/>
      <c r="Q2593" s="798"/>
      <c r="R2593" s="811"/>
    </row>
    <row r="2594" customFormat="false" ht="16.5" hidden="false" customHeight="true" outlineLevel="0" collapsed="false">
      <c r="A2594" s="747"/>
      <c r="B2594" s="798"/>
      <c r="D2594" s="798"/>
      <c r="E2594" s="798"/>
      <c r="F2594" s="798"/>
      <c r="G2594" s="798"/>
      <c r="J2594" s="778" t="str">
        <f aca="false">IF(I2594="","",H2594/I2594)</f>
        <v/>
      </c>
      <c r="K2594" s="798"/>
      <c r="P2594" s="798"/>
      <c r="Q2594" s="798"/>
      <c r="R2594" s="811"/>
    </row>
    <row r="2595" customFormat="false" ht="16.5" hidden="false" customHeight="true" outlineLevel="0" collapsed="false">
      <c r="A2595" s="747"/>
      <c r="B2595" s="798"/>
      <c r="D2595" s="798"/>
      <c r="E2595" s="798"/>
      <c r="F2595" s="798"/>
      <c r="G2595" s="798"/>
      <c r="J2595" s="778" t="str">
        <f aca="false">IF(I2595="","",H2595/I2595)</f>
        <v/>
      </c>
      <c r="K2595" s="798"/>
      <c r="P2595" s="798"/>
      <c r="Q2595" s="798"/>
      <c r="R2595" s="811"/>
    </row>
    <row r="2596" customFormat="false" ht="16.5" hidden="false" customHeight="true" outlineLevel="0" collapsed="false">
      <c r="A2596" s="747"/>
      <c r="B2596" s="798"/>
      <c r="D2596" s="798"/>
      <c r="E2596" s="798"/>
      <c r="F2596" s="798"/>
      <c r="G2596" s="798"/>
      <c r="J2596" s="778" t="str">
        <f aca="false">IF(I2596="","",H2596/I2596)</f>
        <v/>
      </c>
      <c r="K2596" s="798"/>
      <c r="P2596" s="798"/>
      <c r="Q2596" s="798"/>
      <c r="R2596" s="811"/>
    </row>
    <row r="2597" customFormat="false" ht="16.5" hidden="false" customHeight="true" outlineLevel="0" collapsed="false">
      <c r="A2597" s="747"/>
      <c r="B2597" s="798"/>
      <c r="D2597" s="798"/>
      <c r="E2597" s="798"/>
      <c r="F2597" s="798"/>
      <c r="G2597" s="798"/>
      <c r="J2597" s="778" t="str">
        <f aca="false">IF(I2597="","",H2597/I2597)</f>
        <v/>
      </c>
      <c r="K2597" s="798"/>
      <c r="P2597" s="798"/>
      <c r="Q2597" s="798"/>
      <c r="R2597" s="811"/>
    </row>
    <row r="2598" customFormat="false" ht="16.5" hidden="false" customHeight="true" outlineLevel="0" collapsed="false">
      <c r="A2598" s="747"/>
      <c r="B2598" s="798"/>
      <c r="D2598" s="798"/>
      <c r="E2598" s="798"/>
      <c r="F2598" s="798"/>
      <c r="G2598" s="798"/>
      <c r="J2598" s="778" t="str">
        <f aca="false">IF(I2598="","",H2598/I2598)</f>
        <v/>
      </c>
      <c r="K2598" s="798"/>
      <c r="P2598" s="798"/>
      <c r="Q2598" s="798"/>
      <c r="R2598" s="811"/>
    </row>
    <row r="2599" customFormat="false" ht="16.5" hidden="false" customHeight="true" outlineLevel="0" collapsed="false">
      <c r="A2599" s="747"/>
      <c r="B2599" s="798"/>
      <c r="D2599" s="798"/>
      <c r="E2599" s="798"/>
      <c r="F2599" s="798"/>
      <c r="G2599" s="798"/>
      <c r="J2599" s="778" t="str">
        <f aca="false">IF(I2599="","",H2599/I2599)</f>
        <v/>
      </c>
      <c r="K2599" s="798"/>
      <c r="P2599" s="798"/>
      <c r="Q2599" s="798"/>
      <c r="R2599" s="811"/>
    </row>
    <row r="2600" customFormat="false" ht="16.5" hidden="false" customHeight="true" outlineLevel="0" collapsed="false">
      <c r="A2600" s="747"/>
      <c r="B2600" s="798"/>
      <c r="D2600" s="798"/>
      <c r="E2600" s="798"/>
      <c r="F2600" s="798"/>
      <c r="G2600" s="798"/>
      <c r="J2600" s="778" t="str">
        <f aca="false">IF(I2600="","",H2600/I2600)</f>
        <v/>
      </c>
      <c r="K2600" s="798"/>
      <c r="P2600" s="798"/>
      <c r="Q2600" s="798"/>
      <c r="R2600" s="811"/>
    </row>
    <row r="2601" customFormat="false" ht="16.5" hidden="false" customHeight="true" outlineLevel="0" collapsed="false">
      <c r="A2601" s="747"/>
      <c r="B2601" s="798"/>
      <c r="D2601" s="798"/>
      <c r="E2601" s="798"/>
      <c r="F2601" s="798"/>
      <c r="G2601" s="798"/>
      <c r="J2601" s="778" t="str">
        <f aca="false">IF(I2601="","",H2601/I2601)</f>
        <v/>
      </c>
      <c r="K2601" s="798"/>
      <c r="P2601" s="798"/>
      <c r="Q2601" s="798"/>
      <c r="R2601" s="811"/>
    </row>
    <row r="2602" customFormat="false" ht="16.5" hidden="false" customHeight="true" outlineLevel="0" collapsed="false">
      <c r="A2602" s="747"/>
      <c r="B2602" s="798"/>
      <c r="D2602" s="798"/>
      <c r="E2602" s="798"/>
      <c r="F2602" s="798"/>
      <c r="G2602" s="798"/>
      <c r="J2602" s="778" t="str">
        <f aca="false">IF(I2602="","",H2602/I2602)</f>
        <v/>
      </c>
      <c r="K2602" s="798"/>
      <c r="P2602" s="798"/>
      <c r="Q2602" s="798"/>
      <c r="R2602" s="811"/>
    </row>
    <row r="2603" customFormat="false" ht="16.5" hidden="false" customHeight="true" outlineLevel="0" collapsed="false">
      <c r="A2603" s="747"/>
      <c r="B2603" s="798"/>
      <c r="D2603" s="798"/>
      <c r="E2603" s="798"/>
      <c r="F2603" s="798"/>
      <c r="G2603" s="798"/>
      <c r="J2603" s="778" t="str">
        <f aca="false">IF(I2603="","",H2603/I2603)</f>
        <v/>
      </c>
      <c r="K2603" s="798"/>
      <c r="P2603" s="798"/>
      <c r="Q2603" s="798"/>
      <c r="R2603" s="811"/>
    </row>
    <row r="2604" customFormat="false" ht="16.5" hidden="false" customHeight="true" outlineLevel="0" collapsed="false">
      <c r="A2604" s="747"/>
      <c r="B2604" s="798"/>
      <c r="D2604" s="798"/>
      <c r="E2604" s="798"/>
      <c r="F2604" s="798"/>
      <c r="G2604" s="798"/>
      <c r="J2604" s="778" t="str">
        <f aca="false">IF(I2604="","",H2604/I2604)</f>
        <v/>
      </c>
      <c r="K2604" s="798"/>
      <c r="P2604" s="798"/>
      <c r="Q2604" s="798"/>
      <c r="R2604" s="811"/>
    </row>
    <row r="2605" customFormat="false" ht="16.5" hidden="false" customHeight="true" outlineLevel="0" collapsed="false">
      <c r="A2605" s="747"/>
      <c r="B2605" s="798"/>
      <c r="D2605" s="798"/>
      <c r="E2605" s="798"/>
      <c r="F2605" s="798"/>
      <c r="G2605" s="798"/>
      <c r="J2605" s="778" t="str">
        <f aca="false">IF(I2605="","",H2605/I2605)</f>
        <v/>
      </c>
      <c r="K2605" s="798"/>
      <c r="P2605" s="798"/>
      <c r="Q2605" s="798"/>
      <c r="R2605" s="811"/>
    </row>
    <row r="2606" customFormat="false" ht="16.5" hidden="false" customHeight="true" outlineLevel="0" collapsed="false">
      <c r="A2606" s="747"/>
      <c r="B2606" s="798"/>
      <c r="D2606" s="798"/>
      <c r="E2606" s="798"/>
      <c r="F2606" s="798"/>
      <c r="G2606" s="798"/>
      <c r="J2606" s="778" t="str">
        <f aca="false">IF(I2606="","",H2606/I2606)</f>
        <v/>
      </c>
      <c r="K2606" s="798"/>
      <c r="P2606" s="798"/>
      <c r="Q2606" s="798"/>
      <c r="R2606" s="811"/>
    </row>
    <row r="2607" customFormat="false" ht="16.5" hidden="false" customHeight="true" outlineLevel="0" collapsed="false">
      <c r="A2607" s="747"/>
      <c r="B2607" s="798"/>
      <c r="D2607" s="798"/>
      <c r="E2607" s="798"/>
      <c r="F2607" s="798"/>
      <c r="G2607" s="798"/>
      <c r="J2607" s="778" t="str">
        <f aca="false">IF(I2607="","",H2607/I2607)</f>
        <v/>
      </c>
      <c r="K2607" s="798"/>
      <c r="P2607" s="798"/>
      <c r="Q2607" s="798"/>
      <c r="R2607" s="811"/>
    </row>
    <row r="2608" customFormat="false" ht="16.5" hidden="false" customHeight="true" outlineLevel="0" collapsed="false">
      <c r="A2608" s="747"/>
      <c r="B2608" s="798"/>
      <c r="D2608" s="798"/>
      <c r="E2608" s="798"/>
      <c r="F2608" s="798"/>
      <c r="G2608" s="798"/>
      <c r="J2608" s="778" t="str">
        <f aca="false">IF(I2608="","",H2608/I2608)</f>
        <v/>
      </c>
      <c r="K2608" s="798"/>
      <c r="P2608" s="798"/>
      <c r="Q2608" s="798"/>
      <c r="R2608" s="811"/>
    </row>
    <row r="2609" customFormat="false" ht="16.5" hidden="false" customHeight="true" outlineLevel="0" collapsed="false">
      <c r="A2609" s="747"/>
      <c r="B2609" s="798"/>
      <c r="D2609" s="798"/>
      <c r="E2609" s="798"/>
      <c r="F2609" s="798"/>
      <c r="G2609" s="798"/>
      <c r="J2609" s="778" t="str">
        <f aca="false">IF(I2609="","",H2609/I2609)</f>
        <v/>
      </c>
      <c r="K2609" s="798"/>
      <c r="P2609" s="798"/>
      <c r="Q2609" s="798"/>
      <c r="R2609" s="811"/>
    </row>
    <row r="2610" customFormat="false" ht="16.5" hidden="false" customHeight="true" outlineLevel="0" collapsed="false">
      <c r="A2610" s="747"/>
      <c r="B2610" s="798"/>
      <c r="D2610" s="798"/>
      <c r="E2610" s="798"/>
      <c r="F2610" s="798"/>
      <c r="G2610" s="798"/>
      <c r="J2610" s="778" t="str">
        <f aca="false">IF(I2610="","",H2610/I2610)</f>
        <v/>
      </c>
      <c r="K2610" s="798"/>
      <c r="P2610" s="798"/>
      <c r="Q2610" s="798"/>
      <c r="R2610" s="811"/>
    </row>
    <row r="2611" customFormat="false" ht="16.5" hidden="false" customHeight="true" outlineLevel="0" collapsed="false">
      <c r="A2611" s="747"/>
      <c r="B2611" s="798"/>
      <c r="D2611" s="798"/>
      <c r="E2611" s="798"/>
      <c r="F2611" s="798"/>
      <c r="G2611" s="798"/>
      <c r="J2611" s="778" t="str">
        <f aca="false">IF(I2611="","",H2611/I2611)</f>
        <v/>
      </c>
      <c r="K2611" s="798"/>
      <c r="P2611" s="798"/>
      <c r="Q2611" s="798"/>
      <c r="R2611" s="811"/>
    </row>
    <row r="2612" customFormat="false" ht="16.5" hidden="false" customHeight="true" outlineLevel="0" collapsed="false">
      <c r="A2612" s="747"/>
      <c r="B2612" s="798"/>
      <c r="D2612" s="798"/>
      <c r="E2612" s="798"/>
      <c r="F2612" s="798"/>
      <c r="G2612" s="798"/>
      <c r="J2612" s="778" t="str">
        <f aca="false">IF(I2612="","",H2612/I2612)</f>
        <v/>
      </c>
      <c r="K2612" s="798"/>
      <c r="P2612" s="798"/>
      <c r="Q2612" s="798"/>
      <c r="R2612" s="811"/>
    </row>
    <row r="2613" customFormat="false" ht="16.5" hidden="false" customHeight="true" outlineLevel="0" collapsed="false">
      <c r="A2613" s="747"/>
      <c r="B2613" s="798"/>
      <c r="D2613" s="798"/>
      <c r="E2613" s="798"/>
      <c r="F2613" s="798"/>
      <c r="G2613" s="798"/>
      <c r="J2613" s="778" t="str">
        <f aca="false">IF(I2613="","",H2613/I2613)</f>
        <v/>
      </c>
      <c r="K2613" s="798"/>
      <c r="P2613" s="798"/>
      <c r="Q2613" s="798"/>
      <c r="R2613" s="811"/>
    </row>
    <row r="2614" customFormat="false" ht="16.5" hidden="false" customHeight="true" outlineLevel="0" collapsed="false">
      <c r="A2614" s="747"/>
      <c r="B2614" s="798"/>
      <c r="D2614" s="798"/>
      <c r="E2614" s="798"/>
      <c r="F2614" s="798"/>
      <c r="G2614" s="798"/>
      <c r="J2614" s="778" t="str">
        <f aca="false">IF(I2614="","",H2614/I2614)</f>
        <v/>
      </c>
      <c r="K2614" s="798"/>
      <c r="P2614" s="798"/>
      <c r="Q2614" s="798"/>
      <c r="R2614" s="811"/>
    </row>
    <row r="2615" customFormat="false" ht="16.5" hidden="false" customHeight="true" outlineLevel="0" collapsed="false">
      <c r="A2615" s="747"/>
      <c r="B2615" s="798"/>
      <c r="D2615" s="798"/>
      <c r="E2615" s="798"/>
      <c r="F2615" s="798"/>
      <c r="G2615" s="798"/>
      <c r="J2615" s="778" t="str">
        <f aca="false">IF(I2615="","",H2615/I2615)</f>
        <v/>
      </c>
      <c r="K2615" s="798"/>
      <c r="P2615" s="798"/>
      <c r="Q2615" s="798"/>
      <c r="R2615" s="811"/>
    </row>
    <row r="2616" customFormat="false" ht="16.5" hidden="false" customHeight="true" outlineLevel="0" collapsed="false">
      <c r="A2616" s="747"/>
      <c r="B2616" s="798"/>
      <c r="D2616" s="798"/>
      <c r="E2616" s="798"/>
      <c r="F2616" s="798"/>
      <c r="G2616" s="798"/>
      <c r="J2616" s="778" t="str">
        <f aca="false">IF(I2616="","",H2616/I2616)</f>
        <v/>
      </c>
      <c r="K2616" s="798"/>
      <c r="P2616" s="798"/>
      <c r="Q2616" s="798"/>
      <c r="R2616" s="811"/>
    </row>
    <row r="2617" customFormat="false" ht="16.5" hidden="false" customHeight="true" outlineLevel="0" collapsed="false">
      <c r="A2617" s="747"/>
      <c r="B2617" s="798"/>
      <c r="D2617" s="798"/>
      <c r="E2617" s="798"/>
      <c r="F2617" s="798"/>
      <c r="G2617" s="798"/>
      <c r="J2617" s="778" t="str">
        <f aca="false">IF(I2617="","",H2617/I2617)</f>
        <v/>
      </c>
      <c r="K2617" s="798"/>
      <c r="P2617" s="798"/>
      <c r="Q2617" s="798"/>
      <c r="R2617" s="811"/>
    </row>
    <row r="2618" customFormat="false" ht="16.5" hidden="false" customHeight="true" outlineLevel="0" collapsed="false">
      <c r="A2618" s="747"/>
      <c r="B2618" s="798"/>
      <c r="D2618" s="798"/>
      <c r="E2618" s="798"/>
      <c r="F2618" s="798"/>
      <c r="G2618" s="798"/>
      <c r="J2618" s="778" t="str">
        <f aca="false">IF(I2618="","",H2618/I2618)</f>
        <v/>
      </c>
      <c r="K2618" s="798"/>
      <c r="P2618" s="798"/>
      <c r="Q2618" s="798"/>
      <c r="R2618" s="811"/>
    </row>
    <row r="2619" customFormat="false" ht="16.5" hidden="false" customHeight="true" outlineLevel="0" collapsed="false">
      <c r="A2619" s="747"/>
      <c r="B2619" s="798"/>
      <c r="D2619" s="798"/>
      <c r="E2619" s="798"/>
      <c r="F2619" s="798"/>
      <c r="G2619" s="798"/>
      <c r="J2619" s="778" t="str">
        <f aca="false">IF(I2619="","",H2619/I2619)</f>
        <v/>
      </c>
      <c r="K2619" s="798"/>
      <c r="P2619" s="798"/>
      <c r="Q2619" s="798"/>
      <c r="R2619" s="811"/>
    </row>
    <row r="2620" customFormat="false" ht="16.5" hidden="false" customHeight="true" outlineLevel="0" collapsed="false">
      <c r="A2620" s="747"/>
      <c r="B2620" s="798"/>
      <c r="D2620" s="798"/>
      <c r="E2620" s="798"/>
      <c r="F2620" s="798"/>
      <c r="G2620" s="798"/>
      <c r="J2620" s="778" t="str">
        <f aca="false">IF(I2620="","",H2620/I2620)</f>
        <v/>
      </c>
      <c r="K2620" s="798"/>
      <c r="P2620" s="798"/>
      <c r="Q2620" s="798"/>
      <c r="R2620" s="811"/>
    </row>
    <row r="2621" customFormat="false" ht="16.5" hidden="false" customHeight="true" outlineLevel="0" collapsed="false">
      <c r="A2621" s="747"/>
      <c r="B2621" s="798"/>
      <c r="D2621" s="798"/>
      <c r="E2621" s="798"/>
      <c r="F2621" s="798"/>
      <c r="G2621" s="798"/>
      <c r="J2621" s="778" t="str">
        <f aca="false">IF(I2621="","",H2621/I2621)</f>
        <v/>
      </c>
      <c r="K2621" s="798"/>
      <c r="P2621" s="798"/>
      <c r="Q2621" s="798"/>
      <c r="R2621" s="811"/>
    </row>
    <row r="2622" customFormat="false" ht="16.5" hidden="false" customHeight="true" outlineLevel="0" collapsed="false">
      <c r="A2622" s="747"/>
      <c r="B2622" s="798"/>
      <c r="D2622" s="798"/>
      <c r="E2622" s="798"/>
      <c r="F2622" s="798"/>
      <c r="G2622" s="798"/>
      <c r="J2622" s="778" t="str">
        <f aca="false">IF(I2622="","",H2622/I2622)</f>
        <v/>
      </c>
      <c r="K2622" s="798"/>
      <c r="P2622" s="798"/>
      <c r="Q2622" s="798"/>
      <c r="R2622" s="811"/>
    </row>
    <row r="2623" customFormat="false" ht="16.5" hidden="false" customHeight="true" outlineLevel="0" collapsed="false">
      <c r="A2623" s="747"/>
      <c r="B2623" s="798"/>
      <c r="D2623" s="798"/>
      <c r="E2623" s="798"/>
      <c r="F2623" s="798"/>
      <c r="G2623" s="798"/>
      <c r="J2623" s="778" t="str">
        <f aca="false">IF(I2623="","",H2623/I2623)</f>
        <v/>
      </c>
      <c r="K2623" s="798"/>
      <c r="P2623" s="798"/>
      <c r="Q2623" s="798"/>
      <c r="R2623" s="811"/>
    </row>
    <row r="2624" customFormat="false" ht="16.5" hidden="false" customHeight="true" outlineLevel="0" collapsed="false">
      <c r="A2624" s="747"/>
      <c r="B2624" s="798"/>
      <c r="D2624" s="798"/>
      <c r="E2624" s="798"/>
      <c r="F2624" s="798"/>
      <c r="G2624" s="798"/>
      <c r="J2624" s="778" t="str">
        <f aca="false">IF(I2624="","",H2624/I2624)</f>
        <v/>
      </c>
      <c r="K2624" s="798"/>
      <c r="P2624" s="798"/>
      <c r="Q2624" s="798"/>
      <c r="R2624" s="811"/>
    </row>
    <row r="2625" customFormat="false" ht="16.5" hidden="false" customHeight="true" outlineLevel="0" collapsed="false">
      <c r="A2625" s="747"/>
      <c r="B2625" s="798"/>
      <c r="D2625" s="798"/>
      <c r="E2625" s="798"/>
      <c r="F2625" s="798"/>
      <c r="G2625" s="798"/>
      <c r="J2625" s="778" t="str">
        <f aca="false">IF(I2625="","",H2625/I2625)</f>
        <v/>
      </c>
      <c r="K2625" s="798"/>
      <c r="P2625" s="798"/>
      <c r="Q2625" s="798"/>
      <c r="R2625" s="811"/>
    </row>
    <row r="2626" customFormat="false" ht="16.5" hidden="false" customHeight="true" outlineLevel="0" collapsed="false">
      <c r="A2626" s="747"/>
      <c r="B2626" s="798"/>
      <c r="D2626" s="798"/>
      <c r="E2626" s="798"/>
      <c r="F2626" s="798"/>
      <c r="G2626" s="798"/>
      <c r="J2626" s="778" t="str">
        <f aca="false">IF(I2626="","",H2626/I2626)</f>
        <v/>
      </c>
      <c r="K2626" s="798"/>
      <c r="P2626" s="798"/>
      <c r="Q2626" s="798"/>
      <c r="R2626" s="811"/>
    </row>
    <row r="2627" customFormat="false" ht="16.5" hidden="false" customHeight="true" outlineLevel="0" collapsed="false">
      <c r="A2627" s="747"/>
      <c r="B2627" s="798"/>
      <c r="D2627" s="798"/>
      <c r="E2627" s="798"/>
      <c r="F2627" s="798"/>
      <c r="G2627" s="798"/>
      <c r="J2627" s="778" t="str">
        <f aca="false">IF(I2627="","",H2627/I2627)</f>
        <v/>
      </c>
      <c r="K2627" s="798"/>
      <c r="P2627" s="798"/>
      <c r="Q2627" s="798"/>
      <c r="R2627" s="811"/>
    </row>
    <row r="2628" customFormat="false" ht="16.5" hidden="false" customHeight="true" outlineLevel="0" collapsed="false">
      <c r="A2628" s="747"/>
      <c r="B2628" s="798"/>
      <c r="D2628" s="798"/>
      <c r="E2628" s="798"/>
      <c r="F2628" s="798"/>
      <c r="G2628" s="798"/>
      <c r="J2628" s="778" t="str">
        <f aca="false">IF(I2628="","",H2628/I2628)</f>
        <v/>
      </c>
      <c r="K2628" s="798"/>
      <c r="P2628" s="798"/>
      <c r="Q2628" s="798"/>
      <c r="R2628" s="811"/>
    </row>
    <row r="2629" customFormat="false" ht="16.5" hidden="false" customHeight="true" outlineLevel="0" collapsed="false">
      <c r="A2629" s="747"/>
      <c r="B2629" s="798"/>
      <c r="D2629" s="798"/>
      <c r="E2629" s="798"/>
      <c r="F2629" s="798"/>
      <c r="G2629" s="798"/>
      <c r="J2629" s="778" t="str">
        <f aca="false">IF(I2629="","",H2629/I2629)</f>
        <v/>
      </c>
      <c r="K2629" s="798"/>
      <c r="P2629" s="798"/>
      <c r="Q2629" s="798"/>
      <c r="R2629" s="811"/>
    </row>
    <row r="2630" customFormat="false" ht="16.5" hidden="false" customHeight="true" outlineLevel="0" collapsed="false">
      <c r="A2630" s="747"/>
      <c r="B2630" s="798"/>
      <c r="D2630" s="798"/>
      <c r="E2630" s="798"/>
      <c r="F2630" s="798"/>
      <c r="G2630" s="798"/>
      <c r="J2630" s="778" t="str">
        <f aca="false">IF(I2630="","",H2630/I2630)</f>
        <v/>
      </c>
      <c r="K2630" s="798"/>
      <c r="P2630" s="798"/>
      <c r="Q2630" s="798"/>
      <c r="R2630" s="811"/>
    </row>
    <row r="2631" customFormat="false" ht="16.5" hidden="false" customHeight="true" outlineLevel="0" collapsed="false">
      <c r="A2631" s="747"/>
      <c r="B2631" s="798"/>
      <c r="D2631" s="798"/>
      <c r="E2631" s="798"/>
      <c r="F2631" s="798"/>
      <c r="G2631" s="798"/>
      <c r="J2631" s="778" t="str">
        <f aca="false">IF(I2631="","",H2631/I2631)</f>
        <v/>
      </c>
      <c r="K2631" s="798"/>
      <c r="P2631" s="798"/>
      <c r="Q2631" s="798"/>
      <c r="R2631" s="811"/>
    </row>
    <row r="2632" customFormat="false" ht="16.5" hidden="false" customHeight="true" outlineLevel="0" collapsed="false">
      <c r="A2632" s="747"/>
      <c r="B2632" s="798"/>
      <c r="D2632" s="798"/>
      <c r="E2632" s="798"/>
      <c r="F2632" s="798"/>
      <c r="G2632" s="798"/>
      <c r="J2632" s="778" t="str">
        <f aca="false">IF(I2632="","",H2632/I2632)</f>
        <v/>
      </c>
      <c r="K2632" s="798"/>
      <c r="P2632" s="798"/>
      <c r="Q2632" s="798"/>
      <c r="R2632" s="811"/>
    </row>
    <row r="2633" customFormat="false" ht="16.5" hidden="false" customHeight="true" outlineLevel="0" collapsed="false">
      <c r="A2633" s="747"/>
      <c r="B2633" s="798"/>
      <c r="D2633" s="798"/>
      <c r="E2633" s="798"/>
      <c r="F2633" s="798"/>
      <c r="G2633" s="798"/>
      <c r="J2633" s="778" t="str">
        <f aca="false">IF(I2633="","",H2633/I2633)</f>
        <v/>
      </c>
      <c r="K2633" s="798"/>
      <c r="P2633" s="798"/>
      <c r="Q2633" s="798"/>
      <c r="R2633" s="811"/>
    </row>
    <row r="2634" customFormat="false" ht="16.5" hidden="false" customHeight="true" outlineLevel="0" collapsed="false">
      <c r="A2634" s="747"/>
      <c r="B2634" s="798"/>
      <c r="D2634" s="798"/>
      <c r="E2634" s="798"/>
      <c r="F2634" s="798"/>
      <c r="G2634" s="798"/>
      <c r="J2634" s="778" t="str">
        <f aca="false">IF(I2634="","",H2634/I2634)</f>
        <v/>
      </c>
      <c r="K2634" s="798"/>
      <c r="P2634" s="798"/>
      <c r="Q2634" s="798"/>
      <c r="R2634" s="811"/>
    </row>
    <row r="2635" customFormat="false" ht="16.5" hidden="false" customHeight="true" outlineLevel="0" collapsed="false">
      <c r="A2635" s="747"/>
      <c r="B2635" s="798"/>
      <c r="D2635" s="798"/>
      <c r="E2635" s="798"/>
      <c r="F2635" s="798"/>
      <c r="G2635" s="798"/>
      <c r="J2635" s="778" t="str">
        <f aca="false">IF(I2635="","",H2635/I2635)</f>
        <v/>
      </c>
      <c r="K2635" s="798"/>
      <c r="P2635" s="798"/>
      <c r="Q2635" s="798"/>
      <c r="R2635" s="811"/>
    </row>
    <row r="2636" customFormat="false" ht="16.5" hidden="false" customHeight="true" outlineLevel="0" collapsed="false">
      <c r="A2636" s="747"/>
      <c r="B2636" s="798"/>
      <c r="D2636" s="798"/>
      <c r="E2636" s="798"/>
      <c r="F2636" s="798"/>
      <c r="G2636" s="798"/>
      <c r="J2636" s="778" t="str">
        <f aca="false">IF(I2636="","",H2636/I2636)</f>
        <v/>
      </c>
      <c r="K2636" s="798"/>
      <c r="P2636" s="798"/>
      <c r="Q2636" s="798"/>
      <c r="R2636" s="811"/>
    </row>
    <row r="2637" customFormat="false" ht="16.5" hidden="false" customHeight="true" outlineLevel="0" collapsed="false">
      <c r="A2637" s="747"/>
      <c r="B2637" s="798"/>
      <c r="D2637" s="798"/>
      <c r="E2637" s="798"/>
      <c r="F2637" s="798"/>
      <c r="G2637" s="798"/>
      <c r="J2637" s="778" t="str">
        <f aca="false">IF(I2637="","",H2637/I2637)</f>
        <v/>
      </c>
      <c r="K2637" s="798"/>
      <c r="P2637" s="798"/>
      <c r="Q2637" s="798"/>
      <c r="R2637" s="811"/>
    </row>
    <row r="2638" customFormat="false" ht="16.5" hidden="false" customHeight="true" outlineLevel="0" collapsed="false">
      <c r="A2638" s="747"/>
      <c r="B2638" s="798"/>
      <c r="D2638" s="798"/>
      <c r="E2638" s="798"/>
      <c r="F2638" s="798"/>
      <c r="G2638" s="798"/>
      <c r="J2638" s="778" t="str">
        <f aca="false">IF(I2638="","",H2638/I2638)</f>
        <v/>
      </c>
      <c r="K2638" s="798"/>
      <c r="P2638" s="798"/>
      <c r="Q2638" s="798"/>
      <c r="R2638" s="811"/>
    </row>
    <row r="2639" customFormat="false" ht="16.5" hidden="false" customHeight="true" outlineLevel="0" collapsed="false">
      <c r="A2639" s="747"/>
      <c r="B2639" s="798"/>
      <c r="D2639" s="798"/>
      <c r="E2639" s="798"/>
      <c r="F2639" s="798"/>
      <c r="G2639" s="798"/>
      <c r="J2639" s="778" t="str">
        <f aca="false">IF(I2639="","",H2639/I2639)</f>
        <v/>
      </c>
      <c r="K2639" s="798"/>
      <c r="P2639" s="798"/>
      <c r="Q2639" s="798"/>
      <c r="R2639" s="811"/>
    </row>
    <row r="2640" customFormat="false" ht="16.5" hidden="false" customHeight="true" outlineLevel="0" collapsed="false">
      <c r="A2640" s="747"/>
      <c r="B2640" s="798"/>
      <c r="D2640" s="798"/>
      <c r="E2640" s="798"/>
      <c r="F2640" s="798"/>
      <c r="G2640" s="798"/>
      <c r="J2640" s="778" t="str">
        <f aca="false">IF(I2640="","",H2640/I2640)</f>
        <v/>
      </c>
      <c r="K2640" s="798"/>
      <c r="P2640" s="798"/>
      <c r="Q2640" s="798"/>
      <c r="R2640" s="811"/>
    </row>
    <row r="2641" customFormat="false" ht="16.5" hidden="false" customHeight="true" outlineLevel="0" collapsed="false">
      <c r="A2641" s="747"/>
      <c r="B2641" s="798"/>
      <c r="D2641" s="798"/>
      <c r="E2641" s="798"/>
      <c r="F2641" s="798"/>
      <c r="G2641" s="798"/>
      <c r="J2641" s="778" t="str">
        <f aca="false">IF(I2641="","",H2641/I2641)</f>
        <v/>
      </c>
      <c r="K2641" s="798"/>
      <c r="P2641" s="798"/>
      <c r="Q2641" s="798"/>
      <c r="R2641" s="811"/>
    </row>
    <row r="2642" customFormat="false" ht="16.5" hidden="false" customHeight="true" outlineLevel="0" collapsed="false">
      <c r="A2642" s="747"/>
      <c r="B2642" s="798"/>
      <c r="D2642" s="798"/>
      <c r="E2642" s="798"/>
      <c r="F2642" s="798"/>
      <c r="G2642" s="798"/>
      <c r="J2642" s="778" t="str">
        <f aca="false">IF(I2642="","",H2642/I2642)</f>
        <v/>
      </c>
      <c r="K2642" s="798"/>
      <c r="P2642" s="798"/>
      <c r="Q2642" s="798"/>
      <c r="R2642" s="811"/>
    </row>
    <row r="2643" customFormat="false" ht="16.5" hidden="false" customHeight="true" outlineLevel="0" collapsed="false">
      <c r="A2643" s="747"/>
      <c r="B2643" s="798"/>
      <c r="D2643" s="798"/>
      <c r="E2643" s="798"/>
      <c r="F2643" s="798"/>
      <c r="G2643" s="798"/>
      <c r="J2643" s="778" t="str">
        <f aca="false">IF(I2643="","",H2643/I2643)</f>
        <v/>
      </c>
      <c r="K2643" s="798"/>
      <c r="P2643" s="798"/>
      <c r="Q2643" s="798"/>
      <c r="R2643" s="811"/>
    </row>
    <row r="2644" customFormat="false" ht="16.5" hidden="false" customHeight="true" outlineLevel="0" collapsed="false">
      <c r="A2644" s="747"/>
      <c r="B2644" s="798"/>
      <c r="D2644" s="798"/>
      <c r="E2644" s="798"/>
      <c r="F2644" s="798"/>
      <c r="G2644" s="798"/>
      <c r="J2644" s="778" t="str">
        <f aca="false">IF(I2644="","",H2644/I2644)</f>
        <v/>
      </c>
      <c r="K2644" s="798"/>
      <c r="P2644" s="798"/>
      <c r="Q2644" s="798"/>
      <c r="R2644" s="811"/>
    </row>
    <row r="2645" customFormat="false" ht="16.5" hidden="false" customHeight="true" outlineLevel="0" collapsed="false">
      <c r="A2645" s="747"/>
      <c r="B2645" s="798"/>
      <c r="D2645" s="798"/>
      <c r="E2645" s="798"/>
      <c r="F2645" s="798"/>
      <c r="G2645" s="798"/>
      <c r="J2645" s="778" t="str">
        <f aca="false">IF(I2645="","",H2645/I2645)</f>
        <v/>
      </c>
      <c r="K2645" s="798"/>
      <c r="P2645" s="798"/>
      <c r="Q2645" s="798"/>
      <c r="R2645" s="811"/>
    </row>
    <row r="2646" customFormat="false" ht="16.5" hidden="false" customHeight="true" outlineLevel="0" collapsed="false">
      <c r="A2646" s="747"/>
      <c r="B2646" s="798"/>
      <c r="D2646" s="798"/>
      <c r="E2646" s="798"/>
      <c r="F2646" s="798"/>
      <c r="G2646" s="798"/>
      <c r="J2646" s="778" t="str">
        <f aca="false">IF(I2646="","",H2646/I2646)</f>
        <v/>
      </c>
      <c r="K2646" s="798"/>
      <c r="P2646" s="798"/>
      <c r="Q2646" s="798"/>
      <c r="R2646" s="811"/>
    </row>
    <row r="2647" customFormat="false" ht="16.5" hidden="false" customHeight="true" outlineLevel="0" collapsed="false">
      <c r="A2647" s="747"/>
      <c r="B2647" s="798"/>
      <c r="D2647" s="798"/>
      <c r="E2647" s="798"/>
      <c r="F2647" s="798"/>
      <c r="G2647" s="798"/>
      <c r="J2647" s="778" t="str">
        <f aca="false">IF(I2647="","",H2647/I2647)</f>
        <v/>
      </c>
      <c r="K2647" s="798"/>
      <c r="P2647" s="798"/>
      <c r="Q2647" s="798"/>
      <c r="R2647" s="811"/>
    </row>
    <row r="2648" customFormat="false" ht="16.5" hidden="false" customHeight="true" outlineLevel="0" collapsed="false">
      <c r="A2648" s="747"/>
      <c r="B2648" s="798"/>
      <c r="D2648" s="798"/>
      <c r="E2648" s="798"/>
      <c r="F2648" s="798"/>
      <c r="G2648" s="798"/>
      <c r="J2648" s="778" t="str">
        <f aca="false">IF(I2648="","",H2648/I2648)</f>
        <v/>
      </c>
      <c r="K2648" s="798"/>
      <c r="P2648" s="798"/>
      <c r="Q2648" s="798"/>
      <c r="R2648" s="811"/>
    </row>
    <row r="2649" customFormat="false" ht="16.5" hidden="false" customHeight="true" outlineLevel="0" collapsed="false">
      <c r="A2649" s="747"/>
      <c r="B2649" s="798"/>
      <c r="D2649" s="798"/>
      <c r="E2649" s="798"/>
      <c r="F2649" s="798"/>
      <c r="G2649" s="798"/>
      <c r="J2649" s="778" t="str">
        <f aca="false">IF(I2649="","",H2649/I2649)</f>
        <v/>
      </c>
      <c r="K2649" s="798"/>
      <c r="P2649" s="798"/>
      <c r="Q2649" s="798"/>
      <c r="R2649" s="811"/>
    </row>
    <row r="2650" customFormat="false" ht="16.5" hidden="false" customHeight="true" outlineLevel="0" collapsed="false">
      <c r="A2650" s="747"/>
      <c r="B2650" s="798"/>
      <c r="D2650" s="798"/>
      <c r="E2650" s="798"/>
      <c r="F2650" s="798"/>
      <c r="G2650" s="798"/>
      <c r="J2650" s="778" t="str">
        <f aca="false">IF(I2650="","",H2650/I2650)</f>
        <v/>
      </c>
      <c r="K2650" s="798"/>
      <c r="P2650" s="798"/>
      <c r="Q2650" s="798"/>
      <c r="R2650" s="811"/>
    </row>
    <row r="2651" customFormat="false" ht="16.5" hidden="false" customHeight="true" outlineLevel="0" collapsed="false">
      <c r="A2651" s="747"/>
      <c r="B2651" s="798"/>
      <c r="D2651" s="798"/>
      <c r="E2651" s="798"/>
      <c r="F2651" s="798"/>
      <c r="G2651" s="798"/>
      <c r="J2651" s="778" t="str">
        <f aca="false">IF(I2651="","",H2651/I2651)</f>
        <v/>
      </c>
      <c r="K2651" s="798"/>
      <c r="P2651" s="798"/>
      <c r="Q2651" s="798"/>
      <c r="R2651" s="811"/>
    </row>
    <row r="2652" customFormat="false" ht="16.5" hidden="false" customHeight="true" outlineLevel="0" collapsed="false">
      <c r="A2652" s="747"/>
      <c r="B2652" s="798"/>
      <c r="D2652" s="798"/>
      <c r="E2652" s="798"/>
      <c r="F2652" s="798"/>
      <c r="G2652" s="798"/>
      <c r="J2652" s="778" t="str">
        <f aca="false">IF(I2652="","",H2652/I2652)</f>
        <v/>
      </c>
      <c r="K2652" s="798"/>
      <c r="P2652" s="798"/>
      <c r="Q2652" s="798"/>
      <c r="R2652" s="811"/>
    </row>
    <row r="2653" customFormat="false" ht="16.5" hidden="false" customHeight="true" outlineLevel="0" collapsed="false">
      <c r="A2653" s="747"/>
      <c r="B2653" s="798"/>
      <c r="D2653" s="798"/>
      <c r="E2653" s="798"/>
      <c r="F2653" s="798"/>
      <c r="G2653" s="798"/>
      <c r="J2653" s="778" t="str">
        <f aca="false">IF(I2653="","",H2653/I2653)</f>
        <v/>
      </c>
      <c r="K2653" s="798"/>
      <c r="P2653" s="798"/>
      <c r="Q2653" s="798"/>
      <c r="R2653" s="811"/>
    </row>
    <row r="2654" customFormat="false" ht="16.5" hidden="false" customHeight="true" outlineLevel="0" collapsed="false">
      <c r="A2654" s="747"/>
      <c r="B2654" s="798"/>
      <c r="D2654" s="798"/>
      <c r="E2654" s="798"/>
      <c r="F2654" s="798"/>
      <c r="G2654" s="798"/>
      <c r="J2654" s="778" t="str">
        <f aca="false">IF(I2654="","",H2654/I2654)</f>
        <v/>
      </c>
      <c r="K2654" s="798"/>
      <c r="P2654" s="798"/>
      <c r="Q2654" s="798"/>
      <c r="R2654" s="811"/>
    </row>
    <row r="2655" customFormat="false" ht="16.5" hidden="false" customHeight="true" outlineLevel="0" collapsed="false">
      <c r="A2655" s="747"/>
      <c r="B2655" s="798"/>
      <c r="D2655" s="798"/>
      <c r="E2655" s="798"/>
      <c r="F2655" s="798"/>
      <c r="G2655" s="798"/>
      <c r="J2655" s="778" t="str">
        <f aca="false">IF(I2655="","",H2655/I2655)</f>
        <v/>
      </c>
      <c r="K2655" s="798"/>
      <c r="P2655" s="798"/>
      <c r="Q2655" s="798"/>
      <c r="R2655" s="811"/>
    </row>
    <row r="2656" customFormat="false" ht="16.5" hidden="false" customHeight="true" outlineLevel="0" collapsed="false">
      <c r="A2656" s="747"/>
      <c r="B2656" s="798"/>
      <c r="D2656" s="798"/>
      <c r="E2656" s="798"/>
      <c r="F2656" s="798"/>
      <c r="G2656" s="798"/>
      <c r="J2656" s="778" t="str">
        <f aca="false">IF(I2656="","",H2656/I2656)</f>
        <v/>
      </c>
      <c r="K2656" s="798"/>
      <c r="P2656" s="798"/>
      <c r="Q2656" s="798"/>
      <c r="R2656" s="811"/>
    </row>
    <row r="2657" customFormat="false" ht="16.5" hidden="false" customHeight="true" outlineLevel="0" collapsed="false">
      <c r="A2657" s="747"/>
      <c r="B2657" s="798"/>
      <c r="D2657" s="798"/>
      <c r="E2657" s="798"/>
      <c r="F2657" s="798"/>
      <c r="G2657" s="798"/>
      <c r="J2657" s="778" t="str">
        <f aca="false">IF(I2657="","",H2657/I2657)</f>
        <v/>
      </c>
      <c r="K2657" s="798"/>
      <c r="P2657" s="798"/>
      <c r="Q2657" s="798"/>
      <c r="R2657" s="811"/>
    </row>
    <row r="2658" customFormat="false" ht="16.5" hidden="false" customHeight="true" outlineLevel="0" collapsed="false">
      <c r="A2658" s="747"/>
      <c r="B2658" s="798"/>
      <c r="D2658" s="798"/>
      <c r="E2658" s="798"/>
      <c r="F2658" s="798"/>
      <c r="G2658" s="798"/>
      <c r="J2658" s="778" t="str">
        <f aca="false">IF(I2658="","",H2658/I2658)</f>
        <v/>
      </c>
      <c r="K2658" s="798"/>
      <c r="P2658" s="798"/>
      <c r="Q2658" s="798"/>
      <c r="R2658" s="811"/>
    </row>
    <row r="2659" customFormat="false" ht="16.5" hidden="false" customHeight="true" outlineLevel="0" collapsed="false">
      <c r="A2659" s="747"/>
      <c r="B2659" s="798"/>
      <c r="D2659" s="798"/>
      <c r="E2659" s="798"/>
      <c r="F2659" s="798"/>
      <c r="G2659" s="798"/>
      <c r="J2659" s="778" t="str">
        <f aca="false">IF(I2659="","",H2659/I2659)</f>
        <v/>
      </c>
      <c r="K2659" s="798"/>
      <c r="P2659" s="798"/>
      <c r="Q2659" s="798"/>
      <c r="R2659" s="811"/>
    </row>
    <row r="2660" customFormat="false" ht="16.5" hidden="false" customHeight="true" outlineLevel="0" collapsed="false">
      <c r="A2660" s="747"/>
      <c r="B2660" s="798"/>
      <c r="D2660" s="798"/>
      <c r="E2660" s="798"/>
      <c r="F2660" s="798"/>
      <c r="G2660" s="798"/>
      <c r="J2660" s="778" t="str">
        <f aca="false">IF(I2660="","",H2660/I2660)</f>
        <v/>
      </c>
      <c r="K2660" s="798"/>
      <c r="P2660" s="798"/>
      <c r="Q2660" s="798"/>
      <c r="R2660" s="811"/>
    </row>
    <row r="2661" customFormat="false" ht="16.5" hidden="false" customHeight="true" outlineLevel="0" collapsed="false">
      <c r="A2661" s="747"/>
      <c r="B2661" s="798"/>
      <c r="D2661" s="798"/>
      <c r="E2661" s="798"/>
      <c r="F2661" s="798"/>
      <c r="G2661" s="798"/>
      <c r="J2661" s="778" t="str">
        <f aca="false">IF(I2661="","",H2661/I2661)</f>
        <v/>
      </c>
      <c r="K2661" s="798"/>
      <c r="P2661" s="798"/>
      <c r="Q2661" s="798"/>
      <c r="R2661" s="811"/>
    </row>
    <row r="2662" customFormat="false" ht="16.5" hidden="false" customHeight="true" outlineLevel="0" collapsed="false">
      <c r="A2662" s="747"/>
      <c r="B2662" s="798"/>
      <c r="D2662" s="798"/>
      <c r="E2662" s="798"/>
      <c r="F2662" s="798"/>
      <c r="G2662" s="798"/>
      <c r="J2662" s="778" t="str">
        <f aca="false">IF(I2662="","",H2662/I2662)</f>
        <v/>
      </c>
      <c r="K2662" s="798"/>
      <c r="P2662" s="798"/>
      <c r="Q2662" s="798"/>
      <c r="R2662" s="811"/>
    </row>
    <row r="2663" customFormat="false" ht="16.5" hidden="false" customHeight="true" outlineLevel="0" collapsed="false">
      <c r="A2663" s="747"/>
      <c r="B2663" s="798"/>
      <c r="D2663" s="798"/>
      <c r="E2663" s="798"/>
      <c r="F2663" s="798"/>
      <c r="G2663" s="798"/>
      <c r="J2663" s="778" t="str">
        <f aca="false">IF(I2663="","",H2663/I2663)</f>
        <v/>
      </c>
      <c r="K2663" s="798"/>
      <c r="P2663" s="798"/>
      <c r="Q2663" s="798"/>
      <c r="R2663" s="811"/>
    </row>
    <row r="2664" customFormat="false" ht="16.5" hidden="false" customHeight="true" outlineLevel="0" collapsed="false">
      <c r="A2664" s="747"/>
      <c r="B2664" s="798"/>
      <c r="D2664" s="798"/>
      <c r="E2664" s="798"/>
      <c r="F2664" s="798"/>
      <c r="G2664" s="798"/>
      <c r="J2664" s="778" t="str">
        <f aca="false">IF(I2664="","",H2664/I2664)</f>
        <v/>
      </c>
      <c r="K2664" s="798"/>
      <c r="P2664" s="798"/>
      <c r="Q2664" s="798"/>
      <c r="R2664" s="811"/>
    </row>
    <row r="2665" customFormat="false" ht="16.5" hidden="false" customHeight="true" outlineLevel="0" collapsed="false">
      <c r="A2665" s="747"/>
      <c r="B2665" s="798"/>
      <c r="D2665" s="798"/>
      <c r="E2665" s="798"/>
      <c r="F2665" s="798"/>
      <c r="G2665" s="798"/>
      <c r="J2665" s="778" t="str">
        <f aca="false">IF(I2665="","",H2665/I2665)</f>
        <v/>
      </c>
      <c r="K2665" s="798"/>
      <c r="P2665" s="798"/>
      <c r="Q2665" s="798"/>
      <c r="R2665" s="811"/>
    </row>
    <row r="2666" customFormat="false" ht="16.5" hidden="false" customHeight="true" outlineLevel="0" collapsed="false">
      <c r="A2666" s="747"/>
      <c r="B2666" s="798"/>
      <c r="D2666" s="798"/>
      <c r="E2666" s="798"/>
      <c r="F2666" s="798"/>
      <c r="G2666" s="798"/>
      <c r="J2666" s="778" t="str">
        <f aca="false">IF(I2666="","",H2666/I2666)</f>
        <v/>
      </c>
      <c r="K2666" s="798"/>
      <c r="P2666" s="798"/>
      <c r="Q2666" s="798"/>
      <c r="R2666" s="811"/>
    </row>
    <row r="2667" customFormat="false" ht="16.5" hidden="false" customHeight="true" outlineLevel="0" collapsed="false">
      <c r="A2667" s="747"/>
      <c r="B2667" s="798"/>
      <c r="D2667" s="798"/>
      <c r="E2667" s="798"/>
      <c r="F2667" s="798"/>
      <c r="G2667" s="798"/>
      <c r="J2667" s="778" t="str">
        <f aca="false">IF(I2667="","",H2667/I2667)</f>
        <v/>
      </c>
      <c r="K2667" s="798"/>
      <c r="P2667" s="798"/>
      <c r="Q2667" s="798"/>
      <c r="R2667" s="811"/>
    </row>
    <row r="2668" customFormat="false" ht="16.5" hidden="false" customHeight="true" outlineLevel="0" collapsed="false">
      <c r="A2668" s="747"/>
      <c r="B2668" s="798"/>
      <c r="D2668" s="798"/>
      <c r="E2668" s="798"/>
      <c r="F2668" s="798"/>
      <c r="G2668" s="798"/>
      <c r="J2668" s="778" t="str">
        <f aca="false">IF(I2668="","",H2668/I2668)</f>
        <v/>
      </c>
      <c r="K2668" s="798"/>
      <c r="P2668" s="798"/>
      <c r="Q2668" s="798"/>
      <c r="R2668" s="811"/>
    </row>
    <row r="2669" customFormat="false" ht="16.5" hidden="false" customHeight="true" outlineLevel="0" collapsed="false">
      <c r="A2669" s="747"/>
      <c r="B2669" s="798"/>
      <c r="D2669" s="798"/>
      <c r="E2669" s="798"/>
      <c r="F2669" s="798"/>
      <c r="G2669" s="798"/>
      <c r="J2669" s="778" t="str">
        <f aca="false">IF(I2669="","",H2669/I2669)</f>
        <v/>
      </c>
      <c r="K2669" s="798"/>
      <c r="P2669" s="798"/>
      <c r="Q2669" s="798"/>
      <c r="R2669" s="811"/>
    </row>
    <row r="2670" customFormat="false" ht="16.5" hidden="false" customHeight="true" outlineLevel="0" collapsed="false">
      <c r="A2670" s="747"/>
      <c r="B2670" s="798"/>
      <c r="D2670" s="798"/>
      <c r="E2670" s="798"/>
      <c r="F2670" s="798"/>
      <c r="G2670" s="798"/>
      <c r="J2670" s="778" t="str">
        <f aca="false">IF(I2670="","",H2670/I2670)</f>
        <v/>
      </c>
      <c r="K2670" s="798"/>
      <c r="P2670" s="798"/>
      <c r="Q2670" s="798"/>
      <c r="R2670" s="811"/>
    </row>
    <row r="2671" customFormat="false" ht="16.5" hidden="false" customHeight="true" outlineLevel="0" collapsed="false">
      <c r="A2671" s="747"/>
      <c r="B2671" s="798"/>
      <c r="D2671" s="798"/>
      <c r="E2671" s="798"/>
      <c r="F2671" s="798"/>
      <c r="G2671" s="798"/>
      <c r="J2671" s="778" t="str">
        <f aca="false">IF(I2671="","",H2671/I2671)</f>
        <v/>
      </c>
      <c r="K2671" s="798"/>
      <c r="P2671" s="798"/>
      <c r="Q2671" s="798"/>
      <c r="R2671" s="811"/>
    </row>
    <row r="2672" customFormat="false" ht="16.5" hidden="false" customHeight="true" outlineLevel="0" collapsed="false">
      <c r="A2672" s="747"/>
      <c r="B2672" s="798"/>
      <c r="D2672" s="798"/>
      <c r="E2672" s="798"/>
      <c r="F2672" s="798"/>
      <c r="G2672" s="798"/>
      <c r="J2672" s="778" t="str">
        <f aca="false">IF(I2672="","",H2672/I2672)</f>
        <v/>
      </c>
      <c r="K2672" s="798"/>
      <c r="P2672" s="798"/>
      <c r="Q2672" s="798"/>
      <c r="R2672" s="811"/>
    </row>
    <row r="2673" customFormat="false" ht="16.5" hidden="false" customHeight="true" outlineLevel="0" collapsed="false">
      <c r="A2673" s="747"/>
      <c r="B2673" s="798"/>
      <c r="D2673" s="798"/>
      <c r="E2673" s="798"/>
      <c r="F2673" s="798"/>
      <c r="G2673" s="798"/>
      <c r="J2673" s="778" t="str">
        <f aca="false">IF(I2673="","",H2673/I2673)</f>
        <v/>
      </c>
      <c r="K2673" s="798"/>
      <c r="P2673" s="798"/>
      <c r="Q2673" s="798"/>
      <c r="R2673" s="811"/>
    </row>
    <row r="2674" customFormat="false" ht="16.5" hidden="false" customHeight="true" outlineLevel="0" collapsed="false">
      <c r="A2674" s="747"/>
      <c r="B2674" s="798"/>
      <c r="D2674" s="798"/>
      <c r="E2674" s="798"/>
      <c r="F2674" s="798"/>
      <c r="G2674" s="798"/>
      <c r="J2674" s="778" t="str">
        <f aca="false">IF(I2674="","",H2674/I2674)</f>
        <v/>
      </c>
      <c r="K2674" s="798"/>
      <c r="P2674" s="798"/>
      <c r="Q2674" s="798"/>
      <c r="R2674" s="811"/>
    </row>
    <row r="2675" customFormat="false" ht="16.5" hidden="false" customHeight="true" outlineLevel="0" collapsed="false">
      <c r="A2675" s="747"/>
      <c r="B2675" s="798"/>
      <c r="D2675" s="798"/>
      <c r="E2675" s="798"/>
      <c r="F2675" s="798"/>
      <c r="G2675" s="798"/>
      <c r="J2675" s="778" t="str">
        <f aca="false">IF(I2675="","",H2675/I2675)</f>
        <v/>
      </c>
      <c r="K2675" s="798"/>
      <c r="P2675" s="798"/>
      <c r="Q2675" s="798"/>
      <c r="R2675" s="811"/>
    </row>
    <row r="2676" customFormat="false" ht="16.5" hidden="false" customHeight="true" outlineLevel="0" collapsed="false">
      <c r="A2676" s="747"/>
      <c r="B2676" s="798"/>
      <c r="D2676" s="798"/>
      <c r="E2676" s="798"/>
      <c r="F2676" s="798"/>
      <c r="G2676" s="798"/>
      <c r="J2676" s="778" t="str">
        <f aca="false">IF(I2676="","",H2676/I2676)</f>
        <v/>
      </c>
      <c r="K2676" s="798"/>
      <c r="P2676" s="798"/>
      <c r="Q2676" s="798"/>
      <c r="R2676" s="811"/>
    </row>
    <row r="2677" customFormat="false" ht="16.5" hidden="false" customHeight="true" outlineLevel="0" collapsed="false">
      <c r="A2677" s="747"/>
      <c r="B2677" s="798"/>
      <c r="D2677" s="798"/>
      <c r="E2677" s="798"/>
      <c r="F2677" s="798"/>
      <c r="G2677" s="798"/>
      <c r="J2677" s="778" t="str">
        <f aca="false">IF(I2677="","",H2677/I2677)</f>
        <v/>
      </c>
      <c r="K2677" s="798"/>
      <c r="P2677" s="798"/>
      <c r="Q2677" s="798"/>
      <c r="R2677" s="811"/>
    </row>
    <row r="2678" customFormat="false" ht="16.5" hidden="false" customHeight="true" outlineLevel="0" collapsed="false">
      <c r="A2678" s="747"/>
      <c r="B2678" s="798"/>
      <c r="D2678" s="798"/>
      <c r="E2678" s="798"/>
      <c r="F2678" s="798"/>
      <c r="G2678" s="798"/>
      <c r="J2678" s="778" t="str">
        <f aca="false">IF(I2678="","",H2678/I2678)</f>
        <v/>
      </c>
      <c r="K2678" s="798"/>
      <c r="P2678" s="798"/>
      <c r="Q2678" s="798"/>
      <c r="R2678" s="811"/>
    </row>
    <row r="2679" customFormat="false" ht="16.5" hidden="false" customHeight="true" outlineLevel="0" collapsed="false">
      <c r="A2679" s="747"/>
      <c r="B2679" s="798"/>
      <c r="D2679" s="798"/>
      <c r="E2679" s="798"/>
      <c r="F2679" s="798"/>
      <c r="G2679" s="798"/>
      <c r="J2679" s="778" t="str">
        <f aca="false">IF(I2679="","",H2679/I2679)</f>
        <v/>
      </c>
      <c r="K2679" s="798"/>
      <c r="P2679" s="798"/>
      <c r="Q2679" s="798"/>
      <c r="R2679" s="811"/>
    </row>
    <row r="2680" customFormat="false" ht="16.5" hidden="false" customHeight="true" outlineLevel="0" collapsed="false">
      <c r="A2680" s="747"/>
      <c r="B2680" s="798"/>
      <c r="D2680" s="798"/>
      <c r="E2680" s="798"/>
      <c r="F2680" s="798"/>
      <c r="G2680" s="798"/>
      <c r="J2680" s="778" t="str">
        <f aca="false">IF(I2680="","",H2680/I2680)</f>
        <v/>
      </c>
      <c r="K2680" s="798"/>
      <c r="P2680" s="798"/>
      <c r="Q2680" s="798"/>
      <c r="R2680" s="811"/>
    </row>
    <row r="2681" customFormat="false" ht="16.5" hidden="false" customHeight="true" outlineLevel="0" collapsed="false">
      <c r="A2681" s="747"/>
      <c r="B2681" s="798"/>
      <c r="D2681" s="798"/>
      <c r="E2681" s="798"/>
      <c r="F2681" s="798"/>
      <c r="G2681" s="798"/>
      <c r="J2681" s="778" t="str">
        <f aca="false">IF(I2681="","",H2681/I2681)</f>
        <v/>
      </c>
      <c r="K2681" s="798"/>
      <c r="P2681" s="798"/>
      <c r="Q2681" s="798"/>
      <c r="R2681" s="811"/>
    </row>
    <row r="2682" customFormat="false" ht="16.5" hidden="false" customHeight="true" outlineLevel="0" collapsed="false">
      <c r="A2682" s="747"/>
      <c r="B2682" s="798"/>
      <c r="D2682" s="798"/>
      <c r="E2682" s="798"/>
      <c r="F2682" s="798"/>
      <c r="G2682" s="798"/>
      <c r="J2682" s="778" t="str">
        <f aca="false">IF(I2682="","",H2682/I2682)</f>
        <v/>
      </c>
      <c r="K2682" s="798"/>
      <c r="P2682" s="798"/>
      <c r="Q2682" s="798"/>
      <c r="R2682" s="811"/>
    </row>
    <row r="2683" customFormat="false" ht="16.5" hidden="false" customHeight="true" outlineLevel="0" collapsed="false">
      <c r="A2683" s="747"/>
      <c r="B2683" s="798"/>
      <c r="D2683" s="798"/>
      <c r="E2683" s="798"/>
      <c r="F2683" s="798"/>
      <c r="G2683" s="798"/>
      <c r="J2683" s="778" t="str">
        <f aca="false">IF(I2683="","",H2683/I2683)</f>
        <v/>
      </c>
      <c r="K2683" s="798"/>
      <c r="P2683" s="798"/>
      <c r="Q2683" s="798"/>
      <c r="R2683" s="811"/>
    </row>
    <row r="2684" customFormat="false" ht="16.5" hidden="false" customHeight="true" outlineLevel="0" collapsed="false">
      <c r="A2684" s="747"/>
      <c r="B2684" s="798"/>
      <c r="D2684" s="798"/>
      <c r="E2684" s="798"/>
      <c r="F2684" s="798"/>
      <c r="G2684" s="798"/>
      <c r="J2684" s="778" t="str">
        <f aca="false">IF(I2684="","",H2684/I2684)</f>
        <v/>
      </c>
      <c r="K2684" s="798"/>
      <c r="P2684" s="798"/>
      <c r="Q2684" s="798"/>
      <c r="R2684" s="811"/>
    </row>
    <row r="2685" customFormat="false" ht="16.5" hidden="false" customHeight="true" outlineLevel="0" collapsed="false">
      <c r="A2685" s="747"/>
      <c r="B2685" s="798"/>
      <c r="D2685" s="798"/>
      <c r="E2685" s="798"/>
      <c r="F2685" s="798"/>
      <c r="G2685" s="798"/>
      <c r="J2685" s="778" t="str">
        <f aca="false">IF(I2685="","",H2685/I2685)</f>
        <v/>
      </c>
      <c r="K2685" s="798"/>
      <c r="P2685" s="798"/>
      <c r="Q2685" s="798"/>
      <c r="R2685" s="811"/>
    </row>
    <row r="2686" customFormat="false" ht="16.5" hidden="false" customHeight="true" outlineLevel="0" collapsed="false">
      <c r="A2686" s="747"/>
      <c r="B2686" s="798"/>
      <c r="D2686" s="798"/>
      <c r="E2686" s="798"/>
      <c r="F2686" s="798"/>
      <c r="G2686" s="798"/>
      <c r="J2686" s="778" t="str">
        <f aca="false">IF(I2686="","",H2686/I2686)</f>
        <v/>
      </c>
      <c r="K2686" s="798"/>
      <c r="P2686" s="798"/>
      <c r="Q2686" s="798"/>
      <c r="R2686" s="811"/>
    </row>
    <row r="2687" customFormat="false" ht="16.5" hidden="false" customHeight="true" outlineLevel="0" collapsed="false">
      <c r="A2687" s="747"/>
      <c r="B2687" s="798"/>
      <c r="D2687" s="798"/>
      <c r="E2687" s="798"/>
      <c r="F2687" s="798"/>
      <c r="G2687" s="798"/>
      <c r="J2687" s="778" t="str">
        <f aca="false">IF(I2687="","",H2687/I2687)</f>
        <v/>
      </c>
      <c r="K2687" s="798"/>
      <c r="P2687" s="798"/>
      <c r="Q2687" s="798"/>
      <c r="R2687" s="811"/>
    </row>
    <row r="2688" customFormat="false" ht="16.5" hidden="false" customHeight="true" outlineLevel="0" collapsed="false">
      <c r="A2688" s="747"/>
      <c r="B2688" s="798"/>
      <c r="D2688" s="798"/>
      <c r="E2688" s="798"/>
      <c r="F2688" s="798"/>
      <c r="G2688" s="798"/>
      <c r="J2688" s="778" t="str">
        <f aca="false">IF(I2688="","",H2688/I2688)</f>
        <v/>
      </c>
      <c r="K2688" s="798"/>
      <c r="P2688" s="798"/>
      <c r="Q2688" s="798"/>
      <c r="R2688" s="811"/>
    </row>
    <row r="2689" customFormat="false" ht="16.5" hidden="false" customHeight="true" outlineLevel="0" collapsed="false">
      <c r="A2689" s="747"/>
      <c r="B2689" s="798"/>
      <c r="D2689" s="798"/>
      <c r="E2689" s="798"/>
      <c r="F2689" s="798"/>
      <c r="G2689" s="798"/>
      <c r="J2689" s="778" t="str">
        <f aca="false">IF(I2689="","",H2689/I2689)</f>
        <v/>
      </c>
      <c r="K2689" s="798"/>
      <c r="P2689" s="798"/>
      <c r="Q2689" s="798"/>
      <c r="R2689" s="811"/>
    </row>
    <row r="2690" customFormat="false" ht="16.5" hidden="false" customHeight="true" outlineLevel="0" collapsed="false">
      <c r="A2690" s="747"/>
      <c r="B2690" s="798"/>
      <c r="D2690" s="798"/>
      <c r="E2690" s="798"/>
      <c r="F2690" s="798"/>
      <c r="G2690" s="798"/>
      <c r="J2690" s="778" t="str">
        <f aca="false">IF(I2690="","",H2690/I2690)</f>
        <v/>
      </c>
      <c r="K2690" s="798"/>
      <c r="P2690" s="798"/>
      <c r="Q2690" s="798"/>
      <c r="R2690" s="811"/>
    </row>
    <row r="2691" customFormat="false" ht="16.5" hidden="false" customHeight="true" outlineLevel="0" collapsed="false">
      <c r="A2691" s="747"/>
      <c r="B2691" s="798"/>
      <c r="D2691" s="798"/>
      <c r="E2691" s="798"/>
      <c r="F2691" s="798"/>
      <c r="G2691" s="798"/>
      <c r="J2691" s="778" t="str">
        <f aca="false">IF(I2691="","",H2691/I2691)</f>
        <v/>
      </c>
      <c r="K2691" s="798"/>
      <c r="P2691" s="798"/>
      <c r="Q2691" s="798"/>
      <c r="R2691" s="811"/>
    </row>
    <row r="2692" customFormat="false" ht="16.5" hidden="false" customHeight="true" outlineLevel="0" collapsed="false">
      <c r="A2692" s="747"/>
      <c r="B2692" s="798"/>
      <c r="D2692" s="798"/>
      <c r="E2692" s="798"/>
      <c r="F2692" s="798"/>
      <c r="G2692" s="798"/>
      <c r="J2692" s="778" t="str">
        <f aca="false">IF(I2692="","",H2692/I2692)</f>
        <v/>
      </c>
      <c r="K2692" s="798"/>
      <c r="P2692" s="798"/>
      <c r="Q2692" s="798"/>
      <c r="R2692" s="811"/>
    </row>
    <row r="2693" customFormat="false" ht="16.5" hidden="false" customHeight="true" outlineLevel="0" collapsed="false">
      <c r="A2693" s="747"/>
      <c r="B2693" s="798"/>
      <c r="D2693" s="798"/>
      <c r="E2693" s="798"/>
      <c r="F2693" s="798"/>
      <c r="G2693" s="798"/>
      <c r="J2693" s="778" t="str">
        <f aca="false">IF(I2693="","",H2693/I2693)</f>
        <v/>
      </c>
      <c r="K2693" s="798"/>
      <c r="P2693" s="798"/>
      <c r="Q2693" s="798"/>
      <c r="R2693" s="811"/>
    </row>
    <row r="2694" customFormat="false" ht="16.5" hidden="false" customHeight="true" outlineLevel="0" collapsed="false">
      <c r="A2694" s="747"/>
      <c r="B2694" s="798"/>
      <c r="D2694" s="798"/>
      <c r="E2694" s="798"/>
      <c r="F2694" s="798"/>
      <c r="G2694" s="798"/>
      <c r="J2694" s="778" t="str">
        <f aca="false">IF(I2694="","",H2694/I2694)</f>
        <v/>
      </c>
      <c r="K2694" s="798"/>
      <c r="P2694" s="798"/>
      <c r="Q2694" s="798"/>
      <c r="R2694" s="811"/>
    </row>
    <row r="2695" customFormat="false" ht="16.5" hidden="false" customHeight="true" outlineLevel="0" collapsed="false">
      <c r="A2695" s="747"/>
      <c r="B2695" s="798"/>
      <c r="D2695" s="798"/>
      <c r="E2695" s="798"/>
      <c r="F2695" s="798"/>
      <c r="G2695" s="798"/>
      <c r="J2695" s="778" t="str">
        <f aca="false">IF(I2695="","",H2695/I2695)</f>
        <v/>
      </c>
      <c r="K2695" s="798"/>
      <c r="P2695" s="798"/>
      <c r="Q2695" s="798"/>
      <c r="R2695" s="811"/>
    </row>
    <row r="2696" customFormat="false" ht="16.5" hidden="false" customHeight="true" outlineLevel="0" collapsed="false">
      <c r="A2696" s="747"/>
      <c r="B2696" s="798"/>
      <c r="D2696" s="798"/>
      <c r="E2696" s="798"/>
      <c r="F2696" s="798"/>
      <c r="G2696" s="798"/>
      <c r="J2696" s="778" t="str">
        <f aca="false">IF(I2696="","",H2696/I2696)</f>
        <v/>
      </c>
      <c r="K2696" s="798"/>
      <c r="P2696" s="798"/>
      <c r="Q2696" s="798"/>
      <c r="R2696" s="811"/>
    </row>
    <row r="2697" customFormat="false" ht="16.5" hidden="false" customHeight="true" outlineLevel="0" collapsed="false">
      <c r="A2697" s="747"/>
      <c r="B2697" s="798"/>
      <c r="D2697" s="798"/>
      <c r="E2697" s="798"/>
      <c r="F2697" s="798"/>
      <c r="G2697" s="798"/>
      <c r="J2697" s="778" t="str">
        <f aca="false">IF(I2697="","",H2697/I2697)</f>
        <v/>
      </c>
      <c r="K2697" s="798"/>
      <c r="P2697" s="798"/>
      <c r="Q2697" s="798"/>
      <c r="R2697" s="811"/>
    </row>
    <row r="2698" customFormat="false" ht="16.5" hidden="false" customHeight="true" outlineLevel="0" collapsed="false">
      <c r="A2698" s="747"/>
      <c r="B2698" s="798"/>
      <c r="D2698" s="798"/>
      <c r="E2698" s="798"/>
      <c r="F2698" s="798"/>
      <c r="G2698" s="798"/>
      <c r="J2698" s="778" t="str">
        <f aca="false">IF(I2698="","",H2698/I2698)</f>
        <v/>
      </c>
      <c r="K2698" s="798"/>
      <c r="P2698" s="798"/>
      <c r="Q2698" s="798"/>
      <c r="R2698" s="811"/>
    </row>
    <row r="2699" customFormat="false" ht="16.5" hidden="false" customHeight="true" outlineLevel="0" collapsed="false">
      <c r="A2699" s="747"/>
      <c r="B2699" s="798"/>
      <c r="D2699" s="798"/>
      <c r="E2699" s="798"/>
      <c r="F2699" s="798"/>
      <c r="G2699" s="798"/>
      <c r="J2699" s="778" t="str">
        <f aca="false">IF(I2699="","",H2699/I2699)</f>
        <v/>
      </c>
      <c r="K2699" s="798"/>
      <c r="P2699" s="798"/>
      <c r="Q2699" s="798"/>
      <c r="R2699" s="811"/>
    </row>
    <row r="2700" customFormat="false" ht="16.5" hidden="false" customHeight="true" outlineLevel="0" collapsed="false">
      <c r="A2700" s="747"/>
      <c r="B2700" s="798"/>
      <c r="D2700" s="798"/>
      <c r="E2700" s="798"/>
      <c r="F2700" s="798"/>
      <c r="G2700" s="798"/>
      <c r="J2700" s="778" t="str">
        <f aca="false">IF(I2700="","",H2700/I2700)</f>
        <v/>
      </c>
      <c r="K2700" s="798"/>
      <c r="P2700" s="798"/>
      <c r="Q2700" s="798"/>
      <c r="R2700" s="811"/>
    </row>
    <row r="2701" customFormat="false" ht="16.5" hidden="false" customHeight="true" outlineLevel="0" collapsed="false">
      <c r="A2701" s="747"/>
      <c r="B2701" s="798"/>
      <c r="D2701" s="798"/>
      <c r="E2701" s="798"/>
      <c r="F2701" s="798"/>
      <c r="G2701" s="798"/>
      <c r="J2701" s="778" t="str">
        <f aca="false">IF(I2701="","",H2701/I2701)</f>
        <v/>
      </c>
      <c r="K2701" s="798"/>
      <c r="P2701" s="798"/>
      <c r="Q2701" s="798"/>
      <c r="R2701" s="811"/>
    </row>
    <row r="2702" customFormat="false" ht="16.5" hidden="false" customHeight="true" outlineLevel="0" collapsed="false">
      <c r="A2702" s="747"/>
      <c r="B2702" s="798"/>
      <c r="D2702" s="798"/>
      <c r="E2702" s="798"/>
      <c r="F2702" s="798"/>
      <c r="G2702" s="798"/>
      <c r="J2702" s="778" t="str">
        <f aca="false">IF(I2702="","",H2702/I2702)</f>
        <v/>
      </c>
      <c r="K2702" s="798"/>
      <c r="P2702" s="798"/>
      <c r="Q2702" s="798"/>
      <c r="R2702" s="811"/>
    </row>
    <row r="2703" customFormat="false" ht="16.5" hidden="false" customHeight="true" outlineLevel="0" collapsed="false">
      <c r="A2703" s="747"/>
      <c r="B2703" s="798"/>
      <c r="D2703" s="798"/>
      <c r="E2703" s="798"/>
      <c r="F2703" s="798"/>
      <c r="G2703" s="798"/>
      <c r="J2703" s="778" t="str">
        <f aca="false">IF(I2703="","",H2703/I2703)</f>
        <v/>
      </c>
      <c r="K2703" s="798"/>
      <c r="P2703" s="798"/>
      <c r="Q2703" s="798"/>
      <c r="R2703" s="811"/>
    </row>
    <row r="2704" customFormat="false" ht="16.5" hidden="false" customHeight="true" outlineLevel="0" collapsed="false">
      <c r="A2704" s="747"/>
      <c r="B2704" s="798"/>
      <c r="D2704" s="798"/>
      <c r="E2704" s="798"/>
      <c r="F2704" s="798"/>
      <c r="G2704" s="798"/>
      <c r="J2704" s="778" t="str">
        <f aca="false">IF(I2704="","",H2704/I2704)</f>
        <v/>
      </c>
      <c r="K2704" s="798"/>
      <c r="P2704" s="798"/>
      <c r="Q2704" s="798"/>
      <c r="R2704" s="811"/>
    </row>
    <row r="2705" customFormat="false" ht="16.5" hidden="false" customHeight="true" outlineLevel="0" collapsed="false">
      <c r="A2705" s="747"/>
      <c r="B2705" s="798"/>
      <c r="D2705" s="798"/>
      <c r="E2705" s="798"/>
      <c r="F2705" s="798"/>
      <c r="G2705" s="798"/>
      <c r="J2705" s="778" t="str">
        <f aca="false">IF(I2705="","",H2705/I2705)</f>
        <v/>
      </c>
      <c r="K2705" s="798"/>
      <c r="P2705" s="798"/>
      <c r="Q2705" s="798"/>
      <c r="R2705" s="811"/>
    </row>
    <row r="2706" customFormat="false" ht="16.5" hidden="false" customHeight="true" outlineLevel="0" collapsed="false">
      <c r="A2706" s="747"/>
      <c r="B2706" s="798"/>
      <c r="D2706" s="798"/>
      <c r="E2706" s="798"/>
      <c r="F2706" s="798"/>
      <c r="G2706" s="798"/>
      <c r="J2706" s="778" t="str">
        <f aca="false">IF(I2706="","",H2706/I2706)</f>
        <v/>
      </c>
      <c r="K2706" s="798"/>
      <c r="P2706" s="798"/>
      <c r="Q2706" s="798"/>
      <c r="R2706" s="811"/>
    </row>
    <row r="2707" customFormat="false" ht="16.5" hidden="false" customHeight="true" outlineLevel="0" collapsed="false">
      <c r="A2707" s="747"/>
      <c r="B2707" s="798"/>
      <c r="D2707" s="798"/>
      <c r="E2707" s="798"/>
      <c r="F2707" s="798"/>
      <c r="G2707" s="798"/>
      <c r="J2707" s="778" t="str">
        <f aca="false">IF(I2707="","",H2707/I2707)</f>
        <v/>
      </c>
      <c r="K2707" s="798"/>
      <c r="P2707" s="798"/>
      <c r="Q2707" s="798"/>
      <c r="R2707" s="811"/>
    </row>
    <row r="2708" customFormat="false" ht="16.5" hidden="false" customHeight="true" outlineLevel="0" collapsed="false">
      <c r="A2708" s="747"/>
      <c r="B2708" s="798"/>
      <c r="D2708" s="798"/>
      <c r="E2708" s="798"/>
      <c r="F2708" s="798"/>
      <c r="G2708" s="798"/>
      <c r="J2708" s="778" t="str">
        <f aca="false">IF(I2708="","",H2708/I2708)</f>
        <v/>
      </c>
      <c r="K2708" s="798"/>
      <c r="P2708" s="798"/>
      <c r="Q2708" s="798"/>
      <c r="R2708" s="811"/>
    </row>
    <row r="2709" customFormat="false" ht="16.5" hidden="false" customHeight="true" outlineLevel="0" collapsed="false">
      <c r="A2709" s="747"/>
      <c r="B2709" s="798"/>
      <c r="D2709" s="798"/>
      <c r="E2709" s="798"/>
      <c r="F2709" s="798"/>
      <c r="G2709" s="798"/>
      <c r="J2709" s="778" t="str">
        <f aca="false">IF(I2709="","",H2709/I2709)</f>
        <v/>
      </c>
      <c r="K2709" s="798"/>
      <c r="P2709" s="798"/>
      <c r="Q2709" s="798"/>
      <c r="R2709" s="811"/>
    </row>
    <row r="2710" customFormat="false" ht="16.5" hidden="false" customHeight="true" outlineLevel="0" collapsed="false">
      <c r="A2710" s="747"/>
      <c r="B2710" s="798"/>
      <c r="D2710" s="798"/>
      <c r="E2710" s="798"/>
      <c r="F2710" s="798"/>
      <c r="G2710" s="798"/>
      <c r="J2710" s="778" t="str">
        <f aca="false">IF(I2710="","",H2710/I2710)</f>
        <v/>
      </c>
      <c r="K2710" s="798"/>
      <c r="P2710" s="798"/>
      <c r="Q2710" s="798"/>
      <c r="R2710" s="811"/>
    </row>
    <row r="2711" customFormat="false" ht="16.5" hidden="false" customHeight="true" outlineLevel="0" collapsed="false">
      <c r="A2711" s="747"/>
      <c r="B2711" s="798"/>
      <c r="D2711" s="798"/>
      <c r="E2711" s="798"/>
      <c r="F2711" s="798"/>
      <c r="G2711" s="798"/>
      <c r="J2711" s="778" t="str">
        <f aca="false">IF(I2711="","",H2711/I2711)</f>
        <v/>
      </c>
      <c r="K2711" s="798"/>
      <c r="P2711" s="798"/>
      <c r="Q2711" s="798"/>
      <c r="R2711" s="811"/>
    </row>
    <row r="2712" customFormat="false" ht="16.5" hidden="false" customHeight="true" outlineLevel="0" collapsed="false">
      <c r="A2712" s="747"/>
      <c r="B2712" s="798"/>
      <c r="D2712" s="798"/>
      <c r="E2712" s="798"/>
      <c r="F2712" s="798"/>
      <c r="G2712" s="798"/>
      <c r="J2712" s="778" t="str">
        <f aca="false">IF(I2712="","",H2712/I2712)</f>
        <v/>
      </c>
      <c r="K2712" s="798"/>
      <c r="P2712" s="798"/>
      <c r="Q2712" s="798"/>
      <c r="R2712" s="811"/>
    </row>
    <row r="2713" customFormat="false" ht="16.5" hidden="false" customHeight="true" outlineLevel="0" collapsed="false">
      <c r="A2713" s="747"/>
      <c r="B2713" s="798"/>
      <c r="D2713" s="798"/>
      <c r="E2713" s="798"/>
      <c r="F2713" s="798"/>
      <c r="G2713" s="798"/>
      <c r="J2713" s="778" t="str">
        <f aca="false">IF(I2713="","",H2713/I2713)</f>
        <v/>
      </c>
      <c r="K2713" s="798"/>
      <c r="P2713" s="798"/>
      <c r="Q2713" s="798"/>
      <c r="R2713" s="811"/>
    </row>
    <row r="2714" customFormat="false" ht="16.5" hidden="false" customHeight="true" outlineLevel="0" collapsed="false">
      <c r="A2714" s="747"/>
      <c r="B2714" s="798"/>
      <c r="D2714" s="798"/>
      <c r="E2714" s="798"/>
      <c r="F2714" s="798"/>
      <c r="G2714" s="798"/>
      <c r="J2714" s="778" t="str">
        <f aca="false">IF(I2714="","",H2714/I2714)</f>
        <v/>
      </c>
      <c r="K2714" s="798"/>
      <c r="P2714" s="798"/>
      <c r="Q2714" s="798"/>
      <c r="R2714" s="811"/>
    </row>
    <row r="2715" customFormat="false" ht="16.5" hidden="false" customHeight="true" outlineLevel="0" collapsed="false">
      <c r="A2715" s="747"/>
      <c r="B2715" s="798"/>
      <c r="D2715" s="798"/>
      <c r="E2715" s="798"/>
      <c r="F2715" s="798"/>
      <c r="G2715" s="798"/>
      <c r="J2715" s="778" t="str">
        <f aca="false">IF(I2715="","",H2715/I2715)</f>
        <v/>
      </c>
      <c r="K2715" s="798"/>
      <c r="P2715" s="798"/>
      <c r="Q2715" s="798"/>
      <c r="R2715" s="811"/>
    </row>
    <row r="2716" customFormat="false" ht="16.5" hidden="false" customHeight="true" outlineLevel="0" collapsed="false">
      <c r="A2716" s="747"/>
      <c r="B2716" s="798"/>
      <c r="D2716" s="798"/>
      <c r="E2716" s="798"/>
      <c r="F2716" s="798"/>
      <c r="G2716" s="798"/>
      <c r="J2716" s="778" t="str">
        <f aca="false">IF(I2716="","",H2716/I2716)</f>
        <v/>
      </c>
      <c r="K2716" s="798"/>
      <c r="P2716" s="798"/>
      <c r="Q2716" s="798"/>
      <c r="R2716" s="811"/>
    </row>
    <row r="2717" customFormat="false" ht="16.5" hidden="false" customHeight="true" outlineLevel="0" collapsed="false">
      <c r="A2717" s="747"/>
      <c r="B2717" s="798"/>
      <c r="D2717" s="798"/>
      <c r="E2717" s="798"/>
      <c r="F2717" s="798"/>
      <c r="G2717" s="798"/>
      <c r="J2717" s="778" t="str">
        <f aca="false">IF(I2717="","",H2717/I2717)</f>
        <v/>
      </c>
      <c r="K2717" s="798"/>
      <c r="P2717" s="798"/>
      <c r="Q2717" s="798"/>
      <c r="R2717" s="811"/>
    </row>
    <row r="2718" customFormat="false" ht="16.5" hidden="false" customHeight="true" outlineLevel="0" collapsed="false">
      <c r="A2718" s="747"/>
      <c r="B2718" s="798"/>
      <c r="D2718" s="798"/>
      <c r="E2718" s="798"/>
      <c r="F2718" s="798"/>
      <c r="G2718" s="798"/>
      <c r="J2718" s="778" t="str">
        <f aca="false">IF(I2718="","",H2718/I2718)</f>
        <v/>
      </c>
      <c r="K2718" s="798"/>
      <c r="P2718" s="798"/>
      <c r="Q2718" s="798"/>
      <c r="R2718" s="811"/>
    </row>
    <row r="2719" customFormat="false" ht="16.5" hidden="false" customHeight="true" outlineLevel="0" collapsed="false">
      <c r="A2719" s="747"/>
      <c r="B2719" s="798"/>
      <c r="D2719" s="798"/>
      <c r="E2719" s="798"/>
      <c r="F2719" s="798"/>
      <c r="G2719" s="798"/>
      <c r="J2719" s="778" t="str">
        <f aca="false">IF(I2719="","",H2719/I2719)</f>
        <v/>
      </c>
      <c r="K2719" s="798"/>
      <c r="P2719" s="798"/>
      <c r="Q2719" s="798"/>
      <c r="R2719" s="811"/>
    </row>
    <row r="2720" customFormat="false" ht="16.5" hidden="false" customHeight="true" outlineLevel="0" collapsed="false">
      <c r="A2720" s="747"/>
      <c r="B2720" s="798"/>
      <c r="D2720" s="798"/>
      <c r="E2720" s="798"/>
      <c r="F2720" s="798"/>
      <c r="G2720" s="798"/>
      <c r="J2720" s="778" t="str">
        <f aca="false">IF(I2720="","",H2720/I2720)</f>
        <v/>
      </c>
      <c r="K2720" s="798"/>
      <c r="P2720" s="798"/>
      <c r="Q2720" s="798"/>
      <c r="R2720" s="811"/>
    </row>
    <row r="2721" customFormat="false" ht="16.5" hidden="false" customHeight="true" outlineLevel="0" collapsed="false">
      <c r="A2721" s="747"/>
      <c r="B2721" s="798"/>
      <c r="D2721" s="798"/>
      <c r="E2721" s="798"/>
      <c r="F2721" s="798"/>
      <c r="G2721" s="798"/>
      <c r="J2721" s="778" t="str">
        <f aca="false">IF(I2721="","",H2721/I2721)</f>
        <v/>
      </c>
      <c r="K2721" s="798"/>
      <c r="P2721" s="798"/>
      <c r="Q2721" s="798"/>
      <c r="R2721" s="811"/>
    </row>
    <row r="2722" customFormat="false" ht="16.5" hidden="false" customHeight="true" outlineLevel="0" collapsed="false">
      <c r="A2722" s="747"/>
      <c r="B2722" s="798"/>
      <c r="D2722" s="798"/>
      <c r="E2722" s="798"/>
      <c r="F2722" s="798"/>
      <c r="G2722" s="798"/>
      <c r="J2722" s="778" t="str">
        <f aca="false">IF(I2722="","",H2722/I2722)</f>
        <v/>
      </c>
      <c r="K2722" s="798"/>
      <c r="P2722" s="798"/>
      <c r="Q2722" s="798"/>
      <c r="R2722" s="811"/>
    </row>
    <row r="2723" customFormat="false" ht="16.5" hidden="false" customHeight="true" outlineLevel="0" collapsed="false">
      <c r="A2723" s="747"/>
      <c r="B2723" s="798"/>
      <c r="D2723" s="798"/>
      <c r="E2723" s="798"/>
      <c r="F2723" s="798"/>
      <c r="G2723" s="798"/>
      <c r="J2723" s="778" t="str">
        <f aca="false">IF(I2723="","",H2723/I2723)</f>
        <v/>
      </c>
      <c r="K2723" s="798"/>
      <c r="P2723" s="798"/>
      <c r="Q2723" s="798"/>
      <c r="R2723" s="811"/>
    </row>
    <row r="2724" customFormat="false" ht="16.5" hidden="false" customHeight="true" outlineLevel="0" collapsed="false">
      <c r="A2724" s="747"/>
      <c r="B2724" s="798"/>
      <c r="D2724" s="798"/>
      <c r="E2724" s="798"/>
      <c r="F2724" s="798"/>
      <c r="G2724" s="798"/>
      <c r="J2724" s="778" t="str">
        <f aca="false">IF(I2724="","",H2724/I2724)</f>
        <v/>
      </c>
      <c r="K2724" s="798"/>
      <c r="P2724" s="798"/>
      <c r="Q2724" s="798"/>
      <c r="R2724" s="811"/>
    </row>
    <row r="2725" customFormat="false" ht="16.5" hidden="false" customHeight="true" outlineLevel="0" collapsed="false">
      <c r="A2725" s="747"/>
      <c r="B2725" s="798"/>
      <c r="D2725" s="798"/>
      <c r="E2725" s="798"/>
      <c r="F2725" s="798"/>
      <c r="G2725" s="798"/>
      <c r="J2725" s="778" t="str">
        <f aca="false">IF(I2725="","",H2725/I2725)</f>
        <v/>
      </c>
      <c r="K2725" s="798"/>
      <c r="P2725" s="798"/>
      <c r="Q2725" s="798"/>
      <c r="R2725" s="811"/>
    </row>
    <row r="2726" customFormat="false" ht="16.5" hidden="false" customHeight="true" outlineLevel="0" collapsed="false">
      <c r="A2726" s="747"/>
      <c r="B2726" s="798"/>
      <c r="D2726" s="798"/>
      <c r="E2726" s="798"/>
      <c r="F2726" s="798"/>
      <c r="G2726" s="798"/>
      <c r="J2726" s="778" t="str">
        <f aca="false">IF(I2726="","",H2726/I2726)</f>
        <v/>
      </c>
      <c r="K2726" s="798"/>
      <c r="P2726" s="798"/>
      <c r="Q2726" s="798"/>
      <c r="R2726" s="811"/>
    </row>
    <row r="2727" customFormat="false" ht="16.5" hidden="false" customHeight="true" outlineLevel="0" collapsed="false">
      <c r="A2727" s="747"/>
      <c r="B2727" s="798"/>
      <c r="D2727" s="798"/>
      <c r="E2727" s="798"/>
      <c r="F2727" s="798"/>
      <c r="G2727" s="798"/>
      <c r="J2727" s="778" t="str">
        <f aca="false">IF(I2727="","",H2727/I2727)</f>
        <v/>
      </c>
      <c r="K2727" s="798"/>
      <c r="P2727" s="798"/>
      <c r="Q2727" s="798"/>
      <c r="R2727" s="811"/>
    </row>
    <row r="2728" customFormat="false" ht="16.5" hidden="false" customHeight="true" outlineLevel="0" collapsed="false">
      <c r="A2728" s="747"/>
      <c r="B2728" s="798"/>
      <c r="D2728" s="798"/>
      <c r="E2728" s="798"/>
      <c r="F2728" s="798"/>
      <c r="G2728" s="798"/>
      <c r="J2728" s="778" t="str">
        <f aca="false">IF(I2728="","",H2728/I2728)</f>
        <v/>
      </c>
      <c r="K2728" s="798"/>
      <c r="P2728" s="798"/>
      <c r="Q2728" s="798"/>
      <c r="R2728" s="811"/>
    </row>
    <row r="2729" customFormat="false" ht="16.5" hidden="false" customHeight="true" outlineLevel="0" collapsed="false">
      <c r="A2729" s="747"/>
      <c r="B2729" s="798"/>
      <c r="D2729" s="798"/>
      <c r="E2729" s="798"/>
      <c r="F2729" s="798"/>
      <c r="G2729" s="798"/>
      <c r="J2729" s="778" t="str">
        <f aca="false">IF(I2729="","",H2729/I2729)</f>
        <v/>
      </c>
      <c r="K2729" s="798"/>
      <c r="P2729" s="798"/>
      <c r="Q2729" s="798"/>
      <c r="R2729" s="811"/>
    </row>
    <row r="2730" customFormat="false" ht="16.5" hidden="false" customHeight="true" outlineLevel="0" collapsed="false">
      <c r="A2730" s="747"/>
      <c r="B2730" s="798"/>
      <c r="D2730" s="798"/>
      <c r="E2730" s="798"/>
      <c r="F2730" s="798"/>
      <c r="G2730" s="798"/>
      <c r="J2730" s="778" t="str">
        <f aca="false">IF(I2730="","",H2730/I2730)</f>
        <v/>
      </c>
      <c r="K2730" s="798"/>
      <c r="P2730" s="798"/>
      <c r="Q2730" s="798"/>
      <c r="R2730" s="811"/>
    </row>
    <row r="2731" customFormat="false" ht="16.5" hidden="false" customHeight="true" outlineLevel="0" collapsed="false">
      <c r="A2731" s="747"/>
      <c r="B2731" s="798"/>
      <c r="D2731" s="798"/>
      <c r="E2731" s="798"/>
      <c r="F2731" s="798"/>
      <c r="G2731" s="798"/>
      <c r="J2731" s="778" t="str">
        <f aca="false">IF(I2731="","",H2731/I2731)</f>
        <v/>
      </c>
      <c r="K2731" s="798"/>
      <c r="P2731" s="798"/>
      <c r="Q2731" s="798"/>
      <c r="R2731" s="811"/>
    </row>
    <row r="2732" customFormat="false" ht="16.5" hidden="false" customHeight="true" outlineLevel="0" collapsed="false">
      <c r="A2732" s="747"/>
      <c r="B2732" s="798"/>
      <c r="D2732" s="798"/>
      <c r="E2732" s="798"/>
      <c r="F2732" s="798"/>
      <c r="G2732" s="798"/>
      <c r="J2732" s="778" t="str">
        <f aca="false">IF(I2732="","",H2732/I2732)</f>
        <v/>
      </c>
      <c r="K2732" s="798"/>
      <c r="P2732" s="798"/>
      <c r="Q2732" s="798"/>
      <c r="R2732" s="811"/>
    </row>
    <row r="2733" customFormat="false" ht="16.5" hidden="false" customHeight="true" outlineLevel="0" collapsed="false">
      <c r="A2733" s="747"/>
      <c r="B2733" s="798"/>
      <c r="D2733" s="798"/>
      <c r="E2733" s="798"/>
      <c r="F2733" s="798"/>
      <c r="G2733" s="798"/>
      <c r="J2733" s="778" t="str">
        <f aca="false">IF(I2733="","",H2733/I2733)</f>
        <v/>
      </c>
      <c r="K2733" s="798"/>
      <c r="P2733" s="798"/>
      <c r="Q2733" s="798"/>
      <c r="R2733" s="811"/>
    </row>
    <row r="2734" customFormat="false" ht="16.5" hidden="false" customHeight="true" outlineLevel="0" collapsed="false">
      <c r="A2734" s="747"/>
      <c r="B2734" s="798"/>
      <c r="D2734" s="798"/>
      <c r="E2734" s="798"/>
      <c r="F2734" s="798"/>
      <c r="G2734" s="798"/>
      <c r="J2734" s="778" t="str">
        <f aca="false">IF(I2734="","",H2734/I2734)</f>
        <v/>
      </c>
      <c r="K2734" s="798"/>
      <c r="P2734" s="798"/>
      <c r="Q2734" s="798"/>
      <c r="R2734" s="811"/>
    </row>
    <row r="2735" customFormat="false" ht="16.5" hidden="false" customHeight="true" outlineLevel="0" collapsed="false">
      <c r="A2735" s="747"/>
      <c r="B2735" s="798"/>
      <c r="D2735" s="798"/>
      <c r="E2735" s="798"/>
      <c r="F2735" s="798"/>
      <c r="G2735" s="798"/>
      <c r="J2735" s="778" t="str">
        <f aca="false">IF(I2735="","",H2735/I2735)</f>
        <v/>
      </c>
      <c r="K2735" s="798"/>
      <c r="P2735" s="798"/>
      <c r="Q2735" s="798"/>
      <c r="R2735" s="811"/>
    </row>
    <row r="2736" customFormat="false" ht="16.5" hidden="false" customHeight="true" outlineLevel="0" collapsed="false">
      <c r="A2736" s="747"/>
      <c r="B2736" s="798"/>
      <c r="D2736" s="798"/>
      <c r="E2736" s="798"/>
      <c r="F2736" s="798"/>
      <c r="G2736" s="798"/>
      <c r="J2736" s="778" t="str">
        <f aca="false">IF(I2736="","",H2736/I2736)</f>
        <v/>
      </c>
      <c r="K2736" s="798"/>
      <c r="P2736" s="798"/>
      <c r="Q2736" s="798"/>
      <c r="R2736" s="811"/>
    </row>
    <row r="2737" customFormat="false" ht="16.5" hidden="false" customHeight="true" outlineLevel="0" collapsed="false">
      <c r="A2737" s="747"/>
      <c r="B2737" s="798"/>
      <c r="D2737" s="798"/>
      <c r="E2737" s="798"/>
      <c r="F2737" s="798"/>
      <c r="G2737" s="798"/>
      <c r="J2737" s="778" t="str">
        <f aca="false">IF(I2737="","",H2737/I2737)</f>
        <v/>
      </c>
      <c r="K2737" s="798"/>
      <c r="P2737" s="798"/>
      <c r="Q2737" s="798"/>
      <c r="R2737" s="811"/>
    </row>
    <row r="2738" customFormat="false" ht="16.5" hidden="false" customHeight="true" outlineLevel="0" collapsed="false">
      <c r="A2738" s="747"/>
      <c r="B2738" s="798"/>
      <c r="D2738" s="798"/>
      <c r="E2738" s="798"/>
      <c r="F2738" s="798"/>
      <c r="G2738" s="798"/>
      <c r="J2738" s="778" t="str">
        <f aca="false">IF(I2738="","",H2738/I2738)</f>
        <v/>
      </c>
      <c r="K2738" s="798"/>
      <c r="P2738" s="798"/>
      <c r="Q2738" s="798"/>
      <c r="R2738" s="811"/>
    </row>
    <row r="2739" customFormat="false" ht="16.5" hidden="false" customHeight="true" outlineLevel="0" collapsed="false">
      <c r="A2739" s="747"/>
      <c r="B2739" s="798"/>
      <c r="D2739" s="798"/>
      <c r="E2739" s="798"/>
      <c r="F2739" s="798"/>
      <c r="G2739" s="798"/>
      <c r="J2739" s="778" t="str">
        <f aca="false">IF(I2739="","",H2739/I2739)</f>
        <v/>
      </c>
      <c r="K2739" s="798"/>
      <c r="P2739" s="798"/>
      <c r="Q2739" s="798"/>
      <c r="R2739" s="811"/>
    </row>
    <row r="2740" customFormat="false" ht="16.5" hidden="false" customHeight="true" outlineLevel="0" collapsed="false">
      <c r="A2740" s="747"/>
      <c r="B2740" s="798"/>
      <c r="D2740" s="798"/>
      <c r="E2740" s="798"/>
      <c r="F2740" s="798"/>
      <c r="G2740" s="798"/>
      <c r="J2740" s="778" t="str">
        <f aca="false">IF(I2740="","",H2740/I2740)</f>
        <v/>
      </c>
      <c r="K2740" s="798"/>
      <c r="P2740" s="798"/>
      <c r="Q2740" s="798"/>
      <c r="R2740" s="811"/>
    </row>
    <row r="2741" customFormat="false" ht="16.5" hidden="false" customHeight="true" outlineLevel="0" collapsed="false">
      <c r="A2741" s="747"/>
      <c r="B2741" s="798"/>
      <c r="D2741" s="798"/>
      <c r="E2741" s="798"/>
      <c r="F2741" s="798"/>
      <c r="G2741" s="798"/>
      <c r="J2741" s="778" t="str">
        <f aca="false">IF(I2741="","",H2741/I2741)</f>
        <v/>
      </c>
      <c r="K2741" s="798"/>
      <c r="P2741" s="798"/>
      <c r="Q2741" s="798"/>
      <c r="R2741" s="811"/>
    </row>
    <row r="2742" customFormat="false" ht="16.5" hidden="false" customHeight="true" outlineLevel="0" collapsed="false">
      <c r="A2742" s="747"/>
      <c r="B2742" s="798"/>
      <c r="D2742" s="798"/>
      <c r="E2742" s="798"/>
      <c r="F2742" s="798"/>
      <c r="G2742" s="798"/>
      <c r="J2742" s="778" t="str">
        <f aca="false">IF(I2742="","",H2742/I2742)</f>
        <v/>
      </c>
      <c r="K2742" s="798"/>
      <c r="P2742" s="798"/>
      <c r="Q2742" s="798"/>
      <c r="R2742" s="811"/>
    </row>
    <row r="2743" customFormat="false" ht="16.5" hidden="false" customHeight="true" outlineLevel="0" collapsed="false">
      <c r="A2743" s="747"/>
      <c r="B2743" s="798"/>
      <c r="D2743" s="798"/>
      <c r="E2743" s="798"/>
      <c r="F2743" s="798"/>
      <c r="G2743" s="798"/>
      <c r="J2743" s="778" t="str">
        <f aca="false">IF(I2743="","",H2743/I2743)</f>
        <v/>
      </c>
      <c r="K2743" s="798"/>
      <c r="P2743" s="798"/>
      <c r="Q2743" s="798"/>
      <c r="R2743" s="811"/>
    </row>
    <row r="2744" customFormat="false" ht="16.5" hidden="false" customHeight="true" outlineLevel="0" collapsed="false">
      <c r="A2744" s="747"/>
      <c r="B2744" s="798"/>
      <c r="D2744" s="798"/>
      <c r="E2744" s="798"/>
      <c r="F2744" s="798"/>
      <c r="G2744" s="798"/>
      <c r="J2744" s="778" t="str">
        <f aca="false">IF(I2744="","",H2744/I2744)</f>
        <v/>
      </c>
      <c r="K2744" s="798"/>
      <c r="P2744" s="798"/>
      <c r="Q2744" s="798"/>
      <c r="R2744" s="811"/>
    </row>
    <row r="2745" customFormat="false" ht="16.5" hidden="false" customHeight="true" outlineLevel="0" collapsed="false">
      <c r="A2745" s="747"/>
      <c r="B2745" s="798"/>
      <c r="D2745" s="798"/>
      <c r="E2745" s="798"/>
      <c r="F2745" s="798"/>
      <c r="G2745" s="798"/>
      <c r="J2745" s="778" t="str">
        <f aca="false">IF(I2745="","",H2745/I2745)</f>
        <v/>
      </c>
      <c r="K2745" s="798"/>
      <c r="P2745" s="798"/>
      <c r="Q2745" s="798"/>
      <c r="R2745" s="811"/>
    </row>
    <row r="2746" customFormat="false" ht="16.5" hidden="false" customHeight="true" outlineLevel="0" collapsed="false">
      <c r="A2746" s="747"/>
      <c r="B2746" s="798"/>
      <c r="D2746" s="798"/>
      <c r="E2746" s="798"/>
      <c r="F2746" s="798"/>
      <c r="G2746" s="798"/>
      <c r="J2746" s="778" t="str">
        <f aca="false">IF(I2746="","",H2746/I2746)</f>
        <v/>
      </c>
      <c r="K2746" s="798"/>
      <c r="P2746" s="798"/>
      <c r="Q2746" s="798"/>
      <c r="R2746" s="811"/>
    </row>
    <row r="2747" customFormat="false" ht="16.5" hidden="false" customHeight="true" outlineLevel="0" collapsed="false">
      <c r="A2747" s="747"/>
      <c r="B2747" s="798"/>
      <c r="D2747" s="798"/>
      <c r="E2747" s="798"/>
      <c r="F2747" s="798"/>
      <c r="G2747" s="798"/>
      <c r="J2747" s="778" t="str">
        <f aca="false">IF(I2747="","",H2747/I2747)</f>
        <v/>
      </c>
      <c r="K2747" s="798"/>
      <c r="P2747" s="798"/>
      <c r="Q2747" s="798"/>
      <c r="R2747" s="811"/>
    </row>
    <row r="2748" customFormat="false" ht="16.5" hidden="false" customHeight="true" outlineLevel="0" collapsed="false">
      <c r="A2748" s="747"/>
      <c r="B2748" s="798"/>
      <c r="D2748" s="798"/>
      <c r="E2748" s="798"/>
      <c r="F2748" s="798"/>
      <c r="G2748" s="798"/>
      <c r="J2748" s="778" t="str">
        <f aca="false">IF(I2748="","",H2748/I2748)</f>
        <v/>
      </c>
      <c r="K2748" s="798"/>
      <c r="P2748" s="798"/>
      <c r="Q2748" s="798"/>
      <c r="R2748" s="811"/>
    </row>
    <row r="2749" customFormat="false" ht="16.5" hidden="false" customHeight="true" outlineLevel="0" collapsed="false">
      <c r="A2749" s="747"/>
      <c r="B2749" s="798"/>
      <c r="D2749" s="798"/>
      <c r="E2749" s="798"/>
      <c r="F2749" s="798"/>
      <c r="G2749" s="798"/>
      <c r="J2749" s="778" t="str">
        <f aca="false">IF(I2749="","",H2749/I2749)</f>
        <v/>
      </c>
      <c r="K2749" s="798"/>
      <c r="P2749" s="798"/>
      <c r="Q2749" s="798"/>
      <c r="R2749" s="811"/>
    </row>
    <row r="2750" customFormat="false" ht="16.5" hidden="false" customHeight="true" outlineLevel="0" collapsed="false">
      <c r="A2750" s="747"/>
      <c r="B2750" s="798"/>
      <c r="D2750" s="798"/>
      <c r="E2750" s="798"/>
      <c r="F2750" s="798"/>
      <c r="G2750" s="798"/>
      <c r="J2750" s="778" t="str">
        <f aca="false">IF(I2750="","",H2750/I2750)</f>
        <v/>
      </c>
      <c r="K2750" s="798"/>
      <c r="P2750" s="798"/>
      <c r="Q2750" s="798"/>
      <c r="R2750" s="811"/>
    </row>
    <row r="2751" customFormat="false" ht="16.5" hidden="false" customHeight="true" outlineLevel="0" collapsed="false">
      <c r="A2751" s="747"/>
      <c r="B2751" s="798"/>
      <c r="D2751" s="798"/>
      <c r="E2751" s="798"/>
      <c r="F2751" s="798"/>
      <c r="G2751" s="798"/>
      <c r="J2751" s="778" t="str">
        <f aca="false">IF(I2751="","",H2751/I2751)</f>
        <v/>
      </c>
      <c r="K2751" s="798"/>
      <c r="P2751" s="798"/>
      <c r="Q2751" s="798"/>
      <c r="R2751" s="811"/>
    </row>
    <row r="2752" customFormat="false" ht="16.5" hidden="false" customHeight="true" outlineLevel="0" collapsed="false">
      <c r="A2752" s="747"/>
      <c r="B2752" s="798"/>
      <c r="D2752" s="798"/>
      <c r="E2752" s="798"/>
      <c r="F2752" s="798"/>
      <c r="G2752" s="798"/>
      <c r="J2752" s="778" t="str">
        <f aca="false">IF(I2752="","",H2752/I2752)</f>
        <v/>
      </c>
      <c r="K2752" s="798"/>
      <c r="P2752" s="798"/>
      <c r="Q2752" s="798"/>
      <c r="R2752" s="811"/>
    </row>
    <row r="2753" customFormat="false" ht="16.5" hidden="false" customHeight="true" outlineLevel="0" collapsed="false">
      <c r="A2753" s="747"/>
      <c r="B2753" s="798"/>
      <c r="D2753" s="798"/>
      <c r="E2753" s="798"/>
      <c r="F2753" s="798"/>
      <c r="G2753" s="798"/>
      <c r="J2753" s="778" t="str">
        <f aca="false">IF(I2753="","",H2753/I2753)</f>
        <v/>
      </c>
      <c r="K2753" s="798"/>
      <c r="P2753" s="798"/>
      <c r="Q2753" s="798"/>
      <c r="R2753" s="811"/>
    </row>
    <row r="2754" customFormat="false" ht="16.5" hidden="false" customHeight="true" outlineLevel="0" collapsed="false">
      <c r="A2754" s="747"/>
      <c r="B2754" s="798"/>
      <c r="D2754" s="798"/>
      <c r="E2754" s="798"/>
      <c r="F2754" s="798"/>
      <c r="G2754" s="798"/>
      <c r="J2754" s="778" t="str">
        <f aca="false">IF(I2754="","",H2754/I2754)</f>
        <v/>
      </c>
      <c r="K2754" s="798"/>
      <c r="P2754" s="798"/>
      <c r="Q2754" s="798"/>
      <c r="R2754" s="811"/>
    </row>
    <row r="2755" customFormat="false" ht="16.5" hidden="false" customHeight="true" outlineLevel="0" collapsed="false">
      <c r="A2755" s="747"/>
      <c r="B2755" s="798"/>
      <c r="D2755" s="798"/>
      <c r="E2755" s="798"/>
      <c r="F2755" s="798"/>
      <c r="G2755" s="798"/>
      <c r="J2755" s="778" t="str">
        <f aca="false">IF(I2755="","",H2755/I2755)</f>
        <v/>
      </c>
      <c r="K2755" s="798"/>
      <c r="P2755" s="798"/>
      <c r="Q2755" s="798"/>
      <c r="R2755" s="811"/>
    </row>
    <row r="2756" customFormat="false" ht="16.5" hidden="false" customHeight="true" outlineLevel="0" collapsed="false">
      <c r="A2756" s="747"/>
      <c r="B2756" s="798"/>
      <c r="D2756" s="798"/>
      <c r="E2756" s="798"/>
      <c r="F2756" s="798"/>
      <c r="G2756" s="798"/>
      <c r="J2756" s="778" t="str">
        <f aca="false">IF(I2756="","",H2756/I2756)</f>
        <v/>
      </c>
      <c r="K2756" s="798"/>
      <c r="P2756" s="798"/>
      <c r="Q2756" s="798"/>
      <c r="R2756" s="811"/>
    </row>
    <row r="2757" customFormat="false" ht="16.5" hidden="false" customHeight="true" outlineLevel="0" collapsed="false">
      <c r="A2757" s="747"/>
      <c r="B2757" s="798"/>
      <c r="D2757" s="798"/>
      <c r="E2757" s="798"/>
      <c r="F2757" s="798"/>
      <c r="G2757" s="798"/>
      <c r="J2757" s="778" t="str">
        <f aca="false">IF(I2757="","",H2757/I2757)</f>
        <v/>
      </c>
      <c r="K2757" s="798"/>
      <c r="P2757" s="798"/>
      <c r="Q2757" s="798"/>
      <c r="R2757" s="811"/>
    </row>
    <row r="2758" customFormat="false" ht="16.5" hidden="false" customHeight="true" outlineLevel="0" collapsed="false">
      <c r="A2758" s="747"/>
      <c r="B2758" s="798"/>
      <c r="D2758" s="798"/>
      <c r="E2758" s="798"/>
      <c r="F2758" s="798"/>
      <c r="G2758" s="798"/>
      <c r="J2758" s="778" t="str">
        <f aca="false">IF(I2758="","",H2758/I2758)</f>
        <v/>
      </c>
      <c r="K2758" s="798"/>
      <c r="P2758" s="798"/>
      <c r="Q2758" s="798"/>
      <c r="R2758" s="811"/>
    </row>
    <row r="2759" customFormat="false" ht="16.5" hidden="false" customHeight="true" outlineLevel="0" collapsed="false">
      <c r="A2759" s="747"/>
      <c r="B2759" s="798"/>
      <c r="D2759" s="798"/>
      <c r="E2759" s="798"/>
      <c r="F2759" s="798"/>
      <c r="G2759" s="798"/>
      <c r="J2759" s="778" t="str">
        <f aca="false">IF(I2759="","",H2759/I2759)</f>
        <v/>
      </c>
      <c r="K2759" s="798"/>
      <c r="P2759" s="798"/>
      <c r="Q2759" s="798"/>
      <c r="R2759" s="811"/>
    </row>
    <row r="2760" customFormat="false" ht="16.5" hidden="false" customHeight="true" outlineLevel="0" collapsed="false">
      <c r="A2760" s="747"/>
      <c r="B2760" s="798"/>
      <c r="D2760" s="798"/>
      <c r="E2760" s="798"/>
      <c r="F2760" s="798"/>
      <c r="G2760" s="798"/>
      <c r="J2760" s="778" t="str">
        <f aca="false">IF(I2760="","",H2760/I2760)</f>
        <v/>
      </c>
      <c r="K2760" s="798"/>
      <c r="P2760" s="798"/>
      <c r="Q2760" s="798"/>
      <c r="R2760" s="811"/>
    </row>
    <row r="2761" customFormat="false" ht="16.5" hidden="false" customHeight="true" outlineLevel="0" collapsed="false">
      <c r="A2761" s="747"/>
      <c r="B2761" s="798"/>
      <c r="D2761" s="798"/>
      <c r="E2761" s="798"/>
      <c r="F2761" s="798"/>
      <c r="G2761" s="798"/>
      <c r="J2761" s="778" t="str">
        <f aca="false">IF(I2761="","",H2761/I2761)</f>
        <v/>
      </c>
      <c r="K2761" s="798"/>
      <c r="P2761" s="798"/>
      <c r="Q2761" s="798"/>
      <c r="R2761" s="811"/>
    </row>
    <row r="2762" customFormat="false" ht="16.5" hidden="false" customHeight="true" outlineLevel="0" collapsed="false">
      <c r="A2762" s="747"/>
      <c r="B2762" s="798"/>
      <c r="D2762" s="798"/>
      <c r="E2762" s="798"/>
      <c r="F2762" s="798"/>
      <c r="G2762" s="798"/>
      <c r="J2762" s="778" t="str">
        <f aca="false">IF(I2762="","",H2762/I2762)</f>
        <v/>
      </c>
      <c r="K2762" s="798"/>
      <c r="P2762" s="798"/>
      <c r="Q2762" s="798"/>
      <c r="R2762" s="811"/>
    </row>
    <row r="2763" customFormat="false" ht="16.5" hidden="false" customHeight="true" outlineLevel="0" collapsed="false">
      <c r="A2763" s="747"/>
      <c r="B2763" s="798"/>
      <c r="D2763" s="798"/>
      <c r="E2763" s="798"/>
      <c r="F2763" s="798"/>
      <c r="G2763" s="798"/>
      <c r="J2763" s="778" t="str">
        <f aca="false">IF(I2763="","",H2763/I2763)</f>
        <v/>
      </c>
      <c r="K2763" s="798"/>
      <c r="P2763" s="798"/>
      <c r="Q2763" s="798"/>
      <c r="R2763" s="811"/>
    </row>
    <row r="2764" customFormat="false" ht="16.5" hidden="false" customHeight="true" outlineLevel="0" collapsed="false">
      <c r="A2764" s="747"/>
      <c r="B2764" s="798"/>
      <c r="D2764" s="798"/>
      <c r="E2764" s="798"/>
      <c r="F2764" s="798"/>
      <c r="G2764" s="798"/>
      <c r="J2764" s="778" t="str">
        <f aca="false">IF(I2764="","",H2764/I2764)</f>
        <v/>
      </c>
      <c r="K2764" s="798"/>
      <c r="P2764" s="798"/>
      <c r="Q2764" s="798"/>
      <c r="R2764" s="811"/>
    </row>
    <row r="2765" customFormat="false" ht="16.5" hidden="false" customHeight="true" outlineLevel="0" collapsed="false">
      <c r="A2765" s="747"/>
      <c r="B2765" s="798"/>
      <c r="D2765" s="798"/>
      <c r="E2765" s="798"/>
      <c r="F2765" s="798"/>
      <c r="G2765" s="798"/>
      <c r="J2765" s="778" t="str">
        <f aca="false">IF(I2765="","",H2765/I2765)</f>
        <v/>
      </c>
      <c r="K2765" s="798"/>
      <c r="P2765" s="798"/>
      <c r="Q2765" s="798"/>
      <c r="R2765" s="811"/>
    </row>
    <row r="2766" customFormat="false" ht="16.5" hidden="false" customHeight="true" outlineLevel="0" collapsed="false">
      <c r="A2766" s="747"/>
      <c r="B2766" s="798"/>
      <c r="D2766" s="798"/>
      <c r="E2766" s="798"/>
      <c r="F2766" s="798"/>
      <c r="G2766" s="798"/>
      <c r="J2766" s="778" t="str">
        <f aca="false">IF(I2766="","",H2766/I2766)</f>
        <v/>
      </c>
      <c r="K2766" s="798"/>
      <c r="P2766" s="798"/>
      <c r="Q2766" s="798"/>
      <c r="R2766" s="811"/>
    </row>
    <row r="2767" customFormat="false" ht="16.5" hidden="false" customHeight="true" outlineLevel="0" collapsed="false">
      <c r="A2767" s="747"/>
      <c r="B2767" s="798"/>
      <c r="D2767" s="798"/>
      <c r="E2767" s="798"/>
      <c r="F2767" s="798"/>
      <c r="G2767" s="798"/>
      <c r="J2767" s="778" t="str">
        <f aca="false">IF(I2767="","",H2767/I2767)</f>
        <v/>
      </c>
      <c r="K2767" s="798"/>
      <c r="P2767" s="798"/>
      <c r="Q2767" s="798"/>
      <c r="R2767" s="811"/>
    </row>
    <row r="2768" customFormat="false" ht="16.5" hidden="false" customHeight="true" outlineLevel="0" collapsed="false">
      <c r="A2768" s="747"/>
      <c r="B2768" s="798"/>
      <c r="D2768" s="798"/>
      <c r="E2768" s="798"/>
      <c r="F2768" s="798"/>
      <c r="G2768" s="798"/>
      <c r="J2768" s="778" t="str">
        <f aca="false">IF(I2768="","",H2768/I2768)</f>
        <v/>
      </c>
      <c r="K2768" s="798"/>
      <c r="P2768" s="798"/>
      <c r="Q2768" s="798"/>
      <c r="R2768" s="811"/>
    </row>
    <row r="2769" customFormat="false" ht="16.5" hidden="false" customHeight="true" outlineLevel="0" collapsed="false">
      <c r="A2769" s="747"/>
      <c r="B2769" s="798"/>
      <c r="D2769" s="798"/>
      <c r="E2769" s="798"/>
      <c r="F2769" s="798"/>
      <c r="G2769" s="798"/>
      <c r="J2769" s="778" t="str">
        <f aca="false">IF(I2769="","",H2769/I2769)</f>
        <v/>
      </c>
      <c r="K2769" s="798"/>
      <c r="P2769" s="798"/>
      <c r="Q2769" s="798"/>
      <c r="R2769" s="811"/>
    </row>
    <row r="2770" customFormat="false" ht="16.5" hidden="false" customHeight="true" outlineLevel="0" collapsed="false">
      <c r="A2770" s="747"/>
      <c r="B2770" s="798"/>
      <c r="D2770" s="798"/>
      <c r="E2770" s="798"/>
      <c r="F2770" s="798"/>
      <c r="G2770" s="798"/>
      <c r="J2770" s="778" t="str">
        <f aca="false">IF(I2770="","",H2770/I2770)</f>
        <v/>
      </c>
      <c r="K2770" s="798"/>
      <c r="P2770" s="798"/>
      <c r="Q2770" s="798"/>
      <c r="R2770" s="811"/>
    </row>
    <row r="2771" customFormat="false" ht="16.5" hidden="false" customHeight="true" outlineLevel="0" collapsed="false">
      <c r="A2771" s="747"/>
      <c r="B2771" s="798"/>
      <c r="D2771" s="798"/>
      <c r="E2771" s="798"/>
      <c r="F2771" s="798"/>
      <c r="G2771" s="798"/>
      <c r="J2771" s="778" t="str">
        <f aca="false">IF(I2771="","",H2771/I2771)</f>
        <v/>
      </c>
      <c r="K2771" s="798"/>
      <c r="P2771" s="798"/>
      <c r="Q2771" s="798"/>
      <c r="R2771" s="811"/>
    </row>
    <row r="2772" customFormat="false" ht="16.5" hidden="false" customHeight="true" outlineLevel="0" collapsed="false">
      <c r="A2772" s="747"/>
      <c r="B2772" s="798"/>
      <c r="D2772" s="798"/>
      <c r="E2772" s="798"/>
      <c r="F2772" s="798"/>
      <c r="G2772" s="798"/>
      <c r="J2772" s="778" t="str">
        <f aca="false">IF(I2772="","",H2772/I2772)</f>
        <v/>
      </c>
      <c r="K2772" s="798"/>
      <c r="P2772" s="798"/>
      <c r="Q2772" s="798"/>
      <c r="R2772" s="811"/>
    </row>
    <row r="2773" customFormat="false" ht="16.5" hidden="false" customHeight="true" outlineLevel="0" collapsed="false">
      <c r="A2773" s="747"/>
      <c r="B2773" s="798"/>
      <c r="D2773" s="798"/>
      <c r="E2773" s="798"/>
      <c r="F2773" s="798"/>
      <c r="G2773" s="798"/>
      <c r="J2773" s="778" t="str">
        <f aca="false">IF(I2773="","",H2773/I2773)</f>
        <v/>
      </c>
      <c r="K2773" s="798"/>
      <c r="P2773" s="798"/>
      <c r="Q2773" s="798"/>
      <c r="R2773" s="811"/>
    </row>
    <row r="2774" customFormat="false" ht="16.5" hidden="false" customHeight="true" outlineLevel="0" collapsed="false">
      <c r="A2774" s="747"/>
      <c r="B2774" s="798"/>
      <c r="D2774" s="798"/>
      <c r="E2774" s="798"/>
      <c r="F2774" s="798"/>
      <c r="G2774" s="798"/>
      <c r="J2774" s="778" t="str">
        <f aca="false">IF(I2774="","",H2774/I2774)</f>
        <v/>
      </c>
      <c r="K2774" s="798"/>
      <c r="P2774" s="798"/>
      <c r="Q2774" s="798"/>
      <c r="R2774" s="811"/>
    </row>
    <row r="2775" customFormat="false" ht="16.5" hidden="false" customHeight="true" outlineLevel="0" collapsed="false">
      <c r="A2775" s="747"/>
      <c r="B2775" s="798"/>
      <c r="D2775" s="798"/>
      <c r="E2775" s="798"/>
      <c r="F2775" s="798"/>
      <c r="G2775" s="798"/>
      <c r="J2775" s="778" t="str">
        <f aca="false">IF(I2775="","",H2775/I2775)</f>
        <v/>
      </c>
      <c r="K2775" s="798"/>
      <c r="P2775" s="798"/>
      <c r="Q2775" s="798"/>
      <c r="R2775" s="811"/>
    </row>
    <row r="2776" customFormat="false" ht="16.5" hidden="false" customHeight="true" outlineLevel="0" collapsed="false">
      <c r="A2776" s="747"/>
      <c r="B2776" s="798"/>
      <c r="D2776" s="798"/>
      <c r="E2776" s="798"/>
      <c r="F2776" s="798"/>
      <c r="G2776" s="798"/>
      <c r="J2776" s="778" t="str">
        <f aca="false">IF(I2776="","",H2776/I2776)</f>
        <v/>
      </c>
      <c r="K2776" s="798"/>
      <c r="P2776" s="798"/>
      <c r="Q2776" s="798"/>
      <c r="R2776" s="811"/>
    </row>
    <row r="2777" customFormat="false" ht="16.5" hidden="false" customHeight="true" outlineLevel="0" collapsed="false">
      <c r="A2777" s="747"/>
      <c r="B2777" s="798"/>
      <c r="D2777" s="798"/>
      <c r="E2777" s="798"/>
      <c r="F2777" s="798"/>
      <c r="G2777" s="798"/>
      <c r="J2777" s="778" t="str">
        <f aca="false">IF(I2777="","",H2777/I2777)</f>
        <v/>
      </c>
      <c r="K2777" s="798"/>
      <c r="P2777" s="798"/>
      <c r="Q2777" s="798"/>
      <c r="R2777" s="811"/>
    </row>
    <row r="2778" customFormat="false" ht="16.5" hidden="false" customHeight="true" outlineLevel="0" collapsed="false">
      <c r="A2778" s="747"/>
      <c r="B2778" s="798"/>
      <c r="D2778" s="798"/>
      <c r="E2778" s="798"/>
      <c r="F2778" s="798"/>
      <c r="G2778" s="798"/>
      <c r="J2778" s="778" t="str">
        <f aca="false">IF(I2778="","",H2778/I2778)</f>
        <v/>
      </c>
      <c r="K2778" s="798"/>
      <c r="P2778" s="798"/>
      <c r="Q2778" s="798"/>
      <c r="R2778" s="811"/>
    </row>
    <row r="2779" customFormat="false" ht="16.5" hidden="false" customHeight="true" outlineLevel="0" collapsed="false">
      <c r="A2779" s="747"/>
      <c r="B2779" s="798"/>
      <c r="D2779" s="798"/>
      <c r="E2779" s="798"/>
      <c r="F2779" s="798"/>
      <c r="G2779" s="798"/>
      <c r="J2779" s="778" t="str">
        <f aca="false">IF(I2779="","",H2779/I2779)</f>
        <v/>
      </c>
      <c r="K2779" s="798"/>
      <c r="P2779" s="798"/>
      <c r="Q2779" s="798"/>
      <c r="R2779" s="811"/>
    </row>
    <row r="2780" customFormat="false" ht="16.5" hidden="false" customHeight="true" outlineLevel="0" collapsed="false">
      <c r="A2780" s="747"/>
      <c r="B2780" s="798"/>
      <c r="D2780" s="798"/>
      <c r="E2780" s="798"/>
      <c r="F2780" s="798"/>
      <c r="G2780" s="798"/>
      <c r="J2780" s="778" t="str">
        <f aca="false">IF(I2780="","",H2780/I2780)</f>
        <v/>
      </c>
      <c r="K2780" s="798"/>
      <c r="P2780" s="798"/>
      <c r="Q2780" s="798"/>
      <c r="R2780" s="811"/>
    </row>
    <row r="2781" customFormat="false" ht="16.5" hidden="false" customHeight="true" outlineLevel="0" collapsed="false">
      <c r="A2781" s="747"/>
      <c r="B2781" s="798"/>
      <c r="D2781" s="798"/>
      <c r="E2781" s="798"/>
      <c r="F2781" s="798"/>
      <c r="G2781" s="798"/>
      <c r="J2781" s="778" t="str">
        <f aca="false">IF(I2781="","",H2781/I2781)</f>
        <v/>
      </c>
      <c r="K2781" s="798"/>
      <c r="P2781" s="798"/>
      <c r="Q2781" s="798"/>
      <c r="R2781" s="811"/>
    </row>
    <row r="2782" customFormat="false" ht="16.5" hidden="false" customHeight="true" outlineLevel="0" collapsed="false">
      <c r="A2782" s="747"/>
      <c r="B2782" s="798"/>
      <c r="D2782" s="798"/>
      <c r="E2782" s="798"/>
      <c r="F2782" s="798"/>
      <c r="G2782" s="798"/>
      <c r="J2782" s="778" t="str">
        <f aca="false">IF(I2782="","",H2782/I2782)</f>
        <v/>
      </c>
      <c r="K2782" s="798"/>
      <c r="P2782" s="798"/>
      <c r="Q2782" s="798"/>
      <c r="R2782" s="811"/>
    </row>
    <row r="2783" customFormat="false" ht="16.5" hidden="false" customHeight="true" outlineLevel="0" collapsed="false">
      <c r="A2783" s="747"/>
      <c r="B2783" s="798"/>
      <c r="D2783" s="798"/>
      <c r="E2783" s="798"/>
      <c r="F2783" s="798"/>
      <c r="G2783" s="798"/>
      <c r="J2783" s="778" t="str">
        <f aca="false">IF(I2783="","",H2783/I2783)</f>
        <v/>
      </c>
      <c r="K2783" s="798"/>
      <c r="P2783" s="798"/>
      <c r="Q2783" s="798"/>
      <c r="R2783" s="811"/>
    </row>
    <row r="2784" customFormat="false" ht="16.5" hidden="false" customHeight="true" outlineLevel="0" collapsed="false">
      <c r="A2784" s="747"/>
      <c r="B2784" s="798"/>
      <c r="D2784" s="798"/>
      <c r="E2784" s="798"/>
      <c r="F2784" s="798"/>
      <c r="G2784" s="798"/>
      <c r="J2784" s="778" t="str">
        <f aca="false">IF(I2784="","",H2784/I2784)</f>
        <v/>
      </c>
      <c r="K2784" s="798"/>
      <c r="P2784" s="798"/>
      <c r="Q2784" s="798"/>
      <c r="R2784" s="811"/>
    </row>
    <row r="2785" customFormat="false" ht="16.5" hidden="false" customHeight="true" outlineLevel="0" collapsed="false">
      <c r="A2785" s="747"/>
      <c r="B2785" s="798"/>
      <c r="D2785" s="798"/>
      <c r="E2785" s="798"/>
      <c r="F2785" s="798"/>
      <c r="G2785" s="798"/>
      <c r="J2785" s="778" t="str">
        <f aca="false">IF(I2785="","",H2785/I2785)</f>
        <v/>
      </c>
      <c r="K2785" s="798"/>
      <c r="P2785" s="798"/>
      <c r="Q2785" s="798"/>
      <c r="R2785" s="811"/>
    </row>
    <row r="2786" customFormat="false" ht="16.5" hidden="false" customHeight="true" outlineLevel="0" collapsed="false">
      <c r="A2786" s="747"/>
      <c r="B2786" s="798"/>
      <c r="D2786" s="798"/>
      <c r="E2786" s="798"/>
      <c r="F2786" s="798"/>
      <c r="G2786" s="798"/>
      <c r="J2786" s="778" t="str">
        <f aca="false">IF(I2786="","",H2786/I2786)</f>
        <v/>
      </c>
      <c r="K2786" s="798"/>
      <c r="P2786" s="798"/>
      <c r="Q2786" s="798"/>
      <c r="R2786" s="811"/>
    </row>
    <row r="2787" customFormat="false" ht="16.5" hidden="false" customHeight="true" outlineLevel="0" collapsed="false">
      <c r="A2787" s="747"/>
      <c r="B2787" s="798"/>
      <c r="D2787" s="798"/>
      <c r="E2787" s="798"/>
      <c r="F2787" s="798"/>
      <c r="G2787" s="798"/>
      <c r="J2787" s="778" t="str">
        <f aca="false">IF(I2787="","",H2787/I2787)</f>
        <v/>
      </c>
      <c r="K2787" s="798"/>
      <c r="P2787" s="798"/>
      <c r="Q2787" s="798"/>
      <c r="R2787" s="811"/>
    </row>
    <row r="2788" customFormat="false" ht="16.5" hidden="false" customHeight="true" outlineLevel="0" collapsed="false">
      <c r="A2788" s="747"/>
      <c r="B2788" s="798"/>
      <c r="D2788" s="798"/>
      <c r="E2788" s="798"/>
      <c r="F2788" s="798"/>
      <c r="G2788" s="798"/>
      <c r="J2788" s="778" t="str">
        <f aca="false">IF(I2788="","",H2788/I2788)</f>
        <v/>
      </c>
      <c r="K2788" s="798"/>
      <c r="P2788" s="798"/>
      <c r="Q2788" s="798"/>
      <c r="R2788" s="811"/>
    </row>
    <row r="2789" customFormat="false" ht="16.5" hidden="false" customHeight="true" outlineLevel="0" collapsed="false">
      <c r="A2789" s="747"/>
      <c r="B2789" s="798"/>
      <c r="D2789" s="798"/>
      <c r="E2789" s="798"/>
      <c r="F2789" s="798"/>
      <c r="G2789" s="798"/>
      <c r="J2789" s="778" t="str">
        <f aca="false">IF(I2789="","",H2789/I2789)</f>
        <v/>
      </c>
      <c r="K2789" s="798"/>
      <c r="P2789" s="798"/>
      <c r="Q2789" s="798"/>
      <c r="R2789" s="811"/>
    </row>
    <row r="2790" customFormat="false" ht="16.5" hidden="false" customHeight="true" outlineLevel="0" collapsed="false">
      <c r="A2790" s="747"/>
      <c r="B2790" s="798"/>
      <c r="D2790" s="798"/>
      <c r="E2790" s="798"/>
      <c r="F2790" s="798"/>
      <c r="G2790" s="798"/>
      <c r="J2790" s="778" t="str">
        <f aca="false">IF(I2790="","",H2790/I2790)</f>
        <v/>
      </c>
      <c r="K2790" s="798"/>
      <c r="P2790" s="798"/>
      <c r="Q2790" s="798"/>
      <c r="R2790" s="811"/>
    </row>
    <row r="2791" customFormat="false" ht="16.5" hidden="false" customHeight="true" outlineLevel="0" collapsed="false">
      <c r="A2791" s="747"/>
      <c r="B2791" s="798"/>
      <c r="D2791" s="798"/>
      <c r="E2791" s="798"/>
      <c r="F2791" s="798"/>
      <c r="G2791" s="798"/>
      <c r="J2791" s="778" t="str">
        <f aca="false">IF(I2791="","",H2791/I2791)</f>
        <v/>
      </c>
      <c r="K2791" s="798"/>
      <c r="P2791" s="798"/>
      <c r="Q2791" s="798"/>
      <c r="R2791" s="811"/>
    </row>
    <row r="2792" customFormat="false" ht="16.5" hidden="false" customHeight="true" outlineLevel="0" collapsed="false">
      <c r="A2792" s="747"/>
      <c r="B2792" s="798"/>
      <c r="D2792" s="798"/>
      <c r="E2792" s="798"/>
      <c r="F2792" s="798"/>
      <c r="G2792" s="798"/>
      <c r="J2792" s="778" t="str">
        <f aca="false">IF(I2792="","",H2792/I2792)</f>
        <v/>
      </c>
      <c r="K2792" s="798"/>
      <c r="P2792" s="798"/>
      <c r="Q2792" s="798"/>
      <c r="R2792" s="811"/>
    </row>
    <row r="2793" customFormat="false" ht="16.5" hidden="false" customHeight="true" outlineLevel="0" collapsed="false">
      <c r="A2793" s="747"/>
      <c r="B2793" s="798"/>
      <c r="D2793" s="798"/>
      <c r="E2793" s="798"/>
      <c r="F2793" s="798"/>
      <c r="G2793" s="798"/>
      <c r="J2793" s="778" t="str">
        <f aca="false">IF(I2793="","",H2793/I2793)</f>
        <v/>
      </c>
      <c r="K2793" s="798"/>
      <c r="P2793" s="798"/>
      <c r="Q2793" s="798"/>
      <c r="R2793" s="811"/>
    </row>
    <row r="2794" customFormat="false" ht="16.5" hidden="false" customHeight="true" outlineLevel="0" collapsed="false">
      <c r="A2794" s="747"/>
      <c r="B2794" s="798"/>
      <c r="D2794" s="798"/>
      <c r="E2794" s="798"/>
      <c r="F2794" s="798"/>
      <c r="G2794" s="798"/>
      <c r="J2794" s="778" t="str">
        <f aca="false">IF(I2794="","",H2794/I2794)</f>
        <v/>
      </c>
      <c r="K2794" s="798"/>
      <c r="P2794" s="798"/>
      <c r="Q2794" s="798"/>
      <c r="R2794" s="811"/>
    </row>
    <row r="2795" customFormat="false" ht="16.5" hidden="false" customHeight="true" outlineLevel="0" collapsed="false">
      <c r="A2795" s="747"/>
      <c r="B2795" s="798"/>
      <c r="D2795" s="798"/>
      <c r="E2795" s="798"/>
      <c r="F2795" s="798"/>
      <c r="G2795" s="798"/>
      <c r="J2795" s="778" t="str">
        <f aca="false">IF(I2795="","",H2795/I2795)</f>
        <v/>
      </c>
      <c r="K2795" s="798"/>
      <c r="P2795" s="798"/>
      <c r="Q2795" s="798"/>
      <c r="R2795" s="811"/>
    </row>
    <row r="2796" customFormat="false" ht="16.5" hidden="false" customHeight="true" outlineLevel="0" collapsed="false">
      <c r="A2796" s="747"/>
      <c r="B2796" s="798"/>
      <c r="D2796" s="798"/>
      <c r="E2796" s="798"/>
      <c r="F2796" s="798"/>
      <c r="G2796" s="798"/>
      <c r="J2796" s="778" t="str">
        <f aca="false">IF(I2796="","",H2796/I2796)</f>
        <v/>
      </c>
      <c r="K2796" s="798"/>
      <c r="P2796" s="798"/>
      <c r="Q2796" s="798"/>
      <c r="R2796" s="811"/>
    </row>
    <row r="2797" customFormat="false" ht="16.5" hidden="false" customHeight="true" outlineLevel="0" collapsed="false">
      <c r="A2797" s="747"/>
      <c r="B2797" s="798"/>
      <c r="D2797" s="798"/>
      <c r="E2797" s="798"/>
      <c r="F2797" s="798"/>
      <c r="G2797" s="798"/>
      <c r="J2797" s="778" t="str">
        <f aca="false">IF(I2797="","",H2797/I2797)</f>
        <v/>
      </c>
      <c r="K2797" s="798"/>
      <c r="P2797" s="798"/>
      <c r="Q2797" s="798"/>
      <c r="R2797" s="811"/>
    </row>
    <row r="2798" customFormat="false" ht="16.5" hidden="false" customHeight="true" outlineLevel="0" collapsed="false">
      <c r="A2798" s="747"/>
      <c r="B2798" s="798"/>
      <c r="D2798" s="798"/>
      <c r="E2798" s="798"/>
      <c r="F2798" s="798"/>
      <c r="G2798" s="798"/>
      <c r="J2798" s="778" t="str">
        <f aca="false">IF(I2798="","",H2798/I2798)</f>
        <v/>
      </c>
      <c r="K2798" s="798"/>
      <c r="P2798" s="798"/>
      <c r="Q2798" s="798"/>
      <c r="R2798" s="811"/>
    </row>
    <row r="2799" customFormat="false" ht="16.5" hidden="false" customHeight="true" outlineLevel="0" collapsed="false">
      <c r="A2799" s="747"/>
      <c r="B2799" s="798"/>
      <c r="D2799" s="798"/>
      <c r="E2799" s="798"/>
      <c r="F2799" s="798"/>
      <c r="G2799" s="798"/>
      <c r="J2799" s="778" t="str">
        <f aca="false">IF(I2799="","",H2799/I2799)</f>
        <v/>
      </c>
      <c r="K2799" s="798"/>
      <c r="P2799" s="798"/>
      <c r="Q2799" s="798"/>
      <c r="R2799" s="811"/>
    </row>
    <row r="2800" customFormat="false" ht="16.5" hidden="false" customHeight="true" outlineLevel="0" collapsed="false">
      <c r="A2800" s="747"/>
      <c r="B2800" s="798"/>
      <c r="D2800" s="798"/>
      <c r="E2800" s="798"/>
      <c r="F2800" s="798"/>
      <c r="G2800" s="798"/>
      <c r="J2800" s="778" t="str">
        <f aca="false">IF(I2800="","",H2800/I2800)</f>
        <v/>
      </c>
      <c r="K2800" s="798"/>
      <c r="P2800" s="798"/>
      <c r="Q2800" s="798"/>
      <c r="R2800" s="811"/>
    </row>
    <row r="2801" customFormat="false" ht="16.5" hidden="false" customHeight="true" outlineLevel="0" collapsed="false">
      <c r="A2801" s="747"/>
      <c r="B2801" s="798"/>
      <c r="D2801" s="798"/>
      <c r="E2801" s="798"/>
      <c r="F2801" s="798"/>
      <c r="G2801" s="798"/>
      <c r="J2801" s="778" t="str">
        <f aca="false">IF(I2801="","",H2801/I2801)</f>
        <v/>
      </c>
      <c r="K2801" s="798"/>
      <c r="P2801" s="798"/>
      <c r="Q2801" s="798"/>
      <c r="R2801" s="811"/>
    </row>
    <row r="2802" customFormat="false" ht="16.5" hidden="false" customHeight="true" outlineLevel="0" collapsed="false">
      <c r="A2802" s="747"/>
      <c r="B2802" s="798"/>
      <c r="D2802" s="798"/>
      <c r="E2802" s="798"/>
      <c r="F2802" s="798"/>
      <c r="G2802" s="798"/>
      <c r="J2802" s="778" t="str">
        <f aca="false">IF(I2802="","",H2802/I2802)</f>
        <v/>
      </c>
      <c r="K2802" s="798"/>
      <c r="P2802" s="798"/>
      <c r="Q2802" s="798"/>
      <c r="R2802" s="811"/>
    </row>
    <row r="2803" customFormat="false" ht="16.5" hidden="false" customHeight="true" outlineLevel="0" collapsed="false">
      <c r="A2803" s="747"/>
      <c r="B2803" s="798"/>
      <c r="D2803" s="798"/>
      <c r="E2803" s="798"/>
      <c r="F2803" s="798"/>
      <c r="G2803" s="798"/>
      <c r="J2803" s="778" t="str">
        <f aca="false">IF(I2803="","",H2803/I2803)</f>
        <v/>
      </c>
      <c r="K2803" s="798"/>
      <c r="P2803" s="798"/>
      <c r="Q2803" s="798"/>
      <c r="R2803" s="811"/>
    </row>
    <row r="2804" customFormat="false" ht="16.5" hidden="false" customHeight="true" outlineLevel="0" collapsed="false">
      <c r="A2804" s="747"/>
      <c r="B2804" s="798"/>
      <c r="D2804" s="798"/>
      <c r="E2804" s="798"/>
      <c r="F2804" s="798"/>
      <c r="G2804" s="798"/>
      <c r="J2804" s="778" t="str">
        <f aca="false">IF(I2804="","",H2804/I2804)</f>
        <v/>
      </c>
      <c r="K2804" s="798"/>
      <c r="P2804" s="798"/>
      <c r="Q2804" s="798"/>
      <c r="R2804" s="811"/>
    </row>
    <row r="2805" customFormat="false" ht="16.5" hidden="false" customHeight="true" outlineLevel="0" collapsed="false">
      <c r="A2805" s="747"/>
      <c r="B2805" s="798"/>
      <c r="D2805" s="798"/>
      <c r="E2805" s="798"/>
      <c r="F2805" s="798"/>
      <c r="G2805" s="798"/>
      <c r="J2805" s="778" t="str">
        <f aca="false">IF(I2805="","",H2805/I2805)</f>
        <v/>
      </c>
      <c r="K2805" s="798"/>
      <c r="P2805" s="798"/>
      <c r="Q2805" s="798"/>
      <c r="R2805" s="811"/>
    </row>
    <row r="2806" customFormat="false" ht="16.5" hidden="false" customHeight="true" outlineLevel="0" collapsed="false">
      <c r="A2806" s="747"/>
      <c r="B2806" s="798"/>
      <c r="D2806" s="798"/>
      <c r="E2806" s="798"/>
      <c r="F2806" s="798"/>
      <c r="G2806" s="798"/>
      <c r="J2806" s="778" t="str">
        <f aca="false">IF(I2806="","",H2806/I2806)</f>
        <v/>
      </c>
      <c r="K2806" s="798"/>
      <c r="P2806" s="798"/>
      <c r="Q2806" s="798"/>
      <c r="R2806" s="811"/>
    </row>
    <row r="2807" customFormat="false" ht="16.5" hidden="false" customHeight="true" outlineLevel="0" collapsed="false">
      <c r="A2807" s="747"/>
      <c r="B2807" s="798"/>
      <c r="D2807" s="798"/>
      <c r="E2807" s="798"/>
      <c r="F2807" s="798"/>
      <c r="G2807" s="798"/>
      <c r="J2807" s="778" t="str">
        <f aca="false">IF(I2807="","",H2807/I2807)</f>
        <v/>
      </c>
      <c r="K2807" s="798"/>
      <c r="P2807" s="798"/>
      <c r="Q2807" s="798"/>
      <c r="R2807" s="811"/>
    </row>
    <row r="2808" customFormat="false" ht="16.5" hidden="false" customHeight="true" outlineLevel="0" collapsed="false">
      <c r="A2808" s="747"/>
      <c r="B2808" s="798"/>
      <c r="D2808" s="798"/>
      <c r="E2808" s="798"/>
      <c r="F2808" s="798"/>
      <c r="G2808" s="798"/>
      <c r="J2808" s="778" t="str">
        <f aca="false">IF(I2808="","",H2808/I2808)</f>
        <v/>
      </c>
      <c r="K2808" s="798"/>
      <c r="P2808" s="798"/>
      <c r="Q2808" s="798"/>
      <c r="R2808" s="811"/>
    </row>
    <row r="2809" customFormat="false" ht="16.5" hidden="false" customHeight="true" outlineLevel="0" collapsed="false">
      <c r="A2809" s="747"/>
      <c r="B2809" s="798"/>
      <c r="D2809" s="798"/>
      <c r="E2809" s="798"/>
      <c r="F2809" s="798"/>
      <c r="G2809" s="798"/>
      <c r="J2809" s="778" t="str">
        <f aca="false">IF(I2809="","",H2809/I2809)</f>
        <v/>
      </c>
      <c r="K2809" s="798"/>
      <c r="P2809" s="798"/>
      <c r="Q2809" s="798"/>
      <c r="R2809" s="811"/>
    </row>
    <row r="2810" customFormat="false" ht="16.5" hidden="false" customHeight="true" outlineLevel="0" collapsed="false">
      <c r="A2810" s="747"/>
      <c r="B2810" s="798"/>
      <c r="D2810" s="798"/>
      <c r="E2810" s="798"/>
      <c r="F2810" s="798"/>
      <c r="G2810" s="798"/>
      <c r="J2810" s="778" t="str">
        <f aca="false">IF(I2810="","",H2810/I2810)</f>
        <v/>
      </c>
      <c r="K2810" s="798"/>
      <c r="P2810" s="798"/>
      <c r="Q2810" s="798"/>
      <c r="R2810" s="811"/>
    </row>
    <row r="2811" customFormat="false" ht="16.5" hidden="false" customHeight="true" outlineLevel="0" collapsed="false">
      <c r="A2811" s="747"/>
      <c r="B2811" s="798"/>
      <c r="D2811" s="798"/>
      <c r="E2811" s="798"/>
      <c r="F2811" s="798"/>
      <c r="G2811" s="798"/>
      <c r="J2811" s="778" t="str">
        <f aca="false">IF(I2811="","",H2811/I2811)</f>
        <v/>
      </c>
      <c r="K2811" s="798"/>
      <c r="P2811" s="798"/>
      <c r="Q2811" s="798"/>
      <c r="R2811" s="811"/>
    </row>
    <row r="2812" customFormat="false" ht="16.5" hidden="false" customHeight="true" outlineLevel="0" collapsed="false">
      <c r="A2812" s="747"/>
      <c r="B2812" s="798"/>
      <c r="D2812" s="798"/>
      <c r="E2812" s="798"/>
      <c r="F2812" s="798"/>
      <c r="G2812" s="798"/>
      <c r="J2812" s="778" t="str">
        <f aca="false">IF(I2812="","",H2812/I2812)</f>
        <v/>
      </c>
      <c r="K2812" s="798"/>
      <c r="P2812" s="798"/>
      <c r="Q2812" s="798"/>
      <c r="R2812" s="811"/>
    </row>
    <row r="2813" customFormat="false" ht="16.5" hidden="false" customHeight="true" outlineLevel="0" collapsed="false">
      <c r="A2813" s="747"/>
      <c r="B2813" s="798"/>
      <c r="D2813" s="798"/>
      <c r="E2813" s="798"/>
      <c r="F2813" s="798"/>
      <c r="G2813" s="798"/>
      <c r="J2813" s="778" t="str">
        <f aca="false">IF(I2813="","",H2813/I2813)</f>
        <v/>
      </c>
      <c r="K2813" s="798"/>
      <c r="P2813" s="798"/>
      <c r="Q2813" s="798"/>
      <c r="R2813" s="811"/>
    </row>
    <row r="2814" customFormat="false" ht="16.5" hidden="false" customHeight="true" outlineLevel="0" collapsed="false">
      <c r="A2814" s="747"/>
      <c r="B2814" s="798"/>
      <c r="D2814" s="798"/>
      <c r="E2814" s="798"/>
      <c r="F2814" s="798"/>
      <c r="G2814" s="798"/>
      <c r="J2814" s="778" t="str">
        <f aca="false">IF(I2814="","",H2814/I2814)</f>
        <v/>
      </c>
      <c r="K2814" s="798"/>
      <c r="P2814" s="798"/>
      <c r="Q2814" s="798"/>
      <c r="R2814" s="811"/>
    </row>
    <row r="2815" customFormat="false" ht="16.5" hidden="false" customHeight="true" outlineLevel="0" collapsed="false">
      <c r="A2815" s="747"/>
      <c r="B2815" s="798"/>
      <c r="D2815" s="798"/>
      <c r="E2815" s="798"/>
      <c r="F2815" s="798"/>
      <c r="G2815" s="798"/>
      <c r="J2815" s="778" t="str">
        <f aca="false">IF(I2815="","",H2815/I2815)</f>
        <v/>
      </c>
      <c r="K2815" s="798"/>
      <c r="P2815" s="798"/>
      <c r="Q2815" s="798"/>
      <c r="R2815" s="811"/>
    </row>
    <row r="2816" customFormat="false" ht="16.5" hidden="false" customHeight="true" outlineLevel="0" collapsed="false">
      <c r="A2816" s="747"/>
      <c r="B2816" s="798"/>
      <c r="D2816" s="798"/>
      <c r="E2816" s="798"/>
      <c r="F2816" s="798"/>
      <c r="G2816" s="798"/>
      <c r="J2816" s="778" t="str">
        <f aca="false">IF(I2816="","",H2816/I2816)</f>
        <v/>
      </c>
      <c r="K2816" s="798"/>
      <c r="P2816" s="798"/>
      <c r="Q2816" s="798"/>
      <c r="R2816" s="811"/>
    </row>
    <row r="2817" customFormat="false" ht="16.5" hidden="false" customHeight="true" outlineLevel="0" collapsed="false">
      <c r="A2817" s="747"/>
      <c r="B2817" s="798"/>
      <c r="D2817" s="798"/>
      <c r="E2817" s="798"/>
      <c r="F2817" s="798"/>
      <c r="G2817" s="798"/>
      <c r="J2817" s="778" t="str">
        <f aca="false">IF(I2817="","",H2817/I2817)</f>
        <v/>
      </c>
      <c r="K2817" s="798"/>
      <c r="P2817" s="798"/>
      <c r="Q2817" s="798"/>
      <c r="R2817" s="811"/>
    </row>
    <row r="2818" customFormat="false" ht="16.5" hidden="false" customHeight="true" outlineLevel="0" collapsed="false">
      <c r="A2818" s="747"/>
      <c r="B2818" s="798"/>
      <c r="D2818" s="798"/>
      <c r="E2818" s="798"/>
      <c r="F2818" s="798"/>
      <c r="G2818" s="798"/>
      <c r="J2818" s="778" t="str">
        <f aca="false">IF(I2818="","",H2818/I2818)</f>
        <v/>
      </c>
      <c r="K2818" s="798"/>
      <c r="P2818" s="798"/>
      <c r="Q2818" s="798"/>
      <c r="R2818" s="811"/>
    </row>
    <row r="2819" customFormat="false" ht="16.5" hidden="false" customHeight="true" outlineLevel="0" collapsed="false">
      <c r="A2819" s="747"/>
      <c r="B2819" s="798"/>
      <c r="D2819" s="798"/>
      <c r="E2819" s="798"/>
      <c r="F2819" s="798"/>
      <c r="G2819" s="798"/>
      <c r="J2819" s="778" t="str">
        <f aca="false">IF(I2819="","",H2819/I2819)</f>
        <v/>
      </c>
      <c r="K2819" s="798"/>
      <c r="P2819" s="798"/>
      <c r="Q2819" s="798"/>
      <c r="R2819" s="811"/>
    </row>
    <row r="2820" customFormat="false" ht="16.5" hidden="false" customHeight="true" outlineLevel="0" collapsed="false">
      <c r="A2820" s="747"/>
      <c r="B2820" s="798"/>
      <c r="D2820" s="798"/>
      <c r="E2820" s="798"/>
      <c r="F2820" s="798"/>
      <c r="G2820" s="798"/>
      <c r="J2820" s="778" t="str">
        <f aca="false">IF(I2820="","",H2820/I2820)</f>
        <v/>
      </c>
      <c r="K2820" s="798"/>
      <c r="P2820" s="798"/>
      <c r="Q2820" s="798"/>
      <c r="R2820" s="811"/>
    </row>
    <row r="2821" customFormat="false" ht="16.5" hidden="false" customHeight="true" outlineLevel="0" collapsed="false">
      <c r="A2821" s="747"/>
      <c r="B2821" s="798"/>
      <c r="D2821" s="798"/>
      <c r="E2821" s="798"/>
      <c r="F2821" s="798"/>
      <c r="G2821" s="798"/>
      <c r="J2821" s="778" t="str">
        <f aca="false">IF(I2821="","",H2821/I2821)</f>
        <v/>
      </c>
      <c r="K2821" s="798"/>
      <c r="P2821" s="798"/>
      <c r="Q2821" s="798"/>
      <c r="R2821" s="811"/>
    </row>
    <row r="2822" customFormat="false" ht="16.5" hidden="false" customHeight="true" outlineLevel="0" collapsed="false">
      <c r="A2822" s="747"/>
      <c r="B2822" s="798"/>
      <c r="D2822" s="798"/>
      <c r="E2822" s="798"/>
      <c r="F2822" s="798"/>
      <c r="G2822" s="798"/>
      <c r="J2822" s="778" t="str">
        <f aca="false">IF(I2822="","",H2822/I2822)</f>
        <v/>
      </c>
      <c r="K2822" s="798"/>
      <c r="P2822" s="798"/>
      <c r="Q2822" s="798"/>
      <c r="R2822" s="811"/>
    </row>
    <row r="2823" customFormat="false" ht="16.5" hidden="false" customHeight="true" outlineLevel="0" collapsed="false">
      <c r="A2823" s="747"/>
      <c r="B2823" s="798"/>
      <c r="D2823" s="798"/>
      <c r="E2823" s="798"/>
      <c r="F2823" s="798"/>
      <c r="G2823" s="798"/>
      <c r="J2823" s="778" t="str">
        <f aca="false">IF(I2823="","",H2823/I2823)</f>
        <v/>
      </c>
      <c r="K2823" s="798"/>
      <c r="P2823" s="798"/>
      <c r="Q2823" s="798"/>
      <c r="R2823" s="811"/>
    </row>
    <row r="2824" customFormat="false" ht="16.5" hidden="false" customHeight="true" outlineLevel="0" collapsed="false">
      <c r="A2824" s="747"/>
      <c r="B2824" s="798"/>
      <c r="D2824" s="798"/>
      <c r="E2824" s="798"/>
      <c r="F2824" s="798"/>
      <c r="G2824" s="798"/>
      <c r="J2824" s="778" t="str">
        <f aca="false">IF(I2824="","",H2824/I2824)</f>
        <v/>
      </c>
      <c r="K2824" s="798"/>
      <c r="P2824" s="798"/>
      <c r="Q2824" s="798"/>
      <c r="R2824" s="811"/>
    </row>
    <row r="2825" customFormat="false" ht="16.5" hidden="false" customHeight="true" outlineLevel="0" collapsed="false">
      <c r="A2825" s="747"/>
      <c r="B2825" s="798"/>
      <c r="D2825" s="798"/>
      <c r="E2825" s="798"/>
      <c r="F2825" s="798"/>
      <c r="G2825" s="798"/>
      <c r="J2825" s="778" t="str">
        <f aca="false">IF(I2825="","",H2825/I2825)</f>
        <v/>
      </c>
      <c r="K2825" s="798"/>
      <c r="P2825" s="798"/>
      <c r="Q2825" s="798"/>
      <c r="R2825" s="811"/>
    </row>
    <row r="2826" customFormat="false" ht="16.5" hidden="false" customHeight="true" outlineLevel="0" collapsed="false">
      <c r="A2826" s="747"/>
      <c r="B2826" s="798"/>
      <c r="D2826" s="798"/>
      <c r="E2826" s="798"/>
      <c r="F2826" s="798"/>
      <c r="G2826" s="798"/>
      <c r="J2826" s="778" t="str">
        <f aca="false">IF(I2826="","",H2826/I2826)</f>
        <v/>
      </c>
      <c r="K2826" s="798"/>
      <c r="P2826" s="798"/>
      <c r="Q2826" s="798"/>
      <c r="R2826" s="811"/>
    </row>
    <row r="2827" customFormat="false" ht="16.5" hidden="false" customHeight="true" outlineLevel="0" collapsed="false">
      <c r="A2827" s="747"/>
      <c r="B2827" s="798"/>
      <c r="D2827" s="798"/>
      <c r="E2827" s="798"/>
      <c r="F2827" s="798"/>
      <c r="G2827" s="798"/>
      <c r="J2827" s="778" t="str">
        <f aca="false">IF(I2827="","",H2827/I2827)</f>
        <v/>
      </c>
      <c r="K2827" s="798"/>
      <c r="P2827" s="798"/>
      <c r="Q2827" s="798"/>
      <c r="R2827" s="811"/>
    </row>
    <row r="2828" customFormat="false" ht="16.5" hidden="false" customHeight="true" outlineLevel="0" collapsed="false">
      <c r="A2828" s="747"/>
      <c r="B2828" s="798"/>
      <c r="D2828" s="798"/>
      <c r="E2828" s="798"/>
      <c r="F2828" s="798"/>
      <c r="G2828" s="798"/>
      <c r="J2828" s="778" t="str">
        <f aca="false">IF(I2828="","",H2828/I2828)</f>
        <v/>
      </c>
      <c r="K2828" s="798"/>
      <c r="P2828" s="798"/>
      <c r="Q2828" s="798"/>
      <c r="R2828" s="811"/>
    </row>
    <row r="2829" customFormat="false" ht="16.5" hidden="false" customHeight="true" outlineLevel="0" collapsed="false">
      <c r="A2829" s="747"/>
      <c r="B2829" s="798"/>
      <c r="D2829" s="798"/>
      <c r="E2829" s="798"/>
      <c r="F2829" s="798"/>
      <c r="G2829" s="798"/>
      <c r="J2829" s="778" t="str">
        <f aca="false">IF(I2829="","",H2829/I2829)</f>
        <v/>
      </c>
      <c r="K2829" s="798"/>
      <c r="P2829" s="798"/>
      <c r="Q2829" s="798"/>
      <c r="R2829" s="811"/>
    </row>
    <row r="2830" customFormat="false" ht="16.5" hidden="false" customHeight="true" outlineLevel="0" collapsed="false">
      <c r="A2830" s="747"/>
      <c r="B2830" s="798"/>
      <c r="D2830" s="798"/>
      <c r="E2830" s="798"/>
      <c r="F2830" s="798"/>
      <c r="G2830" s="798"/>
      <c r="J2830" s="778" t="str">
        <f aca="false">IF(I2830="","",H2830/I2830)</f>
        <v/>
      </c>
      <c r="K2830" s="798"/>
      <c r="P2830" s="798"/>
      <c r="Q2830" s="798"/>
      <c r="R2830" s="811"/>
    </row>
    <row r="2831" customFormat="false" ht="16.5" hidden="false" customHeight="true" outlineLevel="0" collapsed="false">
      <c r="A2831" s="747"/>
      <c r="B2831" s="798"/>
      <c r="D2831" s="798"/>
      <c r="E2831" s="798"/>
      <c r="F2831" s="798"/>
      <c r="G2831" s="798"/>
      <c r="J2831" s="778" t="str">
        <f aca="false">IF(I2831="","",H2831/I2831)</f>
        <v/>
      </c>
      <c r="K2831" s="798"/>
      <c r="P2831" s="798"/>
      <c r="Q2831" s="798"/>
      <c r="R2831" s="811"/>
    </row>
    <row r="2832" customFormat="false" ht="16.5" hidden="false" customHeight="true" outlineLevel="0" collapsed="false">
      <c r="A2832" s="747"/>
      <c r="B2832" s="798"/>
      <c r="D2832" s="798"/>
      <c r="E2832" s="798"/>
      <c r="F2832" s="798"/>
      <c r="G2832" s="798"/>
      <c r="J2832" s="778" t="str">
        <f aca="false">IF(I2832="","",H2832/I2832)</f>
        <v/>
      </c>
      <c r="K2832" s="798"/>
      <c r="P2832" s="798"/>
      <c r="Q2832" s="798"/>
      <c r="R2832" s="811"/>
    </row>
    <row r="2833" customFormat="false" ht="16.5" hidden="false" customHeight="true" outlineLevel="0" collapsed="false">
      <c r="A2833" s="747"/>
      <c r="B2833" s="798"/>
      <c r="D2833" s="798"/>
      <c r="E2833" s="798"/>
      <c r="F2833" s="798"/>
      <c r="G2833" s="798"/>
      <c r="J2833" s="778" t="str">
        <f aca="false">IF(I2833="","",H2833/I2833)</f>
        <v/>
      </c>
      <c r="K2833" s="798"/>
      <c r="P2833" s="798"/>
      <c r="Q2833" s="798"/>
      <c r="R2833" s="811"/>
    </row>
    <row r="2834" customFormat="false" ht="16.5" hidden="false" customHeight="true" outlineLevel="0" collapsed="false">
      <c r="A2834" s="747"/>
      <c r="B2834" s="798"/>
      <c r="D2834" s="798"/>
      <c r="E2834" s="798"/>
      <c r="F2834" s="798"/>
      <c r="G2834" s="798"/>
      <c r="J2834" s="778" t="str">
        <f aca="false">IF(I2834="","",H2834/I2834)</f>
        <v/>
      </c>
      <c r="K2834" s="798"/>
      <c r="P2834" s="798"/>
      <c r="Q2834" s="798"/>
      <c r="R2834" s="811"/>
    </row>
    <row r="2835" customFormat="false" ht="16.5" hidden="false" customHeight="true" outlineLevel="0" collapsed="false">
      <c r="A2835" s="747"/>
      <c r="B2835" s="798"/>
      <c r="D2835" s="798"/>
      <c r="E2835" s="798"/>
      <c r="F2835" s="798"/>
      <c r="G2835" s="798"/>
      <c r="J2835" s="778" t="str">
        <f aca="false">IF(I2835="","",H2835/I2835)</f>
        <v/>
      </c>
      <c r="K2835" s="798"/>
      <c r="P2835" s="798"/>
      <c r="Q2835" s="798"/>
      <c r="R2835" s="811"/>
    </row>
    <row r="2836" customFormat="false" ht="16.5" hidden="false" customHeight="true" outlineLevel="0" collapsed="false">
      <c r="A2836" s="747"/>
      <c r="B2836" s="798"/>
      <c r="D2836" s="798"/>
      <c r="E2836" s="798"/>
      <c r="F2836" s="798"/>
      <c r="G2836" s="798"/>
      <c r="J2836" s="778" t="str">
        <f aca="false">IF(I2836="","",H2836/I2836)</f>
        <v/>
      </c>
      <c r="K2836" s="798"/>
      <c r="P2836" s="798"/>
      <c r="Q2836" s="798"/>
      <c r="R2836" s="811"/>
    </row>
    <row r="2837" customFormat="false" ht="16.5" hidden="false" customHeight="true" outlineLevel="0" collapsed="false">
      <c r="A2837" s="747"/>
      <c r="B2837" s="798"/>
      <c r="D2837" s="798"/>
      <c r="E2837" s="798"/>
      <c r="F2837" s="798"/>
      <c r="G2837" s="798"/>
      <c r="J2837" s="778" t="str">
        <f aca="false">IF(I2837="","",H2837/I2837)</f>
        <v/>
      </c>
      <c r="K2837" s="798"/>
      <c r="P2837" s="798"/>
      <c r="Q2837" s="798"/>
      <c r="R2837" s="811"/>
    </row>
    <row r="2838" customFormat="false" ht="16.5" hidden="false" customHeight="true" outlineLevel="0" collapsed="false">
      <c r="A2838" s="747"/>
      <c r="B2838" s="798"/>
      <c r="D2838" s="798"/>
      <c r="E2838" s="798"/>
      <c r="F2838" s="798"/>
      <c r="G2838" s="798"/>
      <c r="J2838" s="778" t="str">
        <f aca="false">IF(I2838="","",H2838/I2838)</f>
        <v/>
      </c>
      <c r="K2838" s="798"/>
      <c r="P2838" s="798"/>
      <c r="Q2838" s="798"/>
      <c r="R2838" s="811"/>
    </row>
    <row r="2839" customFormat="false" ht="16.5" hidden="false" customHeight="true" outlineLevel="0" collapsed="false">
      <c r="A2839" s="747"/>
      <c r="B2839" s="798"/>
      <c r="D2839" s="798"/>
      <c r="E2839" s="798"/>
      <c r="F2839" s="798"/>
      <c r="G2839" s="798"/>
      <c r="J2839" s="778" t="str">
        <f aca="false">IF(I2839="","",H2839/I2839)</f>
        <v/>
      </c>
      <c r="K2839" s="798"/>
      <c r="P2839" s="798"/>
      <c r="Q2839" s="798"/>
      <c r="R2839" s="811"/>
    </row>
    <row r="2840" customFormat="false" ht="16.5" hidden="false" customHeight="true" outlineLevel="0" collapsed="false">
      <c r="A2840" s="747"/>
      <c r="B2840" s="798"/>
      <c r="D2840" s="798"/>
      <c r="E2840" s="798"/>
      <c r="F2840" s="798"/>
      <c r="G2840" s="798"/>
      <c r="J2840" s="778" t="str">
        <f aca="false">IF(I2840="","",H2840/I2840)</f>
        <v/>
      </c>
      <c r="K2840" s="798"/>
      <c r="P2840" s="798"/>
      <c r="Q2840" s="798"/>
      <c r="R2840" s="811"/>
    </row>
    <row r="2841" customFormat="false" ht="16.5" hidden="false" customHeight="true" outlineLevel="0" collapsed="false">
      <c r="A2841" s="747"/>
      <c r="B2841" s="798"/>
      <c r="D2841" s="798"/>
      <c r="E2841" s="798"/>
      <c r="F2841" s="798"/>
      <c r="G2841" s="798"/>
      <c r="J2841" s="778" t="str">
        <f aca="false">IF(I2841="","",H2841/I2841)</f>
        <v/>
      </c>
      <c r="K2841" s="798"/>
      <c r="P2841" s="798"/>
      <c r="Q2841" s="798"/>
      <c r="R2841" s="811"/>
    </row>
    <row r="2842" customFormat="false" ht="16.5" hidden="false" customHeight="true" outlineLevel="0" collapsed="false">
      <c r="A2842" s="747"/>
      <c r="B2842" s="798"/>
      <c r="D2842" s="798"/>
      <c r="E2842" s="798"/>
      <c r="F2842" s="798"/>
      <c r="G2842" s="798"/>
      <c r="J2842" s="778" t="str">
        <f aca="false">IF(I2842="","",H2842/I2842)</f>
        <v/>
      </c>
      <c r="K2842" s="798"/>
      <c r="P2842" s="798"/>
      <c r="Q2842" s="798"/>
      <c r="R2842" s="811"/>
    </row>
    <row r="2843" customFormat="false" ht="16.5" hidden="false" customHeight="true" outlineLevel="0" collapsed="false">
      <c r="A2843" s="747"/>
      <c r="B2843" s="798"/>
      <c r="D2843" s="798"/>
      <c r="E2843" s="798"/>
      <c r="F2843" s="798"/>
      <c r="G2843" s="798"/>
      <c r="J2843" s="778" t="str">
        <f aca="false">IF(I2843="","",H2843/I2843)</f>
        <v/>
      </c>
      <c r="K2843" s="798"/>
      <c r="P2843" s="798"/>
      <c r="Q2843" s="798"/>
      <c r="R2843" s="811"/>
    </row>
    <row r="2844" customFormat="false" ht="16.5" hidden="false" customHeight="true" outlineLevel="0" collapsed="false">
      <c r="A2844" s="747"/>
      <c r="B2844" s="798"/>
      <c r="D2844" s="798"/>
      <c r="E2844" s="798"/>
      <c r="F2844" s="798"/>
      <c r="G2844" s="798"/>
      <c r="J2844" s="778" t="str">
        <f aca="false">IF(I2844="","",H2844/I2844)</f>
        <v/>
      </c>
      <c r="K2844" s="798"/>
      <c r="P2844" s="798"/>
      <c r="Q2844" s="798"/>
      <c r="R2844" s="811"/>
    </row>
    <row r="2845" customFormat="false" ht="16.5" hidden="false" customHeight="true" outlineLevel="0" collapsed="false">
      <c r="A2845" s="747"/>
      <c r="B2845" s="798"/>
      <c r="D2845" s="798"/>
      <c r="E2845" s="798"/>
      <c r="F2845" s="798"/>
      <c r="G2845" s="798"/>
      <c r="J2845" s="778" t="str">
        <f aca="false">IF(I2845="","",H2845/I2845)</f>
        <v/>
      </c>
      <c r="K2845" s="798"/>
      <c r="P2845" s="798"/>
      <c r="Q2845" s="798"/>
      <c r="R2845" s="811"/>
    </row>
    <row r="2846" customFormat="false" ht="16.5" hidden="false" customHeight="true" outlineLevel="0" collapsed="false">
      <c r="A2846" s="747"/>
      <c r="B2846" s="798"/>
      <c r="D2846" s="798"/>
      <c r="E2846" s="798"/>
      <c r="F2846" s="798"/>
      <c r="G2846" s="798"/>
      <c r="J2846" s="778" t="str">
        <f aca="false">IF(I2846="","",H2846/I2846)</f>
        <v/>
      </c>
      <c r="K2846" s="798"/>
      <c r="P2846" s="798"/>
      <c r="Q2846" s="798"/>
      <c r="R2846" s="811"/>
    </row>
    <row r="2847" customFormat="false" ht="16.5" hidden="false" customHeight="true" outlineLevel="0" collapsed="false">
      <c r="A2847" s="747"/>
      <c r="B2847" s="798"/>
      <c r="D2847" s="798"/>
      <c r="E2847" s="798"/>
      <c r="F2847" s="798"/>
      <c r="G2847" s="798"/>
      <c r="J2847" s="778" t="str">
        <f aca="false">IF(I2847="","",H2847/I2847)</f>
        <v/>
      </c>
      <c r="K2847" s="798"/>
      <c r="P2847" s="798"/>
      <c r="Q2847" s="798"/>
      <c r="R2847" s="811"/>
    </row>
    <row r="2848" customFormat="false" ht="16.5" hidden="false" customHeight="true" outlineLevel="0" collapsed="false">
      <c r="A2848" s="747"/>
      <c r="B2848" s="798"/>
      <c r="D2848" s="798"/>
      <c r="E2848" s="798"/>
      <c r="F2848" s="798"/>
      <c r="G2848" s="798"/>
      <c r="J2848" s="778" t="str">
        <f aca="false">IF(I2848="","",H2848/I2848)</f>
        <v/>
      </c>
      <c r="K2848" s="798"/>
      <c r="P2848" s="798"/>
      <c r="Q2848" s="798"/>
      <c r="R2848" s="811"/>
    </row>
    <row r="2849" customFormat="false" ht="16.5" hidden="false" customHeight="true" outlineLevel="0" collapsed="false">
      <c r="A2849" s="747"/>
      <c r="B2849" s="798"/>
      <c r="D2849" s="798"/>
      <c r="E2849" s="798"/>
      <c r="F2849" s="798"/>
      <c r="G2849" s="798"/>
      <c r="J2849" s="778" t="str">
        <f aca="false">IF(I2849="","",H2849/I2849)</f>
        <v/>
      </c>
      <c r="K2849" s="798"/>
      <c r="P2849" s="798"/>
      <c r="Q2849" s="798"/>
      <c r="R2849" s="811"/>
    </row>
    <row r="2850" customFormat="false" ht="16.5" hidden="false" customHeight="true" outlineLevel="0" collapsed="false">
      <c r="A2850" s="747"/>
      <c r="B2850" s="798"/>
      <c r="D2850" s="798"/>
      <c r="E2850" s="798"/>
      <c r="F2850" s="798"/>
      <c r="G2850" s="798"/>
      <c r="J2850" s="778" t="str">
        <f aca="false">IF(I2850="","",H2850/I2850)</f>
        <v/>
      </c>
      <c r="K2850" s="798"/>
      <c r="P2850" s="798"/>
      <c r="Q2850" s="798"/>
      <c r="R2850" s="811"/>
    </row>
    <row r="2851" customFormat="false" ht="16.5" hidden="false" customHeight="true" outlineLevel="0" collapsed="false">
      <c r="A2851" s="747"/>
      <c r="B2851" s="798"/>
      <c r="D2851" s="798"/>
      <c r="E2851" s="798"/>
      <c r="F2851" s="798"/>
      <c r="G2851" s="798"/>
      <c r="J2851" s="778" t="str">
        <f aca="false">IF(I2851="","",H2851/I2851)</f>
        <v/>
      </c>
      <c r="K2851" s="798"/>
      <c r="P2851" s="798"/>
      <c r="Q2851" s="798"/>
      <c r="R2851" s="811"/>
    </row>
    <row r="2852" customFormat="false" ht="16.5" hidden="false" customHeight="true" outlineLevel="0" collapsed="false">
      <c r="A2852" s="747"/>
      <c r="B2852" s="798"/>
      <c r="D2852" s="798"/>
      <c r="E2852" s="798"/>
      <c r="F2852" s="798"/>
      <c r="G2852" s="798"/>
      <c r="J2852" s="778" t="str">
        <f aca="false">IF(I2852="","",H2852/I2852)</f>
        <v/>
      </c>
      <c r="K2852" s="798"/>
      <c r="P2852" s="798"/>
      <c r="Q2852" s="798"/>
      <c r="R2852" s="811"/>
    </row>
    <row r="2853" customFormat="false" ht="16.5" hidden="false" customHeight="true" outlineLevel="0" collapsed="false">
      <c r="A2853" s="747"/>
      <c r="B2853" s="798"/>
      <c r="D2853" s="798"/>
      <c r="E2853" s="798"/>
      <c r="F2853" s="798"/>
      <c r="G2853" s="798"/>
      <c r="J2853" s="778" t="str">
        <f aca="false">IF(I2853="","",H2853/I2853)</f>
        <v/>
      </c>
      <c r="K2853" s="798"/>
      <c r="P2853" s="798"/>
      <c r="Q2853" s="798"/>
      <c r="R2853" s="811"/>
    </row>
    <row r="2854" customFormat="false" ht="16.5" hidden="false" customHeight="true" outlineLevel="0" collapsed="false">
      <c r="A2854" s="747"/>
      <c r="B2854" s="798"/>
      <c r="D2854" s="798"/>
      <c r="E2854" s="798"/>
      <c r="F2854" s="798"/>
      <c r="G2854" s="798"/>
      <c r="J2854" s="778" t="str">
        <f aca="false">IF(I2854="","",H2854/I2854)</f>
        <v/>
      </c>
      <c r="K2854" s="798"/>
      <c r="P2854" s="798"/>
      <c r="Q2854" s="798"/>
      <c r="R2854" s="811"/>
    </row>
    <row r="2855" customFormat="false" ht="16.5" hidden="false" customHeight="true" outlineLevel="0" collapsed="false">
      <c r="A2855" s="747"/>
      <c r="B2855" s="798"/>
      <c r="D2855" s="798"/>
      <c r="E2855" s="798"/>
      <c r="F2855" s="798"/>
      <c r="G2855" s="798"/>
      <c r="J2855" s="778" t="str">
        <f aca="false">IF(I2855="","",H2855/I2855)</f>
        <v/>
      </c>
      <c r="K2855" s="798"/>
      <c r="P2855" s="798"/>
      <c r="Q2855" s="798"/>
      <c r="R2855" s="811"/>
    </row>
    <row r="2856" customFormat="false" ht="16.5" hidden="false" customHeight="true" outlineLevel="0" collapsed="false">
      <c r="A2856" s="747"/>
      <c r="B2856" s="798"/>
      <c r="D2856" s="798"/>
      <c r="E2856" s="798"/>
      <c r="F2856" s="798"/>
      <c r="G2856" s="798"/>
      <c r="J2856" s="778" t="str">
        <f aca="false">IF(I2856="","",H2856/I2856)</f>
        <v/>
      </c>
      <c r="K2856" s="798"/>
      <c r="P2856" s="798"/>
      <c r="Q2856" s="798"/>
      <c r="R2856" s="811"/>
    </row>
    <row r="2857" customFormat="false" ht="16.5" hidden="false" customHeight="true" outlineLevel="0" collapsed="false">
      <c r="A2857" s="747"/>
      <c r="B2857" s="798"/>
      <c r="D2857" s="798"/>
      <c r="E2857" s="798"/>
      <c r="F2857" s="798"/>
      <c r="G2857" s="798"/>
      <c r="J2857" s="778" t="str">
        <f aca="false">IF(I2857="","",H2857/I2857)</f>
        <v/>
      </c>
      <c r="K2857" s="798"/>
      <c r="P2857" s="798"/>
      <c r="Q2857" s="798"/>
      <c r="R2857" s="811"/>
    </row>
    <row r="2858" customFormat="false" ht="16.5" hidden="false" customHeight="true" outlineLevel="0" collapsed="false">
      <c r="A2858" s="747"/>
      <c r="B2858" s="798"/>
      <c r="D2858" s="798"/>
      <c r="E2858" s="798"/>
      <c r="F2858" s="798"/>
      <c r="G2858" s="798"/>
      <c r="J2858" s="778" t="str">
        <f aca="false">IF(I2858="","",H2858/I2858)</f>
        <v/>
      </c>
      <c r="K2858" s="798"/>
      <c r="P2858" s="798"/>
      <c r="Q2858" s="798"/>
      <c r="R2858" s="811"/>
    </row>
    <row r="2859" customFormat="false" ht="16.5" hidden="false" customHeight="true" outlineLevel="0" collapsed="false">
      <c r="A2859" s="747"/>
      <c r="B2859" s="798"/>
      <c r="D2859" s="798"/>
      <c r="E2859" s="798"/>
      <c r="F2859" s="798"/>
      <c r="G2859" s="798"/>
      <c r="J2859" s="778" t="str">
        <f aca="false">IF(I2859="","",H2859/I2859)</f>
        <v/>
      </c>
      <c r="K2859" s="798"/>
      <c r="P2859" s="798"/>
      <c r="Q2859" s="798"/>
      <c r="R2859" s="811"/>
    </row>
    <row r="2860" customFormat="false" ht="16.5" hidden="false" customHeight="true" outlineLevel="0" collapsed="false">
      <c r="A2860" s="747"/>
      <c r="B2860" s="798"/>
      <c r="D2860" s="798"/>
      <c r="E2860" s="798"/>
      <c r="F2860" s="798"/>
      <c r="G2860" s="798"/>
      <c r="J2860" s="778" t="str">
        <f aca="false">IF(I2860="","",H2860/I2860)</f>
        <v/>
      </c>
      <c r="K2860" s="798"/>
      <c r="P2860" s="798"/>
      <c r="Q2860" s="798"/>
      <c r="R2860" s="811"/>
    </row>
    <row r="2861" customFormat="false" ht="16.5" hidden="false" customHeight="true" outlineLevel="0" collapsed="false">
      <c r="A2861" s="747"/>
      <c r="B2861" s="798"/>
      <c r="D2861" s="798"/>
      <c r="E2861" s="798"/>
      <c r="F2861" s="798"/>
      <c r="G2861" s="798"/>
      <c r="J2861" s="778" t="str">
        <f aca="false">IF(I2861="","",H2861/I2861)</f>
        <v/>
      </c>
      <c r="K2861" s="798"/>
      <c r="P2861" s="798"/>
      <c r="Q2861" s="798"/>
      <c r="R2861" s="811"/>
    </row>
    <row r="2862" customFormat="false" ht="16.5" hidden="false" customHeight="true" outlineLevel="0" collapsed="false">
      <c r="A2862" s="747"/>
      <c r="B2862" s="798"/>
      <c r="D2862" s="798"/>
      <c r="E2862" s="798"/>
      <c r="F2862" s="798"/>
      <c r="G2862" s="798"/>
      <c r="J2862" s="778" t="str">
        <f aca="false">IF(I2862="","",H2862/I2862)</f>
        <v/>
      </c>
      <c r="K2862" s="798"/>
      <c r="P2862" s="798"/>
      <c r="Q2862" s="798"/>
      <c r="R2862" s="811"/>
    </row>
    <row r="2863" customFormat="false" ht="16.5" hidden="false" customHeight="true" outlineLevel="0" collapsed="false">
      <c r="A2863" s="747"/>
      <c r="B2863" s="798"/>
      <c r="D2863" s="798"/>
      <c r="E2863" s="798"/>
      <c r="F2863" s="798"/>
      <c r="G2863" s="798"/>
      <c r="J2863" s="778" t="str">
        <f aca="false">IF(I2863="","",H2863/I2863)</f>
        <v/>
      </c>
      <c r="K2863" s="798"/>
      <c r="P2863" s="798"/>
      <c r="Q2863" s="798"/>
      <c r="R2863" s="811"/>
    </row>
    <row r="2864" customFormat="false" ht="16.5" hidden="false" customHeight="true" outlineLevel="0" collapsed="false">
      <c r="A2864" s="747"/>
      <c r="B2864" s="798"/>
      <c r="D2864" s="798"/>
      <c r="E2864" s="798"/>
      <c r="F2864" s="798"/>
      <c r="G2864" s="798"/>
      <c r="J2864" s="778" t="str">
        <f aca="false">IF(I2864="","",H2864/I2864)</f>
        <v/>
      </c>
      <c r="K2864" s="798"/>
      <c r="P2864" s="798"/>
      <c r="Q2864" s="798"/>
      <c r="R2864" s="811"/>
    </row>
    <row r="2865" customFormat="false" ht="16.5" hidden="false" customHeight="true" outlineLevel="0" collapsed="false">
      <c r="A2865" s="747"/>
      <c r="B2865" s="798"/>
      <c r="D2865" s="798"/>
      <c r="E2865" s="798"/>
      <c r="F2865" s="798"/>
      <c r="G2865" s="798"/>
      <c r="J2865" s="778" t="str">
        <f aca="false">IF(I2865="","",H2865/I2865)</f>
        <v/>
      </c>
      <c r="K2865" s="798"/>
      <c r="P2865" s="798"/>
      <c r="Q2865" s="798"/>
      <c r="R2865" s="811"/>
    </row>
    <row r="2866" customFormat="false" ht="16.5" hidden="false" customHeight="true" outlineLevel="0" collapsed="false">
      <c r="A2866" s="747"/>
      <c r="B2866" s="798"/>
      <c r="D2866" s="798"/>
      <c r="E2866" s="798"/>
      <c r="F2866" s="798"/>
      <c r="G2866" s="798"/>
      <c r="J2866" s="778" t="str">
        <f aca="false">IF(I2866="","",H2866/I2866)</f>
        <v/>
      </c>
      <c r="K2866" s="798"/>
      <c r="P2866" s="798"/>
      <c r="Q2866" s="798"/>
      <c r="R2866" s="811"/>
    </row>
    <row r="2867" customFormat="false" ht="16.5" hidden="false" customHeight="true" outlineLevel="0" collapsed="false">
      <c r="A2867" s="747"/>
      <c r="B2867" s="798"/>
      <c r="D2867" s="798"/>
      <c r="E2867" s="798"/>
      <c r="F2867" s="798"/>
      <c r="G2867" s="798"/>
      <c r="J2867" s="778" t="str">
        <f aca="false">IF(I2867="","",H2867/I2867)</f>
        <v/>
      </c>
      <c r="K2867" s="798"/>
      <c r="P2867" s="798"/>
      <c r="Q2867" s="798"/>
      <c r="R2867" s="811"/>
    </row>
    <row r="2868" customFormat="false" ht="16.5" hidden="false" customHeight="true" outlineLevel="0" collapsed="false">
      <c r="A2868" s="747"/>
      <c r="B2868" s="798"/>
      <c r="D2868" s="798"/>
      <c r="E2868" s="798"/>
      <c r="F2868" s="798"/>
      <c r="G2868" s="798"/>
      <c r="J2868" s="778" t="str">
        <f aca="false">IF(I2868="","",H2868/I2868)</f>
        <v/>
      </c>
      <c r="K2868" s="798"/>
      <c r="P2868" s="798"/>
      <c r="Q2868" s="798"/>
      <c r="R2868" s="811"/>
    </row>
    <row r="2869" customFormat="false" ht="16.5" hidden="false" customHeight="true" outlineLevel="0" collapsed="false">
      <c r="A2869" s="747"/>
      <c r="B2869" s="798"/>
      <c r="D2869" s="798"/>
      <c r="E2869" s="798"/>
      <c r="F2869" s="798"/>
      <c r="G2869" s="798"/>
      <c r="J2869" s="778" t="str">
        <f aca="false">IF(I2869="","",H2869/I2869)</f>
        <v/>
      </c>
      <c r="K2869" s="798"/>
      <c r="P2869" s="798"/>
      <c r="Q2869" s="798"/>
      <c r="R2869" s="811"/>
    </row>
    <row r="2870" customFormat="false" ht="16.5" hidden="false" customHeight="true" outlineLevel="0" collapsed="false">
      <c r="A2870" s="747"/>
      <c r="B2870" s="798"/>
      <c r="D2870" s="798"/>
      <c r="E2870" s="798"/>
      <c r="F2870" s="798"/>
      <c r="G2870" s="798"/>
      <c r="J2870" s="778" t="str">
        <f aca="false">IF(I2870="","",H2870/I2870)</f>
        <v/>
      </c>
      <c r="K2870" s="798"/>
      <c r="P2870" s="798"/>
      <c r="Q2870" s="798"/>
      <c r="R2870" s="811"/>
    </row>
    <row r="2871" customFormat="false" ht="16.5" hidden="false" customHeight="true" outlineLevel="0" collapsed="false">
      <c r="A2871" s="747"/>
      <c r="B2871" s="798"/>
      <c r="D2871" s="798"/>
      <c r="E2871" s="798"/>
      <c r="F2871" s="798"/>
      <c r="G2871" s="798"/>
      <c r="J2871" s="778" t="str">
        <f aca="false">IF(I2871="","",H2871/I2871)</f>
        <v/>
      </c>
      <c r="K2871" s="798"/>
      <c r="P2871" s="798"/>
      <c r="Q2871" s="798"/>
      <c r="R2871" s="811"/>
    </row>
    <row r="2872" customFormat="false" ht="16.5" hidden="false" customHeight="true" outlineLevel="0" collapsed="false">
      <c r="A2872" s="747"/>
      <c r="B2872" s="798"/>
      <c r="D2872" s="798"/>
      <c r="E2872" s="798"/>
      <c r="F2872" s="798"/>
      <c r="G2872" s="798"/>
      <c r="J2872" s="778" t="str">
        <f aca="false">IF(I2872="","",H2872/I2872)</f>
        <v/>
      </c>
      <c r="K2872" s="798"/>
      <c r="P2872" s="798"/>
      <c r="Q2872" s="798"/>
      <c r="R2872" s="811"/>
    </row>
    <row r="2873" customFormat="false" ht="16.5" hidden="false" customHeight="true" outlineLevel="0" collapsed="false">
      <c r="A2873" s="747"/>
      <c r="B2873" s="798"/>
      <c r="D2873" s="798"/>
      <c r="E2873" s="798"/>
      <c r="F2873" s="798"/>
      <c r="G2873" s="798"/>
      <c r="J2873" s="778" t="str">
        <f aca="false">IF(I2873="","",H2873/I2873)</f>
        <v/>
      </c>
      <c r="K2873" s="798"/>
      <c r="P2873" s="798"/>
      <c r="Q2873" s="798"/>
      <c r="R2873" s="811"/>
    </row>
    <row r="2874" customFormat="false" ht="16.5" hidden="false" customHeight="true" outlineLevel="0" collapsed="false">
      <c r="A2874" s="747"/>
      <c r="B2874" s="798"/>
      <c r="D2874" s="798"/>
      <c r="E2874" s="798"/>
      <c r="F2874" s="798"/>
      <c r="G2874" s="798"/>
      <c r="J2874" s="778" t="str">
        <f aca="false">IF(I2874="","",H2874/I2874)</f>
        <v/>
      </c>
      <c r="K2874" s="798"/>
      <c r="P2874" s="798"/>
      <c r="Q2874" s="798"/>
      <c r="R2874" s="811"/>
    </row>
    <row r="2875" customFormat="false" ht="16.5" hidden="false" customHeight="true" outlineLevel="0" collapsed="false">
      <c r="A2875" s="747"/>
      <c r="B2875" s="798"/>
      <c r="D2875" s="798"/>
      <c r="E2875" s="798"/>
      <c r="F2875" s="798"/>
      <c r="G2875" s="798"/>
      <c r="J2875" s="778" t="str">
        <f aca="false">IF(I2875="","",H2875/I2875)</f>
        <v/>
      </c>
      <c r="K2875" s="798"/>
      <c r="P2875" s="798"/>
      <c r="Q2875" s="798"/>
      <c r="R2875" s="811"/>
    </row>
    <row r="2876" customFormat="false" ht="16.5" hidden="false" customHeight="true" outlineLevel="0" collapsed="false">
      <c r="A2876" s="747"/>
      <c r="B2876" s="798"/>
      <c r="D2876" s="798"/>
      <c r="E2876" s="798"/>
      <c r="F2876" s="798"/>
      <c r="G2876" s="798"/>
      <c r="J2876" s="778" t="str">
        <f aca="false">IF(I2876="","",H2876/I2876)</f>
        <v/>
      </c>
      <c r="K2876" s="798"/>
      <c r="P2876" s="798"/>
      <c r="Q2876" s="798"/>
      <c r="R2876" s="811"/>
    </row>
    <row r="2877" customFormat="false" ht="16.5" hidden="false" customHeight="true" outlineLevel="0" collapsed="false">
      <c r="A2877" s="747"/>
      <c r="B2877" s="798"/>
      <c r="D2877" s="798"/>
      <c r="E2877" s="798"/>
      <c r="F2877" s="798"/>
      <c r="G2877" s="798"/>
      <c r="J2877" s="778" t="str">
        <f aca="false">IF(I2877="","",H2877/I2877)</f>
        <v/>
      </c>
      <c r="K2877" s="798"/>
      <c r="P2877" s="798"/>
      <c r="Q2877" s="798"/>
      <c r="R2877" s="811"/>
    </row>
    <row r="2878" customFormat="false" ht="16.5" hidden="false" customHeight="true" outlineLevel="0" collapsed="false">
      <c r="A2878" s="747"/>
      <c r="B2878" s="798"/>
      <c r="D2878" s="798"/>
      <c r="E2878" s="798"/>
      <c r="F2878" s="798"/>
      <c r="G2878" s="798"/>
      <c r="J2878" s="778" t="str">
        <f aca="false">IF(I2878="","",H2878/I2878)</f>
        <v/>
      </c>
      <c r="K2878" s="798"/>
      <c r="P2878" s="798"/>
      <c r="Q2878" s="798"/>
      <c r="R2878" s="811"/>
    </row>
    <row r="2879" customFormat="false" ht="16.5" hidden="false" customHeight="true" outlineLevel="0" collapsed="false">
      <c r="A2879" s="747"/>
      <c r="B2879" s="798"/>
      <c r="D2879" s="798"/>
      <c r="E2879" s="798"/>
      <c r="F2879" s="798"/>
      <c r="G2879" s="798"/>
      <c r="J2879" s="778" t="str">
        <f aca="false">IF(I2879="","",H2879/I2879)</f>
        <v/>
      </c>
      <c r="K2879" s="798"/>
      <c r="P2879" s="798"/>
      <c r="Q2879" s="798"/>
      <c r="R2879" s="811"/>
    </row>
    <row r="2880" customFormat="false" ht="16.5" hidden="false" customHeight="true" outlineLevel="0" collapsed="false">
      <c r="A2880" s="747"/>
      <c r="B2880" s="798"/>
      <c r="D2880" s="798"/>
      <c r="E2880" s="798"/>
      <c r="F2880" s="798"/>
      <c r="G2880" s="798"/>
      <c r="J2880" s="778" t="str">
        <f aca="false">IF(I2880="","",H2880/I2880)</f>
        <v/>
      </c>
      <c r="K2880" s="798"/>
      <c r="P2880" s="798"/>
      <c r="Q2880" s="798"/>
      <c r="R2880" s="811"/>
    </row>
    <row r="2881" customFormat="false" ht="16.5" hidden="false" customHeight="true" outlineLevel="0" collapsed="false">
      <c r="A2881" s="747"/>
      <c r="B2881" s="798"/>
      <c r="D2881" s="798"/>
      <c r="E2881" s="798"/>
      <c r="F2881" s="798"/>
      <c r="G2881" s="798"/>
      <c r="J2881" s="778" t="str">
        <f aca="false">IF(I2881="","",H2881/I2881)</f>
        <v/>
      </c>
      <c r="K2881" s="798"/>
      <c r="P2881" s="798"/>
      <c r="Q2881" s="798"/>
      <c r="R2881" s="811"/>
    </row>
    <row r="2882" customFormat="false" ht="16.5" hidden="false" customHeight="true" outlineLevel="0" collapsed="false">
      <c r="A2882" s="747"/>
      <c r="B2882" s="798"/>
      <c r="D2882" s="798"/>
      <c r="E2882" s="798"/>
      <c r="F2882" s="798"/>
      <c r="G2882" s="798"/>
      <c r="J2882" s="778" t="str">
        <f aca="false">IF(I2882="","",H2882/I2882)</f>
        <v/>
      </c>
      <c r="K2882" s="798"/>
      <c r="P2882" s="798"/>
      <c r="Q2882" s="798"/>
      <c r="R2882" s="811"/>
    </row>
    <row r="2883" customFormat="false" ht="16.5" hidden="false" customHeight="true" outlineLevel="0" collapsed="false">
      <c r="A2883" s="747"/>
      <c r="B2883" s="798"/>
      <c r="D2883" s="798"/>
      <c r="E2883" s="798"/>
      <c r="F2883" s="798"/>
      <c r="G2883" s="798"/>
      <c r="J2883" s="778" t="str">
        <f aca="false">IF(I2883="","",H2883/I2883)</f>
        <v/>
      </c>
      <c r="K2883" s="798"/>
      <c r="P2883" s="798"/>
      <c r="Q2883" s="798"/>
      <c r="R2883" s="811"/>
    </row>
    <row r="2884" customFormat="false" ht="16.5" hidden="false" customHeight="true" outlineLevel="0" collapsed="false">
      <c r="A2884" s="747"/>
      <c r="B2884" s="798"/>
      <c r="D2884" s="798"/>
      <c r="E2884" s="798"/>
      <c r="F2884" s="798"/>
      <c r="G2884" s="798"/>
      <c r="J2884" s="778" t="str">
        <f aca="false">IF(I2884="","",H2884/I2884)</f>
        <v/>
      </c>
      <c r="K2884" s="798"/>
      <c r="P2884" s="798"/>
      <c r="Q2884" s="798"/>
      <c r="R2884" s="811"/>
    </row>
    <row r="2885" customFormat="false" ht="16.5" hidden="false" customHeight="true" outlineLevel="0" collapsed="false">
      <c r="A2885" s="747"/>
      <c r="B2885" s="798"/>
      <c r="D2885" s="798"/>
      <c r="E2885" s="798"/>
      <c r="F2885" s="798"/>
      <c r="G2885" s="798"/>
      <c r="J2885" s="778" t="str">
        <f aca="false">IF(I2885="","",H2885/I2885)</f>
        <v/>
      </c>
      <c r="K2885" s="798"/>
      <c r="P2885" s="798"/>
      <c r="Q2885" s="798"/>
      <c r="R2885" s="811"/>
    </row>
    <row r="2886" customFormat="false" ht="16.5" hidden="false" customHeight="true" outlineLevel="0" collapsed="false">
      <c r="A2886" s="747"/>
      <c r="B2886" s="798"/>
      <c r="D2886" s="798"/>
      <c r="E2886" s="798"/>
      <c r="F2886" s="798"/>
      <c r="G2886" s="798"/>
      <c r="J2886" s="778" t="str">
        <f aca="false">IF(I2886="","",H2886/I2886)</f>
        <v/>
      </c>
      <c r="K2886" s="798"/>
      <c r="P2886" s="798"/>
      <c r="Q2886" s="798"/>
      <c r="R2886" s="811"/>
    </row>
    <row r="2887" customFormat="false" ht="16.5" hidden="false" customHeight="true" outlineLevel="0" collapsed="false">
      <c r="A2887" s="747"/>
      <c r="B2887" s="798"/>
      <c r="D2887" s="798"/>
      <c r="E2887" s="798"/>
      <c r="F2887" s="798"/>
      <c r="G2887" s="798"/>
      <c r="J2887" s="778" t="str">
        <f aca="false">IF(I2887="","",H2887/I2887)</f>
        <v/>
      </c>
      <c r="K2887" s="798"/>
      <c r="P2887" s="798"/>
      <c r="Q2887" s="798"/>
      <c r="R2887" s="811"/>
    </row>
    <row r="2888" customFormat="false" ht="16.5" hidden="false" customHeight="true" outlineLevel="0" collapsed="false">
      <c r="A2888" s="747"/>
      <c r="B2888" s="798"/>
      <c r="D2888" s="798"/>
      <c r="E2888" s="798"/>
      <c r="F2888" s="798"/>
      <c r="G2888" s="798"/>
      <c r="J2888" s="778" t="str">
        <f aca="false">IF(I2888="","",H2888/I2888)</f>
        <v/>
      </c>
      <c r="K2888" s="798"/>
      <c r="P2888" s="798"/>
      <c r="Q2888" s="798"/>
      <c r="R2888" s="811"/>
    </row>
    <row r="2889" customFormat="false" ht="16.5" hidden="false" customHeight="true" outlineLevel="0" collapsed="false">
      <c r="A2889" s="747"/>
      <c r="B2889" s="798"/>
      <c r="D2889" s="798"/>
      <c r="E2889" s="798"/>
      <c r="F2889" s="798"/>
      <c r="G2889" s="798"/>
      <c r="J2889" s="778" t="str">
        <f aca="false">IF(I2889="","",H2889/I2889)</f>
        <v/>
      </c>
      <c r="K2889" s="798"/>
      <c r="P2889" s="798"/>
      <c r="Q2889" s="798"/>
      <c r="R2889" s="811"/>
    </row>
    <row r="2890" customFormat="false" ht="16.5" hidden="false" customHeight="true" outlineLevel="0" collapsed="false">
      <c r="A2890" s="747"/>
      <c r="B2890" s="798"/>
      <c r="D2890" s="798"/>
      <c r="E2890" s="798"/>
      <c r="F2890" s="798"/>
      <c r="G2890" s="798"/>
      <c r="J2890" s="778" t="str">
        <f aca="false">IF(I2890="","",H2890/I2890)</f>
        <v/>
      </c>
      <c r="K2890" s="798"/>
      <c r="P2890" s="798"/>
      <c r="Q2890" s="798"/>
      <c r="R2890" s="811"/>
    </row>
    <row r="2891" customFormat="false" ht="16.5" hidden="false" customHeight="true" outlineLevel="0" collapsed="false">
      <c r="A2891" s="747"/>
      <c r="B2891" s="798"/>
      <c r="D2891" s="798"/>
      <c r="E2891" s="798"/>
      <c r="F2891" s="798"/>
      <c r="G2891" s="798"/>
      <c r="J2891" s="778" t="str">
        <f aca="false">IF(I2891="","",H2891/I2891)</f>
        <v/>
      </c>
      <c r="K2891" s="798"/>
      <c r="P2891" s="798"/>
      <c r="Q2891" s="798"/>
      <c r="R2891" s="811"/>
    </row>
    <row r="2892" customFormat="false" ht="16.5" hidden="false" customHeight="true" outlineLevel="0" collapsed="false">
      <c r="A2892" s="747"/>
      <c r="B2892" s="798"/>
      <c r="D2892" s="798"/>
      <c r="E2892" s="798"/>
      <c r="F2892" s="798"/>
      <c r="G2892" s="798"/>
      <c r="J2892" s="778" t="str">
        <f aca="false">IF(I2892="","",H2892/I2892)</f>
        <v/>
      </c>
      <c r="K2892" s="798"/>
      <c r="P2892" s="798"/>
      <c r="Q2892" s="798"/>
      <c r="R2892" s="811"/>
    </row>
    <row r="2893" customFormat="false" ht="16.5" hidden="false" customHeight="true" outlineLevel="0" collapsed="false">
      <c r="A2893" s="747"/>
      <c r="B2893" s="798"/>
      <c r="D2893" s="798"/>
      <c r="E2893" s="798"/>
      <c r="F2893" s="798"/>
      <c r="G2893" s="798"/>
      <c r="J2893" s="778" t="str">
        <f aca="false">IF(I2893="","",H2893/I2893)</f>
        <v/>
      </c>
      <c r="K2893" s="798"/>
      <c r="P2893" s="798"/>
      <c r="Q2893" s="798"/>
      <c r="R2893" s="811"/>
    </row>
    <row r="2894" customFormat="false" ht="16.5" hidden="false" customHeight="true" outlineLevel="0" collapsed="false">
      <c r="A2894" s="747"/>
      <c r="B2894" s="798"/>
      <c r="D2894" s="798"/>
      <c r="E2894" s="798"/>
      <c r="F2894" s="798"/>
      <c r="G2894" s="798"/>
      <c r="J2894" s="778" t="str">
        <f aca="false">IF(I2894="","",H2894/I2894)</f>
        <v/>
      </c>
      <c r="K2894" s="798"/>
      <c r="P2894" s="798"/>
      <c r="Q2894" s="798"/>
      <c r="R2894" s="811"/>
    </row>
    <row r="2895" customFormat="false" ht="16.5" hidden="false" customHeight="true" outlineLevel="0" collapsed="false">
      <c r="A2895" s="747"/>
      <c r="B2895" s="798"/>
      <c r="D2895" s="798"/>
      <c r="E2895" s="798"/>
      <c r="F2895" s="798"/>
      <c r="G2895" s="798"/>
      <c r="J2895" s="778" t="str">
        <f aca="false">IF(I2895="","",H2895/I2895)</f>
        <v/>
      </c>
      <c r="K2895" s="798"/>
      <c r="P2895" s="798"/>
      <c r="Q2895" s="798"/>
      <c r="R2895" s="811"/>
    </row>
    <row r="2896" customFormat="false" ht="16.5" hidden="false" customHeight="true" outlineLevel="0" collapsed="false">
      <c r="A2896" s="747"/>
      <c r="B2896" s="798"/>
      <c r="D2896" s="798"/>
      <c r="E2896" s="798"/>
      <c r="F2896" s="798"/>
      <c r="G2896" s="798"/>
      <c r="J2896" s="778" t="str">
        <f aca="false">IF(I2896="","",H2896/I2896)</f>
        <v/>
      </c>
      <c r="K2896" s="798"/>
      <c r="P2896" s="798"/>
      <c r="Q2896" s="798"/>
      <c r="R2896" s="811"/>
    </row>
    <row r="2897" customFormat="false" ht="16.5" hidden="false" customHeight="true" outlineLevel="0" collapsed="false">
      <c r="A2897" s="747"/>
      <c r="B2897" s="798"/>
      <c r="D2897" s="798"/>
      <c r="E2897" s="798"/>
      <c r="F2897" s="798"/>
      <c r="G2897" s="798"/>
      <c r="J2897" s="778" t="str">
        <f aca="false">IF(I2897="","",H2897/I2897)</f>
        <v/>
      </c>
      <c r="K2897" s="798"/>
      <c r="P2897" s="798"/>
      <c r="Q2897" s="798"/>
      <c r="R2897" s="811"/>
    </row>
    <row r="2898" customFormat="false" ht="16.5" hidden="false" customHeight="true" outlineLevel="0" collapsed="false">
      <c r="A2898" s="747"/>
      <c r="B2898" s="798"/>
      <c r="D2898" s="798"/>
      <c r="E2898" s="798"/>
      <c r="F2898" s="798"/>
      <c r="G2898" s="798"/>
      <c r="J2898" s="778" t="str">
        <f aca="false">IF(I2898="","",H2898/I2898)</f>
        <v/>
      </c>
      <c r="K2898" s="798"/>
      <c r="P2898" s="798"/>
      <c r="Q2898" s="798"/>
      <c r="R2898" s="811"/>
    </row>
    <row r="2899" customFormat="false" ht="16.5" hidden="false" customHeight="true" outlineLevel="0" collapsed="false">
      <c r="A2899" s="747"/>
      <c r="B2899" s="798"/>
      <c r="D2899" s="798"/>
      <c r="E2899" s="798"/>
      <c r="F2899" s="798"/>
      <c r="G2899" s="798"/>
      <c r="J2899" s="778" t="str">
        <f aca="false">IF(I2899="","",H2899/I2899)</f>
        <v/>
      </c>
      <c r="K2899" s="798"/>
      <c r="P2899" s="798"/>
      <c r="Q2899" s="798"/>
      <c r="R2899" s="811"/>
    </row>
    <row r="2900" customFormat="false" ht="16.5" hidden="false" customHeight="true" outlineLevel="0" collapsed="false">
      <c r="A2900" s="747"/>
      <c r="B2900" s="798"/>
      <c r="D2900" s="798"/>
      <c r="E2900" s="798"/>
      <c r="F2900" s="798"/>
      <c r="G2900" s="798"/>
      <c r="J2900" s="778" t="str">
        <f aca="false">IF(I2900="","",H2900/I2900)</f>
        <v/>
      </c>
      <c r="K2900" s="798"/>
      <c r="P2900" s="798"/>
      <c r="Q2900" s="798"/>
      <c r="R2900" s="811"/>
    </row>
    <row r="2901" customFormat="false" ht="16.5" hidden="false" customHeight="true" outlineLevel="0" collapsed="false">
      <c r="A2901" s="747"/>
      <c r="B2901" s="798"/>
      <c r="D2901" s="798"/>
      <c r="E2901" s="798"/>
      <c r="F2901" s="798"/>
      <c r="G2901" s="798"/>
      <c r="J2901" s="778" t="str">
        <f aca="false">IF(I2901="","",H2901/I2901)</f>
        <v/>
      </c>
      <c r="K2901" s="798"/>
      <c r="P2901" s="798"/>
      <c r="Q2901" s="798"/>
      <c r="R2901" s="811"/>
    </row>
    <row r="2902" customFormat="false" ht="16.5" hidden="false" customHeight="true" outlineLevel="0" collapsed="false">
      <c r="A2902" s="747"/>
      <c r="B2902" s="798"/>
      <c r="D2902" s="798"/>
      <c r="E2902" s="798"/>
      <c r="F2902" s="798"/>
      <c r="G2902" s="798"/>
      <c r="J2902" s="778" t="str">
        <f aca="false">IF(I2902="","",H2902/I2902)</f>
        <v/>
      </c>
      <c r="K2902" s="798"/>
      <c r="P2902" s="798"/>
      <c r="Q2902" s="798"/>
      <c r="R2902" s="811"/>
    </row>
    <row r="2903" customFormat="false" ht="16.5" hidden="false" customHeight="true" outlineLevel="0" collapsed="false">
      <c r="A2903" s="747"/>
      <c r="B2903" s="798"/>
      <c r="D2903" s="798"/>
      <c r="E2903" s="798"/>
      <c r="F2903" s="798"/>
      <c r="G2903" s="798"/>
      <c r="J2903" s="778" t="str">
        <f aca="false">IF(I2903="","",H2903/I2903)</f>
        <v/>
      </c>
      <c r="K2903" s="798"/>
      <c r="P2903" s="798"/>
      <c r="Q2903" s="798"/>
      <c r="R2903" s="811"/>
    </row>
    <row r="2904" customFormat="false" ht="16.5" hidden="false" customHeight="true" outlineLevel="0" collapsed="false">
      <c r="A2904" s="747"/>
      <c r="B2904" s="798"/>
      <c r="D2904" s="798"/>
      <c r="E2904" s="798"/>
      <c r="F2904" s="798"/>
      <c r="G2904" s="798"/>
      <c r="J2904" s="778" t="str">
        <f aca="false">IF(I2904="","",H2904/I2904)</f>
        <v/>
      </c>
      <c r="K2904" s="798"/>
      <c r="P2904" s="798"/>
      <c r="Q2904" s="798"/>
      <c r="R2904" s="811"/>
    </row>
    <row r="2905" customFormat="false" ht="16.5" hidden="false" customHeight="true" outlineLevel="0" collapsed="false">
      <c r="A2905" s="747"/>
      <c r="B2905" s="798"/>
      <c r="D2905" s="798"/>
      <c r="E2905" s="798"/>
      <c r="F2905" s="798"/>
      <c r="G2905" s="798"/>
      <c r="J2905" s="778" t="str">
        <f aca="false">IF(I2905="","",H2905/I2905)</f>
        <v/>
      </c>
      <c r="K2905" s="798"/>
      <c r="P2905" s="798"/>
      <c r="Q2905" s="798"/>
      <c r="R2905" s="811"/>
    </row>
    <row r="2906" customFormat="false" ht="16.5" hidden="false" customHeight="true" outlineLevel="0" collapsed="false">
      <c r="A2906" s="747"/>
      <c r="B2906" s="798"/>
      <c r="D2906" s="798"/>
      <c r="E2906" s="798"/>
      <c r="F2906" s="798"/>
      <c r="G2906" s="798"/>
      <c r="J2906" s="778" t="str">
        <f aca="false">IF(I2906="","",H2906/I2906)</f>
        <v/>
      </c>
      <c r="K2906" s="798"/>
      <c r="P2906" s="798"/>
      <c r="Q2906" s="798"/>
      <c r="R2906" s="811"/>
    </row>
    <row r="2907" customFormat="false" ht="16.5" hidden="false" customHeight="true" outlineLevel="0" collapsed="false">
      <c r="A2907" s="747"/>
      <c r="B2907" s="798"/>
      <c r="D2907" s="798"/>
      <c r="E2907" s="798"/>
      <c r="F2907" s="798"/>
      <c r="G2907" s="798"/>
      <c r="J2907" s="778" t="str">
        <f aca="false">IF(I2907="","",H2907/I2907)</f>
        <v/>
      </c>
      <c r="K2907" s="798"/>
      <c r="P2907" s="798"/>
      <c r="Q2907" s="798"/>
      <c r="R2907" s="811"/>
    </row>
    <row r="2908" customFormat="false" ht="16.5" hidden="false" customHeight="true" outlineLevel="0" collapsed="false">
      <c r="A2908" s="747"/>
      <c r="B2908" s="798"/>
      <c r="D2908" s="798"/>
      <c r="E2908" s="798"/>
      <c r="F2908" s="798"/>
      <c r="G2908" s="798"/>
      <c r="J2908" s="778" t="str">
        <f aca="false">IF(I2908="","",H2908/I2908)</f>
        <v/>
      </c>
      <c r="K2908" s="798"/>
      <c r="P2908" s="798"/>
      <c r="Q2908" s="798"/>
      <c r="R2908" s="811"/>
    </row>
    <row r="2909" customFormat="false" ht="16.5" hidden="false" customHeight="true" outlineLevel="0" collapsed="false">
      <c r="A2909" s="747"/>
      <c r="B2909" s="798"/>
      <c r="D2909" s="798"/>
      <c r="E2909" s="798"/>
      <c r="F2909" s="798"/>
      <c r="G2909" s="798"/>
      <c r="J2909" s="778" t="str">
        <f aca="false">IF(I2909="","",H2909/I2909)</f>
        <v/>
      </c>
      <c r="K2909" s="798"/>
      <c r="P2909" s="798"/>
      <c r="Q2909" s="798"/>
      <c r="R2909" s="811"/>
    </row>
    <row r="2910" customFormat="false" ht="16.5" hidden="false" customHeight="true" outlineLevel="0" collapsed="false">
      <c r="A2910" s="747"/>
      <c r="B2910" s="798"/>
      <c r="D2910" s="798"/>
      <c r="E2910" s="798"/>
      <c r="F2910" s="798"/>
      <c r="G2910" s="798"/>
      <c r="J2910" s="778" t="str">
        <f aca="false">IF(I2910="","",H2910/I2910)</f>
        <v/>
      </c>
      <c r="K2910" s="798"/>
      <c r="P2910" s="798"/>
      <c r="Q2910" s="798"/>
      <c r="R2910" s="811"/>
    </row>
    <row r="2911" customFormat="false" ht="16.5" hidden="false" customHeight="true" outlineLevel="0" collapsed="false">
      <c r="A2911" s="747"/>
      <c r="B2911" s="798"/>
      <c r="D2911" s="798"/>
      <c r="E2911" s="798"/>
      <c r="F2911" s="798"/>
      <c r="G2911" s="798"/>
      <c r="J2911" s="778" t="str">
        <f aca="false">IF(I2911="","",H2911/I2911)</f>
        <v/>
      </c>
      <c r="K2911" s="798"/>
      <c r="P2911" s="798"/>
      <c r="Q2911" s="798"/>
      <c r="R2911" s="811"/>
    </row>
    <row r="2912" customFormat="false" ht="16.5" hidden="false" customHeight="true" outlineLevel="0" collapsed="false">
      <c r="A2912" s="747"/>
      <c r="B2912" s="798"/>
      <c r="D2912" s="798"/>
      <c r="E2912" s="798"/>
      <c r="F2912" s="798"/>
      <c r="G2912" s="798"/>
      <c r="J2912" s="778" t="str">
        <f aca="false">IF(I2912="","",H2912/I2912)</f>
        <v/>
      </c>
      <c r="K2912" s="798"/>
      <c r="P2912" s="798"/>
      <c r="Q2912" s="798"/>
      <c r="R2912" s="811"/>
    </row>
    <row r="2913" customFormat="false" ht="16.5" hidden="false" customHeight="true" outlineLevel="0" collapsed="false">
      <c r="A2913" s="747"/>
      <c r="B2913" s="798"/>
      <c r="D2913" s="798"/>
      <c r="E2913" s="798"/>
      <c r="F2913" s="798"/>
      <c r="G2913" s="798"/>
      <c r="J2913" s="778" t="str">
        <f aca="false">IF(I2913="","",H2913/I2913)</f>
        <v/>
      </c>
      <c r="K2913" s="798"/>
      <c r="P2913" s="798"/>
      <c r="Q2913" s="798"/>
      <c r="R2913" s="811"/>
    </row>
    <row r="2914" customFormat="false" ht="16.5" hidden="false" customHeight="true" outlineLevel="0" collapsed="false">
      <c r="A2914" s="747"/>
      <c r="B2914" s="798"/>
      <c r="D2914" s="798"/>
      <c r="E2914" s="798"/>
      <c r="F2914" s="798"/>
      <c r="G2914" s="798"/>
      <c r="J2914" s="778" t="str">
        <f aca="false">IF(I2914="","",H2914/I2914)</f>
        <v/>
      </c>
      <c r="K2914" s="798"/>
      <c r="P2914" s="798"/>
      <c r="Q2914" s="798"/>
      <c r="R2914" s="811"/>
    </row>
    <row r="2915" customFormat="false" ht="16.5" hidden="false" customHeight="true" outlineLevel="0" collapsed="false">
      <c r="A2915" s="747"/>
      <c r="B2915" s="798"/>
      <c r="D2915" s="798"/>
      <c r="E2915" s="798"/>
      <c r="F2915" s="798"/>
      <c r="G2915" s="798"/>
      <c r="J2915" s="778" t="str">
        <f aca="false">IF(I2915="","",H2915/I2915)</f>
        <v/>
      </c>
      <c r="K2915" s="798"/>
      <c r="P2915" s="798"/>
      <c r="Q2915" s="798"/>
      <c r="R2915" s="811"/>
    </row>
    <row r="2916" customFormat="false" ht="16.5" hidden="false" customHeight="true" outlineLevel="0" collapsed="false">
      <c r="A2916" s="747"/>
      <c r="B2916" s="798"/>
      <c r="D2916" s="798"/>
      <c r="E2916" s="798"/>
      <c r="F2916" s="798"/>
      <c r="G2916" s="798"/>
      <c r="J2916" s="778" t="str">
        <f aca="false">IF(I2916="","",H2916/I2916)</f>
        <v/>
      </c>
      <c r="K2916" s="798"/>
      <c r="P2916" s="798"/>
      <c r="Q2916" s="798"/>
      <c r="R2916" s="811"/>
    </row>
    <row r="2917" customFormat="false" ht="16.5" hidden="false" customHeight="true" outlineLevel="0" collapsed="false">
      <c r="A2917" s="747"/>
      <c r="B2917" s="798"/>
      <c r="D2917" s="798"/>
      <c r="E2917" s="798"/>
      <c r="F2917" s="798"/>
      <c r="G2917" s="798"/>
      <c r="J2917" s="778" t="str">
        <f aca="false">IF(I2917="","",H2917/I2917)</f>
        <v/>
      </c>
      <c r="K2917" s="798"/>
      <c r="P2917" s="798"/>
      <c r="Q2917" s="798"/>
      <c r="R2917" s="811"/>
    </row>
    <row r="2918" customFormat="false" ht="16.5" hidden="false" customHeight="true" outlineLevel="0" collapsed="false">
      <c r="A2918" s="747"/>
      <c r="B2918" s="798"/>
      <c r="D2918" s="798"/>
      <c r="E2918" s="798"/>
      <c r="F2918" s="798"/>
      <c r="G2918" s="798"/>
      <c r="J2918" s="778" t="str">
        <f aca="false">IF(I2918="","",H2918/I2918)</f>
        <v/>
      </c>
      <c r="K2918" s="798"/>
      <c r="P2918" s="798"/>
      <c r="Q2918" s="798"/>
      <c r="R2918" s="811"/>
    </row>
    <row r="2919" customFormat="false" ht="16.5" hidden="false" customHeight="true" outlineLevel="0" collapsed="false">
      <c r="A2919" s="747"/>
      <c r="B2919" s="798"/>
      <c r="D2919" s="798"/>
      <c r="E2919" s="798"/>
      <c r="F2919" s="798"/>
      <c r="G2919" s="798"/>
      <c r="J2919" s="778" t="str">
        <f aca="false">IF(I2919="","",H2919/I2919)</f>
        <v/>
      </c>
      <c r="K2919" s="798"/>
      <c r="P2919" s="798"/>
      <c r="Q2919" s="798"/>
      <c r="R2919" s="811"/>
    </row>
    <row r="2920" customFormat="false" ht="16.5" hidden="false" customHeight="true" outlineLevel="0" collapsed="false">
      <c r="A2920" s="747"/>
      <c r="B2920" s="798"/>
      <c r="D2920" s="798"/>
      <c r="E2920" s="798"/>
      <c r="F2920" s="798"/>
      <c r="G2920" s="798"/>
      <c r="J2920" s="778" t="str">
        <f aca="false">IF(I2920="","",H2920/I2920)</f>
        <v/>
      </c>
      <c r="K2920" s="798"/>
      <c r="P2920" s="798"/>
      <c r="Q2920" s="798"/>
      <c r="R2920" s="811"/>
    </row>
    <row r="2921" customFormat="false" ht="16.5" hidden="false" customHeight="true" outlineLevel="0" collapsed="false">
      <c r="A2921" s="747"/>
      <c r="B2921" s="798"/>
      <c r="D2921" s="798"/>
      <c r="E2921" s="798"/>
      <c r="F2921" s="798"/>
      <c r="G2921" s="798"/>
      <c r="J2921" s="778" t="str">
        <f aca="false">IF(I2921="","",H2921/I2921)</f>
        <v/>
      </c>
      <c r="K2921" s="798"/>
      <c r="P2921" s="798"/>
      <c r="Q2921" s="798"/>
      <c r="R2921" s="811"/>
    </row>
    <row r="2922" customFormat="false" ht="16.5" hidden="false" customHeight="true" outlineLevel="0" collapsed="false">
      <c r="A2922" s="747"/>
      <c r="B2922" s="798"/>
      <c r="D2922" s="798"/>
      <c r="E2922" s="798"/>
      <c r="F2922" s="798"/>
      <c r="G2922" s="798"/>
      <c r="J2922" s="778" t="str">
        <f aca="false">IF(I2922="","",H2922/I2922)</f>
        <v/>
      </c>
      <c r="K2922" s="798"/>
      <c r="P2922" s="798"/>
      <c r="Q2922" s="798"/>
      <c r="R2922" s="811"/>
    </row>
    <row r="2923" customFormat="false" ht="16.5" hidden="false" customHeight="true" outlineLevel="0" collapsed="false">
      <c r="A2923" s="747"/>
      <c r="B2923" s="798"/>
      <c r="D2923" s="798"/>
      <c r="E2923" s="798"/>
      <c r="F2923" s="798"/>
      <c r="G2923" s="798"/>
      <c r="J2923" s="778" t="str">
        <f aca="false">IF(I2923="","",H2923/I2923)</f>
        <v/>
      </c>
      <c r="K2923" s="798"/>
      <c r="P2923" s="798"/>
      <c r="Q2923" s="798"/>
      <c r="R2923" s="811"/>
    </row>
    <row r="2924" customFormat="false" ht="16.5" hidden="false" customHeight="true" outlineLevel="0" collapsed="false">
      <c r="A2924" s="747"/>
      <c r="B2924" s="798"/>
      <c r="D2924" s="798"/>
      <c r="E2924" s="798"/>
      <c r="F2924" s="798"/>
      <c r="G2924" s="798"/>
      <c r="J2924" s="778" t="str">
        <f aca="false">IF(I2924="","",H2924/I2924)</f>
        <v/>
      </c>
      <c r="K2924" s="798"/>
      <c r="P2924" s="798"/>
      <c r="Q2924" s="798"/>
      <c r="R2924" s="811"/>
    </row>
    <row r="2925" customFormat="false" ht="16.5" hidden="false" customHeight="true" outlineLevel="0" collapsed="false">
      <c r="A2925" s="747"/>
      <c r="B2925" s="798"/>
      <c r="D2925" s="798"/>
      <c r="E2925" s="798"/>
      <c r="F2925" s="798"/>
      <c r="G2925" s="798"/>
      <c r="J2925" s="778" t="str">
        <f aca="false">IF(I2925="","",H2925/I2925)</f>
        <v/>
      </c>
      <c r="K2925" s="798"/>
      <c r="P2925" s="798"/>
      <c r="Q2925" s="798"/>
      <c r="R2925" s="811"/>
    </row>
    <row r="2926" customFormat="false" ht="16.5" hidden="false" customHeight="true" outlineLevel="0" collapsed="false">
      <c r="A2926" s="747"/>
      <c r="B2926" s="798"/>
      <c r="D2926" s="798"/>
      <c r="E2926" s="798"/>
      <c r="F2926" s="798"/>
      <c r="G2926" s="798"/>
      <c r="J2926" s="778" t="str">
        <f aca="false">IF(I2926="","",H2926/I2926)</f>
        <v/>
      </c>
      <c r="K2926" s="798"/>
      <c r="P2926" s="798"/>
      <c r="Q2926" s="798"/>
      <c r="R2926" s="811"/>
    </row>
    <row r="2927" customFormat="false" ht="16.5" hidden="false" customHeight="true" outlineLevel="0" collapsed="false">
      <c r="A2927" s="747"/>
      <c r="B2927" s="798"/>
      <c r="D2927" s="798"/>
      <c r="E2927" s="798"/>
      <c r="F2927" s="798"/>
      <c r="G2927" s="798"/>
      <c r="J2927" s="778" t="str">
        <f aca="false">IF(I2927="","",H2927/I2927)</f>
        <v/>
      </c>
      <c r="K2927" s="798"/>
      <c r="P2927" s="798"/>
      <c r="Q2927" s="798"/>
      <c r="R2927" s="811"/>
    </row>
    <row r="2928" customFormat="false" ht="16.5" hidden="false" customHeight="true" outlineLevel="0" collapsed="false">
      <c r="A2928" s="747"/>
      <c r="B2928" s="798"/>
      <c r="D2928" s="798"/>
      <c r="E2928" s="798"/>
      <c r="F2928" s="798"/>
      <c r="G2928" s="798"/>
      <c r="J2928" s="778" t="str">
        <f aca="false">IF(I2928="","",H2928/I2928)</f>
        <v/>
      </c>
      <c r="K2928" s="798"/>
      <c r="P2928" s="798"/>
      <c r="Q2928" s="798"/>
      <c r="R2928" s="811"/>
    </row>
    <row r="2929" customFormat="false" ht="16.5" hidden="false" customHeight="true" outlineLevel="0" collapsed="false">
      <c r="A2929" s="747"/>
      <c r="B2929" s="798"/>
      <c r="D2929" s="798"/>
      <c r="E2929" s="798"/>
      <c r="F2929" s="798"/>
      <c r="G2929" s="798"/>
      <c r="J2929" s="778" t="str">
        <f aca="false">IF(I2929="","",H2929/I2929)</f>
        <v/>
      </c>
      <c r="K2929" s="798"/>
      <c r="P2929" s="798"/>
      <c r="Q2929" s="798"/>
      <c r="R2929" s="811"/>
    </row>
    <row r="2930" customFormat="false" ht="16.5" hidden="false" customHeight="true" outlineLevel="0" collapsed="false">
      <c r="A2930" s="747"/>
      <c r="B2930" s="798"/>
      <c r="D2930" s="798"/>
      <c r="E2930" s="798"/>
      <c r="F2930" s="798"/>
      <c r="G2930" s="798"/>
      <c r="J2930" s="778" t="str">
        <f aca="false">IF(I2930="","",H2930/I2930)</f>
        <v/>
      </c>
      <c r="K2930" s="798"/>
      <c r="P2930" s="798"/>
      <c r="Q2930" s="798"/>
      <c r="R2930" s="811"/>
    </row>
    <row r="2931" customFormat="false" ht="16.5" hidden="false" customHeight="true" outlineLevel="0" collapsed="false">
      <c r="A2931" s="747"/>
      <c r="B2931" s="798"/>
      <c r="D2931" s="798"/>
      <c r="E2931" s="798"/>
      <c r="F2931" s="798"/>
      <c r="G2931" s="798"/>
      <c r="J2931" s="778" t="str">
        <f aca="false">IF(I2931="","",H2931/I2931)</f>
        <v/>
      </c>
      <c r="K2931" s="798"/>
      <c r="P2931" s="798"/>
      <c r="Q2931" s="798"/>
      <c r="R2931" s="811"/>
    </row>
    <row r="2932" customFormat="false" ht="16.5" hidden="false" customHeight="true" outlineLevel="0" collapsed="false">
      <c r="A2932" s="747"/>
      <c r="B2932" s="798"/>
      <c r="D2932" s="798"/>
      <c r="E2932" s="798"/>
      <c r="F2932" s="798"/>
      <c r="G2932" s="798"/>
      <c r="J2932" s="778" t="str">
        <f aca="false">IF(I2932="","",H2932/I2932)</f>
        <v/>
      </c>
      <c r="K2932" s="798"/>
      <c r="P2932" s="798"/>
      <c r="Q2932" s="798"/>
      <c r="R2932" s="811"/>
    </row>
    <row r="2933" customFormat="false" ht="16.5" hidden="false" customHeight="true" outlineLevel="0" collapsed="false">
      <c r="A2933" s="747"/>
      <c r="B2933" s="798"/>
      <c r="D2933" s="798"/>
      <c r="E2933" s="798"/>
      <c r="F2933" s="798"/>
      <c r="G2933" s="798"/>
      <c r="J2933" s="778" t="str">
        <f aca="false">IF(I2933="","",H2933/I2933)</f>
        <v/>
      </c>
      <c r="K2933" s="798"/>
      <c r="P2933" s="798"/>
      <c r="Q2933" s="798"/>
      <c r="R2933" s="811"/>
    </row>
    <row r="2934" customFormat="false" ht="16.5" hidden="false" customHeight="true" outlineLevel="0" collapsed="false">
      <c r="A2934" s="747"/>
      <c r="B2934" s="798"/>
      <c r="D2934" s="798"/>
      <c r="E2934" s="798"/>
      <c r="F2934" s="798"/>
      <c r="G2934" s="798"/>
      <c r="J2934" s="778" t="str">
        <f aca="false">IF(I2934="","",H2934/I2934)</f>
        <v/>
      </c>
      <c r="K2934" s="798"/>
      <c r="P2934" s="798"/>
      <c r="Q2934" s="798"/>
      <c r="R2934" s="811"/>
    </row>
    <row r="2935" customFormat="false" ht="16.5" hidden="false" customHeight="true" outlineLevel="0" collapsed="false">
      <c r="A2935" s="747"/>
      <c r="B2935" s="798"/>
      <c r="D2935" s="798"/>
      <c r="E2935" s="798"/>
      <c r="F2935" s="798"/>
      <c r="G2935" s="798"/>
      <c r="J2935" s="778" t="str">
        <f aca="false">IF(I2935="","",H2935/I2935)</f>
        <v/>
      </c>
      <c r="K2935" s="798"/>
      <c r="P2935" s="798"/>
      <c r="Q2935" s="798"/>
      <c r="R2935" s="811"/>
    </row>
    <row r="2936" customFormat="false" ht="16.5" hidden="false" customHeight="true" outlineLevel="0" collapsed="false">
      <c r="A2936" s="747"/>
      <c r="B2936" s="798"/>
      <c r="D2936" s="798"/>
      <c r="E2936" s="798"/>
      <c r="F2936" s="798"/>
      <c r="G2936" s="798"/>
      <c r="J2936" s="778" t="str">
        <f aca="false">IF(I2936="","",H2936/I2936)</f>
        <v/>
      </c>
      <c r="K2936" s="798"/>
      <c r="P2936" s="798"/>
      <c r="Q2936" s="798"/>
      <c r="R2936" s="811"/>
    </row>
    <row r="2937" customFormat="false" ht="16.5" hidden="false" customHeight="true" outlineLevel="0" collapsed="false">
      <c r="A2937" s="747"/>
      <c r="B2937" s="798"/>
      <c r="D2937" s="798"/>
      <c r="E2937" s="798"/>
      <c r="F2937" s="798"/>
      <c r="G2937" s="798"/>
      <c r="J2937" s="778" t="str">
        <f aca="false">IF(I2937="","",H2937/I2937)</f>
        <v/>
      </c>
      <c r="K2937" s="798"/>
      <c r="P2937" s="798"/>
      <c r="Q2937" s="798"/>
      <c r="R2937" s="811"/>
    </row>
    <row r="2938" customFormat="false" ht="16.5" hidden="false" customHeight="true" outlineLevel="0" collapsed="false">
      <c r="A2938" s="747"/>
      <c r="B2938" s="798"/>
      <c r="D2938" s="798"/>
      <c r="E2938" s="798"/>
      <c r="F2938" s="798"/>
      <c r="G2938" s="798"/>
      <c r="J2938" s="778" t="str">
        <f aca="false">IF(I2938="","",H2938/I2938)</f>
        <v/>
      </c>
      <c r="K2938" s="798"/>
      <c r="P2938" s="798"/>
      <c r="Q2938" s="798"/>
      <c r="R2938" s="811"/>
    </row>
    <row r="2939" customFormat="false" ht="16.5" hidden="false" customHeight="true" outlineLevel="0" collapsed="false">
      <c r="A2939" s="747"/>
      <c r="B2939" s="798"/>
      <c r="D2939" s="798"/>
      <c r="E2939" s="798"/>
      <c r="F2939" s="798"/>
      <c r="G2939" s="798"/>
      <c r="J2939" s="778" t="str">
        <f aca="false">IF(I2939="","",H2939/I2939)</f>
        <v/>
      </c>
      <c r="K2939" s="798"/>
      <c r="P2939" s="798"/>
      <c r="Q2939" s="798"/>
      <c r="R2939" s="811"/>
    </row>
    <row r="2940" customFormat="false" ht="16.5" hidden="false" customHeight="true" outlineLevel="0" collapsed="false">
      <c r="A2940" s="747"/>
      <c r="B2940" s="798"/>
      <c r="D2940" s="798"/>
      <c r="E2940" s="798"/>
      <c r="F2940" s="798"/>
      <c r="G2940" s="798"/>
      <c r="J2940" s="778" t="str">
        <f aca="false">IF(I2940="","",H2940/I2940)</f>
        <v/>
      </c>
      <c r="K2940" s="798"/>
      <c r="P2940" s="798"/>
      <c r="Q2940" s="798"/>
      <c r="R2940" s="811"/>
    </row>
    <row r="2941" customFormat="false" ht="16.5" hidden="false" customHeight="true" outlineLevel="0" collapsed="false">
      <c r="A2941" s="747"/>
      <c r="B2941" s="798"/>
      <c r="D2941" s="798"/>
      <c r="E2941" s="798"/>
      <c r="F2941" s="798"/>
      <c r="G2941" s="798"/>
      <c r="J2941" s="778" t="str">
        <f aca="false">IF(I2941="","",H2941/I2941)</f>
        <v/>
      </c>
      <c r="K2941" s="798"/>
      <c r="P2941" s="798"/>
      <c r="Q2941" s="798"/>
      <c r="R2941" s="811"/>
    </row>
    <row r="2942" customFormat="false" ht="16.5" hidden="false" customHeight="true" outlineLevel="0" collapsed="false">
      <c r="A2942" s="747"/>
      <c r="B2942" s="798"/>
      <c r="D2942" s="798"/>
      <c r="E2942" s="798"/>
      <c r="F2942" s="798"/>
      <c r="G2942" s="798"/>
      <c r="J2942" s="778" t="str">
        <f aca="false">IF(I2942="","",H2942/I2942)</f>
        <v/>
      </c>
      <c r="K2942" s="798"/>
      <c r="P2942" s="798"/>
      <c r="Q2942" s="798"/>
      <c r="R2942" s="811"/>
    </row>
    <row r="2943" customFormat="false" ht="16.5" hidden="false" customHeight="true" outlineLevel="0" collapsed="false">
      <c r="A2943" s="747"/>
      <c r="B2943" s="798"/>
      <c r="D2943" s="798"/>
      <c r="E2943" s="798"/>
      <c r="F2943" s="798"/>
      <c r="G2943" s="798"/>
      <c r="J2943" s="778" t="str">
        <f aca="false">IF(I2943="","",H2943/I2943)</f>
        <v/>
      </c>
      <c r="K2943" s="798"/>
      <c r="P2943" s="798"/>
      <c r="Q2943" s="798"/>
      <c r="R2943" s="811"/>
    </row>
    <row r="2944" customFormat="false" ht="16.5" hidden="false" customHeight="true" outlineLevel="0" collapsed="false">
      <c r="A2944" s="747"/>
      <c r="B2944" s="798"/>
      <c r="D2944" s="798"/>
      <c r="E2944" s="798"/>
      <c r="F2944" s="798"/>
      <c r="G2944" s="798"/>
      <c r="J2944" s="778" t="str">
        <f aca="false">IF(I2944="","",H2944/I2944)</f>
        <v/>
      </c>
      <c r="K2944" s="798"/>
      <c r="P2944" s="798"/>
      <c r="Q2944" s="798"/>
      <c r="R2944" s="811"/>
    </row>
    <row r="2945" customFormat="false" ht="16.5" hidden="false" customHeight="true" outlineLevel="0" collapsed="false">
      <c r="A2945" s="747"/>
      <c r="B2945" s="798"/>
      <c r="D2945" s="798"/>
      <c r="E2945" s="798"/>
      <c r="F2945" s="798"/>
      <c r="G2945" s="798"/>
      <c r="J2945" s="778" t="str">
        <f aca="false">IF(I2945="","",H2945/I2945)</f>
        <v/>
      </c>
      <c r="K2945" s="798"/>
      <c r="P2945" s="798"/>
      <c r="Q2945" s="798"/>
      <c r="R2945" s="811"/>
    </row>
    <row r="2946" customFormat="false" ht="16.5" hidden="false" customHeight="true" outlineLevel="0" collapsed="false">
      <c r="A2946" s="747"/>
      <c r="B2946" s="798"/>
      <c r="D2946" s="798"/>
      <c r="E2946" s="798"/>
      <c r="F2946" s="798"/>
      <c r="G2946" s="798"/>
      <c r="J2946" s="778" t="str">
        <f aca="false">IF(I2946="","",H2946/I2946)</f>
        <v/>
      </c>
      <c r="K2946" s="798"/>
      <c r="P2946" s="798"/>
      <c r="Q2946" s="798"/>
      <c r="R2946" s="811"/>
    </row>
    <row r="2947" customFormat="false" ht="16.5" hidden="false" customHeight="true" outlineLevel="0" collapsed="false">
      <c r="A2947" s="747"/>
      <c r="B2947" s="798"/>
      <c r="D2947" s="798"/>
      <c r="E2947" s="798"/>
      <c r="F2947" s="798"/>
      <c r="G2947" s="798"/>
      <c r="J2947" s="778" t="str">
        <f aca="false">IF(I2947="","",H2947/I2947)</f>
        <v/>
      </c>
      <c r="K2947" s="798"/>
      <c r="P2947" s="798"/>
      <c r="Q2947" s="798"/>
      <c r="R2947" s="811"/>
    </row>
    <row r="2948" customFormat="false" ht="16.5" hidden="false" customHeight="true" outlineLevel="0" collapsed="false">
      <c r="A2948" s="747"/>
      <c r="B2948" s="798"/>
      <c r="D2948" s="798"/>
      <c r="E2948" s="798"/>
      <c r="F2948" s="798"/>
      <c r="G2948" s="798"/>
      <c r="J2948" s="778" t="str">
        <f aca="false">IF(I2948="","",H2948/I2948)</f>
        <v/>
      </c>
      <c r="K2948" s="798"/>
      <c r="P2948" s="798"/>
      <c r="Q2948" s="798"/>
      <c r="R2948" s="811"/>
    </row>
    <row r="2949" customFormat="false" ht="16.5" hidden="false" customHeight="true" outlineLevel="0" collapsed="false">
      <c r="A2949" s="747"/>
      <c r="B2949" s="798"/>
      <c r="D2949" s="798"/>
      <c r="E2949" s="798"/>
      <c r="F2949" s="798"/>
      <c r="G2949" s="798"/>
      <c r="J2949" s="778" t="str">
        <f aca="false">IF(I2949="","",H2949/I2949)</f>
        <v/>
      </c>
      <c r="K2949" s="798"/>
      <c r="P2949" s="798"/>
      <c r="Q2949" s="798"/>
      <c r="R2949" s="811"/>
    </row>
    <row r="2950" customFormat="false" ht="16.5" hidden="false" customHeight="true" outlineLevel="0" collapsed="false">
      <c r="A2950" s="747"/>
      <c r="B2950" s="798"/>
      <c r="D2950" s="798"/>
      <c r="E2950" s="798"/>
      <c r="F2950" s="798"/>
      <c r="G2950" s="798"/>
      <c r="J2950" s="778" t="str">
        <f aca="false">IF(I2950="","",H2950/I2950)</f>
        <v/>
      </c>
      <c r="K2950" s="798"/>
      <c r="P2950" s="798"/>
      <c r="Q2950" s="798"/>
      <c r="R2950" s="811"/>
    </row>
    <row r="2951" customFormat="false" ht="16.5" hidden="false" customHeight="true" outlineLevel="0" collapsed="false">
      <c r="A2951" s="747"/>
      <c r="B2951" s="798"/>
      <c r="D2951" s="798"/>
      <c r="E2951" s="798"/>
      <c r="F2951" s="798"/>
      <c r="G2951" s="798"/>
      <c r="J2951" s="778" t="str">
        <f aca="false">IF(I2951="","",H2951/I2951)</f>
        <v/>
      </c>
      <c r="K2951" s="798"/>
      <c r="P2951" s="798"/>
      <c r="Q2951" s="798"/>
      <c r="R2951" s="811"/>
    </row>
    <row r="2952" customFormat="false" ht="16.5" hidden="false" customHeight="true" outlineLevel="0" collapsed="false">
      <c r="A2952" s="747"/>
      <c r="B2952" s="798"/>
      <c r="D2952" s="798"/>
      <c r="E2952" s="798"/>
      <c r="F2952" s="798"/>
      <c r="G2952" s="798"/>
      <c r="J2952" s="778" t="str">
        <f aca="false">IF(I2952="","",H2952/I2952)</f>
        <v/>
      </c>
      <c r="K2952" s="798"/>
      <c r="P2952" s="798"/>
      <c r="Q2952" s="798"/>
      <c r="R2952" s="811"/>
    </row>
    <row r="2953" customFormat="false" ht="16.5" hidden="false" customHeight="true" outlineLevel="0" collapsed="false">
      <c r="A2953" s="747"/>
      <c r="B2953" s="798"/>
      <c r="D2953" s="798"/>
      <c r="E2953" s="798"/>
      <c r="F2953" s="798"/>
      <c r="G2953" s="798"/>
      <c r="J2953" s="778" t="str">
        <f aca="false">IF(I2953="","",H2953/I2953)</f>
        <v/>
      </c>
      <c r="K2953" s="798"/>
      <c r="P2953" s="798"/>
      <c r="Q2953" s="798"/>
      <c r="R2953" s="811"/>
    </row>
    <row r="2954" customFormat="false" ht="16.5" hidden="false" customHeight="true" outlineLevel="0" collapsed="false">
      <c r="A2954" s="747"/>
      <c r="B2954" s="798"/>
      <c r="D2954" s="798"/>
      <c r="E2954" s="798"/>
      <c r="F2954" s="798"/>
      <c r="G2954" s="798"/>
      <c r="J2954" s="778" t="str">
        <f aca="false">IF(I2954="","",H2954/I2954)</f>
        <v/>
      </c>
      <c r="K2954" s="798"/>
      <c r="P2954" s="798"/>
      <c r="Q2954" s="798"/>
      <c r="R2954" s="811"/>
    </row>
    <row r="2955" customFormat="false" ht="16.5" hidden="false" customHeight="true" outlineLevel="0" collapsed="false">
      <c r="A2955" s="747"/>
      <c r="B2955" s="798"/>
      <c r="D2955" s="798"/>
      <c r="E2955" s="798"/>
      <c r="F2955" s="798"/>
      <c r="G2955" s="798"/>
      <c r="J2955" s="778" t="str">
        <f aca="false">IF(I2955="","",H2955/I2955)</f>
        <v/>
      </c>
      <c r="K2955" s="798"/>
      <c r="P2955" s="798"/>
      <c r="Q2955" s="798"/>
      <c r="R2955" s="811"/>
    </row>
    <row r="2956" customFormat="false" ht="16.5" hidden="false" customHeight="true" outlineLevel="0" collapsed="false">
      <c r="A2956" s="747"/>
      <c r="B2956" s="798"/>
      <c r="D2956" s="798"/>
      <c r="E2956" s="798"/>
      <c r="F2956" s="798"/>
      <c r="G2956" s="798"/>
      <c r="J2956" s="778" t="str">
        <f aca="false">IF(I2956="","",H2956/I2956)</f>
        <v/>
      </c>
      <c r="K2956" s="798"/>
      <c r="P2956" s="798"/>
      <c r="Q2956" s="798"/>
      <c r="R2956" s="811"/>
    </row>
    <row r="2957" customFormat="false" ht="16.5" hidden="false" customHeight="true" outlineLevel="0" collapsed="false">
      <c r="A2957" s="747"/>
      <c r="B2957" s="798"/>
      <c r="D2957" s="798"/>
      <c r="E2957" s="798"/>
      <c r="F2957" s="798"/>
      <c r="G2957" s="798"/>
      <c r="J2957" s="778" t="str">
        <f aca="false">IF(I2957="","",H2957/I2957)</f>
        <v/>
      </c>
      <c r="K2957" s="798"/>
      <c r="P2957" s="798"/>
      <c r="Q2957" s="798"/>
      <c r="R2957" s="811"/>
    </row>
    <row r="2958" customFormat="false" ht="16.5" hidden="false" customHeight="true" outlineLevel="0" collapsed="false">
      <c r="A2958" s="747"/>
      <c r="B2958" s="798"/>
      <c r="D2958" s="798"/>
      <c r="E2958" s="798"/>
      <c r="F2958" s="798"/>
      <c r="G2958" s="798"/>
      <c r="J2958" s="778" t="str">
        <f aca="false">IF(I2958="","",H2958/I2958)</f>
        <v/>
      </c>
      <c r="K2958" s="798"/>
      <c r="P2958" s="798"/>
      <c r="Q2958" s="798"/>
      <c r="R2958" s="811"/>
    </row>
    <row r="2959" customFormat="false" ht="16.5" hidden="false" customHeight="true" outlineLevel="0" collapsed="false">
      <c r="A2959" s="747"/>
      <c r="B2959" s="798"/>
      <c r="D2959" s="798"/>
      <c r="E2959" s="798"/>
      <c r="F2959" s="798"/>
      <c r="G2959" s="798"/>
      <c r="J2959" s="778" t="str">
        <f aca="false">IF(I2959="","",H2959/I2959)</f>
        <v/>
      </c>
      <c r="K2959" s="798"/>
      <c r="P2959" s="798"/>
      <c r="Q2959" s="798"/>
      <c r="R2959" s="811"/>
    </row>
    <row r="2960" customFormat="false" ht="16.5" hidden="false" customHeight="true" outlineLevel="0" collapsed="false">
      <c r="A2960" s="747"/>
      <c r="B2960" s="798"/>
      <c r="D2960" s="798"/>
      <c r="E2960" s="798"/>
      <c r="F2960" s="798"/>
      <c r="G2960" s="798"/>
      <c r="J2960" s="778" t="str">
        <f aca="false">IF(I2960="","",H2960/I2960)</f>
        <v/>
      </c>
      <c r="K2960" s="798"/>
      <c r="P2960" s="798"/>
      <c r="Q2960" s="798"/>
      <c r="R2960" s="811"/>
    </row>
    <row r="2961" customFormat="false" ht="16.5" hidden="false" customHeight="true" outlineLevel="0" collapsed="false">
      <c r="A2961" s="747"/>
      <c r="B2961" s="798"/>
      <c r="D2961" s="798"/>
      <c r="E2961" s="798"/>
      <c r="F2961" s="798"/>
      <c r="G2961" s="798"/>
      <c r="J2961" s="778" t="str">
        <f aca="false">IF(I2961="","",H2961/I2961)</f>
        <v/>
      </c>
      <c r="K2961" s="798"/>
      <c r="P2961" s="798"/>
      <c r="Q2961" s="798"/>
      <c r="R2961" s="811"/>
    </row>
    <row r="2962" customFormat="false" ht="16.5" hidden="false" customHeight="true" outlineLevel="0" collapsed="false">
      <c r="A2962" s="747"/>
      <c r="B2962" s="798"/>
      <c r="D2962" s="798"/>
      <c r="E2962" s="798"/>
      <c r="F2962" s="798"/>
      <c r="G2962" s="798"/>
      <c r="J2962" s="778" t="str">
        <f aca="false">IF(I2962="","",H2962/I2962)</f>
        <v/>
      </c>
      <c r="K2962" s="798"/>
      <c r="P2962" s="798"/>
      <c r="Q2962" s="798"/>
      <c r="R2962" s="811"/>
    </row>
    <row r="2963" customFormat="false" ht="16.5" hidden="false" customHeight="true" outlineLevel="0" collapsed="false">
      <c r="A2963" s="747"/>
      <c r="B2963" s="798"/>
      <c r="D2963" s="798"/>
      <c r="E2963" s="798"/>
      <c r="F2963" s="798"/>
      <c r="G2963" s="798"/>
      <c r="J2963" s="778" t="str">
        <f aca="false">IF(I2963="","",H2963/I2963)</f>
        <v/>
      </c>
      <c r="K2963" s="798"/>
      <c r="P2963" s="798"/>
      <c r="Q2963" s="798"/>
      <c r="R2963" s="811"/>
    </row>
    <row r="2964" customFormat="false" ht="16.5" hidden="false" customHeight="true" outlineLevel="0" collapsed="false">
      <c r="A2964" s="747"/>
      <c r="B2964" s="798"/>
      <c r="D2964" s="798"/>
      <c r="E2964" s="798"/>
      <c r="F2964" s="798"/>
      <c r="G2964" s="798"/>
      <c r="J2964" s="778" t="str">
        <f aca="false">IF(I2964="","",H2964/I2964)</f>
        <v/>
      </c>
      <c r="K2964" s="798"/>
      <c r="P2964" s="798"/>
      <c r="Q2964" s="798"/>
      <c r="R2964" s="811"/>
    </row>
    <row r="2965" customFormat="false" ht="16.5" hidden="false" customHeight="true" outlineLevel="0" collapsed="false">
      <c r="A2965" s="747"/>
      <c r="B2965" s="798"/>
      <c r="D2965" s="798"/>
      <c r="E2965" s="798"/>
      <c r="F2965" s="798"/>
      <c r="G2965" s="798"/>
      <c r="J2965" s="778" t="str">
        <f aca="false">IF(I2965="","",H2965/I2965)</f>
        <v/>
      </c>
      <c r="K2965" s="798"/>
      <c r="P2965" s="798"/>
      <c r="Q2965" s="798"/>
      <c r="R2965" s="811"/>
    </row>
    <row r="2966" customFormat="false" ht="16.5" hidden="false" customHeight="true" outlineLevel="0" collapsed="false">
      <c r="A2966" s="747"/>
      <c r="B2966" s="798"/>
      <c r="D2966" s="798"/>
      <c r="E2966" s="798"/>
      <c r="F2966" s="798"/>
      <c r="G2966" s="798"/>
      <c r="J2966" s="778" t="str">
        <f aca="false">IF(I2966="","",H2966/I2966)</f>
        <v/>
      </c>
      <c r="K2966" s="798"/>
      <c r="P2966" s="798"/>
      <c r="Q2966" s="798"/>
      <c r="R2966" s="811"/>
    </row>
    <row r="2967" customFormat="false" ht="16.5" hidden="false" customHeight="true" outlineLevel="0" collapsed="false">
      <c r="A2967" s="747"/>
      <c r="B2967" s="798"/>
      <c r="D2967" s="798"/>
      <c r="E2967" s="798"/>
      <c r="F2967" s="798"/>
      <c r="G2967" s="798"/>
      <c r="J2967" s="778" t="str">
        <f aca="false">IF(I2967="","",H2967/I2967)</f>
        <v/>
      </c>
      <c r="K2967" s="798"/>
      <c r="P2967" s="798"/>
      <c r="Q2967" s="798"/>
      <c r="R2967" s="811"/>
    </row>
    <row r="2968" customFormat="false" ht="16.5" hidden="false" customHeight="true" outlineLevel="0" collapsed="false">
      <c r="A2968" s="747"/>
      <c r="B2968" s="798"/>
      <c r="D2968" s="798"/>
      <c r="E2968" s="798"/>
      <c r="F2968" s="798"/>
      <c r="G2968" s="798"/>
      <c r="J2968" s="778" t="str">
        <f aca="false">IF(I2968="","",H2968/I2968)</f>
        <v/>
      </c>
      <c r="K2968" s="798"/>
      <c r="P2968" s="798"/>
      <c r="Q2968" s="798"/>
      <c r="R2968" s="811"/>
    </row>
    <row r="2969" customFormat="false" ht="16.5" hidden="false" customHeight="true" outlineLevel="0" collapsed="false">
      <c r="A2969" s="747"/>
      <c r="B2969" s="798"/>
      <c r="D2969" s="798"/>
      <c r="E2969" s="798"/>
      <c r="F2969" s="798"/>
      <c r="G2969" s="798"/>
      <c r="J2969" s="778" t="str">
        <f aca="false">IF(I2969="","",H2969/I2969)</f>
        <v/>
      </c>
      <c r="K2969" s="798"/>
      <c r="P2969" s="798"/>
      <c r="Q2969" s="798"/>
      <c r="R2969" s="811"/>
    </row>
    <row r="2970" customFormat="false" ht="16.5" hidden="false" customHeight="true" outlineLevel="0" collapsed="false">
      <c r="A2970" s="747"/>
      <c r="B2970" s="798"/>
      <c r="D2970" s="798"/>
      <c r="E2970" s="798"/>
      <c r="F2970" s="798"/>
      <c r="G2970" s="798"/>
      <c r="J2970" s="778" t="str">
        <f aca="false">IF(I2970="","",H2970/I2970)</f>
        <v/>
      </c>
      <c r="K2970" s="798"/>
      <c r="P2970" s="798"/>
      <c r="Q2970" s="798"/>
      <c r="R2970" s="811"/>
    </row>
    <row r="2971" customFormat="false" ht="16.5" hidden="false" customHeight="true" outlineLevel="0" collapsed="false">
      <c r="A2971" s="747"/>
      <c r="B2971" s="798"/>
      <c r="D2971" s="798"/>
      <c r="E2971" s="798"/>
      <c r="F2971" s="798"/>
      <c r="G2971" s="798"/>
      <c r="J2971" s="778" t="str">
        <f aca="false">IF(I2971="","",H2971/I2971)</f>
        <v/>
      </c>
      <c r="K2971" s="798"/>
      <c r="P2971" s="798"/>
      <c r="Q2971" s="798"/>
      <c r="R2971" s="811"/>
    </row>
    <row r="2972" customFormat="false" ht="16.5" hidden="false" customHeight="true" outlineLevel="0" collapsed="false">
      <c r="A2972" s="747"/>
      <c r="B2972" s="798"/>
      <c r="D2972" s="798"/>
      <c r="E2972" s="798"/>
      <c r="F2972" s="798"/>
      <c r="G2972" s="798"/>
      <c r="J2972" s="778" t="str">
        <f aca="false">IF(I2972="","",H2972/I2972)</f>
        <v/>
      </c>
      <c r="K2972" s="798"/>
      <c r="P2972" s="798"/>
      <c r="Q2972" s="798"/>
      <c r="R2972" s="811"/>
    </row>
    <row r="2973" customFormat="false" ht="16.5" hidden="false" customHeight="true" outlineLevel="0" collapsed="false">
      <c r="A2973" s="747"/>
      <c r="B2973" s="798"/>
      <c r="D2973" s="798"/>
      <c r="E2973" s="798"/>
      <c r="F2973" s="798"/>
      <c r="G2973" s="798"/>
      <c r="J2973" s="778" t="str">
        <f aca="false">IF(I2973="","",H2973/I2973)</f>
        <v/>
      </c>
      <c r="K2973" s="798"/>
      <c r="P2973" s="798"/>
      <c r="Q2973" s="798"/>
      <c r="R2973" s="811"/>
    </row>
    <row r="2974" customFormat="false" ht="16.5" hidden="false" customHeight="true" outlineLevel="0" collapsed="false">
      <c r="A2974" s="747"/>
      <c r="B2974" s="798"/>
      <c r="D2974" s="798"/>
      <c r="E2974" s="798"/>
      <c r="F2974" s="798"/>
      <c r="G2974" s="798"/>
      <c r="J2974" s="778" t="str">
        <f aca="false">IF(I2974="","",H2974/I2974)</f>
        <v/>
      </c>
      <c r="K2974" s="798"/>
      <c r="P2974" s="798"/>
      <c r="Q2974" s="798"/>
      <c r="R2974" s="811"/>
    </row>
    <row r="2975" customFormat="false" ht="16.5" hidden="false" customHeight="true" outlineLevel="0" collapsed="false">
      <c r="A2975" s="747"/>
      <c r="B2975" s="798"/>
      <c r="D2975" s="798"/>
      <c r="E2975" s="798"/>
      <c r="F2975" s="798"/>
      <c r="G2975" s="798"/>
      <c r="J2975" s="778" t="str">
        <f aca="false">IF(I2975="","",H2975/I2975)</f>
        <v/>
      </c>
      <c r="K2975" s="798"/>
      <c r="P2975" s="798"/>
      <c r="Q2975" s="798"/>
      <c r="R2975" s="811"/>
    </row>
    <row r="2976" customFormat="false" ht="16.5" hidden="false" customHeight="true" outlineLevel="0" collapsed="false">
      <c r="A2976" s="747"/>
      <c r="B2976" s="798"/>
      <c r="D2976" s="798"/>
      <c r="E2976" s="798"/>
      <c r="F2976" s="798"/>
      <c r="G2976" s="798"/>
      <c r="J2976" s="778" t="str">
        <f aca="false">IF(I2976="","",H2976/I2976)</f>
        <v/>
      </c>
      <c r="K2976" s="798"/>
      <c r="P2976" s="798"/>
      <c r="Q2976" s="798"/>
      <c r="R2976" s="811"/>
    </row>
    <row r="2977" customFormat="false" ht="16.5" hidden="false" customHeight="true" outlineLevel="0" collapsed="false">
      <c r="A2977" s="747"/>
      <c r="B2977" s="798"/>
      <c r="D2977" s="798"/>
      <c r="E2977" s="798"/>
      <c r="F2977" s="798"/>
      <c r="G2977" s="798"/>
      <c r="J2977" s="778" t="str">
        <f aca="false">IF(I2977="","",H2977/I2977)</f>
        <v/>
      </c>
      <c r="K2977" s="798"/>
      <c r="P2977" s="798"/>
      <c r="Q2977" s="798"/>
      <c r="R2977" s="811"/>
    </row>
    <row r="2978" customFormat="false" ht="16.5" hidden="false" customHeight="true" outlineLevel="0" collapsed="false">
      <c r="A2978" s="747"/>
      <c r="B2978" s="798"/>
      <c r="D2978" s="798"/>
      <c r="E2978" s="798"/>
      <c r="F2978" s="798"/>
      <c r="G2978" s="798"/>
      <c r="J2978" s="778" t="str">
        <f aca="false">IF(I2978="","",H2978/I2978)</f>
        <v/>
      </c>
      <c r="K2978" s="798"/>
      <c r="P2978" s="798"/>
      <c r="Q2978" s="798"/>
      <c r="R2978" s="811"/>
    </row>
    <row r="2979" customFormat="false" ht="16.5" hidden="false" customHeight="true" outlineLevel="0" collapsed="false">
      <c r="A2979" s="747"/>
      <c r="B2979" s="798"/>
      <c r="D2979" s="798"/>
      <c r="E2979" s="798"/>
      <c r="F2979" s="798"/>
      <c r="G2979" s="798"/>
      <c r="J2979" s="778" t="str">
        <f aca="false">IF(I2979="","",H2979/I2979)</f>
        <v/>
      </c>
      <c r="K2979" s="798"/>
      <c r="P2979" s="798"/>
      <c r="Q2979" s="798"/>
      <c r="R2979" s="811"/>
    </row>
    <row r="2980" customFormat="false" ht="16.5" hidden="false" customHeight="true" outlineLevel="0" collapsed="false">
      <c r="A2980" s="747"/>
      <c r="B2980" s="798"/>
      <c r="D2980" s="798"/>
      <c r="E2980" s="798"/>
      <c r="F2980" s="798"/>
      <c r="G2980" s="798"/>
      <c r="J2980" s="778" t="str">
        <f aca="false">IF(I2980="","",H2980/I2980)</f>
        <v/>
      </c>
      <c r="K2980" s="798"/>
      <c r="P2980" s="798"/>
      <c r="Q2980" s="798"/>
      <c r="R2980" s="811"/>
    </row>
    <row r="2981" customFormat="false" ht="16.5" hidden="false" customHeight="true" outlineLevel="0" collapsed="false">
      <c r="A2981" s="747"/>
      <c r="B2981" s="798"/>
      <c r="D2981" s="798"/>
      <c r="E2981" s="798"/>
      <c r="F2981" s="798"/>
      <c r="G2981" s="798"/>
      <c r="J2981" s="778" t="str">
        <f aca="false">IF(I2981="","",H2981/I2981)</f>
        <v/>
      </c>
      <c r="K2981" s="798"/>
      <c r="P2981" s="798"/>
      <c r="Q2981" s="798"/>
      <c r="R2981" s="811"/>
    </row>
    <row r="2982" customFormat="false" ht="16.5" hidden="false" customHeight="true" outlineLevel="0" collapsed="false">
      <c r="A2982" s="747"/>
      <c r="B2982" s="798"/>
      <c r="D2982" s="798"/>
      <c r="E2982" s="798"/>
      <c r="F2982" s="798"/>
      <c r="G2982" s="798"/>
      <c r="J2982" s="778" t="str">
        <f aca="false">IF(I2982="","",H2982/I2982)</f>
        <v/>
      </c>
      <c r="K2982" s="798"/>
      <c r="P2982" s="798"/>
      <c r="Q2982" s="798"/>
      <c r="R2982" s="811"/>
    </row>
    <row r="2983" customFormat="false" ht="16.5" hidden="false" customHeight="true" outlineLevel="0" collapsed="false">
      <c r="A2983" s="747"/>
      <c r="B2983" s="798"/>
      <c r="D2983" s="798"/>
      <c r="E2983" s="798"/>
      <c r="F2983" s="798"/>
      <c r="G2983" s="798"/>
      <c r="J2983" s="778" t="str">
        <f aca="false">IF(I2983="","",H2983/I2983)</f>
        <v/>
      </c>
      <c r="K2983" s="798"/>
      <c r="P2983" s="798"/>
      <c r="Q2983" s="798"/>
      <c r="R2983" s="811"/>
    </row>
    <row r="2984" customFormat="false" ht="16.5" hidden="false" customHeight="true" outlineLevel="0" collapsed="false">
      <c r="A2984" s="747"/>
      <c r="B2984" s="798"/>
      <c r="D2984" s="798"/>
      <c r="E2984" s="798"/>
      <c r="F2984" s="798"/>
      <c r="G2984" s="798"/>
      <c r="J2984" s="778" t="str">
        <f aca="false">IF(I2984="","",H2984/I2984)</f>
        <v/>
      </c>
      <c r="K2984" s="798"/>
      <c r="P2984" s="798"/>
      <c r="Q2984" s="798"/>
      <c r="R2984" s="811"/>
    </row>
    <row r="2985" customFormat="false" ht="16.5" hidden="false" customHeight="true" outlineLevel="0" collapsed="false">
      <c r="A2985" s="747"/>
      <c r="B2985" s="798"/>
      <c r="D2985" s="798"/>
      <c r="E2985" s="798"/>
      <c r="F2985" s="798"/>
      <c r="G2985" s="798"/>
      <c r="J2985" s="778" t="str">
        <f aca="false">IF(I2985="","",H2985/I2985)</f>
        <v/>
      </c>
      <c r="K2985" s="798"/>
      <c r="P2985" s="798"/>
      <c r="Q2985" s="798"/>
      <c r="R2985" s="811"/>
    </row>
    <row r="2986" customFormat="false" ht="16.5" hidden="false" customHeight="true" outlineLevel="0" collapsed="false">
      <c r="A2986" s="747"/>
      <c r="B2986" s="798"/>
      <c r="D2986" s="798"/>
      <c r="E2986" s="798"/>
      <c r="F2986" s="798"/>
      <c r="G2986" s="798"/>
      <c r="J2986" s="778" t="str">
        <f aca="false">IF(I2986="","",H2986/I2986)</f>
        <v/>
      </c>
      <c r="K2986" s="798"/>
      <c r="P2986" s="798"/>
      <c r="Q2986" s="798"/>
      <c r="R2986" s="811"/>
    </row>
    <row r="2987" customFormat="false" ht="16.5" hidden="false" customHeight="true" outlineLevel="0" collapsed="false">
      <c r="A2987" s="747"/>
      <c r="B2987" s="798"/>
      <c r="D2987" s="798"/>
      <c r="E2987" s="798"/>
      <c r="F2987" s="798"/>
      <c r="G2987" s="798"/>
      <c r="J2987" s="778" t="str">
        <f aca="false">IF(I2987="","",H2987/I2987)</f>
        <v/>
      </c>
      <c r="K2987" s="798"/>
      <c r="P2987" s="798"/>
      <c r="Q2987" s="798"/>
      <c r="R2987" s="811"/>
    </row>
    <row r="2988" customFormat="false" ht="16.5" hidden="false" customHeight="true" outlineLevel="0" collapsed="false">
      <c r="A2988" s="747"/>
      <c r="B2988" s="798"/>
      <c r="D2988" s="798"/>
      <c r="E2988" s="798"/>
      <c r="F2988" s="798"/>
      <c r="G2988" s="798"/>
      <c r="J2988" s="778" t="str">
        <f aca="false">IF(I2988="","",H2988/I2988)</f>
        <v/>
      </c>
      <c r="K2988" s="798"/>
      <c r="P2988" s="798"/>
      <c r="Q2988" s="798"/>
      <c r="R2988" s="811"/>
    </row>
    <row r="2989" customFormat="false" ht="16.5" hidden="false" customHeight="true" outlineLevel="0" collapsed="false">
      <c r="A2989" s="747"/>
      <c r="B2989" s="798"/>
      <c r="D2989" s="798"/>
      <c r="E2989" s="798"/>
      <c r="F2989" s="798"/>
      <c r="G2989" s="798"/>
      <c r="J2989" s="778" t="str">
        <f aca="false">IF(I2989="","",H2989/I2989)</f>
        <v/>
      </c>
      <c r="K2989" s="798"/>
      <c r="P2989" s="798"/>
      <c r="Q2989" s="798"/>
      <c r="R2989" s="811"/>
    </row>
    <row r="2990" customFormat="false" ht="16.5" hidden="false" customHeight="true" outlineLevel="0" collapsed="false">
      <c r="A2990" s="747"/>
      <c r="B2990" s="798"/>
      <c r="D2990" s="798"/>
      <c r="E2990" s="798"/>
      <c r="F2990" s="798"/>
      <c r="G2990" s="798"/>
      <c r="J2990" s="778" t="str">
        <f aca="false">IF(I2990="","",H2990/I2990)</f>
        <v/>
      </c>
      <c r="K2990" s="798"/>
      <c r="P2990" s="798"/>
      <c r="Q2990" s="798"/>
      <c r="R2990" s="811"/>
    </row>
    <row r="2991" customFormat="false" ht="16.5" hidden="false" customHeight="true" outlineLevel="0" collapsed="false">
      <c r="A2991" s="747"/>
      <c r="B2991" s="798"/>
      <c r="D2991" s="798"/>
      <c r="E2991" s="798"/>
      <c r="F2991" s="798"/>
      <c r="G2991" s="798"/>
      <c r="J2991" s="778" t="str">
        <f aca="false">IF(I2991="","",H2991/I2991)</f>
        <v/>
      </c>
      <c r="K2991" s="798"/>
      <c r="P2991" s="798"/>
      <c r="Q2991" s="798"/>
      <c r="R2991" s="811"/>
    </row>
    <row r="2992" customFormat="false" ht="16.5" hidden="false" customHeight="true" outlineLevel="0" collapsed="false">
      <c r="A2992" s="747"/>
      <c r="B2992" s="798"/>
      <c r="D2992" s="798"/>
      <c r="E2992" s="798"/>
      <c r="F2992" s="798"/>
      <c r="G2992" s="798"/>
      <c r="J2992" s="778" t="str">
        <f aca="false">IF(I2992="","",H2992/I2992)</f>
        <v/>
      </c>
      <c r="K2992" s="798"/>
      <c r="P2992" s="798"/>
      <c r="Q2992" s="798"/>
      <c r="R2992" s="811"/>
    </row>
    <row r="2993" customFormat="false" ht="16.5" hidden="false" customHeight="true" outlineLevel="0" collapsed="false">
      <c r="A2993" s="747"/>
      <c r="B2993" s="798"/>
      <c r="D2993" s="798"/>
      <c r="E2993" s="798"/>
      <c r="F2993" s="798"/>
      <c r="G2993" s="798"/>
      <c r="J2993" s="778" t="str">
        <f aca="false">IF(I2993="","",H2993/I2993)</f>
        <v/>
      </c>
      <c r="K2993" s="798"/>
      <c r="P2993" s="798"/>
      <c r="Q2993" s="798"/>
      <c r="R2993" s="811"/>
    </row>
    <row r="2994" customFormat="false" ht="16.5" hidden="false" customHeight="true" outlineLevel="0" collapsed="false">
      <c r="A2994" s="747"/>
      <c r="B2994" s="798"/>
      <c r="D2994" s="798"/>
      <c r="E2994" s="798"/>
      <c r="F2994" s="798"/>
      <c r="G2994" s="798"/>
      <c r="J2994" s="778" t="str">
        <f aca="false">IF(I2994="","",H2994/I2994)</f>
        <v/>
      </c>
      <c r="K2994" s="798"/>
      <c r="P2994" s="798"/>
      <c r="Q2994" s="798"/>
      <c r="R2994" s="811"/>
    </row>
    <row r="2995" customFormat="false" ht="16.5" hidden="false" customHeight="true" outlineLevel="0" collapsed="false">
      <c r="A2995" s="747"/>
      <c r="B2995" s="798"/>
      <c r="D2995" s="798"/>
      <c r="E2995" s="798"/>
      <c r="F2995" s="798"/>
      <c r="G2995" s="798"/>
      <c r="J2995" s="778" t="str">
        <f aca="false">IF(I2995="","",H2995/I2995)</f>
        <v/>
      </c>
      <c r="K2995" s="798"/>
      <c r="P2995" s="798"/>
      <c r="Q2995" s="798"/>
      <c r="R2995" s="811"/>
    </row>
    <row r="2996" customFormat="false" ht="16.5" hidden="false" customHeight="true" outlineLevel="0" collapsed="false">
      <c r="A2996" s="747"/>
      <c r="B2996" s="798"/>
      <c r="D2996" s="798"/>
      <c r="E2996" s="798"/>
      <c r="F2996" s="798"/>
      <c r="G2996" s="798"/>
      <c r="J2996" s="778" t="str">
        <f aca="false">IF(I2996="","",H2996/I2996)</f>
        <v/>
      </c>
      <c r="K2996" s="798"/>
      <c r="P2996" s="798"/>
      <c r="Q2996" s="798"/>
      <c r="R2996" s="811"/>
    </row>
    <row r="2997" customFormat="false" ht="16.5" hidden="false" customHeight="true" outlineLevel="0" collapsed="false">
      <c r="A2997" s="747"/>
      <c r="B2997" s="798"/>
      <c r="D2997" s="798"/>
      <c r="E2997" s="798"/>
      <c r="F2997" s="798"/>
      <c r="G2997" s="798"/>
      <c r="J2997" s="778" t="str">
        <f aca="false">IF(I2997="","",H2997/I2997)</f>
        <v/>
      </c>
      <c r="K2997" s="798"/>
      <c r="P2997" s="798"/>
      <c r="Q2997" s="798"/>
      <c r="R2997" s="811"/>
    </row>
    <row r="2998" customFormat="false" ht="16.5" hidden="false" customHeight="true" outlineLevel="0" collapsed="false">
      <c r="A2998" s="747"/>
      <c r="B2998" s="798"/>
      <c r="D2998" s="798"/>
      <c r="E2998" s="798"/>
      <c r="F2998" s="798"/>
      <c r="G2998" s="798"/>
      <c r="J2998" s="778" t="str">
        <f aca="false">IF(I2998="","",H2998/I2998)</f>
        <v/>
      </c>
      <c r="K2998" s="798"/>
      <c r="P2998" s="798"/>
      <c r="Q2998" s="798"/>
      <c r="R2998" s="811"/>
    </row>
    <row r="2999" customFormat="false" ht="16.5" hidden="false" customHeight="true" outlineLevel="0" collapsed="false">
      <c r="A2999" s="747"/>
      <c r="B2999" s="798"/>
      <c r="D2999" s="798"/>
      <c r="E2999" s="798"/>
      <c r="F2999" s="798"/>
      <c r="G2999" s="798"/>
      <c r="J2999" s="778" t="str">
        <f aca="false">IF(I2999="","",H2999/I2999)</f>
        <v/>
      </c>
      <c r="K2999" s="798"/>
      <c r="P2999" s="798"/>
      <c r="Q2999" s="798"/>
      <c r="R2999" s="811"/>
    </row>
    <row r="3000" customFormat="false" ht="16.5" hidden="false" customHeight="true" outlineLevel="0" collapsed="false">
      <c r="A3000" s="747"/>
      <c r="B3000" s="798"/>
      <c r="D3000" s="798"/>
      <c r="E3000" s="798"/>
      <c r="F3000" s="798"/>
      <c r="G3000" s="798"/>
      <c r="J3000" s="778" t="str">
        <f aca="false">IF(I3000="","",H3000/I3000)</f>
        <v/>
      </c>
      <c r="K3000" s="798"/>
      <c r="P3000" s="798"/>
      <c r="Q3000" s="798"/>
      <c r="R3000" s="811"/>
    </row>
    <row r="3001" customFormat="false" ht="16.5" hidden="false" customHeight="true" outlineLevel="0" collapsed="false">
      <c r="A3001" s="747"/>
      <c r="B3001" s="798"/>
      <c r="D3001" s="798"/>
      <c r="E3001" s="798"/>
      <c r="F3001" s="798"/>
      <c r="G3001" s="798"/>
      <c r="J3001" s="778" t="str">
        <f aca="false">IF(I3001="","",H3001/I3001)</f>
        <v/>
      </c>
      <c r="K3001" s="798"/>
      <c r="P3001" s="798"/>
      <c r="Q3001" s="798"/>
      <c r="R3001" s="811"/>
    </row>
    <row r="3002" customFormat="false" ht="16.5" hidden="false" customHeight="true" outlineLevel="0" collapsed="false">
      <c r="A3002" s="747"/>
      <c r="B3002" s="798"/>
      <c r="D3002" s="798"/>
      <c r="E3002" s="798"/>
      <c r="F3002" s="798"/>
      <c r="G3002" s="798"/>
      <c r="J3002" s="778" t="str">
        <f aca="false">IF(I3002="","",H3002/I3002)</f>
        <v/>
      </c>
      <c r="K3002" s="798"/>
      <c r="P3002" s="798"/>
      <c r="Q3002" s="798"/>
      <c r="R3002" s="811"/>
    </row>
    <row r="3003" customFormat="false" ht="16.5" hidden="false" customHeight="true" outlineLevel="0" collapsed="false">
      <c r="A3003" s="747"/>
      <c r="B3003" s="798"/>
      <c r="D3003" s="798"/>
      <c r="E3003" s="798"/>
      <c r="F3003" s="798"/>
      <c r="G3003" s="798"/>
      <c r="J3003" s="778" t="str">
        <f aca="false">IF(I3003="","",H3003/I3003)</f>
        <v/>
      </c>
      <c r="K3003" s="798"/>
      <c r="P3003" s="798"/>
      <c r="Q3003" s="798"/>
      <c r="R3003" s="811"/>
    </row>
    <row r="3004" customFormat="false" ht="16.5" hidden="false" customHeight="true" outlineLevel="0" collapsed="false">
      <c r="A3004" s="747"/>
      <c r="B3004" s="798"/>
      <c r="D3004" s="798"/>
      <c r="E3004" s="798"/>
      <c r="F3004" s="798"/>
      <c r="G3004" s="798"/>
      <c r="J3004" s="778" t="str">
        <f aca="false">IF(I3004="","",H3004/I3004)</f>
        <v/>
      </c>
      <c r="K3004" s="798"/>
      <c r="P3004" s="798"/>
      <c r="Q3004" s="798"/>
      <c r="R3004" s="811"/>
    </row>
    <row r="3005" customFormat="false" ht="16.5" hidden="false" customHeight="true" outlineLevel="0" collapsed="false">
      <c r="A3005" s="747"/>
      <c r="B3005" s="798"/>
      <c r="D3005" s="798"/>
      <c r="E3005" s="798"/>
      <c r="F3005" s="798"/>
      <c r="G3005" s="798"/>
      <c r="J3005" s="778" t="str">
        <f aca="false">IF(I3005="","",H3005/I3005)</f>
        <v/>
      </c>
      <c r="K3005" s="798"/>
      <c r="P3005" s="798"/>
      <c r="Q3005" s="798"/>
      <c r="R3005" s="811"/>
    </row>
    <row r="3006" customFormat="false" ht="16.5" hidden="false" customHeight="true" outlineLevel="0" collapsed="false">
      <c r="A3006" s="747"/>
      <c r="B3006" s="798"/>
      <c r="D3006" s="798"/>
      <c r="E3006" s="798"/>
      <c r="F3006" s="798"/>
      <c r="G3006" s="798"/>
      <c r="J3006" s="778" t="str">
        <f aca="false">IF(I3006="","",H3006/I3006)</f>
        <v/>
      </c>
      <c r="K3006" s="798"/>
      <c r="P3006" s="798"/>
      <c r="Q3006" s="798"/>
      <c r="R3006" s="811"/>
    </row>
    <row r="3007" customFormat="false" ht="16.5" hidden="false" customHeight="true" outlineLevel="0" collapsed="false">
      <c r="A3007" s="747"/>
      <c r="B3007" s="798"/>
      <c r="D3007" s="798"/>
      <c r="E3007" s="798"/>
      <c r="F3007" s="798"/>
      <c r="G3007" s="798"/>
      <c r="J3007" s="778" t="str">
        <f aca="false">IF(I3007="","",H3007/I3007)</f>
        <v/>
      </c>
      <c r="K3007" s="798"/>
      <c r="P3007" s="798"/>
      <c r="Q3007" s="798"/>
      <c r="R3007" s="811"/>
    </row>
    <row r="3008" customFormat="false" ht="16.5" hidden="false" customHeight="true" outlineLevel="0" collapsed="false">
      <c r="A3008" s="747"/>
      <c r="B3008" s="798"/>
      <c r="D3008" s="798"/>
      <c r="E3008" s="798"/>
      <c r="F3008" s="798"/>
      <c r="G3008" s="798"/>
      <c r="J3008" s="778" t="str">
        <f aca="false">IF(I3008="","",H3008/I3008)</f>
        <v/>
      </c>
      <c r="K3008" s="798"/>
      <c r="P3008" s="798"/>
      <c r="Q3008" s="798"/>
      <c r="R3008" s="811"/>
    </row>
    <row r="3009" customFormat="false" ht="16.5" hidden="false" customHeight="true" outlineLevel="0" collapsed="false">
      <c r="A3009" s="747"/>
      <c r="B3009" s="798"/>
      <c r="D3009" s="798"/>
      <c r="E3009" s="798"/>
      <c r="F3009" s="798"/>
      <c r="G3009" s="798"/>
      <c r="J3009" s="778" t="str">
        <f aca="false">IF(I3009="","",H3009/I3009)</f>
        <v/>
      </c>
      <c r="K3009" s="798"/>
      <c r="P3009" s="798"/>
      <c r="Q3009" s="798"/>
      <c r="R3009" s="811"/>
    </row>
    <row r="3010" customFormat="false" ht="16.5" hidden="false" customHeight="true" outlineLevel="0" collapsed="false">
      <c r="A3010" s="747"/>
      <c r="B3010" s="798"/>
      <c r="D3010" s="798"/>
      <c r="E3010" s="798"/>
      <c r="F3010" s="798"/>
      <c r="G3010" s="798"/>
      <c r="J3010" s="778" t="str">
        <f aca="false">IF(I3010="","",H3010/I3010)</f>
        <v/>
      </c>
      <c r="K3010" s="798"/>
      <c r="P3010" s="798"/>
      <c r="Q3010" s="798"/>
      <c r="R3010" s="811"/>
    </row>
    <row r="3011" customFormat="false" ht="16.5" hidden="false" customHeight="true" outlineLevel="0" collapsed="false">
      <c r="A3011" s="747"/>
      <c r="B3011" s="798"/>
      <c r="D3011" s="798"/>
      <c r="E3011" s="798"/>
      <c r="F3011" s="798"/>
      <c r="G3011" s="798"/>
      <c r="J3011" s="778" t="str">
        <f aca="false">IF(I3011="","",H3011/I3011)</f>
        <v/>
      </c>
      <c r="K3011" s="798"/>
      <c r="P3011" s="798"/>
      <c r="Q3011" s="798"/>
      <c r="R3011" s="811"/>
    </row>
    <row r="3012" customFormat="false" ht="16.5" hidden="false" customHeight="true" outlineLevel="0" collapsed="false">
      <c r="A3012" s="747"/>
      <c r="B3012" s="798"/>
      <c r="D3012" s="798"/>
      <c r="E3012" s="798"/>
      <c r="F3012" s="798"/>
      <c r="G3012" s="798"/>
      <c r="J3012" s="778" t="str">
        <f aca="false">IF(I3012="","",H3012/I3012)</f>
        <v/>
      </c>
      <c r="K3012" s="798"/>
      <c r="P3012" s="798"/>
      <c r="Q3012" s="798"/>
      <c r="R3012" s="811"/>
    </row>
    <row r="3013" customFormat="false" ht="16.5" hidden="false" customHeight="true" outlineLevel="0" collapsed="false">
      <c r="A3013" s="747"/>
      <c r="B3013" s="798"/>
      <c r="D3013" s="798"/>
      <c r="E3013" s="798"/>
      <c r="F3013" s="798"/>
      <c r="G3013" s="798"/>
      <c r="J3013" s="778" t="str">
        <f aca="false">IF(I3013="","",H3013/I3013)</f>
        <v/>
      </c>
      <c r="K3013" s="798"/>
      <c r="P3013" s="798"/>
      <c r="Q3013" s="798"/>
      <c r="R3013" s="811"/>
    </row>
    <row r="3014" customFormat="false" ht="16.5" hidden="false" customHeight="true" outlineLevel="0" collapsed="false">
      <c r="A3014" s="747"/>
      <c r="B3014" s="798"/>
      <c r="D3014" s="798"/>
      <c r="E3014" s="798"/>
      <c r="F3014" s="798"/>
      <c r="G3014" s="798"/>
      <c r="J3014" s="778" t="str">
        <f aca="false">IF(I3014="","",H3014/I3014)</f>
        <v/>
      </c>
      <c r="K3014" s="798"/>
      <c r="P3014" s="798"/>
      <c r="Q3014" s="798"/>
      <c r="R3014" s="811"/>
    </row>
    <row r="3015" customFormat="false" ht="16.5" hidden="false" customHeight="true" outlineLevel="0" collapsed="false">
      <c r="A3015" s="747"/>
      <c r="B3015" s="798"/>
      <c r="D3015" s="798"/>
      <c r="E3015" s="798"/>
      <c r="F3015" s="798"/>
      <c r="G3015" s="798"/>
      <c r="J3015" s="778" t="str">
        <f aca="false">IF(I3015="","",H3015/I3015)</f>
        <v/>
      </c>
      <c r="K3015" s="798"/>
      <c r="P3015" s="798"/>
      <c r="Q3015" s="798"/>
      <c r="R3015" s="811"/>
    </row>
    <row r="3016" customFormat="false" ht="16.5" hidden="false" customHeight="true" outlineLevel="0" collapsed="false">
      <c r="A3016" s="747"/>
      <c r="B3016" s="798"/>
      <c r="D3016" s="798"/>
      <c r="E3016" s="798"/>
      <c r="F3016" s="798"/>
      <c r="G3016" s="798"/>
      <c r="J3016" s="778" t="str">
        <f aca="false">IF(I3016="","",H3016/I3016)</f>
        <v/>
      </c>
      <c r="K3016" s="798"/>
      <c r="P3016" s="798"/>
      <c r="Q3016" s="798"/>
      <c r="R3016" s="811"/>
    </row>
    <row r="3017" customFormat="false" ht="16.5" hidden="false" customHeight="true" outlineLevel="0" collapsed="false">
      <c r="A3017" s="747"/>
      <c r="B3017" s="798"/>
      <c r="D3017" s="798"/>
      <c r="E3017" s="798"/>
      <c r="F3017" s="798"/>
      <c r="G3017" s="798"/>
      <c r="J3017" s="778" t="str">
        <f aca="false">IF(I3017="","",H3017/I3017)</f>
        <v/>
      </c>
      <c r="K3017" s="798"/>
      <c r="P3017" s="798"/>
      <c r="Q3017" s="798"/>
      <c r="R3017" s="811"/>
    </row>
    <row r="3018" customFormat="false" ht="16.5" hidden="false" customHeight="true" outlineLevel="0" collapsed="false">
      <c r="A3018" s="747"/>
      <c r="B3018" s="798"/>
      <c r="D3018" s="798"/>
      <c r="E3018" s="798"/>
      <c r="F3018" s="798"/>
      <c r="G3018" s="798"/>
      <c r="J3018" s="778" t="str">
        <f aca="false">IF(I3018="","",H3018/I3018)</f>
        <v/>
      </c>
      <c r="K3018" s="798"/>
      <c r="P3018" s="798"/>
      <c r="Q3018" s="798"/>
      <c r="R3018" s="811"/>
    </row>
    <row r="3019" customFormat="false" ht="16.5" hidden="false" customHeight="true" outlineLevel="0" collapsed="false">
      <c r="A3019" s="747"/>
      <c r="B3019" s="798"/>
      <c r="D3019" s="798"/>
      <c r="E3019" s="798"/>
      <c r="F3019" s="798"/>
      <c r="G3019" s="798"/>
      <c r="J3019" s="778" t="str">
        <f aca="false">IF(I3019="","",H3019/I3019)</f>
        <v/>
      </c>
      <c r="K3019" s="798"/>
      <c r="P3019" s="798"/>
      <c r="Q3019" s="798"/>
      <c r="R3019" s="811"/>
    </row>
    <row r="3020" customFormat="false" ht="16.5" hidden="false" customHeight="true" outlineLevel="0" collapsed="false">
      <c r="A3020" s="747"/>
      <c r="B3020" s="798"/>
      <c r="D3020" s="798"/>
      <c r="E3020" s="798"/>
      <c r="F3020" s="798"/>
      <c r="G3020" s="798"/>
      <c r="J3020" s="778" t="str">
        <f aca="false">IF(I3020="","",H3020/I3020)</f>
        <v/>
      </c>
      <c r="K3020" s="798"/>
      <c r="P3020" s="798"/>
      <c r="Q3020" s="798"/>
      <c r="R3020" s="811"/>
    </row>
    <row r="3021" customFormat="false" ht="16.5" hidden="false" customHeight="true" outlineLevel="0" collapsed="false">
      <c r="A3021" s="747"/>
      <c r="B3021" s="798"/>
      <c r="D3021" s="798"/>
      <c r="E3021" s="798"/>
      <c r="F3021" s="798"/>
      <c r="G3021" s="798"/>
      <c r="J3021" s="778" t="str">
        <f aca="false">IF(I3021="","",H3021/I3021)</f>
        <v/>
      </c>
      <c r="K3021" s="798"/>
      <c r="P3021" s="798"/>
      <c r="Q3021" s="798"/>
      <c r="R3021" s="811"/>
    </row>
    <row r="3022" customFormat="false" ht="16.5" hidden="false" customHeight="true" outlineLevel="0" collapsed="false">
      <c r="A3022" s="747"/>
      <c r="B3022" s="798"/>
      <c r="D3022" s="798"/>
      <c r="E3022" s="798"/>
      <c r="F3022" s="798"/>
      <c r="G3022" s="798"/>
      <c r="J3022" s="778" t="str">
        <f aca="false">IF(I3022="","",H3022/I3022)</f>
        <v/>
      </c>
      <c r="K3022" s="798"/>
      <c r="P3022" s="798"/>
      <c r="Q3022" s="798"/>
      <c r="R3022" s="811"/>
    </row>
    <row r="3023" customFormat="false" ht="16.5" hidden="false" customHeight="true" outlineLevel="0" collapsed="false">
      <c r="A3023" s="747"/>
      <c r="B3023" s="798"/>
      <c r="D3023" s="798"/>
      <c r="E3023" s="798"/>
      <c r="F3023" s="798"/>
      <c r="G3023" s="798"/>
      <c r="J3023" s="778" t="str">
        <f aca="false">IF(I3023="","",H3023/I3023)</f>
        <v/>
      </c>
      <c r="K3023" s="798"/>
      <c r="P3023" s="798"/>
      <c r="Q3023" s="798"/>
      <c r="R3023" s="811"/>
    </row>
    <row r="3024" customFormat="false" ht="16.5" hidden="false" customHeight="true" outlineLevel="0" collapsed="false">
      <c r="A3024" s="747"/>
      <c r="B3024" s="798"/>
      <c r="D3024" s="798"/>
      <c r="E3024" s="798"/>
      <c r="F3024" s="798"/>
      <c r="G3024" s="798"/>
      <c r="J3024" s="778" t="str">
        <f aca="false">IF(I3024="","",H3024/I3024)</f>
        <v/>
      </c>
      <c r="K3024" s="798"/>
      <c r="P3024" s="798"/>
      <c r="Q3024" s="798"/>
      <c r="R3024" s="811"/>
    </row>
    <row r="3025" customFormat="false" ht="16.5" hidden="false" customHeight="true" outlineLevel="0" collapsed="false">
      <c r="A3025" s="747"/>
      <c r="B3025" s="798"/>
      <c r="D3025" s="798"/>
      <c r="E3025" s="798"/>
      <c r="F3025" s="798"/>
      <c r="G3025" s="798"/>
      <c r="J3025" s="778" t="str">
        <f aca="false">IF(I3025="","",H3025/I3025)</f>
        <v/>
      </c>
      <c r="K3025" s="798"/>
      <c r="P3025" s="798"/>
      <c r="Q3025" s="798"/>
      <c r="R3025" s="811"/>
    </row>
    <row r="3026" customFormat="false" ht="16.5" hidden="false" customHeight="true" outlineLevel="0" collapsed="false">
      <c r="A3026" s="747"/>
      <c r="B3026" s="798"/>
      <c r="D3026" s="798"/>
      <c r="E3026" s="798"/>
      <c r="F3026" s="798"/>
      <c r="G3026" s="798"/>
      <c r="J3026" s="778" t="str">
        <f aca="false">IF(I3026="","",H3026/I3026)</f>
        <v/>
      </c>
      <c r="K3026" s="798"/>
      <c r="P3026" s="798"/>
      <c r="Q3026" s="798"/>
      <c r="R3026" s="811"/>
    </row>
    <row r="3027" customFormat="false" ht="16.5" hidden="false" customHeight="true" outlineLevel="0" collapsed="false">
      <c r="A3027" s="747"/>
      <c r="B3027" s="798"/>
      <c r="D3027" s="798"/>
      <c r="E3027" s="798"/>
      <c r="F3027" s="798"/>
      <c r="G3027" s="798"/>
      <c r="J3027" s="778" t="str">
        <f aca="false">IF(I3027="","",H3027/I3027)</f>
        <v/>
      </c>
      <c r="K3027" s="798"/>
      <c r="P3027" s="798"/>
      <c r="Q3027" s="798"/>
      <c r="R3027" s="811"/>
    </row>
    <row r="3028" customFormat="false" ht="16.5" hidden="false" customHeight="true" outlineLevel="0" collapsed="false">
      <c r="A3028" s="747"/>
      <c r="B3028" s="798"/>
      <c r="D3028" s="798"/>
      <c r="E3028" s="798"/>
      <c r="F3028" s="798"/>
      <c r="G3028" s="798"/>
      <c r="J3028" s="778" t="str">
        <f aca="false">IF(I3028="","",H3028/I3028)</f>
        <v/>
      </c>
      <c r="K3028" s="798"/>
      <c r="P3028" s="798"/>
      <c r="Q3028" s="798"/>
      <c r="R3028" s="811"/>
    </row>
    <row r="3029" customFormat="false" ht="16.5" hidden="false" customHeight="true" outlineLevel="0" collapsed="false">
      <c r="A3029" s="747"/>
      <c r="B3029" s="798"/>
      <c r="D3029" s="798"/>
      <c r="E3029" s="798"/>
      <c r="F3029" s="798"/>
      <c r="G3029" s="798"/>
      <c r="J3029" s="778" t="str">
        <f aca="false">IF(I3029="","",H3029/I3029)</f>
        <v/>
      </c>
      <c r="K3029" s="798"/>
      <c r="P3029" s="798"/>
      <c r="Q3029" s="798"/>
      <c r="R3029" s="811"/>
    </row>
    <row r="3030" customFormat="false" ht="16.5" hidden="false" customHeight="true" outlineLevel="0" collapsed="false">
      <c r="A3030" s="747"/>
      <c r="B3030" s="798"/>
      <c r="D3030" s="798"/>
      <c r="E3030" s="798"/>
      <c r="F3030" s="798"/>
      <c r="G3030" s="798"/>
      <c r="J3030" s="778" t="str">
        <f aca="false">IF(I3030="","",H3030/I3030)</f>
        <v/>
      </c>
      <c r="K3030" s="798"/>
      <c r="P3030" s="798"/>
      <c r="Q3030" s="798"/>
      <c r="R3030" s="811"/>
    </row>
    <row r="3031" customFormat="false" ht="16.5" hidden="false" customHeight="true" outlineLevel="0" collapsed="false">
      <c r="A3031" s="747"/>
      <c r="B3031" s="798"/>
      <c r="D3031" s="798"/>
      <c r="E3031" s="798"/>
      <c r="F3031" s="798"/>
      <c r="G3031" s="798"/>
      <c r="J3031" s="778" t="str">
        <f aca="false">IF(I3031="","",H3031/I3031)</f>
        <v/>
      </c>
      <c r="K3031" s="798"/>
      <c r="P3031" s="798"/>
      <c r="Q3031" s="798"/>
      <c r="R3031" s="811"/>
    </row>
    <row r="3032" customFormat="false" ht="16.5" hidden="false" customHeight="true" outlineLevel="0" collapsed="false">
      <c r="A3032" s="747"/>
      <c r="B3032" s="798"/>
      <c r="D3032" s="798"/>
      <c r="E3032" s="798"/>
      <c r="F3032" s="798"/>
      <c r="G3032" s="798"/>
      <c r="J3032" s="778" t="str">
        <f aca="false">IF(I3032="","",H3032/I3032)</f>
        <v/>
      </c>
      <c r="K3032" s="798"/>
      <c r="P3032" s="798"/>
      <c r="Q3032" s="798"/>
      <c r="R3032" s="811"/>
    </row>
    <row r="3033" customFormat="false" ht="16.5" hidden="false" customHeight="true" outlineLevel="0" collapsed="false">
      <c r="A3033" s="747"/>
      <c r="B3033" s="798"/>
      <c r="D3033" s="798"/>
      <c r="E3033" s="798"/>
      <c r="F3033" s="798"/>
      <c r="G3033" s="798"/>
      <c r="J3033" s="778" t="str">
        <f aca="false">IF(I3033="","",H3033/I3033)</f>
        <v/>
      </c>
      <c r="K3033" s="798"/>
      <c r="P3033" s="798"/>
      <c r="Q3033" s="798"/>
      <c r="R3033" s="811"/>
    </row>
    <row r="3034" customFormat="false" ht="16.5" hidden="false" customHeight="true" outlineLevel="0" collapsed="false">
      <c r="A3034" s="747"/>
      <c r="B3034" s="798"/>
      <c r="D3034" s="798"/>
      <c r="E3034" s="798"/>
      <c r="F3034" s="798"/>
      <c r="G3034" s="798"/>
      <c r="J3034" s="778" t="str">
        <f aca="false">IF(I3034="","",H3034/I3034)</f>
        <v/>
      </c>
      <c r="K3034" s="798"/>
      <c r="P3034" s="798"/>
      <c r="Q3034" s="798"/>
      <c r="R3034" s="811"/>
    </row>
    <row r="3035" customFormat="false" ht="16.5" hidden="false" customHeight="true" outlineLevel="0" collapsed="false">
      <c r="A3035" s="747"/>
      <c r="B3035" s="798"/>
      <c r="D3035" s="798"/>
      <c r="E3035" s="798"/>
      <c r="F3035" s="798"/>
      <c r="G3035" s="798"/>
      <c r="J3035" s="778" t="str">
        <f aca="false">IF(I3035="","",H3035/I3035)</f>
        <v/>
      </c>
      <c r="K3035" s="798"/>
      <c r="P3035" s="798"/>
      <c r="Q3035" s="798"/>
      <c r="R3035" s="811"/>
    </row>
    <row r="3036" customFormat="false" ht="16.5" hidden="false" customHeight="true" outlineLevel="0" collapsed="false">
      <c r="A3036" s="747"/>
      <c r="B3036" s="798"/>
      <c r="D3036" s="798"/>
      <c r="E3036" s="798"/>
      <c r="F3036" s="798"/>
      <c r="G3036" s="798"/>
      <c r="J3036" s="778" t="str">
        <f aca="false">IF(I3036="","",H3036/I3036)</f>
        <v/>
      </c>
      <c r="K3036" s="798"/>
      <c r="P3036" s="798"/>
      <c r="Q3036" s="798"/>
      <c r="R3036" s="811"/>
    </row>
    <row r="3037" customFormat="false" ht="16.5" hidden="false" customHeight="true" outlineLevel="0" collapsed="false">
      <c r="A3037" s="747"/>
      <c r="B3037" s="798"/>
      <c r="D3037" s="798"/>
      <c r="E3037" s="798"/>
      <c r="F3037" s="798"/>
      <c r="G3037" s="798"/>
      <c r="J3037" s="778" t="str">
        <f aca="false">IF(I3037="","",H3037/I3037)</f>
        <v/>
      </c>
      <c r="K3037" s="798"/>
      <c r="P3037" s="798"/>
      <c r="Q3037" s="798"/>
      <c r="R3037" s="811"/>
    </row>
    <row r="3038" customFormat="false" ht="16.5" hidden="false" customHeight="true" outlineLevel="0" collapsed="false">
      <c r="A3038" s="747"/>
      <c r="B3038" s="798"/>
      <c r="D3038" s="798"/>
      <c r="E3038" s="798"/>
      <c r="F3038" s="798"/>
      <c r="G3038" s="798"/>
      <c r="J3038" s="778" t="str">
        <f aca="false">IF(I3038="","",H3038/I3038)</f>
        <v/>
      </c>
      <c r="K3038" s="798"/>
      <c r="P3038" s="798"/>
      <c r="Q3038" s="798"/>
      <c r="R3038" s="811"/>
    </row>
    <row r="3039" customFormat="false" ht="16.5" hidden="false" customHeight="true" outlineLevel="0" collapsed="false">
      <c r="A3039" s="747"/>
      <c r="B3039" s="798"/>
      <c r="D3039" s="798"/>
      <c r="E3039" s="798"/>
      <c r="F3039" s="798"/>
      <c r="G3039" s="798"/>
      <c r="J3039" s="778" t="str">
        <f aca="false">IF(I3039="","",H3039/I3039)</f>
        <v/>
      </c>
      <c r="K3039" s="798"/>
      <c r="P3039" s="798"/>
      <c r="Q3039" s="798"/>
      <c r="R3039" s="811"/>
    </row>
    <row r="3040" customFormat="false" ht="16.5" hidden="false" customHeight="true" outlineLevel="0" collapsed="false">
      <c r="A3040" s="747"/>
      <c r="B3040" s="798"/>
      <c r="D3040" s="798"/>
      <c r="E3040" s="798"/>
      <c r="F3040" s="798"/>
      <c r="G3040" s="798"/>
      <c r="J3040" s="778" t="str">
        <f aca="false">IF(I3040="","",H3040/I3040)</f>
        <v/>
      </c>
      <c r="K3040" s="798"/>
      <c r="P3040" s="798"/>
      <c r="Q3040" s="798"/>
      <c r="R3040" s="811"/>
    </row>
    <row r="3041" customFormat="false" ht="16.5" hidden="false" customHeight="true" outlineLevel="0" collapsed="false">
      <c r="A3041" s="747"/>
      <c r="B3041" s="798"/>
      <c r="D3041" s="798"/>
      <c r="E3041" s="798"/>
      <c r="F3041" s="798"/>
      <c r="G3041" s="798"/>
      <c r="J3041" s="778" t="str">
        <f aca="false">IF(I3041="","",H3041/I3041)</f>
        <v/>
      </c>
      <c r="K3041" s="798"/>
      <c r="P3041" s="798"/>
      <c r="Q3041" s="798"/>
      <c r="R3041" s="811"/>
    </row>
    <row r="3042" customFormat="false" ht="16.5" hidden="false" customHeight="true" outlineLevel="0" collapsed="false">
      <c r="A3042" s="747"/>
      <c r="B3042" s="798"/>
      <c r="D3042" s="798"/>
      <c r="E3042" s="798"/>
      <c r="F3042" s="798"/>
      <c r="G3042" s="798"/>
      <c r="J3042" s="778" t="str">
        <f aca="false">IF(I3042="","",H3042/I3042)</f>
        <v/>
      </c>
      <c r="K3042" s="798"/>
      <c r="P3042" s="798"/>
      <c r="Q3042" s="798"/>
      <c r="R3042" s="811"/>
    </row>
    <row r="3043" customFormat="false" ht="16.5" hidden="false" customHeight="true" outlineLevel="0" collapsed="false">
      <c r="A3043" s="747"/>
      <c r="B3043" s="798"/>
      <c r="D3043" s="798"/>
      <c r="E3043" s="798"/>
      <c r="F3043" s="798"/>
      <c r="G3043" s="798"/>
      <c r="J3043" s="778" t="str">
        <f aca="false">IF(I3043="","",H3043/I3043)</f>
        <v/>
      </c>
      <c r="K3043" s="798"/>
      <c r="P3043" s="798"/>
      <c r="Q3043" s="798"/>
      <c r="R3043" s="811"/>
    </row>
    <row r="3044" customFormat="false" ht="16.5" hidden="false" customHeight="true" outlineLevel="0" collapsed="false">
      <c r="A3044" s="747"/>
      <c r="B3044" s="798"/>
      <c r="D3044" s="798"/>
      <c r="E3044" s="798"/>
      <c r="F3044" s="798"/>
      <c r="G3044" s="798"/>
      <c r="J3044" s="778" t="str">
        <f aca="false">IF(I3044="","",H3044/I3044)</f>
        <v/>
      </c>
      <c r="K3044" s="798"/>
      <c r="P3044" s="798"/>
      <c r="Q3044" s="798"/>
      <c r="R3044" s="811"/>
    </row>
    <row r="3045" customFormat="false" ht="16.5" hidden="false" customHeight="true" outlineLevel="0" collapsed="false">
      <c r="A3045" s="747"/>
      <c r="B3045" s="798"/>
      <c r="D3045" s="798"/>
      <c r="E3045" s="798"/>
      <c r="F3045" s="798"/>
      <c r="G3045" s="798"/>
      <c r="J3045" s="778" t="str">
        <f aca="false">IF(I3045="","",H3045/I3045)</f>
        <v/>
      </c>
      <c r="K3045" s="798"/>
      <c r="P3045" s="798"/>
      <c r="Q3045" s="798"/>
      <c r="R3045" s="811"/>
    </row>
    <row r="3046" customFormat="false" ht="16.5" hidden="false" customHeight="true" outlineLevel="0" collapsed="false">
      <c r="A3046" s="747"/>
      <c r="B3046" s="798"/>
      <c r="D3046" s="798"/>
      <c r="E3046" s="798"/>
      <c r="F3046" s="798"/>
      <c r="G3046" s="798"/>
      <c r="J3046" s="778" t="str">
        <f aca="false">IF(I3046="","",H3046/I3046)</f>
        <v/>
      </c>
      <c r="K3046" s="798"/>
      <c r="P3046" s="798"/>
      <c r="Q3046" s="798"/>
      <c r="R3046" s="811"/>
    </row>
    <row r="3047" customFormat="false" ht="16.5" hidden="false" customHeight="true" outlineLevel="0" collapsed="false">
      <c r="A3047" s="747"/>
      <c r="B3047" s="798"/>
      <c r="D3047" s="798"/>
      <c r="E3047" s="798"/>
      <c r="F3047" s="798"/>
      <c r="G3047" s="798"/>
      <c r="J3047" s="778" t="str">
        <f aca="false">IF(I3047="","",H3047/I3047)</f>
        <v/>
      </c>
      <c r="K3047" s="798"/>
      <c r="P3047" s="798"/>
      <c r="Q3047" s="798"/>
      <c r="R3047" s="811"/>
    </row>
    <row r="3048" customFormat="false" ht="16.5" hidden="false" customHeight="true" outlineLevel="0" collapsed="false">
      <c r="A3048" s="747"/>
      <c r="B3048" s="798"/>
      <c r="D3048" s="798"/>
      <c r="E3048" s="798"/>
      <c r="F3048" s="798"/>
      <c r="G3048" s="798"/>
      <c r="J3048" s="778" t="str">
        <f aca="false">IF(I3048="","",H3048/I3048)</f>
        <v/>
      </c>
      <c r="K3048" s="798"/>
      <c r="P3048" s="798"/>
      <c r="Q3048" s="798"/>
      <c r="R3048" s="811"/>
    </row>
    <row r="3049" customFormat="false" ht="16.5" hidden="false" customHeight="true" outlineLevel="0" collapsed="false">
      <c r="A3049" s="747"/>
      <c r="B3049" s="798"/>
      <c r="D3049" s="798"/>
      <c r="E3049" s="798"/>
      <c r="F3049" s="798"/>
      <c r="G3049" s="798"/>
      <c r="J3049" s="778" t="str">
        <f aca="false">IF(I3049="","",H3049/I3049)</f>
        <v/>
      </c>
      <c r="K3049" s="798"/>
      <c r="P3049" s="798"/>
      <c r="Q3049" s="798"/>
      <c r="R3049" s="811"/>
    </row>
    <row r="3050" customFormat="false" ht="16.5" hidden="false" customHeight="true" outlineLevel="0" collapsed="false">
      <c r="A3050" s="747"/>
      <c r="B3050" s="798"/>
      <c r="D3050" s="798"/>
      <c r="E3050" s="798"/>
      <c r="F3050" s="798"/>
      <c r="G3050" s="798"/>
      <c r="J3050" s="778" t="str">
        <f aca="false">IF(I3050="","",H3050/I3050)</f>
        <v/>
      </c>
      <c r="K3050" s="798"/>
      <c r="P3050" s="798"/>
      <c r="Q3050" s="798"/>
      <c r="R3050" s="811"/>
    </row>
    <row r="3051" customFormat="false" ht="16.5" hidden="false" customHeight="true" outlineLevel="0" collapsed="false">
      <c r="A3051" s="747"/>
      <c r="B3051" s="798"/>
      <c r="D3051" s="798"/>
      <c r="E3051" s="798"/>
      <c r="F3051" s="798"/>
      <c r="G3051" s="798"/>
      <c r="J3051" s="778" t="str">
        <f aca="false">IF(I3051="","",H3051/I3051)</f>
        <v/>
      </c>
      <c r="K3051" s="798"/>
      <c r="P3051" s="798"/>
      <c r="Q3051" s="798"/>
      <c r="R3051" s="811"/>
    </row>
    <row r="3052" customFormat="false" ht="16.5" hidden="false" customHeight="true" outlineLevel="0" collapsed="false">
      <c r="A3052" s="747"/>
      <c r="B3052" s="798"/>
      <c r="D3052" s="798"/>
      <c r="E3052" s="798"/>
      <c r="F3052" s="798"/>
      <c r="G3052" s="798"/>
      <c r="J3052" s="778" t="str">
        <f aca="false">IF(I3052="","",H3052/I3052)</f>
        <v/>
      </c>
      <c r="K3052" s="798"/>
      <c r="P3052" s="798"/>
      <c r="Q3052" s="798"/>
      <c r="R3052" s="811"/>
    </row>
    <row r="3053" customFormat="false" ht="16.5" hidden="false" customHeight="true" outlineLevel="0" collapsed="false">
      <c r="A3053" s="747"/>
      <c r="B3053" s="798"/>
      <c r="D3053" s="798"/>
      <c r="E3053" s="798"/>
      <c r="F3053" s="798"/>
      <c r="G3053" s="798"/>
      <c r="J3053" s="778" t="str">
        <f aca="false">IF(I3053="","",H3053/I3053)</f>
        <v/>
      </c>
      <c r="K3053" s="798"/>
      <c r="P3053" s="798"/>
      <c r="Q3053" s="798"/>
      <c r="R3053" s="811"/>
    </row>
    <row r="3054" customFormat="false" ht="16.5" hidden="false" customHeight="true" outlineLevel="0" collapsed="false">
      <c r="A3054" s="747"/>
      <c r="B3054" s="798"/>
      <c r="D3054" s="798"/>
      <c r="E3054" s="798"/>
      <c r="F3054" s="798"/>
      <c r="G3054" s="798"/>
      <c r="J3054" s="778" t="str">
        <f aca="false">IF(I3054="","",H3054/I3054)</f>
        <v/>
      </c>
      <c r="K3054" s="798"/>
      <c r="P3054" s="798"/>
      <c r="Q3054" s="798"/>
      <c r="R3054" s="811"/>
    </row>
    <row r="3055" customFormat="false" ht="16.5" hidden="false" customHeight="true" outlineLevel="0" collapsed="false">
      <c r="A3055" s="747"/>
      <c r="B3055" s="798"/>
      <c r="D3055" s="798"/>
      <c r="E3055" s="798"/>
      <c r="F3055" s="798"/>
      <c r="G3055" s="798"/>
      <c r="J3055" s="778" t="str">
        <f aca="false">IF(I3055="","",H3055/I3055)</f>
        <v/>
      </c>
      <c r="K3055" s="798"/>
      <c r="P3055" s="798"/>
      <c r="Q3055" s="798"/>
      <c r="R3055" s="811"/>
    </row>
    <row r="3056" customFormat="false" ht="16.5" hidden="false" customHeight="true" outlineLevel="0" collapsed="false">
      <c r="A3056" s="747"/>
      <c r="B3056" s="798"/>
      <c r="D3056" s="798"/>
      <c r="E3056" s="798"/>
      <c r="F3056" s="798"/>
      <c r="G3056" s="798"/>
      <c r="J3056" s="778" t="str">
        <f aca="false">IF(I3056="","",H3056/I3056)</f>
        <v/>
      </c>
      <c r="K3056" s="798"/>
      <c r="P3056" s="798"/>
      <c r="Q3056" s="798"/>
      <c r="R3056" s="811"/>
    </row>
    <row r="3057" customFormat="false" ht="16.5" hidden="false" customHeight="true" outlineLevel="0" collapsed="false">
      <c r="A3057" s="747"/>
      <c r="B3057" s="798"/>
      <c r="D3057" s="798"/>
      <c r="E3057" s="798"/>
      <c r="F3057" s="798"/>
      <c r="G3057" s="798"/>
      <c r="J3057" s="778" t="str">
        <f aca="false">IF(I3057="","",H3057/I3057)</f>
        <v/>
      </c>
      <c r="K3057" s="798"/>
      <c r="P3057" s="798"/>
      <c r="Q3057" s="798"/>
      <c r="R3057" s="811"/>
    </row>
    <row r="3058" customFormat="false" ht="16.5" hidden="false" customHeight="true" outlineLevel="0" collapsed="false">
      <c r="A3058" s="747"/>
      <c r="B3058" s="798"/>
      <c r="D3058" s="798"/>
      <c r="E3058" s="798"/>
      <c r="F3058" s="798"/>
      <c r="G3058" s="798"/>
      <c r="J3058" s="778" t="str">
        <f aca="false">IF(I3058="","",H3058/I3058)</f>
        <v/>
      </c>
      <c r="K3058" s="798"/>
      <c r="P3058" s="798"/>
      <c r="Q3058" s="798"/>
      <c r="R3058" s="811"/>
    </row>
    <row r="3059" customFormat="false" ht="16.5" hidden="false" customHeight="true" outlineLevel="0" collapsed="false">
      <c r="A3059" s="747"/>
      <c r="B3059" s="798"/>
      <c r="D3059" s="798"/>
      <c r="E3059" s="798"/>
      <c r="F3059" s="798"/>
      <c r="G3059" s="798"/>
      <c r="J3059" s="778" t="str">
        <f aca="false">IF(I3059="","",H3059/I3059)</f>
        <v/>
      </c>
      <c r="K3059" s="798"/>
      <c r="P3059" s="798"/>
      <c r="Q3059" s="798"/>
      <c r="R3059" s="811"/>
    </row>
    <row r="3060" customFormat="false" ht="16.5" hidden="false" customHeight="true" outlineLevel="0" collapsed="false">
      <c r="A3060" s="747"/>
      <c r="B3060" s="798"/>
      <c r="D3060" s="798"/>
      <c r="E3060" s="798"/>
      <c r="F3060" s="798"/>
      <c r="G3060" s="798"/>
      <c r="J3060" s="778" t="str">
        <f aca="false">IF(I3060="","",H3060/I3060)</f>
        <v/>
      </c>
      <c r="K3060" s="798"/>
      <c r="P3060" s="798"/>
      <c r="Q3060" s="798"/>
      <c r="R3060" s="811"/>
    </row>
    <row r="3061" customFormat="false" ht="16.5" hidden="false" customHeight="true" outlineLevel="0" collapsed="false">
      <c r="A3061" s="747"/>
      <c r="B3061" s="798"/>
      <c r="D3061" s="798"/>
      <c r="E3061" s="798"/>
      <c r="F3061" s="798"/>
      <c r="G3061" s="798"/>
      <c r="J3061" s="778" t="str">
        <f aca="false">IF(I3061="","",H3061/I3061)</f>
        <v/>
      </c>
      <c r="K3061" s="798"/>
      <c r="P3061" s="798"/>
      <c r="Q3061" s="798"/>
      <c r="R3061" s="811"/>
    </row>
    <row r="3062" customFormat="false" ht="16.5" hidden="false" customHeight="true" outlineLevel="0" collapsed="false">
      <c r="A3062" s="747"/>
      <c r="B3062" s="798"/>
      <c r="D3062" s="798"/>
      <c r="E3062" s="798"/>
      <c r="F3062" s="798"/>
      <c r="G3062" s="798"/>
      <c r="J3062" s="778" t="str">
        <f aca="false">IF(I3062="","",H3062/I3062)</f>
        <v/>
      </c>
      <c r="K3062" s="798"/>
      <c r="P3062" s="798"/>
      <c r="Q3062" s="798"/>
      <c r="R3062" s="811"/>
    </row>
    <row r="3063" customFormat="false" ht="16.5" hidden="false" customHeight="true" outlineLevel="0" collapsed="false">
      <c r="A3063" s="747"/>
      <c r="B3063" s="798"/>
      <c r="D3063" s="798"/>
      <c r="E3063" s="798"/>
      <c r="F3063" s="798"/>
      <c r="G3063" s="798"/>
      <c r="J3063" s="778" t="str">
        <f aca="false">IF(I3063="","",H3063/I3063)</f>
        <v/>
      </c>
      <c r="K3063" s="798"/>
      <c r="P3063" s="798"/>
      <c r="Q3063" s="798"/>
      <c r="R3063" s="811"/>
    </row>
    <row r="3064" customFormat="false" ht="16.5" hidden="false" customHeight="true" outlineLevel="0" collapsed="false">
      <c r="A3064" s="747"/>
      <c r="B3064" s="798"/>
      <c r="D3064" s="798"/>
      <c r="E3064" s="798"/>
      <c r="F3064" s="798"/>
      <c r="G3064" s="798"/>
      <c r="J3064" s="778" t="str">
        <f aca="false">IF(I3064="","",H3064/I3064)</f>
        <v/>
      </c>
      <c r="K3064" s="798"/>
      <c r="P3064" s="798"/>
      <c r="Q3064" s="798"/>
      <c r="R3064" s="811"/>
    </row>
    <row r="3065" customFormat="false" ht="16.5" hidden="false" customHeight="true" outlineLevel="0" collapsed="false">
      <c r="A3065" s="747"/>
      <c r="B3065" s="798"/>
      <c r="D3065" s="798"/>
      <c r="E3065" s="798"/>
      <c r="F3065" s="798"/>
      <c r="G3065" s="798"/>
      <c r="J3065" s="778" t="str">
        <f aca="false">IF(I3065="","",H3065/I3065)</f>
        <v/>
      </c>
      <c r="K3065" s="798"/>
      <c r="P3065" s="798"/>
      <c r="Q3065" s="798"/>
      <c r="R3065" s="811"/>
    </row>
    <row r="3066" customFormat="false" ht="16.5" hidden="false" customHeight="true" outlineLevel="0" collapsed="false">
      <c r="A3066" s="747"/>
      <c r="B3066" s="798"/>
      <c r="D3066" s="798"/>
      <c r="E3066" s="798"/>
      <c r="F3066" s="798"/>
      <c r="G3066" s="798"/>
      <c r="J3066" s="778" t="str">
        <f aca="false">IF(I3066="","",H3066/I3066)</f>
        <v/>
      </c>
      <c r="K3066" s="798"/>
      <c r="P3066" s="798"/>
      <c r="Q3066" s="798"/>
      <c r="R3066" s="811"/>
    </row>
    <row r="3067" customFormat="false" ht="16.5" hidden="false" customHeight="true" outlineLevel="0" collapsed="false">
      <c r="A3067" s="747"/>
      <c r="B3067" s="798"/>
      <c r="D3067" s="798"/>
      <c r="E3067" s="798"/>
      <c r="F3067" s="798"/>
      <c r="G3067" s="798"/>
      <c r="J3067" s="778" t="str">
        <f aca="false">IF(I3067="","",H3067/I3067)</f>
        <v/>
      </c>
      <c r="K3067" s="798"/>
      <c r="P3067" s="798"/>
      <c r="Q3067" s="798"/>
      <c r="R3067" s="811"/>
    </row>
    <row r="3068" customFormat="false" ht="16.5" hidden="false" customHeight="true" outlineLevel="0" collapsed="false">
      <c r="A3068" s="747"/>
      <c r="B3068" s="798"/>
      <c r="D3068" s="798"/>
      <c r="E3068" s="798"/>
      <c r="F3068" s="798"/>
      <c r="G3068" s="798"/>
      <c r="J3068" s="778" t="str">
        <f aca="false">IF(I3068="","",H3068/I3068)</f>
        <v/>
      </c>
      <c r="K3068" s="798"/>
      <c r="P3068" s="798"/>
      <c r="Q3068" s="798"/>
      <c r="R3068" s="811"/>
    </row>
    <row r="3069" customFormat="false" ht="16.5" hidden="false" customHeight="true" outlineLevel="0" collapsed="false">
      <c r="A3069" s="747"/>
      <c r="B3069" s="798"/>
      <c r="D3069" s="798"/>
      <c r="E3069" s="798"/>
      <c r="F3069" s="798"/>
      <c r="G3069" s="798"/>
      <c r="J3069" s="778" t="str">
        <f aca="false">IF(I3069="","",H3069/I3069)</f>
        <v/>
      </c>
      <c r="K3069" s="798"/>
      <c r="P3069" s="798"/>
      <c r="Q3069" s="798"/>
      <c r="R3069" s="811"/>
    </row>
    <row r="3070" customFormat="false" ht="16.5" hidden="false" customHeight="true" outlineLevel="0" collapsed="false">
      <c r="A3070" s="747"/>
      <c r="B3070" s="798"/>
      <c r="D3070" s="798"/>
      <c r="E3070" s="798"/>
      <c r="F3070" s="798"/>
      <c r="G3070" s="798"/>
      <c r="J3070" s="778" t="str">
        <f aca="false">IF(I3070="","",H3070/I3070)</f>
        <v/>
      </c>
      <c r="K3070" s="798"/>
      <c r="P3070" s="798"/>
      <c r="Q3070" s="798"/>
      <c r="R3070" s="811"/>
    </row>
    <row r="3071" customFormat="false" ht="16.5" hidden="false" customHeight="true" outlineLevel="0" collapsed="false">
      <c r="A3071" s="747"/>
      <c r="B3071" s="798"/>
      <c r="D3071" s="798"/>
      <c r="E3071" s="798"/>
      <c r="F3071" s="798"/>
      <c r="G3071" s="798"/>
      <c r="J3071" s="778" t="str">
        <f aca="false">IF(I3071="","",H3071/I3071)</f>
        <v/>
      </c>
      <c r="K3071" s="798"/>
      <c r="P3071" s="798"/>
      <c r="Q3071" s="798"/>
      <c r="R3071" s="811"/>
    </row>
    <row r="3072" customFormat="false" ht="16.5" hidden="false" customHeight="true" outlineLevel="0" collapsed="false">
      <c r="A3072" s="747"/>
      <c r="B3072" s="798"/>
      <c r="D3072" s="798"/>
      <c r="E3072" s="798"/>
      <c r="F3072" s="798"/>
      <c r="G3072" s="798"/>
      <c r="J3072" s="778" t="str">
        <f aca="false">IF(I3072="","",H3072/I3072)</f>
        <v/>
      </c>
      <c r="K3072" s="798"/>
      <c r="P3072" s="798"/>
      <c r="Q3072" s="798"/>
      <c r="R3072" s="811"/>
    </row>
    <row r="3073" customFormat="false" ht="16.5" hidden="false" customHeight="true" outlineLevel="0" collapsed="false">
      <c r="A3073" s="747"/>
      <c r="B3073" s="798"/>
      <c r="D3073" s="798"/>
      <c r="E3073" s="798"/>
      <c r="F3073" s="798"/>
      <c r="G3073" s="798"/>
      <c r="J3073" s="778" t="str">
        <f aca="false">IF(I3073="","",H3073/I3073)</f>
        <v/>
      </c>
      <c r="K3073" s="798"/>
      <c r="P3073" s="798"/>
      <c r="Q3073" s="798"/>
      <c r="R3073" s="811"/>
    </row>
    <row r="3074" customFormat="false" ht="16.5" hidden="false" customHeight="true" outlineLevel="0" collapsed="false">
      <c r="A3074" s="747"/>
      <c r="B3074" s="798"/>
      <c r="D3074" s="798"/>
      <c r="E3074" s="798"/>
      <c r="F3074" s="798"/>
      <c r="G3074" s="798"/>
      <c r="J3074" s="778" t="str">
        <f aca="false">IF(I3074="","",H3074/I3074)</f>
        <v/>
      </c>
      <c r="K3074" s="798"/>
      <c r="P3074" s="798"/>
      <c r="Q3074" s="798"/>
      <c r="R3074" s="811"/>
    </row>
    <row r="3075" customFormat="false" ht="16.5" hidden="false" customHeight="true" outlineLevel="0" collapsed="false">
      <c r="A3075" s="747"/>
      <c r="B3075" s="798"/>
      <c r="D3075" s="798"/>
      <c r="E3075" s="798"/>
      <c r="F3075" s="798"/>
      <c r="G3075" s="798"/>
      <c r="J3075" s="778" t="str">
        <f aca="false">IF(I3075="","",H3075/I3075)</f>
        <v/>
      </c>
      <c r="K3075" s="798"/>
      <c r="P3075" s="798"/>
      <c r="Q3075" s="798"/>
      <c r="R3075" s="811"/>
    </row>
    <row r="3076" customFormat="false" ht="16.5" hidden="false" customHeight="true" outlineLevel="0" collapsed="false">
      <c r="A3076" s="747"/>
      <c r="B3076" s="798"/>
      <c r="D3076" s="798"/>
      <c r="E3076" s="798"/>
      <c r="F3076" s="798"/>
      <c r="G3076" s="798"/>
      <c r="J3076" s="778" t="str">
        <f aca="false">IF(I3076="","",H3076/I3076)</f>
        <v/>
      </c>
      <c r="K3076" s="798"/>
      <c r="P3076" s="798"/>
      <c r="Q3076" s="798"/>
      <c r="R3076" s="811"/>
    </row>
    <row r="3077" customFormat="false" ht="16.5" hidden="false" customHeight="true" outlineLevel="0" collapsed="false">
      <c r="A3077" s="747"/>
      <c r="B3077" s="798"/>
      <c r="D3077" s="798"/>
      <c r="E3077" s="798"/>
      <c r="F3077" s="798"/>
      <c r="G3077" s="798"/>
      <c r="J3077" s="778" t="str">
        <f aca="false">IF(I3077="","",H3077/I3077)</f>
        <v/>
      </c>
      <c r="K3077" s="798"/>
      <c r="P3077" s="798"/>
      <c r="Q3077" s="798"/>
      <c r="R3077" s="811"/>
    </row>
    <row r="3078" customFormat="false" ht="16.5" hidden="false" customHeight="true" outlineLevel="0" collapsed="false">
      <c r="A3078" s="747"/>
      <c r="B3078" s="798"/>
      <c r="D3078" s="798"/>
      <c r="E3078" s="798"/>
      <c r="F3078" s="798"/>
      <c r="G3078" s="798"/>
      <c r="J3078" s="778" t="str">
        <f aca="false">IF(I3078="","",H3078/I3078)</f>
        <v/>
      </c>
      <c r="K3078" s="798"/>
      <c r="P3078" s="798"/>
      <c r="Q3078" s="798"/>
      <c r="R3078" s="811"/>
    </row>
    <row r="3079" customFormat="false" ht="16.5" hidden="false" customHeight="true" outlineLevel="0" collapsed="false">
      <c r="A3079" s="747"/>
      <c r="B3079" s="798"/>
      <c r="D3079" s="798"/>
      <c r="E3079" s="798"/>
      <c r="F3079" s="798"/>
      <c r="G3079" s="798"/>
      <c r="J3079" s="778" t="str">
        <f aca="false">IF(I3079="","",H3079/I3079)</f>
        <v/>
      </c>
      <c r="K3079" s="798"/>
      <c r="P3079" s="798"/>
      <c r="Q3079" s="798"/>
      <c r="R3079" s="811"/>
    </row>
    <row r="3080" customFormat="false" ht="16.5" hidden="false" customHeight="true" outlineLevel="0" collapsed="false">
      <c r="A3080" s="747"/>
      <c r="B3080" s="798"/>
      <c r="D3080" s="798"/>
      <c r="E3080" s="798"/>
      <c r="F3080" s="798"/>
      <c r="G3080" s="798"/>
      <c r="J3080" s="778" t="str">
        <f aca="false">IF(I3080="","",H3080/I3080)</f>
        <v/>
      </c>
      <c r="K3080" s="798"/>
      <c r="P3080" s="798"/>
      <c r="Q3080" s="798"/>
      <c r="R3080" s="811"/>
    </row>
    <row r="3081" customFormat="false" ht="16.5" hidden="false" customHeight="true" outlineLevel="0" collapsed="false">
      <c r="A3081" s="747"/>
      <c r="B3081" s="798"/>
      <c r="D3081" s="798"/>
      <c r="E3081" s="798"/>
      <c r="F3081" s="798"/>
      <c r="G3081" s="798"/>
      <c r="J3081" s="778" t="str">
        <f aca="false">IF(I3081="","",H3081/I3081)</f>
        <v/>
      </c>
      <c r="K3081" s="798"/>
      <c r="P3081" s="798"/>
      <c r="Q3081" s="798"/>
      <c r="R3081" s="811"/>
    </row>
    <row r="3082" customFormat="false" ht="16.5" hidden="false" customHeight="true" outlineLevel="0" collapsed="false">
      <c r="A3082" s="747"/>
      <c r="B3082" s="798"/>
      <c r="D3082" s="798"/>
      <c r="E3082" s="798"/>
      <c r="F3082" s="798"/>
      <c r="G3082" s="798"/>
      <c r="J3082" s="778" t="str">
        <f aca="false">IF(I3082="","",H3082/I3082)</f>
        <v/>
      </c>
      <c r="K3082" s="798"/>
      <c r="P3082" s="798"/>
      <c r="Q3082" s="798"/>
      <c r="R3082" s="811"/>
    </row>
    <row r="3083" customFormat="false" ht="16.5" hidden="false" customHeight="true" outlineLevel="0" collapsed="false">
      <c r="A3083" s="747"/>
      <c r="B3083" s="798"/>
      <c r="D3083" s="798"/>
      <c r="E3083" s="798"/>
      <c r="F3083" s="798"/>
      <c r="G3083" s="798"/>
      <c r="J3083" s="778" t="str">
        <f aca="false">IF(I3083="","",H3083/I3083)</f>
        <v/>
      </c>
      <c r="K3083" s="798"/>
      <c r="P3083" s="798"/>
      <c r="Q3083" s="798"/>
      <c r="R3083" s="811"/>
    </row>
    <row r="3084" customFormat="false" ht="16.5" hidden="false" customHeight="true" outlineLevel="0" collapsed="false">
      <c r="A3084" s="747"/>
      <c r="B3084" s="798"/>
      <c r="D3084" s="798"/>
      <c r="E3084" s="798"/>
      <c r="F3084" s="798"/>
      <c r="G3084" s="798"/>
      <c r="J3084" s="778" t="str">
        <f aca="false">IF(I3084="","",H3084/I3084)</f>
        <v/>
      </c>
      <c r="K3084" s="798"/>
      <c r="P3084" s="798"/>
      <c r="Q3084" s="798"/>
      <c r="R3084" s="811"/>
    </row>
    <row r="3085" customFormat="false" ht="16.5" hidden="false" customHeight="true" outlineLevel="0" collapsed="false">
      <c r="A3085" s="747"/>
      <c r="B3085" s="798"/>
      <c r="D3085" s="798"/>
      <c r="E3085" s="798"/>
      <c r="F3085" s="798"/>
      <c r="G3085" s="798"/>
      <c r="J3085" s="778" t="str">
        <f aca="false">IF(I3085="","",H3085/I3085)</f>
        <v/>
      </c>
      <c r="K3085" s="798"/>
      <c r="P3085" s="798"/>
      <c r="Q3085" s="798"/>
      <c r="R3085" s="811"/>
    </row>
    <row r="3086" customFormat="false" ht="16.5" hidden="false" customHeight="true" outlineLevel="0" collapsed="false">
      <c r="A3086" s="747"/>
      <c r="B3086" s="798"/>
      <c r="D3086" s="798"/>
      <c r="E3086" s="798"/>
      <c r="F3086" s="798"/>
      <c r="G3086" s="798"/>
      <c r="J3086" s="778" t="str">
        <f aca="false">IF(I3086="","",H3086/I3086)</f>
        <v/>
      </c>
      <c r="K3086" s="798"/>
      <c r="P3086" s="798"/>
      <c r="Q3086" s="798"/>
      <c r="R3086" s="811"/>
    </row>
    <row r="3087" customFormat="false" ht="16.5" hidden="false" customHeight="true" outlineLevel="0" collapsed="false">
      <c r="A3087" s="747"/>
      <c r="B3087" s="798"/>
      <c r="D3087" s="798"/>
      <c r="E3087" s="798"/>
      <c r="F3087" s="798"/>
      <c r="G3087" s="798"/>
      <c r="J3087" s="778" t="str">
        <f aca="false">IF(I3087="","",H3087/I3087)</f>
        <v/>
      </c>
      <c r="K3087" s="798"/>
      <c r="P3087" s="798"/>
      <c r="Q3087" s="798"/>
      <c r="R3087" s="811"/>
    </row>
    <row r="3088" customFormat="false" ht="16.5" hidden="false" customHeight="true" outlineLevel="0" collapsed="false">
      <c r="A3088" s="747"/>
      <c r="B3088" s="798"/>
      <c r="D3088" s="798"/>
      <c r="E3088" s="798"/>
      <c r="F3088" s="798"/>
      <c r="G3088" s="798"/>
      <c r="J3088" s="778" t="str">
        <f aca="false">IF(I3088="","",H3088/I3088)</f>
        <v/>
      </c>
      <c r="K3088" s="798"/>
      <c r="P3088" s="798"/>
      <c r="Q3088" s="798"/>
      <c r="R3088" s="811"/>
    </row>
    <row r="3089" customFormat="false" ht="16.5" hidden="false" customHeight="true" outlineLevel="0" collapsed="false">
      <c r="A3089" s="747"/>
      <c r="B3089" s="798"/>
      <c r="D3089" s="798"/>
      <c r="E3089" s="798"/>
      <c r="F3089" s="798"/>
      <c r="G3089" s="798"/>
      <c r="J3089" s="778" t="str">
        <f aca="false">IF(I3089="","",H3089/I3089)</f>
        <v/>
      </c>
      <c r="K3089" s="798"/>
      <c r="P3089" s="798"/>
      <c r="Q3089" s="798"/>
      <c r="R3089" s="811"/>
    </row>
    <row r="3090" customFormat="false" ht="16.5" hidden="false" customHeight="true" outlineLevel="0" collapsed="false">
      <c r="A3090" s="747"/>
      <c r="B3090" s="798"/>
      <c r="D3090" s="798"/>
      <c r="E3090" s="798"/>
      <c r="F3090" s="798"/>
      <c r="G3090" s="798"/>
      <c r="J3090" s="778" t="str">
        <f aca="false">IF(I3090="","",H3090/I3090)</f>
        <v/>
      </c>
      <c r="K3090" s="798"/>
      <c r="P3090" s="798"/>
      <c r="Q3090" s="798"/>
      <c r="R3090" s="811"/>
    </row>
    <row r="3091" customFormat="false" ht="16.5" hidden="false" customHeight="true" outlineLevel="0" collapsed="false">
      <c r="A3091" s="747"/>
      <c r="B3091" s="798"/>
      <c r="D3091" s="798"/>
      <c r="E3091" s="798"/>
      <c r="F3091" s="798"/>
      <c r="G3091" s="798"/>
      <c r="J3091" s="778" t="str">
        <f aca="false">IF(I3091="","",H3091/I3091)</f>
        <v/>
      </c>
      <c r="K3091" s="798"/>
      <c r="P3091" s="798"/>
      <c r="Q3091" s="798"/>
      <c r="R3091" s="811"/>
    </row>
    <row r="3092" customFormat="false" ht="16.5" hidden="false" customHeight="true" outlineLevel="0" collapsed="false">
      <c r="A3092" s="747"/>
      <c r="B3092" s="798"/>
      <c r="D3092" s="798"/>
      <c r="E3092" s="798"/>
      <c r="F3092" s="798"/>
      <c r="G3092" s="798"/>
      <c r="J3092" s="778" t="str">
        <f aca="false">IF(I3092="","",H3092/I3092)</f>
        <v/>
      </c>
      <c r="K3092" s="798"/>
      <c r="P3092" s="798"/>
      <c r="Q3092" s="798"/>
      <c r="R3092" s="811"/>
    </row>
    <row r="3093" customFormat="false" ht="16.5" hidden="false" customHeight="true" outlineLevel="0" collapsed="false">
      <c r="A3093" s="747"/>
      <c r="B3093" s="798"/>
      <c r="D3093" s="798"/>
      <c r="E3093" s="798"/>
      <c r="F3093" s="798"/>
      <c r="G3093" s="798"/>
      <c r="J3093" s="778" t="str">
        <f aca="false">IF(I3093="","",H3093/I3093)</f>
        <v/>
      </c>
      <c r="K3093" s="798"/>
      <c r="P3093" s="798"/>
      <c r="Q3093" s="798"/>
      <c r="R3093" s="811"/>
    </row>
    <row r="3094" customFormat="false" ht="16.5" hidden="false" customHeight="true" outlineLevel="0" collapsed="false">
      <c r="A3094" s="747"/>
      <c r="B3094" s="798"/>
      <c r="D3094" s="798"/>
      <c r="E3094" s="798"/>
      <c r="F3094" s="798"/>
      <c r="G3094" s="798"/>
      <c r="J3094" s="778" t="str">
        <f aca="false">IF(I3094="","",H3094/I3094)</f>
        <v/>
      </c>
      <c r="K3094" s="798"/>
      <c r="P3094" s="798"/>
      <c r="Q3094" s="798"/>
      <c r="R3094" s="811"/>
    </row>
    <row r="3095" customFormat="false" ht="16.5" hidden="false" customHeight="true" outlineLevel="0" collapsed="false">
      <c r="A3095" s="747"/>
      <c r="B3095" s="798"/>
      <c r="D3095" s="798"/>
      <c r="E3095" s="798"/>
      <c r="F3095" s="798"/>
      <c r="G3095" s="798"/>
      <c r="J3095" s="778" t="str">
        <f aca="false">IF(I3095="","",H3095/I3095)</f>
        <v/>
      </c>
      <c r="K3095" s="798"/>
      <c r="P3095" s="798"/>
      <c r="Q3095" s="798"/>
      <c r="R3095" s="811"/>
    </row>
    <row r="3096" customFormat="false" ht="16.5" hidden="false" customHeight="true" outlineLevel="0" collapsed="false">
      <c r="A3096" s="747"/>
      <c r="B3096" s="798"/>
      <c r="D3096" s="798"/>
      <c r="E3096" s="798"/>
      <c r="F3096" s="798"/>
      <c r="G3096" s="798"/>
      <c r="J3096" s="778" t="str">
        <f aca="false">IF(I3096="","",H3096/I3096)</f>
        <v/>
      </c>
      <c r="K3096" s="798"/>
      <c r="P3096" s="798"/>
      <c r="Q3096" s="798"/>
      <c r="R3096" s="811"/>
    </row>
    <row r="3097" customFormat="false" ht="16.5" hidden="false" customHeight="true" outlineLevel="0" collapsed="false">
      <c r="A3097" s="747"/>
      <c r="B3097" s="798"/>
      <c r="D3097" s="798"/>
      <c r="E3097" s="798"/>
      <c r="F3097" s="798"/>
      <c r="G3097" s="798"/>
      <c r="J3097" s="778" t="str">
        <f aca="false">IF(I3097="","",H3097/I3097)</f>
        <v/>
      </c>
      <c r="K3097" s="798"/>
      <c r="P3097" s="798"/>
      <c r="Q3097" s="798"/>
      <c r="R3097" s="811"/>
    </row>
    <row r="3098" customFormat="false" ht="16.5" hidden="false" customHeight="true" outlineLevel="0" collapsed="false">
      <c r="A3098" s="747"/>
      <c r="B3098" s="798"/>
      <c r="D3098" s="798"/>
      <c r="E3098" s="798"/>
      <c r="F3098" s="798"/>
      <c r="G3098" s="798"/>
      <c r="J3098" s="778" t="str">
        <f aca="false">IF(I3098="","",H3098/I3098)</f>
        <v/>
      </c>
      <c r="K3098" s="798"/>
      <c r="P3098" s="798"/>
      <c r="Q3098" s="798"/>
      <c r="R3098" s="811"/>
    </row>
    <row r="3099" customFormat="false" ht="16.5" hidden="false" customHeight="true" outlineLevel="0" collapsed="false">
      <c r="A3099" s="747"/>
      <c r="B3099" s="798"/>
      <c r="D3099" s="798"/>
      <c r="E3099" s="798"/>
      <c r="F3099" s="798"/>
      <c r="G3099" s="798"/>
      <c r="J3099" s="778" t="str">
        <f aca="false">IF(I3099="","",H3099/I3099)</f>
        <v/>
      </c>
      <c r="K3099" s="798"/>
      <c r="P3099" s="798"/>
      <c r="Q3099" s="798"/>
      <c r="R3099" s="811"/>
    </row>
    <row r="3100" customFormat="false" ht="16.5" hidden="false" customHeight="true" outlineLevel="0" collapsed="false">
      <c r="A3100" s="747"/>
      <c r="B3100" s="798"/>
      <c r="D3100" s="798"/>
      <c r="E3100" s="798"/>
      <c r="F3100" s="798"/>
      <c r="G3100" s="798"/>
      <c r="J3100" s="778" t="str">
        <f aca="false">IF(I3100="","",H3100/I3100)</f>
        <v/>
      </c>
      <c r="K3100" s="798"/>
      <c r="P3100" s="798"/>
      <c r="Q3100" s="798"/>
      <c r="R3100" s="811"/>
    </row>
    <row r="3101" customFormat="false" ht="16.5" hidden="false" customHeight="true" outlineLevel="0" collapsed="false">
      <c r="A3101" s="747"/>
      <c r="B3101" s="798"/>
      <c r="D3101" s="798"/>
      <c r="E3101" s="798"/>
      <c r="F3101" s="798"/>
      <c r="G3101" s="798"/>
      <c r="J3101" s="778" t="str">
        <f aca="false">IF(I3101="","",H3101/I3101)</f>
        <v/>
      </c>
      <c r="K3101" s="798"/>
      <c r="P3101" s="798"/>
      <c r="Q3101" s="798"/>
      <c r="R3101" s="811"/>
    </row>
    <row r="3102" customFormat="false" ht="16.5" hidden="false" customHeight="true" outlineLevel="0" collapsed="false">
      <c r="A3102" s="747"/>
      <c r="B3102" s="798"/>
      <c r="D3102" s="798"/>
      <c r="E3102" s="798"/>
      <c r="F3102" s="798"/>
      <c r="G3102" s="798"/>
      <c r="J3102" s="778" t="str">
        <f aca="false">IF(I3102="","",H3102/I3102)</f>
        <v/>
      </c>
      <c r="K3102" s="798"/>
      <c r="P3102" s="798"/>
      <c r="Q3102" s="798"/>
      <c r="R3102" s="811"/>
    </row>
    <row r="3103" customFormat="false" ht="16.5" hidden="false" customHeight="true" outlineLevel="0" collapsed="false">
      <c r="A3103" s="747"/>
      <c r="B3103" s="798"/>
      <c r="D3103" s="798"/>
      <c r="E3103" s="798"/>
      <c r="F3103" s="798"/>
      <c r="G3103" s="798"/>
      <c r="J3103" s="778" t="str">
        <f aca="false">IF(I3103="","",H3103/I3103)</f>
        <v/>
      </c>
      <c r="K3103" s="798"/>
      <c r="P3103" s="798"/>
      <c r="Q3103" s="798"/>
      <c r="R3103" s="811"/>
    </row>
    <row r="3104" customFormat="false" ht="16.5" hidden="false" customHeight="true" outlineLevel="0" collapsed="false">
      <c r="A3104" s="747"/>
      <c r="B3104" s="798"/>
      <c r="D3104" s="798"/>
      <c r="E3104" s="798"/>
      <c r="F3104" s="798"/>
      <c r="G3104" s="798"/>
      <c r="J3104" s="778" t="str">
        <f aca="false">IF(I3104="","",H3104/I3104)</f>
        <v/>
      </c>
      <c r="K3104" s="798"/>
      <c r="P3104" s="798"/>
      <c r="Q3104" s="798"/>
      <c r="R3104" s="811"/>
    </row>
    <row r="3105" customFormat="false" ht="16.5" hidden="false" customHeight="true" outlineLevel="0" collapsed="false">
      <c r="A3105" s="747"/>
      <c r="B3105" s="798"/>
      <c r="D3105" s="798"/>
      <c r="E3105" s="798"/>
      <c r="F3105" s="798"/>
      <c r="G3105" s="798"/>
      <c r="J3105" s="778" t="str">
        <f aca="false">IF(I3105="","",H3105/I3105)</f>
        <v/>
      </c>
      <c r="K3105" s="798"/>
      <c r="P3105" s="798"/>
      <c r="Q3105" s="798"/>
      <c r="R3105" s="811"/>
    </row>
    <row r="3106" customFormat="false" ht="16.5" hidden="false" customHeight="true" outlineLevel="0" collapsed="false">
      <c r="A3106" s="747"/>
      <c r="B3106" s="798"/>
      <c r="D3106" s="798"/>
      <c r="E3106" s="798"/>
      <c r="F3106" s="798"/>
      <c r="G3106" s="798"/>
      <c r="J3106" s="778" t="str">
        <f aca="false">IF(I3106="","",H3106/I3106)</f>
        <v/>
      </c>
      <c r="K3106" s="798"/>
      <c r="P3106" s="798"/>
      <c r="Q3106" s="798"/>
      <c r="R3106" s="811"/>
    </row>
    <row r="3107" customFormat="false" ht="16.5" hidden="false" customHeight="true" outlineLevel="0" collapsed="false">
      <c r="A3107" s="747"/>
      <c r="B3107" s="798"/>
      <c r="D3107" s="798"/>
      <c r="E3107" s="798"/>
      <c r="F3107" s="798"/>
      <c r="G3107" s="798"/>
      <c r="J3107" s="778" t="str">
        <f aca="false">IF(I3107="","",H3107/I3107)</f>
        <v/>
      </c>
      <c r="K3107" s="798"/>
      <c r="P3107" s="798"/>
      <c r="Q3107" s="798"/>
      <c r="R3107" s="811"/>
    </row>
    <row r="3108" customFormat="false" ht="16.5" hidden="false" customHeight="true" outlineLevel="0" collapsed="false">
      <c r="A3108" s="747"/>
      <c r="B3108" s="798"/>
      <c r="D3108" s="798"/>
      <c r="E3108" s="798"/>
      <c r="F3108" s="798"/>
      <c r="G3108" s="798"/>
      <c r="J3108" s="778" t="str">
        <f aca="false">IF(I3108="","",H3108/I3108)</f>
        <v/>
      </c>
      <c r="K3108" s="798"/>
      <c r="P3108" s="798"/>
      <c r="Q3108" s="798"/>
      <c r="R3108" s="811"/>
    </row>
    <row r="3109" customFormat="false" ht="16.5" hidden="false" customHeight="true" outlineLevel="0" collapsed="false">
      <c r="A3109" s="747"/>
      <c r="B3109" s="798"/>
      <c r="D3109" s="798"/>
      <c r="E3109" s="798"/>
      <c r="F3109" s="798"/>
      <c r="G3109" s="798"/>
      <c r="J3109" s="778" t="str">
        <f aca="false">IF(I3109="","",H3109/I3109)</f>
        <v/>
      </c>
      <c r="K3109" s="798"/>
      <c r="P3109" s="798"/>
      <c r="Q3109" s="798"/>
      <c r="R3109" s="811"/>
    </row>
    <row r="3110" customFormat="false" ht="16.5" hidden="false" customHeight="true" outlineLevel="0" collapsed="false">
      <c r="A3110" s="747"/>
      <c r="B3110" s="798"/>
      <c r="D3110" s="798"/>
      <c r="E3110" s="798"/>
      <c r="F3110" s="798"/>
      <c r="G3110" s="798"/>
      <c r="J3110" s="778" t="str">
        <f aca="false">IF(I3110="","",H3110/I3110)</f>
        <v/>
      </c>
      <c r="K3110" s="798"/>
      <c r="P3110" s="798"/>
      <c r="Q3110" s="798"/>
      <c r="R3110" s="811"/>
    </row>
    <row r="3111" customFormat="false" ht="16.5" hidden="false" customHeight="true" outlineLevel="0" collapsed="false">
      <c r="A3111" s="747"/>
      <c r="B3111" s="798"/>
      <c r="D3111" s="798"/>
      <c r="E3111" s="798"/>
      <c r="F3111" s="798"/>
      <c r="G3111" s="798"/>
      <c r="J3111" s="778" t="str">
        <f aca="false">IF(I3111="","",H3111/I3111)</f>
        <v/>
      </c>
      <c r="K3111" s="798"/>
      <c r="P3111" s="798"/>
      <c r="Q3111" s="798"/>
      <c r="R3111" s="811"/>
    </row>
    <row r="3112" customFormat="false" ht="16.5" hidden="false" customHeight="true" outlineLevel="0" collapsed="false">
      <c r="A3112" s="747"/>
      <c r="B3112" s="798"/>
      <c r="D3112" s="798"/>
      <c r="E3112" s="798"/>
      <c r="F3112" s="798"/>
      <c r="G3112" s="798"/>
      <c r="J3112" s="778" t="str">
        <f aca="false">IF(I3112="","",H3112/I3112)</f>
        <v/>
      </c>
      <c r="K3112" s="798"/>
      <c r="P3112" s="798"/>
      <c r="Q3112" s="798"/>
      <c r="R3112" s="811"/>
    </row>
    <row r="3113" customFormat="false" ht="16.5" hidden="false" customHeight="true" outlineLevel="0" collapsed="false">
      <c r="A3113" s="747"/>
      <c r="B3113" s="798"/>
      <c r="D3113" s="798"/>
      <c r="E3113" s="798"/>
      <c r="F3113" s="798"/>
      <c r="G3113" s="798"/>
      <c r="J3113" s="778" t="str">
        <f aca="false">IF(I3113="","",H3113/I3113)</f>
        <v/>
      </c>
      <c r="K3113" s="798"/>
      <c r="P3113" s="798"/>
      <c r="Q3113" s="798"/>
      <c r="R3113" s="811"/>
    </row>
    <row r="3114" customFormat="false" ht="16.5" hidden="false" customHeight="true" outlineLevel="0" collapsed="false">
      <c r="A3114" s="747"/>
      <c r="B3114" s="798"/>
      <c r="D3114" s="798"/>
      <c r="E3114" s="798"/>
      <c r="F3114" s="798"/>
      <c r="G3114" s="798"/>
      <c r="J3114" s="778" t="str">
        <f aca="false">IF(I3114="","",H3114/I3114)</f>
        <v/>
      </c>
      <c r="K3114" s="798"/>
      <c r="P3114" s="798"/>
      <c r="Q3114" s="798"/>
      <c r="R3114" s="811"/>
    </row>
    <row r="3115" customFormat="false" ht="16.5" hidden="false" customHeight="true" outlineLevel="0" collapsed="false">
      <c r="A3115" s="747"/>
      <c r="B3115" s="798"/>
      <c r="D3115" s="798"/>
      <c r="E3115" s="798"/>
      <c r="F3115" s="798"/>
      <c r="G3115" s="798"/>
      <c r="J3115" s="778" t="str">
        <f aca="false">IF(I3115="","",H3115/I3115)</f>
        <v/>
      </c>
      <c r="K3115" s="798"/>
      <c r="P3115" s="798"/>
      <c r="Q3115" s="798"/>
      <c r="R3115" s="811"/>
    </row>
    <row r="3116" customFormat="false" ht="16.5" hidden="false" customHeight="true" outlineLevel="0" collapsed="false">
      <c r="A3116" s="747"/>
      <c r="B3116" s="798"/>
      <c r="D3116" s="798"/>
      <c r="E3116" s="798"/>
      <c r="F3116" s="798"/>
      <c r="G3116" s="798"/>
      <c r="J3116" s="778" t="str">
        <f aca="false">IF(I3116="","",H3116/I3116)</f>
        <v/>
      </c>
      <c r="K3116" s="798"/>
      <c r="P3116" s="798"/>
      <c r="Q3116" s="798"/>
      <c r="R3116" s="811"/>
    </row>
    <row r="3117" customFormat="false" ht="16.5" hidden="false" customHeight="true" outlineLevel="0" collapsed="false">
      <c r="A3117" s="747"/>
      <c r="B3117" s="798"/>
      <c r="D3117" s="798"/>
      <c r="E3117" s="798"/>
      <c r="F3117" s="798"/>
      <c r="G3117" s="798"/>
      <c r="J3117" s="778" t="str">
        <f aca="false">IF(I3117="","",H3117/I3117)</f>
        <v/>
      </c>
      <c r="K3117" s="798"/>
      <c r="P3117" s="798"/>
      <c r="Q3117" s="798"/>
      <c r="R3117" s="811"/>
    </row>
    <row r="3118" customFormat="false" ht="16.5" hidden="false" customHeight="true" outlineLevel="0" collapsed="false">
      <c r="A3118" s="747"/>
      <c r="B3118" s="798"/>
      <c r="D3118" s="798"/>
      <c r="E3118" s="798"/>
      <c r="F3118" s="798"/>
      <c r="G3118" s="798"/>
      <c r="J3118" s="778" t="str">
        <f aca="false">IF(I3118="","",H3118/I3118)</f>
        <v/>
      </c>
      <c r="K3118" s="798"/>
      <c r="P3118" s="798"/>
      <c r="Q3118" s="798"/>
      <c r="R3118" s="811"/>
    </row>
    <row r="3119" customFormat="false" ht="16.5" hidden="false" customHeight="true" outlineLevel="0" collapsed="false">
      <c r="A3119" s="747"/>
      <c r="B3119" s="798"/>
      <c r="D3119" s="798"/>
      <c r="E3119" s="798"/>
      <c r="F3119" s="798"/>
      <c r="G3119" s="798"/>
      <c r="J3119" s="778" t="str">
        <f aca="false">IF(I3119="","",H3119/I3119)</f>
        <v/>
      </c>
      <c r="K3119" s="798"/>
      <c r="P3119" s="798"/>
      <c r="Q3119" s="798"/>
      <c r="R3119" s="811"/>
    </row>
    <row r="3120" customFormat="false" ht="16.5" hidden="false" customHeight="true" outlineLevel="0" collapsed="false">
      <c r="A3120" s="747"/>
      <c r="B3120" s="798"/>
      <c r="D3120" s="798"/>
      <c r="E3120" s="798"/>
      <c r="F3120" s="798"/>
      <c r="G3120" s="798"/>
      <c r="J3120" s="778" t="str">
        <f aca="false">IF(I3120="","",H3120/I3120)</f>
        <v/>
      </c>
      <c r="K3120" s="798"/>
      <c r="P3120" s="798"/>
      <c r="Q3120" s="798"/>
      <c r="R3120" s="811"/>
    </row>
    <row r="3121" customFormat="false" ht="16.5" hidden="false" customHeight="true" outlineLevel="0" collapsed="false">
      <c r="A3121" s="747"/>
      <c r="B3121" s="798"/>
      <c r="D3121" s="798"/>
      <c r="E3121" s="798"/>
      <c r="F3121" s="798"/>
      <c r="G3121" s="798"/>
      <c r="J3121" s="778" t="str">
        <f aca="false">IF(I3121="","",H3121/I3121)</f>
        <v/>
      </c>
      <c r="K3121" s="798"/>
      <c r="P3121" s="798"/>
      <c r="Q3121" s="798"/>
      <c r="R3121" s="811"/>
    </row>
    <row r="3122" customFormat="false" ht="16.5" hidden="false" customHeight="true" outlineLevel="0" collapsed="false">
      <c r="A3122" s="747"/>
      <c r="B3122" s="798"/>
      <c r="D3122" s="798"/>
      <c r="E3122" s="798"/>
      <c r="F3122" s="798"/>
      <c r="G3122" s="798"/>
      <c r="J3122" s="778" t="str">
        <f aca="false">IF(I3122="","",H3122/I3122)</f>
        <v/>
      </c>
      <c r="K3122" s="798"/>
      <c r="P3122" s="798"/>
      <c r="Q3122" s="798"/>
      <c r="R3122" s="811"/>
    </row>
    <row r="3123" customFormat="false" ht="16.5" hidden="false" customHeight="true" outlineLevel="0" collapsed="false">
      <c r="A3123" s="747"/>
      <c r="B3123" s="798"/>
      <c r="D3123" s="798"/>
      <c r="E3123" s="798"/>
      <c r="F3123" s="798"/>
      <c r="G3123" s="798"/>
      <c r="J3123" s="778" t="str">
        <f aca="false">IF(I3123="","",H3123/I3123)</f>
        <v/>
      </c>
      <c r="K3123" s="798"/>
      <c r="P3123" s="798"/>
      <c r="Q3123" s="798"/>
      <c r="R3123" s="811"/>
    </row>
    <row r="3124" customFormat="false" ht="16.5" hidden="false" customHeight="true" outlineLevel="0" collapsed="false">
      <c r="A3124" s="747"/>
      <c r="B3124" s="798"/>
      <c r="D3124" s="798"/>
      <c r="E3124" s="798"/>
      <c r="F3124" s="798"/>
      <c r="G3124" s="798"/>
      <c r="J3124" s="778" t="str">
        <f aca="false">IF(I3124="","",H3124/I3124)</f>
        <v/>
      </c>
      <c r="K3124" s="798"/>
      <c r="P3124" s="798"/>
      <c r="Q3124" s="798"/>
      <c r="R3124" s="811"/>
    </row>
    <row r="3125" customFormat="false" ht="16.5" hidden="false" customHeight="true" outlineLevel="0" collapsed="false">
      <c r="A3125" s="747"/>
      <c r="B3125" s="798"/>
      <c r="D3125" s="798"/>
      <c r="E3125" s="798"/>
      <c r="F3125" s="798"/>
      <c r="G3125" s="798"/>
      <c r="J3125" s="778" t="str">
        <f aca="false">IF(I3125="","",H3125/I3125)</f>
        <v/>
      </c>
      <c r="K3125" s="798"/>
      <c r="P3125" s="798"/>
      <c r="Q3125" s="798"/>
      <c r="R3125" s="811"/>
    </row>
    <row r="3126" customFormat="false" ht="16.5" hidden="false" customHeight="true" outlineLevel="0" collapsed="false">
      <c r="A3126" s="747"/>
      <c r="B3126" s="798"/>
      <c r="D3126" s="798"/>
      <c r="E3126" s="798"/>
      <c r="F3126" s="798"/>
      <c r="G3126" s="798"/>
      <c r="J3126" s="778" t="str">
        <f aca="false">IF(I3126="","",H3126/I3126)</f>
        <v/>
      </c>
      <c r="K3126" s="798"/>
      <c r="P3126" s="798"/>
      <c r="Q3126" s="798"/>
      <c r="R3126" s="811"/>
    </row>
    <row r="3127" customFormat="false" ht="16.5" hidden="false" customHeight="true" outlineLevel="0" collapsed="false">
      <c r="A3127" s="747"/>
      <c r="B3127" s="798"/>
      <c r="D3127" s="798"/>
      <c r="E3127" s="798"/>
      <c r="F3127" s="798"/>
      <c r="G3127" s="798"/>
      <c r="J3127" s="778" t="str">
        <f aca="false">IF(I3127="","",H3127/I3127)</f>
        <v/>
      </c>
      <c r="K3127" s="798"/>
      <c r="P3127" s="798"/>
      <c r="Q3127" s="798"/>
      <c r="R3127" s="811"/>
    </row>
    <row r="3128" customFormat="false" ht="16.5" hidden="false" customHeight="true" outlineLevel="0" collapsed="false">
      <c r="A3128" s="747"/>
      <c r="B3128" s="798"/>
      <c r="D3128" s="798"/>
      <c r="E3128" s="798"/>
      <c r="F3128" s="798"/>
      <c r="G3128" s="798"/>
      <c r="J3128" s="778" t="str">
        <f aca="false">IF(I3128="","",H3128/I3128)</f>
        <v/>
      </c>
      <c r="K3128" s="798"/>
      <c r="P3128" s="798"/>
      <c r="Q3128" s="798"/>
      <c r="R3128" s="811"/>
    </row>
    <row r="3129" customFormat="false" ht="16.5" hidden="false" customHeight="true" outlineLevel="0" collapsed="false">
      <c r="A3129" s="747"/>
      <c r="B3129" s="798"/>
      <c r="D3129" s="798"/>
      <c r="E3129" s="798"/>
      <c r="F3129" s="798"/>
      <c r="G3129" s="798"/>
      <c r="J3129" s="778" t="str">
        <f aca="false">IF(I3129="","",H3129/I3129)</f>
        <v/>
      </c>
      <c r="K3129" s="798"/>
      <c r="P3129" s="798"/>
      <c r="Q3129" s="798"/>
      <c r="R3129" s="811"/>
    </row>
    <row r="3130" customFormat="false" ht="16.5" hidden="false" customHeight="true" outlineLevel="0" collapsed="false">
      <c r="A3130" s="747"/>
      <c r="B3130" s="798"/>
      <c r="D3130" s="798"/>
      <c r="E3130" s="798"/>
      <c r="F3130" s="798"/>
      <c r="G3130" s="798"/>
      <c r="J3130" s="778" t="str">
        <f aca="false">IF(I3130="","",H3130/I3130)</f>
        <v/>
      </c>
      <c r="K3130" s="798"/>
      <c r="P3130" s="798"/>
      <c r="Q3130" s="798"/>
      <c r="R3130" s="811"/>
    </row>
    <row r="3131" customFormat="false" ht="16.5" hidden="false" customHeight="true" outlineLevel="0" collapsed="false">
      <c r="A3131" s="747"/>
      <c r="B3131" s="798"/>
      <c r="D3131" s="798"/>
      <c r="E3131" s="798"/>
      <c r="F3131" s="798"/>
      <c r="G3131" s="798"/>
      <c r="J3131" s="778" t="str">
        <f aca="false">IF(I3131="","",H3131/I3131)</f>
        <v/>
      </c>
      <c r="K3131" s="798"/>
      <c r="P3131" s="798"/>
      <c r="Q3131" s="798"/>
      <c r="R3131" s="811"/>
    </row>
    <row r="3132" customFormat="false" ht="16.5" hidden="false" customHeight="true" outlineLevel="0" collapsed="false">
      <c r="A3132" s="747"/>
      <c r="B3132" s="798"/>
      <c r="D3132" s="798"/>
      <c r="E3132" s="798"/>
      <c r="F3132" s="798"/>
      <c r="G3132" s="798"/>
      <c r="J3132" s="778" t="str">
        <f aca="false">IF(I3132="","",H3132/I3132)</f>
        <v/>
      </c>
      <c r="K3132" s="798"/>
      <c r="P3132" s="798"/>
      <c r="Q3132" s="798"/>
      <c r="R3132" s="811"/>
    </row>
    <row r="3133" customFormat="false" ht="16.5" hidden="false" customHeight="true" outlineLevel="0" collapsed="false">
      <c r="A3133" s="747"/>
      <c r="B3133" s="798"/>
      <c r="D3133" s="798"/>
      <c r="E3133" s="798"/>
      <c r="F3133" s="798"/>
      <c r="G3133" s="798"/>
      <c r="J3133" s="778" t="str">
        <f aca="false">IF(I3133="","",H3133/I3133)</f>
        <v/>
      </c>
      <c r="K3133" s="798"/>
      <c r="P3133" s="798"/>
      <c r="Q3133" s="798"/>
      <c r="R3133" s="811"/>
    </row>
    <row r="3134" customFormat="false" ht="16.5" hidden="false" customHeight="true" outlineLevel="0" collapsed="false">
      <c r="A3134" s="747"/>
      <c r="B3134" s="798"/>
      <c r="D3134" s="798"/>
      <c r="E3134" s="798"/>
      <c r="F3134" s="798"/>
      <c r="G3134" s="798"/>
      <c r="J3134" s="778" t="str">
        <f aca="false">IF(I3134="","",H3134/I3134)</f>
        <v/>
      </c>
      <c r="K3134" s="798"/>
      <c r="P3134" s="798"/>
      <c r="Q3134" s="798"/>
      <c r="R3134" s="811"/>
    </row>
    <row r="3135" customFormat="false" ht="16.5" hidden="false" customHeight="true" outlineLevel="0" collapsed="false">
      <c r="A3135" s="747"/>
      <c r="B3135" s="798"/>
      <c r="D3135" s="798"/>
      <c r="E3135" s="798"/>
      <c r="F3135" s="798"/>
      <c r="G3135" s="798"/>
      <c r="J3135" s="778" t="str">
        <f aca="false">IF(I3135="","",H3135/I3135)</f>
        <v/>
      </c>
      <c r="K3135" s="798"/>
      <c r="P3135" s="798"/>
      <c r="Q3135" s="798"/>
      <c r="R3135" s="811"/>
    </row>
    <row r="3136" customFormat="false" ht="16.5" hidden="false" customHeight="true" outlineLevel="0" collapsed="false">
      <c r="A3136" s="747"/>
      <c r="B3136" s="798"/>
      <c r="D3136" s="798"/>
      <c r="E3136" s="798"/>
      <c r="F3136" s="798"/>
      <c r="G3136" s="798"/>
      <c r="J3136" s="778" t="str">
        <f aca="false">IF(I3136="","",H3136/I3136)</f>
        <v/>
      </c>
      <c r="K3136" s="798"/>
      <c r="P3136" s="798"/>
      <c r="Q3136" s="798"/>
      <c r="R3136" s="811"/>
    </row>
    <row r="3137" customFormat="false" ht="16.5" hidden="false" customHeight="true" outlineLevel="0" collapsed="false">
      <c r="A3137" s="747"/>
      <c r="B3137" s="798"/>
      <c r="D3137" s="798"/>
      <c r="E3137" s="798"/>
      <c r="F3137" s="798"/>
      <c r="G3137" s="798"/>
      <c r="J3137" s="778" t="str">
        <f aca="false">IF(I3137="","",H3137/I3137)</f>
        <v/>
      </c>
      <c r="K3137" s="798"/>
      <c r="P3137" s="798"/>
      <c r="Q3137" s="798"/>
      <c r="R3137" s="811"/>
    </row>
    <row r="3138" customFormat="false" ht="16.5" hidden="false" customHeight="true" outlineLevel="0" collapsed="false">
      <c r="A3138" s="747"/>
      <c r="B3138" s="798"/>
      <c r="D3138" s="798"/>
      <c r="E3138" s="798"/>
      <c r="F3138" s="798"/>
      <c r="G3138" s="798"/>
      <c r="J3138" s="778" t="str">
        <f aca="false">IF(I3138="","",H3138/I3138)</f>
        <v/>
      </c>
      <c r="K3138" s="798"/>
      <c r="P3138" s="798"/>
      <c r="Q3138" s="798"/>
      <c r="R3138" s="811"/>
    </row>
    <row r="3139" customFormat="false" ht="16.5" hidden="false" customHeight="true" outlineLevel="0" collapsed="false">
      <c r="A3139" s="747"/>
      <c r="B3139" s="798"/>
      <c r="D3139" s="798"/>
      <c r="E3139" s="798"/>
      <c r="F3139" s="798"/>
      <c r="G3139" s="798"/>
      <c r="J3139" s="778" t="str">
        <f aca="false">IF(I3139="","",H3139/I3139)</f>
        <v/>
      </c>
      <c r="K3139" s="798"/>
      <c r="P3139" s="798"/>
      <c r="Q3139" s="798"/>
      <c r="R3139" s="811"/>
    </row>
    <row r="3140" customFormat="false" ht="16.5" hidden="false" customHeight="true" outlineLevel="0" collapsed="false">
      <c r="A3140" s="747"/>
      <c r="B3140" s="798"/>
      <c r="D3140" s="798"/>
      <c r="E3140" s="798"/>
      <c r="F3140" s="798"/>
      <c r="G3140" s="798"/>
      <c r="J3140" s="778" t="str">
        <f aca="false">IF(I3140="","",H3140/I3140)</f>
        <v/>
      </c>
      <c r="K3140" s="798"/>
      <c r="P3140" s="798"/>
      <c r="Q3140" s="798"/>
      <c r="R3140" s="811"/>
    </row>
    <row r="3141" customFormat="false" ht="16.5" hidden="false" customHeight="true" outlineLevel="0" collapsed="false">
      <c r="A3141" s="747"/>
      <c r="B3141" s="798"/>
      <c r="D3141" s="798"/>
      <c r="E3141" s="798"/>
      <c r="F3141" s="798"/>
      <c r="G3141" s="798"/>
      <c r="J3141" s="778" t="str">
        <f aca="false">IF(I3141="","",H3141/I3141)</f>
        <v/>
      </c>
      <c r="K3141" s="798"/>
      <c r="P3141" s="798"/>
      <c r="Q3141" s="798"/>
      <c r="R3141" s="811"/>
    </row>
    <row r="3142" customFormat="false" ht="16.5" hidden="false" customHeight="true" outlineLevel="0" collapsed="false">
      <c r="A3142" s="747"/>
      <c r="B3142" s="798"/>
      <c r="D3142" s="798"/>
      <c r="E3142" s="798"/>
      <c r="F3142" s="798"/>
      <c r="G3142" s="798"/>
      <c r="J3142" s="778" t="str">
        <f aca="false">IF(I3142="","",H3142/I3142)</f>
        <v/>
      </c>
      <c r="K3142" s="798"/>
      <c r="P3142" s="798"/>
      <c r="Q3142" s="798"/>
      <c r="R3142" s="811"/>
    </row>
    <row r="3143" customFormat="false" ht="16.5" hidden="false" customHeight="true" outlineLevel="0" collapsed="false">
      <c r="A3143" s="747"/>
      <c r="B3143" s="798"/>
      <c r="D3143" s="798"/>
      <c r="E3143" s="798"/>
      <c r="F3143" s="798"/>
      <c r="G3143" s="798"/>
      <c r="J3143" s="778" t="str">
        <f aca="false">IF(I3143="","",H3143/I3143)</f>
        <v/>
      </c>
      <c r="K3143" s="798"/>
      <c r="P3143" s="798"/>
      <c r="Q3143" s="798"/>
      <c r="R3143" s="811"/>
    </row>
    <row r="3144" customFormat="false" ht="16.5" hidden="false" customHeight="true" outlineLevel="0" collapsed="false">
      <c r="A3144" s="747"/>
      <c r="B3144" s="798"/>
      <c r="D3144" s="798"/>
      <c r="E3144" s="798"/>
      <c r="F3144" s="798"/>
      <c r="G3144" s="798"/>
      <c r="J3144" s="778" t="str">
        <f aca="false">IF(I3144="","",H3144/I3144)</f>
        <v/>
      </c>
      <c r="K3144" s="798"/>
      <c r="P3144" s="798"/>
      <c r="Q3144" s="798"/>
      <c r="R3144" s="811"/>
    </row>
    <row r="3145" customFormat="false" ht="16.5" hidden="false" customHeight="true" outlineLevel="0" collapsed="false">
      <c r="A3145" s="747"/>
      <c r="B3145" s="798"/>
      <c r="D3145" s="798"/>
      <c r="E3145" s="798"/>
      <c r="F3145" s="798"/>
      <c r="G3145" s="798"/>
      <c r="J3145" s="778" t="str">
        <f aca="false">IF(I3145="","",H3145/I3145)</f>
        <v/>
      </c>
      <c r="K3145" s="798"/>
      <c r="P3145" s="798"/>
      <c r="Q3145" s="798"/>
      <c r="R3145" s="811"/>
    </row>
    <row r="3146" customFormat="false" ht="16.5" hidden="false" customHeight="true" outlineLevel="0" collapsed="false">
      <c r="A3146" s="747"/>
      <c r="B3146" s="798"/>
      <c r="D3146" s="798"/>
      <c r="E3146" s="798"/>
      <c r="F3146" s="798"/>
      <c r="G3146" s="798"/>
      <c r="J3146" s="778" t="str">
        <f aca="false">IF(I3146="","",H3146/I3146)</f>
        <v/>
      </c>
      <c r="K3146" s="798"/>
      <c r="P3146" s="798"/>
      <c r="Q3146" s="798"/>
      <c r="R3146" s="811"/>
    </row>
    <row r="3147" customFormat="false" ht="16.5" hidden="false" customHeight="true" outlineLevel="0" collapsed="false">
      <c r="A3147" s="747"/>
      <c r="B3147" s="798"/>
      <c r="D3147" s="798"/>
      <c r="E3147" s="798"/>
      <c r="F3147" s="798"/>
      <c r="G3147" s="798"/>
      <c r="J3147" s="778" t="str">
        <f aca="false">IF(I3147="","",H3147/I3147)</f>
        <v/>
      </c>
      <c r="K3147" s="798"/>
      <c r="P3147" s="798"/>
      <c r="Q3147" s="798"/>
      <c r="R3147" s="811"/>
    </row>
    <row r="3148" customFormat="false" ht="16.5" hidden="false" customHeight="true" outlineLevel="0" collapsed="false">
      <c r="A3148" s="747"/>
      <c r="B3148" s="798"/>
      <c r="D3148" s="798"/>
      <c r="E3148" s="798"/>
      <c r="F3148" s="798"/>
      <c r="G3148" s="798"/>
      <c r="J3148" s="778" t="str">
        <f aca="false">IF(I3148="","",H3148/I3148)</f>
        <v/>
      </c>
      <c r="K3148" s="798"/>
      <c r="P3148" s="798"/>
      <c r="Q3148" s="798"/>
      <c r="R3148" s="811"/>
    </row>
    <row r="3149" customFormat="false" ht="16.5" hidden="false" customHeight="true" outlineLevel="0" collapsed="false">
      <c r="A3149" s="747"/>
      <c r="B3149" s="798"/>
      <c r="D3149" s="798"/>
      <c r="E3149" s="798"/>
      <c r="F3149" s="798"/>
      <c r="G3149" s="798"/>
      <c r="J3149" s="778" t="str">
        <f aca="false">IF(I3149="","",H3149/I3149)</f>
        <v/>
      </c>
      <c r="K3149" s="798"/>
      <c r="P3149" s="798"/>
      <c r="Q3149" s="798"/>
      <c r="R3149" s="811"/>
    </row>
    <row r="3150" customFormat="false" ht="16.5" hidden="false" customHeight="true" outlineLevel="0" collapsed="false">
      <c r="A3150" s="747"/>
      <c r="B3150" s="798"/>
      <c r="D3150" s="798"/>
      <c r="E3150" s="798"/>
      <c r="F3150" s="798"/>
      <c r="G3150" s="798"/>
      <c r="J3150" s="778" t="str">
        <f aca="false">IF(I3150="","",H3150/I3150)</f>
        <v/>
      </c>
      <c r="K3150" s="798"/>
      <c r="P3150" s="798"/>
      <c r="Q3150" s="798"/>
      <c r="R3150" s="811"/>
    </row>
    <row r="3151" customFormat="false" ht="16.5" hidden="false" customHeight="true" outlineLevel="0" collapsed="false">
      <c r="A3151" s="747"/>
      <c r="B3151" s="798"/>
      <c r="D3151" s="798"/>
      <c r="E3151" s="798"/>
      <c r="F3151" s="798"/>
      <c r="G3151" s="798"/>
      <c r="J3151" s="778" t="str">
        <f aca="false">IF(I3151="","",H3151/I3151)</f>
        <v/>
      </c>
      <c r="K3151" s="798"/>
      <c r="P3151" s="798"/>
      <c r="Q3151" s="798"/>
      <c r="R3151" s="811"/>
    </row>
    <row r="3152" customFormat="false" ht="16.5" hidden="false" customHeight="true" outlineLevel="0" collapsed="false">
      <c r="A3152" s="747"/>
      <c r="B3152" s="798"/>
      <c r="D3152" s="798"/>
      <c r="E3152" s="798"/>
      <c r="F3152" s="798"/>
      <c r="G3152" s="798"/>
      <c r="J3152" s="778" t="str">
        <f aca="false">IF(I3152="","",H3152/I3152)</f>
        <v/>
      </c>
      <c r="K3152" s="798"/>
      <c r="P3152" s="798"/>
      <c r="Q3152" s="798"/>
      <c r="R3152" s="811"/>
    </row>
    <row r="3153" customFormat="false" ht="16.5" hidden="false" customHeight="true" outlineLevel="0" collapsed="false">
      <c r="A3153" s="747"/>
      <c r="B3153" s="798"/>
      <c r="D3153" s="798"/>
      <c r="E3153" s="798"/>
      <c r="F3153" s="798"/>
      <c r="G3153" s="798"/>
      <c r="J3153" s="778" t="str">
        <f aca="false">IF(I3153="","",H3153/I3153)</f>
        <v/>
      </c>
      <c r="K3153" s="798"/>
      <c r="P3153" s="798"/>
      <c r="Q3153" s="798"/>
      <c r="R3153" s="811"/>
    </row>
    <row r="3154" customFormat="false" ht="16.5" hidden="false" customHeight="true" outlineLevel="0" collapsed="false">
      <c r="A3154" s="747"/>
      <c r="B3154" s="798"/>
      <c r="D3154" s="798"/>
      <c r="E3154" s="798"/>
      <c r="F3154" s="798"/>
      <c r="G3154" s="798"/>
      <c r="J3154" s="778" t="str">
        <f aca="false">IF(I3154="","",H3154/I3154)</f>
        <v/>
      </c>
      <c r="K3154" s="798"/>
      <c r="P3154" s="798"/>
      <c r="Q3154" s="798"/>
      <c r="R3154" s="811"/>
    </row>
    <row r="3155" customFormat="false" ht="16.5" hidden="false" customHeight="true" outlineLevel="0" collapsed="false">
      <c r="A3155" s="747"/>
      <c r="B3155" s="798"/>
      <c r="D3155" s="798"/>
      <c r="E3155" s="798"/>
      <c r="F3155" s="798"/>
      <c r="G3155" s="798"/>
      <c r="J3155" s="778" t="str">
        <f aca="false">IF(I3155="","",H3155/I3155)</f>
        <v/>
      </c>
      <c r="K3155" s="798"/>
      <c r="P3155" s="798"/>
      <c r="Q3155" s="798"/>
      <c r="R3155" s="811"/>
    </row>
    <row r="3156" customFormat="false" ht="16.5" hidden="false" customHeight="true" outlineLevel="0" collapsed="false">
      <c r="A3156" s="747"/>
      <c r="B3156" s="798"/>
      <c r="D3156" s="798"/>
      <c r="E3156" s="798"/>
      <c r="F3156" s="798"/>
      <c r="G3156" s="798"/>
      <c r="J3156" s="778" t="str">
        <f aca="false">IF(I3156="","",H3156/I3156)</f>
        <v/>
      </c>
      <c r="K3156" s="798"/>
      <c r="P3156" s="798"/>
      <c r="Q3156" s="798"/>
      <c r="R3156" s="811"/>
    </row>
    <row r="3157" customFormat="false" ht="16.5" hidden="false" customHeight="true" outlineLevel="0" collapsed="false">
      <c r="A3157" s="747"/>
      <c r="B3157" s="798"/>
      <c r="D3157" s="798"/>
      <c r="E3157" s="798"/>
      <c r="F3157" s="798"/>
      <c r="G3157" s="798"/>
      <c r="J3157" s="778" t="str">
        <f aca="false">IF(I3157="","",H3157/I3157)</f>
        <v/>
      </c>
      <c r="K3157" s="798"/>
      <c r="P3157" s="798"/>
      <c r="Q3157" s="798"/>
      <c r="R3157" s="811"/>
    </row>
    <row r="3158" customFormat="false" ht="16.5" hidden="false" customHeight="true" outlineLevel="0" collapsed="false">
      <c r="A3158" s="747"/>
      <c r="B3158" s="798"/>
      <c r="D3158" s="798"/>
      <c r="E3158" s="798"/>
      <c r="F3158" s="798"/>
      <c r="G3158" s="798"/>
      <c r="J3158" s="778" t="str">
        <f aca="false">IF(I3158="","",H3158/I3158)</f>
        <v/>
      </c>
      <c r="K3158" s="798"/>
      <c r="P3158" s="798"/>
      <c r="Q3158" s="798"/>
      <c r="R3158" s="811"/>
    </row>
    <row r="3159" customFormat="false" ht="16.5" hidden="false" customHeight="true" outlineLevel="0" collapsed="false">
      <c r="A3159" s="747"/>
      <c r="B3159" s="798"/>
      <c r="D3159" s="798"/>
      <c r="E3159" s="798"/>
      <c r="F3159" s="798"/>
      <c r="G3159" s="798"/>
      <c r="J3159" s="778" t="str">
        <f aca="false">IF(I3159="","",H3159/I3159)</f>
        <v/>
      </c>
      <c r="K3159" s="798"/>
      <c r="P3159" s="798"/>
      <c r="Q3159" s="798"/>
      <c r="R3159" s="811"/>
    </row>
    <row r="3160" customFormat="false" ht="16.5" hidden="false" customHeight="true" outlineLevel="0" collapsed="false">
      <c r="A3160" s="747"/>
      <c r="B3160" s="798"/>
      <c r="D3160" s="798"/>
      <c r="E3160" s="798"/>
      <c r="F3160" s="798"/>
      <c r="G3160" s="798"/>
      <c r="J3160" s="778" t="str">
        <f aca="false">IF(I3160="","",H3160/I3160)</f>
        <v/>
      </c>
      <c r="K3160" s="798"/>
      <c r="P3160" s="798"/>
      <c r="Q3160" s="798"/>
      <c r="R3160" s="811"/>
    </row>
    <row r="3161" customFormat="false" ht="16.5" hidden="false" customHeight="true" outlineLevel="0" collapsed="false">
      <c r="A3161" s="747"/>
      <c r="B3161" s="798"/>
      <c r="D3161" s="798"/>
      <c r="E3161" s="798"/>
      <c r="F3161" s="798"/>
      <c r="G3161" s="798"/>
      <c r="J3161" s="778" t="str">
        <f aca="false">IF(I3161="","",H3161/I3161)</f>
        <v/>
      </c>
      <c r="K3161" s="798"/>
      <c r="P3161" s="798"/>
      <c r="Q3161" s="798"/>
      <c r="R3161" s="811"/>
    </row>
    <row r="3162" customFormat="false" ht="16.5" hidden="false" customHeight="true" outlineLevel="0" collapsed="false">
      <c r="A3162" s="747"/>
      <c r="B3162" s="798"/>
      <c r="D3162" s="798"/>
      <c r="E3162" s="798"/>
      <c r="F3162" s="798"/>
      <c r="G3162" s="798"/>
      <c r="J3162" s="778" t="str">
        <f aca="false">IF(I3162="","",H3162/I3162)</f>
        <v/>
      </c>
      <c r="K3162" s="798"/>
      <c r="P3162" s="798"/>
      <c r="Q3162" s="798"/>
      <c r="R3162" s="811"/>
    </row>
    <row r="3163" customFormat="false" ht="16.5" hidden="false" customHeight="true" outlineLevel="0" collapsed="false">
      <c r="A3163" s="747"/>
      <c r="B3163" s="798"/>
      <c r="D3163" s="798"/>
      <c r="E3163" s="798"/>
      <c r="F3163" s="798"/>
      <c r="G3163" s="798"/>
      <c r="J3163" s="778" t="str">
        <f aca="false">IF(I3163="","",H3163/I3163)</f>
        <v/>
      </c>
      <c r="K3163" s="798"/>
      <c r="P3163" s="798"/>
      <c r="Q3163" s="798"/>
      <c r="R3163" s="811"/>
    </row>
    <row r="3164" customFormat="false" ht="16.5" hidden="false" customHeight="true" outlineLevel="0" collapsed="false">
      <c r="A3164" s="747"/>
      <c r="B3164" s="798"/>
      <c r="D3164" s="798"/>
      <c r="E3164" s="798"/>
      <c r="F3164" s="798"/>
      <c r="G3164" s="798"/>
      <c r="J3164" s="778" t="str">
        <f aca="false">IF(I3164="","",H3164/I3164)</f>
        <v/>
      </c>
      <c r="K3164" s="798"/>
      <c r="P3164" s="798"/>
      <c r="Q3164" s="798"/>
      <c r="R3164" s="811"/>
    </row>
    <row r="3165" customFormat="false" ht="16.5" hidden="false" customHeight="true" outlineLevel="0" collapsed="false">
      <c r="A3165" s="747"/>
      <c r="B3165" s="798"/>
      <c r="D3165" s="798"/>
      <c r="E3165" s="798"/>
      <c r="F3165" s="798"/>
      <c r="G3165" s="798"/>
      <c r="J3165" s="778" t="str">
        <f aca="false">IF(I3165="","",H3165/I3165)</f>
        <v/>
      </c>
      <c r="K3165" s="798"/>
      <c r="P3165" s="798"/>
      <c r="Q3165" s="798"/>
      <c r="R3165" s="811"/>
    </row>
    <row r="3166" customFormat="false" ht="16.5" hidden="false" customHeight="true" outlineLevel="0" collapsed="false">
      <c r="A3166" s="747"/>
      <c r="B3166" s="798"/>
      <c r="D3166" s="798"/>
      <c r="E3166" s="798"/>
      <c r="F3166" s="798"/>
      <c r="G3166" s="798"/>
      <c r="J3166" s="778" t="str">
        <f aca="false">IF(I3166="","",H3166/I3166)</f>
        <v/>
      </c>
      <c r="K3166" s="798"/>
      <c r="P3166" s="798"/>
      <c r="Q3166" s="798"/>
      <c r="R3166" s="811"/>
    </row>
    <row r="3167" customFormat="false" ht="16.5" hidden="false" customHeight="true" outlineLevel="0" collapsed="false">
      <c r="A3167" s="747"/>
      <c r="B3167" s="798"/>
      <c r="D3167" s="798"/>
      <c r="E3167" s="798"/>
      <c r="F3167" s="798"/>
      <c r="G3167" s="798"/>
      <c r="J3167" s="778" t="str">
        <f aca="false">IF(I3167="","",H3167/I3167)</f>
        <v/>
      </c>
      <c r="K3167" s="798"/>
      <c r="P3167" s="798"/>
      <c r="Q3167" s="798"/>
      <c r="R3167" s="811"/>
    </row>
    <row r="3168" customFormat="false" ht="16.5" hidden="false" customHeight="true" outlineLevel="0" collapsed="false">
      <c r="A3168" s="747"/>
      <c r="B3168" s="798"/>
      <c r="D3168" s="798"/>
      <c r="E3168" s="798"/>
      <c r="F3168" s="798"/>
      <c r="G3168" s="798"/>
      <c r="J3168" s="778" t="str">
        <f aca="false">IF(I3168="","",H3168/I3168)</f>
        <v/>
      </c>
      <c r="K3168" s="798"/>
      <c r="P3168" s="798"/>
      <c r="Q3168" s="798"/>
      <c r="R3168" s="811"/>
    </row>
    <row r="3169" customFormat="false" ht="16.5" hidden="false" customHeight="true" outlineLevel="0" collapsed="false">
      <c r="A3169" s="747"/>
      <c r="B3169" s="798"/>
      <c r="D3169" s="798"/>
      <c r="E3169" s="798"/>
      <c r="F3169" s="798"/>
      <c r="G3169" s="798"/>
      <c r="J3169" s="778" t="str">
        <f aca="false">IF(I3169="","",H3169/I3169)</f>
        <v/>
      </c>
      <c r="K3169" s="798"/>
      <c r="P3169" s="798"/>
      <c r="Q3169" s="798"/>
      <c r="R3169" s="811"/>
    </row>
    <row r="3170" customFormat="false" ht="16.5" hidden="false" customHeight="true" outlineLevel="0" collapsed="false">
      <c r="A3170" s="747"/>
      <c r="B3170" s="798"/>
      <c r="D3170" s="798"/>
      <c r="E3170" s="798"/>
      <c r="F3170" s="798"/>
      <c r="G3170" s="798"/>
      <c r="J3170" s="778" t="str">
        <f aca="false">IF(I3170="","",H3170/I3170)</f>
        <v/>
      </c>
      <c r="K3170" s="798"/>
      <c r="P3170" s="798"/>
      <c r="Q3170" s="798"/>
      <c r="R3170" s="811"/>
    </row>
    <row r="3171" customFormat="false" ht="16.5" hidden="false" customHeight="true" outlineLevel="0" collapsed="false">
      <c r="A3171" s="747"/>
      <c r="B3171" s="798"/>
      <c r="D3171" s="798"/>
      <c r="E3171" s="798"/>
      <c r="F3171" s="798"/>
      <c r="G3171" s="798"/>
      <c r="J3171" s="778" t="str">
        <f aca="false">IF(I3171="","",H3171/I3171)</f>
        <v/>
      </c>
      <c r="K3171" s="798"/>
      <c r="P3171" s="798"/>
      <c r="Q3171" s="798"/>
      <c r="R3171" s="811"/>
    </row>
    <row r="3172" customFormat="false" ht="16.5" hidden="false" customHeight="true" outlineLevel="0" collapsed="false">
      <c r="A3172" s="747"/>
      <c r="B3172" s="798"/>
      <c r="D3172" s="798"/>
      <c r="E3172" s="798"/>
      <c r="F3172" s="798"/>
      <c r="G3172" s="798"/>
      <c r="J3172" s="778" t="str">
        <f aca="false">IF(I3172="","",H3172/I3172)</f>
        <v/>
      </c>
      <c r="K3172" s="798"/>
      <c r="P3172" s="798"/>
      <c r="Q3172" s="798"/>
      <c r="R3172" s="811"/>
    </row>
    <row r="3173" customFormat="false" ht="16.5" hidden="false" customHeight="true" outlineLevel="0" collapsed="false">
      <c r="A3173" s="747"/>
      <c r="B3173" s="798"/>
      <c r="D3173" s="798"/>
      <c r="E3173" s="798"/>
      <c r="F3173" s="798"/>
      <c r="G3173" s="798"/>
      <c r="J3173" s="778" t="str">
        <f aca="false">IF(I3173="","",H3173/I3173)</f>
        <v/>
      </c>
      <c r="K3173" s="798"/>
      <c r="P3173" s="798"/>
      <c r="Q3173" s="798"/>
      <c r="R3173" s="811"/>
    </row>
    <row r="3174" customFormat="false" ht="16.5" hidden="false" customHeight="true" outlineLevel="0" collapsed="false">
      <c r="A3174" s="747"/>
      <c r="B3174" s="798"/>
      <c r="D3174" s="798"/>
      <c r="E3174" s="798"/>
      <c r="F3174" s="798"/>
      <c r="G3174" s="798"/>
      <c r="J3174" s="778" t="str">
        <f aca="false">IF(I3174="","",H3174/I3174)</f>
        <v/>
      </c>
      <c r="K3174" s="798"/>
      <c r="P3174" s="798"/>
      <c r="Q3174" s="798"/>
      <c r="R3174" s="811"/>
    </row>
    <row r="3175" customFormat="false" ht="16.5" hidden="false" customHeight="true" outlineLevel="0" collapsed="false">
      <c r="A3175" s="747"/>
      <c r="B3175" s="798"/>
      <c r="D3175" s="798"/>
      <c r="E3175" s="798"/>
      <c r="F3175" s="798"/>
      <c r="G3175" s="798"/>
      <c r="J3175" s="778" t="str">
        <f aca="false">IF(I3175="","",H3175/I3175)</f>
        <v/>
      </c>
      <c r="K3175" s="798"/>
      <c r="P3175" s="798"/>
      <c r="Q3175" s="798"/>
      <c r="R3175" s="811"/>
    </row>
    <row r="3176" customFormat="false" ht="16.5" hidden="false" customHeight="true" outlineLevel="0" collapsed="false">
      <c r="A3176" s="747"/>
      <c r="B3176" s="798"/>
      <c r="D3176" s="798"/>
      <c r="E3176" s="798"/>
      <c r="F3176" s="798"/>
      <c r="G3176" s="798"/>
      <c r="J3176" s="778" t="str">
        <f aca="false">IF(I3176="","",H3176/I3176)</f>
        <v/>
      </c>
      <c r="K3176" s="798"/>
      <c r="P3176" s="798"/>
      <c r="Q3176" s="798"/>
      <c r="R3176" s="811"/>
    </row>
    <row r="3177" customFormat="false" ht="16.5" hidden="false" customHeight="true" outlineLevel="0" collapsed="false">
      <c r="A3177" s="747"/>
      <c r="B3177" s="798"/>
      <c r="D3177" s="798"/>
      <c r="E3177" s="798"/>
      <c r="F3177" s="798"/>
      <c r="G3177" s="798"/>
      <c r="J3177" s="778" t="str">
        <f aca="false">IF(I3177="","",H3177/I3177)</f>
        <v/>
      </c>
      <c r="K3177" s="798"/>
      <c r="P3177" s="798"/>
      <c r="Q3177" s="798"/>
      <c r="R3177" s="811"/>
    </row>
    <row r="3178" customFormat="false" ht="16.5" hidden="false" customHeight="true" outlineLevel="0" collapsed="false">
      <c r="A3178" s="747"/>
      <c r="B3178" s="798"/>
      <c r="D3178" s="798"/>
      <c r="E3178" s="798"/>
      <c r="F3178" s="798"/>
      <c r="G3178" s="798"/>
      <c r="J3178" s="778" t="str">
        <f aca="false">IF(I3178="","",H3178/I3178)</f>
        <v/>
      </c>
      <c r="K3178" s="798"/>
      <c r="P3178" s="798"/>
      <c r="Q3178" s="798"/>
      <c r="R3178" s="811"/>
    </row>
    <row r="3179" customFormat="false" ht="16.5" hidden="false" customHeight="true" outlineLevel="0" collapsed="false">
      <c r="A3179" s="747"/>
      <c r="B3179" s="798"/>
      <c r="D3179" s="798"/>
      <c r="E3179" s="798"/>
      <c r="F3179" s="798"/>
      <c r="G3179" s="798"/>
      <c r="J3179" s="778" t="str">
        <f aca="false">IF(I3179="","",H3179/I3179)</f>
        <v/>
      </c>
      <c r="K3179" s="798"/>
      <c r="P3179" s="798"/>
      <c r="Q3179" s="798"/>
      <c r="R3179" s="811"/>
    </row>
    <row r="3180" customFormat="false" ht="16.5" hidden="false" customHeight="true" outlineLevel="0" collapsed="false">
      <c r="A3180" s="747"/>
      <c r="B3180" s="798"/>
      <c r="D3180" s="798"/>
      <c r="E3180" s="798"/>
      <c r="F3180" s="798"/>
      <c r="G3180" s="798"/>
      <c r="J3180" s="778" t="str">
        <f aca="false">IF(I3180="","",H3180/I3180)</f>
        <v/>
      </c>
      <c r="K3180" s="798"/>
      <c r="P3180" s="798"/>
      <c r="Q3180" s="798"/>
      <c r="R3180" s="811"/>
    </row>
    <row r="3181" customFormat="false" ht="16.5" hidden="false" customHeight="true" outlineLevel="0" collapsed="false">
      <c r="A3181" s="747"/>
      <c r="B3181" s="798"/>
      <c r="D3181" s="798"/>
      <c r="E3181" s="798"/>
      <c r="F3181" s="798"/>
      <c r="G3181" s="798"/>
      <c r="J3181" s="778" t="str">
        <f aca="false">IF(I3181="","",H3181/I3181)</f>
        <v/>
      </c>
      <c r="K3181" s="798"/>
      <c r="P3181" s="798"/>
      <c r="Q3181" s="798"/>
      <c r="R3181" s="811"/>
    </row>
    <row r="3182" customFormat="false" ht="16.5" hidden="false" customHeight="true" outlineLevel="0" collapsed="false">
      <c r="A3182" s="747"/>
      <c r="B3182" s="798"/>
      <c r="D3182" s="798"/>
      <c r="E3182" s="798"/>
      <c r="F3182" s="798"/>
      <c r="G3182" s="798"/>
      <c r="J3182" s="778" t="str">
        <f aca="false">IF(I3182="","",H3182/I3182)</f>
        <v/>
      </c>
      <c r="K3182" s="798"/>
      <c r="P3182" s="798"/>
      <c r="Q3182" s="798"/>
      <c r="R3182" s="811"/>
    </row>
    <row r="3183" customFormat="false" ht="16.5" hidden="false" customHeight="true" outlineLevel="0" collapsed="false">
      <c r="A3183" s="747"/>
      <c r="B3183" s="798"/>
      <c r="D3183" s="798"/>
      <c r="E3183" s="798"/>
      <c r="F3183" s="798"/>
      <c r="G3183" s="798"/>
      <c r="J3183" s="778" t="str">
        <f aca="false">IF(I3183="","",H3183/I3183)</f>
        <v/>
      </c>
      <c r="K3183" s="798"/>
      <c r="P3183" s="798"/>
      <c r="Q3183" s="798"/>
      <c r="R3183" s="811"/>
    </row>
    <row r="3184" customFormat="false" ht="16.5" hidden="false" customHeight="true" outlineLevel="0" collapsed="false">
      <c r="A3184" s="747"/>
      <c r="B3184" s="798"/>
      <c r="D3184" s="798"/>
      <c r="E3184" s="798"/>
      <c r="F3184" s="798"/>
      <c r="G3184" s="798"/>
      <c r="J3184" s="778" t="str">
        <f aca="false">IF(I3184="","",H3184/I3184)</f>
        <v/>
      </c>
      <c r="K3184" s="798"/>
      <c r="P3184" s="798"/>
      <c r="Q3184" s="798"/>
      <c r="R3184" s="811"/>
    </row>
    <row r="3185" customFormat="false" ht="16.5" hidden="false" customHeight="true" outlineLevel="0" collapsed="false">
      <c r="A3185" s="747"/>
      <c r="B3185" s="798"/>
      <c r="D3185" s="798"/>
      <c r="E3185" s="798"/>
      <c r="F3185" s="798"/>
      <c r="G3185" s="798"/>
      <c r="J3185" s="778" t="str">
        <f aca="false">IF(I3185="","",H3185/I3185)</f>
        <v/>
      </c>
      <c r="K3185" s="798"/>
      <c r="P3185" s="798"/>
      <c r="Q3185" s="798"/>
      <c r="R3185" s="811"/>
    </row>
    <row r="3186" customFormat="false" ht="16.5" hidden="false" customHeight="true" outlineLevel="0" collapsed="false">
      <c r="A3186" s="747"/>
      <c r="B3186" s="798"/>
      <c r="D3186" s="798"/>
      <c r="E3186" s="798"/>
      <c r="F3186" s="798"/>
      <c r="G3186" s="798"/>
      <c r="J3186" s="778" t="str">
        <f aca="false">IF(I3186="","",H3186/I3186)</f>
        <v/>
      </c>
      <c r="K3186" s="798"/>
      <c r="P3186" s="798"/>
      <c r="Q3186" s="798"/>
      <c r="R3186" s="811"/>
    </row>
    <row r="3187" customFormat="false" ht="16.5" hidden="false" customHeight="true" outlineLevel="0" collapsed="false">
      <c r="A3187" s="747"/>
      <c r="B3187" s="798"/>
      <c r="D3187" s="798"/>
      <c r="E3187" s="798"/>
      <c r="F3187" s="798"/>
      <c r="G3187" s="798"/>
      <c r="J3187" s="778" t="str">
        <f aca="false">IF(I3187="","",H3187/I3187)</f>
        <v/>
      </c>
      <c r="K3187" s="798"/>
      <c r="P3187" s="798"/>
      <c r="Q3187" s="798"/>
      <c r="R3187" s="811"/>
    </row>
    <row r="3188" customFormat="false" ht="16.5" hidden="false" customHeight="true" outlineLevel="0" collapsed="false">
      <c r="A3188" s="747"/>
      <c r="B3188" s="798"/>
      <c r="D3188" s="798"/>
      <c r="E3188" s="798"/>
      <c r="F3188" s="798"/>
      <c r="G3188" s="798"/>
      <c r="J3188" s="778" t="str">
        <f aca="false">IF(I3188="","",H3188/I3188)</f>
        <v/>
      </c>
      <c r="K3188" s="798"/>
      <c r="P3188" s="798"/>
      <c r="Q3188" s="798"/>
      <c r="R3188" s="811"/>
    </row>
    <row r="3189" customFormat="false" ht="16.5" hidden="false" customHeight="true" outlineLevel="0" collapsed="false">
      <c r="A3189" s="747"/>
      <c r="B3189" s="798"/>
      <c r="D3189" s="798"/>
      <c r="E3189" s="798"/>
      <c r="F3189" s="798"/>
      <c r="G3189" s="798"/>
      <c r="J3189" s="778" t="str">
        <f aca="false">IF(I3189="","",H3189/I3189)</f>
        <v/>
      </c>
      <c r="K3189" s="798"/>
      <c r="P3189" s="798"/>
      <c r="Q3189" s="798"/>
      <c r="R3189" s="811"/>
    </row>
    <row r="3190" customFormat="false" ht="16.5" hidden="false" customHeight="true" outlineLevel="0" collapsed="false">
      <c r="A3190" s="747"/>
      <c r="B3190" s="798"/>
      <c r="D3190" s="798"/>
      <c r="E3190" s="798"/>
      <c r="F3190" s="798"/>
      <c r="G3190" s="798"/>
      <c r="J3190" s="778" t="str">
        <f aca="false">IF(I3190="","",H3190/I3190)</f>
        <v/>
      </c>
      <c r="K3190" s="798"/>
      <c r="P3190" s="798"/>
      <c r="Q3190" s="798"/>
      <c r="R3190" s="811"/>
    </row>
    <row r="3191" customFormat="false" ht="16.5" hidden="false" customHeight="true" outlineLevel="0" collapsed="false">
      <c r="A3191" s="747"/>
      <c r="B3191" s="798"/>
      <c r="D3191" s="798"/>
      <c r="E3191" s="798"/>
      <c r="F3191" s="798"/>
      <c r="G3191" s="798"/>
      <c r="J3191" s="778" t="str">
        <f aca="false">IF(I3191="","",H3191/I3191)</f>
        <v/>
      </c>
      <c r="K3191" s="798"/>
      <c r="P3191" s="798"/>
      <c r="Q3191" s="798"/>
      <c r="R3191" s="811"/>
    </row>
    <row r="3192" customFormat="false" ht="16.5" hidden="false" customHeight="true" outlineLevel="0" collapsed="false">
      <c r="A3192" s="747"/>
      <c r="B3192" s="798"/>
      <c r="D3192" s="798"/>
      <c r="E3192" s="798"/>
      <c r="F3192" s="798"/>
      <c r="G3192" s="798"/>
      <c r="J3192" s="778" t="str">
        <f aca="false">IF(I3192="","",H3192/I3192)</f>
        <v/>
      </c>
      <c r="K3192" s="798"/>
      <c r="P3192" s="798"/>
      <c r="Q3192" s="798"/>
      <c r="R3192" s="811"/>
    </row>
    <row r="3193" customFormat="false" ht="16.5" hidden="false" customHeight="true" outlineLevel="0" collapsed="false">
      <c r="A3193" s="747"/>
      <c r="B3193" s="798"/>
      <c r="D3193" s="798"/>
      <c r="E3193" s="798"/>
      <c r="F3193" s="798"/>
      <c r="G3193" s="798"/>
      <c r="J3193" s="778" t="str">
        <f aca="false">IF(I3193="","",H3193/I3193)</f>
        <v/>
      </c>
      <c r="K3193" s="798"/>
      <c r="P3193" s="798"/>
      <c r="Q3193" s="798"/>
      <c r="R3193" s="811"/>
    </row>
    <row r="3194" customFormat="false" ht="16.5" hidden="false" customHeight="true" outlineLevel="0" collapsed="false">
      <c r="A3194" s="747"/>
      <c r="B3194" s="798"/>
      <c r="D3194" s="798"/>
      <c r="E3194" s="798"/>
      <c r="F3194" s="798"/>
      <c r="G3194" s="798"/>
      <c r="J3194" s="778" t="str">
        <f aca="false">IF(I3194="","",H3194/I3194)</f>
        <v/>
      </c>
      <c r="K3194" s="798"/>
      <c r="P3194" s="798"/>
      <c r="Q3194" s="798"/>
      <c r="R3194" s="811"/>
    </row>
    <row r="3195" customFormat="false" ht="16.5" hidden="false" customHeight="true" outlineLevel="0" collapsed="false">
      <c r="A3195" s="747"/>
      <c r="B3195" s="798"/>
      <c r="D3195" s="798"/>
      <c r="E3195" s="798"/>
      <c r="F3195" s="798"/>
      <c r="G3195" s="798"/>
      <c r="J3195" s="778" t="str">
        <f aca="false">IF(I3195="","",H3195/I3195)</f>
        <v/>
      </c>
      <c r="K3195" s="798"/>
      <c r="P3195" s="798"/>
      <c r="Q3195" s="798"/>
      <c r="R3195" s="811"/>
    </row>
    <row r="3196" customFormat="false" ht="16.5" hidden="false" customHeight="true" outlineLevel="0" collapsed="false">
      <c r="A3196" s="747"/>
      <c r="B3196" s="798"/>
      <c r="D3196" s="798"/>
      <c r="E3196" s="798"/>
      <c r="F3196" s="798"/>
      <c r="G3196" s="798"/>
      <c r="J3196" s="778" t="str">
        <f aca="false">IF(I3196="","",H3196/I3196)</f>
        <v/>
      </c>
      <c r="K3196" s="798"/>
      <c r="P3196" s="798"/>
      <c r="Q3196" s="798"/>
      <c r="R3196" s="811"/>
    </row>
    <row r="3197" customFormat="false" ht="16.5" hidden="false" customHeight="true" outlineLevel="0" collapsed="false">
      <c r="A3197" s="747"/>
      <c r="B3197" s="798"/>
      <c r="D3197" s="798"/>
      <c r="E3197" s="798"/>
      <c r="F3197" s="798"/>
      <c r="G3197" s="798"/>
      <c r="J3197" s="778" t="str">
        <f aca="false">IF(I3197="","",H3197/I3197)</f>
        <v/>
      </c>
      <c r="K3197" s="798"/>
      <c r="P3197" s="798"/>
      <c r="Q3197" s="798"/>
      <c r="R3197" s="811"/>
    </row>
    <row r="3198" customFormat="false" ht="16.5" hidden="false" customHeight="true" outlineLevel="0" collapsed="false">
      <c r="A3198" s="747"/>
      <c r="B3198" s="798"/>
      <c r="D3198" s="798"/>
      <c r="E3198" s="798"/>
      <c r="F3198" s="798"/>
      <c r="G3198" s="798"/>
      <c r="J3198" s="778" t="str">
        <f aca="false">IF(I3198="","",H3198/I3198)</f>
        <v/>
      </c>
      <c r="K3198" s="798"/>
      <c r="P3198" s="798"/>
      <c r="Q3198" s="798"/>
      <c r="R3198" s="811"/>
    </row>
    <row r="3199" customFormat="false" ht="16.5" hidden="false" customHeight="true" outlineLevel="0" collapsed="false">
      <c r="A3199" s="747"/>
      <c r="B3199" s="798"/>
      <c r="D3199" s="798"/>
      <c r="E3199" s="798"/>
      <c r="F3199" s="798"/>
      <c r="G3199" s="798"/>
      <c r="J3199" s="778" t="str">
        <f aca="false">IF(I3199="","",H3199/I3199)</f>
        <v/>
      </c>
      <c r="K3199" s="798"/>
      <c r="P3199" s="798"/>
      <c r="Q3199" s="798"/>
      <c r="R3199" s="811"/>
    </row>
    <row r="3200" customFormat="false" ht="16.5" hidden="false" customHeight="true" outlineLevel="0" collapsed="false">
      <c r="A3200" s="747"/>
      <c r="B3200" s="798"/>
      <c r="D3200" s="798"/>
      <c r="E3200" s="798"/>
      <c r="F3200" s="798"/>
      <c r="G3200" s="798"/>
      <c r="J3200" s="778" t="str">
        <f aca="false">IF(I3200="","",H3200/I3200)</f>
        <v/>
      </c>
      <c r="K3200" s="798"/>
      <c r="P3200" s="798"/>
      <c r="Q3200" s="798"/>
      <c r="R3200" s="811"/>
    </row>
    <row r="3201" customFormat="false" ht="16.5" hidden="false" customHeight="true" outlineLevel="0" collapsed="false">
      <c r="A3201" s="747"/>
      <c r="B3201" s="798"/>
      <c r="D3201" s="798"/>
      <c r="E3201" s="798"/>
      <c r="F3201" s="798"/>
      <c r="G3201" s="798"/>
      <c r="J3201" s="778" t="str">
        <f aca="false">IF(I3201="","",H3201/I3201)</f>
        <v/>
      </c>
      <c r="K3201" s="798"/>
      <c r="P3201" s="798"/>
      <c r="Q3201" s="798"/>
      <c r="R3201" s="811"/>
    </row>
    <row r="3202" customFormat="false" ht="16.5" hidden="false" customHeight="true" outlineLevel="0" collapsed="false">
      <c r="A3202" s="747"/>
      <c r="B3202" s="798"/>
      <c r="D3202" s="798"/>
      <c r="E3202" s="798"/>
      <c r="F3202" s="798"/>
      <c r="G3202" s="798"/>
      <c r="J3202" s="778" t="str">
        <f aca="false">IF(I3202="","",H3202/I3202)</f>
        <v/>
      </c>
      <c r="K3202" s="798"/>
      <c r="P3202" s="798"/>
      <c r="Q3202" s="798"/>
      <c r="R3202" s="811"/>
    </row>
    <row r="3203" customFormat="false" ht="16.5" hidden="false" customHeight="true" outlineLevel="0" collapsed="false">
      <c r="A3203" s="747"/>
      <c r="B3203" s="798"/>
      <c r="D3203" s="798"/>
      <c r="E3203" s="798"/>
      <c r="F3203" s="798"/>
      <c r="G3203" s="798"/>
      <c r="J3203" s="778" t="str">
        <f aca="false">IF(I3203="","",H3203/I3203)</f>
        <v/>
      </c>
      <c r="K3203" s="798"/>
      <c r="P3203" s="798"/>
      <c r="Q3203" s="798"/>
      <c r="R3203" s="811"/>
    </row>
    <row r="3204" customFormat="false" ht="16.5" hidden="false" customHeight="true" outlineLevel="0" collapsed="false">
      <c r="A3204" s="747"/>
      <c r="B3204" s="798"/>
      <c r="D3204" s="798"/>
      <c r="E3204" s="798"/>
      <c r="F3204" s="798"/>
      <c r="G3204" s="798"/>
      <c r="J3204" s="778" t="str">
        <f aca="false">IF(I3204="","",H3204/I3204)</f>
        <v/>
      </c>
      <c r="K3204" s="798"/>
      <c r="P3204" s="798"/>
      <c r="Q3204" s="798"/>
      <c r="R3204" s="811"/>
    </row>
    <row r="3205" customFormat="false" ht="16.5" hidden="false" customHeight="true" outlineLevel="0" collapsed="false">
      <c r="A3205" s="747"/>
      <c r="B3205" s="798"/>
      <c r="D3205" s="798"/>
      <c r="E3205" s="798"/>
      <c r="F3205" s="798"/>
      <c r="G3205" s="798"/>
      <c r="J3205" s="778" t="str">
        <f aca="false">IF(I3205="","",H3205/I3205)</f>
        <v/>
      </c>
      <c r="K3205" s="798"/>
      <c r="P3205" s="798"/>
      <c r="Q3205" s="798"/>
      <c r="R3205" s="811"/>
    </row>
    <row r="3206" customFormat="false" ht="16.5" hidden="false" customHeight="true" outlineLevel="0" collapsed="false">
      <c r="A3206" s="747"/>
      <c r="B3206" s="798"/>
      <c r="D3206" s="798"/>
      <c r="E3206" s="798"/>
      <c r="F3206" s="798"/>
      <c r="G3206" s="798"/>
      <c r="J3206" s="778" t="str">
        <f aca="false">IF(I3206="","",H3206/I3206)</f>
        <v/>
      </c>
      <c r="K3206" s="798"/>
      <c r="P3206" s="798"/>
      <c r="Q3206" s="798"/>
      <c r="R3206" s="811"/>
    </row>
    <row r="3207" customFormat="false" ht="16.5" hidden="false" customHeight="true" outlineLevel="0" collapsed="false">
      <c r="A3207" s="747"/>
      <c r="B3207" s="798"/>
      <c r="D3207" s="798"/>
      <c r="E3207" s="798"/>
      <c r="F3207" s="798"/>
      <c r="G3207" s="798"/>
      <c r="J3207" s="778" t="str">
        <f aca="false">IF(I3207="","",H3207/I3207)</f>
        <v/>
      </c>
      <c r="K3207" s="798"/>
      <c r="P3207" s="798"/>
      <c r="Q3207" s="798"/>
      <c r="R3207" s="811"/>
    </row>
    <row r="3208" customFormat="false" ht="16.5" hidden="false" customHeight="true" outlineLevel="0" collapsed="false">
      <c r="A3208" s="747"/>
      <c r="B3208" s="798"/>
      <c r="D3208" s="798"/>
      <c r="E3208" s="798"/>
      <c r="F3208" s="798"/>
      <c r="G3208" s="798"/>
      <c r="J3208" s="778" t="str">
        <f aca="false">IF(I3208="","",H3208/I3208)</f>
        <v/>
      </c>
      <c r="K3208" s="798"/>
      <c r="P3208" s="798"/>
      <c r="Q3208" s="798"/>
      <c r="R3208" s="811"/>
    </row>
    <row r="3209" customFormat="false" ht="16.5" hidden="false" customHeight="true" outlineLevel="0" collapsed="false">
      <c r="A3209" s="747"/>
      <c r="B3209" s="798"/>
      <c r="D3209" s="798"/>
      <c r="E3209" s="798"/>
      <c r="F3209" s="798"/>
      <c r="G3209" s="798"/>
      <c r="J3209" s="778" t="str">
        <f aca="false">IF(I3209="","",H3209/I3209)</f>
        <v/>
      </c>
      <c r="K3209" s="798"/>
      <c r="P3209" s="798"/>
      <c r="Q3209" s="798"/>
      <c r="R3209" s="811"/>
    </row>
    <row r="3210" customFormat="false" ht="16.5" hidden="false" customHeight="true" outlineLevel="0" collapsed="false">
      <c r="A3210" s="747"/>
      <c r="B3210" s="798"/>
      <c r="D3210" s="798"/>
      <c r="E3210" s="798"/>
      <c r="F3210" s="798"/>
      <c r="G3210" s="798"/>
      <c r="J3210" s="778" t="str">
        <f aca="false">IF(I3210="","",H3210/I3210)</f>
        <v/>
      </c>
      <c r="K3210" s="798"/>
      <c r="P3210" s="798"/>
      <c r="Q3210" s="798"/>
      <c r="R3210" s="811"/>
    </row>
    <row r="3211" customFormat="false" ht="16.5" hidden="false" customHeight="true" outlineLevel="0" collapsed="false">
      <c r="A3211" s="747"/>
      <c r="B3211" s="798"/>
      <c r="D3211" s="798"/>
      <c r="E3211" s="798"/>
      <c r="F3211" s="798"/>
      <c r="G3211" s="798"/>
      <c r="J3211" s="778" t="str">
        <f aca="false">IF(I3211="","",H3211/I3211)</f>
        <v/>
      </c>
      <c r="K3211" s="798"/>
      <c r="P3211" s="798"/>
      <c r="Q3211" s="798"/>
      <c r="R3211" s="811"/>
    </row>
    <row r="3212" customFormat="false" ht="16.5" hidden="false" customHeight="true" outlineLevel="0" collapsed="false">
      <c r="A3212" s="747"/>
      <c r="B3212" s="798"/>
      <c r="D3212" s="798"/>
      <c r="E3212" s="798"/>
      <c r="F3212" s="798"/>
      <c r="G3212" s="798"/>
      <c r="J3212" s="778" t="str">
        <f aca="false">IF(I3212="","",H3212/I3212)</f>
        <v/>
      </c>
      <c r="K3212" s="798"/>
      <c r="P3212" s="798"/>
      <c r="Q3212" s="798"/>
      <c r="R3212" s="811"/>
    </row>
    <row r="3213" customFormat="false" ht="16.5" hidden="false" customHeight="true" outlineLevel="0" collapsed="false">
      <c r="A3213" s="747"/>
      <c r="B3213" s="798"/>
      <c r="D3213" s="798"/>
      <c r="E3213" s="798"/>
      <c r="F3213" s="798"/>
      <c r="G3213" s="798"/>
      <c r="J3213" s="778" t="str">
        <f aca="false">IF(I3213="","",H3213/I3213)</f>
        <v/>
      </c>
      <c r="K3213" s="798"/>
      <c r="P3213" s="798"/>
      <c r="Q3213" s="798"/>
      <c r="R3213" s="811"/>
    </row>
    <row r="3214" customFormat="false" ht="16.5" hidden="false" customHeight="true" outlineLevel="0" collapsed="false">
      <c r="A3214" s="747"/>
      <c r="B3214" s="798"/>
      <c r="D3214" s="798"/>
      <c r="E3214" s="798"/>
      <c r="F3214" s="798"/>
      <c r="G3214" s="798"/>
      <c r="J3214" s="778" t="str">
        <f aca="false">IF(I3214="","",H3214/I3214)</f>
        <v/>
      </c>
      <c r="K3214" s="798"/>
      <c r="P3214" s="798"/>
      <c r="Q3214" s="798"/>
      <c r="R3214" s="811"/>
    </row>
    <row r="3215" customFormat="false" ht="16.5" hidden="false" customHeight="true" outlineLevel="0" collapsed="false">
      <c r="A3215" s="747"/>
      <c r="B3215" s="798"/>
      <c r="D3215" s="798"/>
      <c r="E3215" s="798"/>
      <c r="F3215" s="798"/>
      <c r="G3215" s="798"/>
      <c r="J3215" s="778" t="str">
        <f aca="false">IF(I3215="","",H3215/I3215)</f>
        <v/>
      </c>
      <c r="K3215" s="798"/>
      <c r="P3215" s="798"/>
      <c r="Q3215" s="798"/>
      <c r="R3215" s="811"/>
    </row>
    <row r="3216" customFormat="false" ht="16.5" hidden="false" customHeight="true" outlineLevel="0" collapsed="false">
      <c r="A3216" s="747"/>
      <c r="B3216" s="798"/>
      <c r="D3216" s="798"/>
      <c r="E3216" s="798"/>
      <c r="F3216" s="798"/>
      <c r="G3216" s="798"/>
      <c r="J3216" s="778" t="str">
        <f aca="false">IF(I3216="","",H3216/I3216)</f>
        <v/>
      </c>
      <c r="K3216" s="798"/>
      <c r="P3216" s="798"/>
      <c r="Q3216" s="798"/>
      <c r="R3216" s="811"/>
    </row>
    <row r="3217" customFormat="false" ht="16.5" hidden="false" customHeight="true" outlineLevel="0" collapsed="false">
      <c r="A3217" s="747"/>
      <c r="B3217" s="798"/>
      <c r="D3217" s="798"/>
      <c r="E3217" s="798"/>
      <c r="F3217" s="798"/>
      <c r="G3217" s="798"/>
      <c r="J3217" s="778" t="str">
        <f aca="false">IF(I3217="","",H3217/I3217)</f>
        <v/>
      </c>
      <c r="K3217" s="798"/>
      <c r="P3217" s="798"/>
      <c r="Q3217" s="798"/>
      <c r="R3217" s="811"/>
    </row>
    <row r="3218" customFormat="false" ht="16.5" hidden="false" customHeight="true" outlineLevel="0" collapsed="false">
      <c r="A3218" s="747"/>
      <c r="B3218" s="798"/>
      <c r="D3218" s="798"/>
      <c r="E3218" s="798"/>
      <c r="F3218" s="798"/>
      <c r="G3218" s="798"/>
      <c r="J3218" s="778" t="str">
        <f aca="false">IF(I3218="","",H3218/I3218)</f>
        <v/>
      </c>
      <c r="K3218" s="798"/>
      <c r="P3218" s="798"/>
      <c r="Q3218" s="798"/>
      <c r="R3218" s="811"/>
    </row>
    <row r="3219" customFormat="false" ht="16.5" hidden="false" customHeight="true" outlineLevel="0" collapsed="false">
      <c r="A3219" s="747"/>
      <c r="B3219" s="798"/>
      <c r="D3219" s="798"/>
      <c r="E3219" s="798"/>
      <c r="F3219" s="798"/>
      <c r="G3219" s="798"/>
      <c r="J3219" s="778" t="str">
        <f aca="false">IF(I3219="","",H3219/I3219)</f>
        <v/>
      </c>
      <c r="K3219" s="798"/>
      <c r="P3219" s="798"/>
      <c r="Q3219" s="798"/>
      <c r="R3219" s="811"/>
    </row>
    <row r="3220" customFormat="false" ht="16.5" hidden="false" customHeight="true" outlineLevel="0" collapsed="false">
      <c r="A3220" s="747"/>
      <c r="B3220" s="798"/>
      <c r="D3220" s="798"/>
      <c r="E3220" s="798"/>
      <c r="F3220" s="798"/>
      <c r="G3220" s="798"/>
      <c r="J3220" s="778" t="str">
        <f aca="false">IF(I3220="","",H3220/I3220)</f>
        <v/>
      </c>
      <c r="K3220" s="798"/>
      <c r="P3220" s="798"/>
      <c r="Q3220" s="798"/>
      <c r="R3220" s="811"/>
    </row>
    <row r="3221" customFormat="false" ht="16.5" hidden="false" customHeight="true" outlineLevel="0" collapsed="false">
      <c r="A3221" s="747"/>
      <c r="B3221" s="798"/>
      <c r="D3221" s="798"/>
      <c r="E3221" s="798"/>
      <c r="F3221" s="798"/>
      <c r="G3221" s="798"/>
      <c r="J3221" s="778" t="str">
        <f aca="false">IF(I3221="","",H3221/I3221)</f>
        <v/>
      </c>
      <c r="K3221" s="798"/>
      <c r="P3221" s="798"/>
      <c r="Q3221" s="798"/>
      <c r="R3221" s="811"/>
    </row>
    <row r="3222" customFormat="false" ht="16.5" hidden="false" customHeight="true" outlineLevel="0" collapsed="false">
      <c r="A3222" s="747"/>
      <c r="B3222" s="798"/>
      <c r="D3222" s="798"/>
      <c r="E3222" s="798"/>
      <c r="F3222" s="798"/>
      <c r="G3222" s="798"/>
      <c r="J3222" s="778" t="str">
        <f aca="false">IF(I3222="","",H3222/I3222)</f>
        <v/>
      </c>
      <c r="K3222" s="798"/>
      <c r="P3222" s="798"/>
      <c r="Q3222" s="798"/>
      <c r="R3222" s="811"/>
    </row>
    <row r="3223" customFormat="false" ht="16.5" hidden="false" customHeight="true" outlineLevel="0" collapsed="false">
      <c r="A3223" s="747"/>
      <c r="B3223" s="798"/>
      <c r="D3223" s="798"/>
      <c r="E3223" s="798"/>
      <c r="F3223" s="798"/>
      <c r="G3223" s="798"/>
      <c r="J3223" s="778" t="str">
        <f aca="false">IF(I3223="","",H3223/I3223)</f>
        <v/>
      </c>
      <c r="K3223" s="798"/>
      <c r="P3223" s="798"/>
      <c r="Q3223" s="798"/>
      <c r="R3223" s="811"/>
    </row>
    <row r="3224" customFormat="false" ht="16.5" hidden="false" customHeight="true" outlineLevel="0" collapsed="false">
      <c r="A3224" s="747"/>
      <c r="B3224" s="798"/>
      <c r="D3224" s="798"/>
      <c r="E3224" s="798"/>
      <c r="F3224" s="798"/>
      <c r="G3224" s="798"/>
      <c r="J3224" s="778" t="str">
        <f aca="false">IF(I3224="","",H3224/I3224)</f>
        <v/>
      </c>
      <c r="K3224" s="798"/>
      <c r="P3224" s="798"/>
      <c r="Q3224" s="798"/>
      <c r="R3224" s="811"/>
    </row>
    <row r="3225" customFormat="false" ht="16.5" hidden="false" customHeight="true" outlineLevel="0" collapsed="false">
      <c r="A3225" s="747"/>
      <c r="B3225" s="798"/>
      <c r="D3225" s="798"/>
      <c r="E3225" s="798"/>
      <c r="F3225" s="798"/>
      <c r="G3225" s="798"/>
      <c r="J3225" s="778" t="str">
        <f aca="false">IF(I3225="","",H3225/I3225)</f>
        <v/>
      </c>
      <c r="K3225" s="798"/>
      <c r="P3225" s="798"/>
      <c r="Q3225" s="798"/>
      <c r="R3225" s="811"/>
    </row>
    <row r="3226" customFormat="false" ht="16.5" hidden="false" customHeight="true" outlineLevel="0" collapsed="false">
      <c r="A3226" s="747"/>
      <c r="B3226" s="798"/>
      <c r="D3226" s="798"/>
      <c r="E3226" s="798"/>
      <c r="F3226" s="798"/>
      <c r="G3226" s="798"/>
      <c r="J3226" s="778" t="str">
        <f aca="false">IF(I3226="","",H3226/I3226)</f>
        <v/>
      </c>
      <c r="K3226" s="798"/>
      <c r="P3226" s="798"/>
      <c r="Q3226" s="798"/>
      <c r="R3226" s="811"/>
    </row>
    <row r="3227" customFormat="false" ht="16.5" hidden="false" customHeight="true" outlineLevel="0" collapsed="false">
      <c r="A3227" s="747"/>
      <c r="B3227" s="798"/>
      <c r="D3227" s="798"/>
      <c r="E3227" s="798"/>
      <c r="F3227" s="798"/>
      <c r="G3227" s="798"/>
      <c r="J3227" s="778" t="str">
        <f aca="false">IF(I3227="","",H3227/I3227)</f>
        <v/>
      </c>
      <c r="K3227" s="798"/>
      <c r="P3227" s="798"/>
      <c r="Q3227" s="798"/>
      <c r="R3227" s="811"/>
    </row>
    <row r="3228" customFormat="false" ht="16.5" hidden="false" customHeight="true" outlineLevel="0" collapsed="false">
      <c r="A3228" s="747"/>
      <c r="B3228" s="798"/>
      <c r="D3228" s="798"/>
      <c r="E3228" s="798"/>
      <c r="F3228" s="798"/>
      <c r="G3228" s="798"/>
      <c r="J3228" s="778" t="str">
        <f aca="false">IF(I3228="","",H3228/I3228)</f>
        <v/>
      </c>
      <c r="K3228" s="798"/>
      <c r="P3228" s="798"/>
      <c r="Q3228" s="798"/>
      <c r="R3228" s="811"/>
    </row>
    <row r="3229" customFormat="false" ht="16.5" hidden="false" customHeight="true" outlineLevel="0" collapsed="false">
      <c r="A3229" s="747"/>
      <c r="B3229" s="798"/>
      <c r="D3229" s="798"/>
      <c r="E3229" s="798"/>
      <c r="F3229" s="798"/>
      <c r="G3229" s="798"/>
      <c r="J3229" s="778" t="str">
        <f aca="false">IF(I3229="","",H3229/I3229)</f>
        <v/>
      </c>
      <c r="K3229" s="798"/>
      <c r="P3229" s="798"/>
      <c r="Q3229" s="798"/>
      <c r="R3229" s="811"/>
    </row>
    <row r="3230" customFormat="false" ht="16.5" hidden="false" customHeight="true" outlineLevel="0" collapsed="false">
      <c r="A3230" s="747"/>
      <c r="B3230" s="798"/>
      <c r="D3230" s="798"/>
      <c r="E3230" s="798"/>
      <c r="F3230" s="798"/>
      <c r="G3230" s="798"/>
      <c r="J3230" s="778" t="str">
        <f aca="false">IF(I3230="","",H3230/I3230)</f>
        <v/>
      </c>
      <c r="K3230" s="798"/>
      <c r="P3230" s="798"/>
      <c r="Q3230" s="798"/>
      <c r="R3230" s="811"/>
    </row>
    <row r="3231" customFormat="false" ht="16.5" hidden="false" customHeight="true" outlineLevel="0" collapsed="false">
      <c r="A3231" s="747"/>
      <c r="B3231" s="798"/>
      <c r="D3231" s="798"/>
      <c r="E3231" s="798"/>
      <c r="F3231" s="798"/>
      <c r="G3231" s="798"/>
      <c r="J3231" s="778" t="str">
        <f aca="false">IF(I3231="","",H3231/I3231)</f>
        <v/>
      </c>
      <c r="K3231" s="798"/>
      <c r="P3231" s="798"/>
      <c r="Q3231" s="798"/>
      <c r="R3231" s="811"/>
    </row>
    <row r="3232" customFormat="false" ht="16.5" hidden="false" customHeight="true" outlineLevel="0" collapsed="false">
      <c r="A3232" s="747"/>
      <c r="B3232" s="798"/>
      <c r="D3232" s="798"/>
      <c r="E3232" s="798"/>
      <c r="F3232" s="798"/>
      <c r="G3232" s="798"/>
      <c r="J3232" s="778" t="str">
        <f aca="false">IF(I3232="","",H3232/I3232)</f>
        <v/>
      </c>
      <c r="K3232" s="798"/>
      <c r="P3232" s="798"/>
      <c r="Q3232" s="798"/>
      <c r="R3232" s="811"/>
    </row>
    <row r="3233" customFormat="false" ht="16.5" hidden="false" customHeight="true" outlineLevel="0" collapsed="false">
      <c r="A3233" s="747"/>
      <c r="B3233" s="798"/>
      <c r="D3233" s="798"/>
      <c r="E3233" s="798"/>
      <c r="F3233" s="798"/>
      <c r="G3233" s="798"/>
      <c r="J3233" s="778" t="str">
        <f aca="false">IF(I3233="","",H3233/I3233)</f>
        <v/>
      </c>
      <c r="K3233" s="798"/>
      <c r="P3233" s="798"/>
      <c r="Q3233" s="798"/>
      <c r="R3233" s="811"/>
    </row>
    <row r="3234" customFormat="false" ht="16.5" hidden="false" customHeight="true" outlineLevel="0" collapsed="false">
      <c r="A3234" s="747"/>
      <c r="B3234" s="798"/>
      <c r="D3234" s="798"/>
      <c r="E3234" s="798"/>
      <c r="F3234" s="798"/>
      <c r="G3234" s="798"/>
      <c r="J3234" s="778" t="str">
        <f aca="false">IF(I3234="","",H3234/I3234)</f>
        <v/>
      </c>
      <c r="K3234" s="798"/>
      <c r="P3234" s="798"/>
      <c r="Q3234" s="798"/>
      <c r="R3234" s="811"/>
    </row>
    <row r="3235" customFormat="false" ht="16.5" hidden="false" customHeight="true" outlineLevel="0" collapsed="false">
      <c r="A3235" s="747"/>
      <c r="B3235" s="798"/>
      <c r="D3235" s="798"/>
      <c r="E3235" s="798"/>
      <c r="F3235" s="798"/>
      <c r="G3235" s="798"/>
      <c r="J3235" s="778" t="str">
        <f aca="false">IF(I3235="","",H3235/I3235)</f>
        <v/>
      </c>
      <c r="K3235" s="798"/>
      <c r="P3235" s="798"/>
      <c r="Q3235" s="798"/>
      <c r="R3235" s="811"/>
    </row>
    <row r="3236" customFormat="false" ht="16.5" hidden="false" customHeight="true" outlineLevel="0" collapsed="false">
      <c r="A3236" s="747"/>
      <c r="B3236" s="798"/>
      <c r="D3236" s="798"/>
      <c r="E3236" s="798"/>
      <c r="F3236" s="798"/>
      <c r="G3236" s="798"/>
      <c r="J3236" s="778" t="str">
        <f aca="false">IF(I3236="","",H3236/I3236)</f>
        <v/>
      </c>
      <c r="K3236" s="798"/>
      <c r="P3236" s="798"/>
      <c r="Q3236" s="798"/>
      <c r="R3236" s="811"/>
    </row>
    <row r="3237" customFormat="false" ht="16.5" hidden="false" customHeight="true" outlineLevel="0" collapsed="false">
      <c r="A3237" s="747"/>
      <c r="B3237" s="798"/>
      <c r="D3237" s="798"/>
      <c r="E3237" s="798"/>
      <c r="F3237" s="798"/>
      <c r="G3237" s="798"/>
      <c r="J3237" s="778" t="str">
        <f aca="false">IF(I3237="","",H3237/I3237)</f>
        <v/>
      </c>
      <c r="K3237" s="798"/>
      <c r="P3237" s="798"/>
      <c r="Q3237" s="798"/>
      <c r="R3237" s="811"/>
    </row>
    <row r="3238" customFormat="false" ht="16.5" hidden="false" customHeight="true" outlineLevel="0" collapsed="false">
      <c r="A3238" s="747"/>
      <c r="B3238" s="798"/>
      <c r="D3238" s="798"/>
      <c r="E3238" s="798"/>
      <c r="F3238" s="798"/>
      <c r="G3238" s="798"/>
      <c r="J3238" s="778" t="str">
        <f aca="false">IF(I3238="","",H3238/I3238)</f>
        <v/>
      </c>
      <c r="K3238" s="798"/>
      <c r="P3238" s="798"/>
      <c r="Q3238" s="798"/>
      <c r="R3238" s="811"/>
    </row>
    <row r="3239" customFormat="false" ht="16.5" hidden="false" customHeight="true" outlineLevel="0" collapsed="false">
      <c r="A3239" s="747"/>
      <c r="B3239" s="798"/>
      <c r="D3239" s="798"/>
      <c r="E3239" s="798"/>
      <c r="F3239" s="798"/>
      <c r="G3239" s="798"/>
      <c r="J3239" s="778" t="str">
        <f aca="false">IF(I3239="","",H3239/I3239)</f>
        <v/>
      </c>
      <c r="K3239" s="798"/>
      <c r="P3239" s="798"/>
      <c r="Q3239" s="798"/>
      <c r="R3239" s="811"/>
    </row>
    <row r="3240" customFormat="false" ht="16.5" hidden="false" customHeight="true" outlineLevel="0" collapsed="false">
      <c r="A3240" s="747"/>
      <c r="B3240" s="798"/>
      <c r="D3240" s="798"/>
      <c r="E3240" s="798"/>
      <c r="F3240" s="798"/>
      <c r="G3240" s="798"/>
      <c r="J3240" s="778" t="str">
        <f aca="false">IF(I3240="","",H3240/I3240)</f>
        <v/>
      </c>
      <c r="K3240" s="798"/>
      <c r="P3240" s="798"/>
      <c r="Q3240" s="798"/>
      <c r="R3240" s="811"/>
    </row>
    <row r="3241" customFormat="false" ht="16.5" hidden="false" customHeight="true" outlineLevel="0" collapsed="false">
      <c r="A3241" s="747"/>
      <c r="B3241" s="798"/>
      <c r="D3241" s="798"/>
      <c r="E3241" s="798"/>
      <c r="F3241" s="798"/>
      <c r="G3241" s="798"/>
      <c r="J3241" s="778" t="str">
        <f aca="false">IF(I3241="","",H3241/I3241)</f>
        <v/>
      </c>
      <c r="K3241" s="798"/>
      <c r="P3241" s="798"/>
      <c r="Q3241" s="798"/>
      <c r="R3241" s="811"/>
    </row>
    <row r="3242" customFormat="false" ht="16.5" hidden="false" customHeight="true" outlineLevel="0" collapsed="false">
      <c r="A3242" s="747"/>
      <c r="B3242" s="798"/>
      <c r="D3242" s="798"/>
      <c r="E3242" s="798"/>
      <c r="F3242" s="798"/>
      <c r="G3242" s="798"/>
      <c r="J3242" s="778" t="str">
        <f aca="false">IF(I3242="","",H3242/I3242)</f>
        <v/>
      </c>
      <c r="K3242" s="798"/>
      <c r="P3242" s="798"/>
      <c r="Q3242" s="798"/>
      <c r="R3242" s="811"/>
    </row>
    <row r="3243" customFormat="false" ht="16.5" hidden="false" customHeight="true" outlineLevel="0" collapsed="false">
      <c r="A3243" s="747"/>
      <c r="B3243" s="798"/>
      <c r="D3243" s="798"/>
      <c r="E3243" s="798"/>
      <c r="F3243" s="798"/>
      <c r="G3243" s="798"/>
      <c r="J3243" s="778" t="str">
        <f aca="false">IF(I3243="","",H3243/I3243)</f>
        <v/>
      </c>
      <c r="K3243" s="798"/>
      <c r="P3243" s="798"/>
      <c r="Q3243" s="798"/>
      <c r="R3243" s="811"/>
    </row>
    <row r="3244" customFormat="false" ht="16.5" hidden="false" customHeight="true" outlineLevel="0" collapsed="false">
      <c r="A3244" s="747"/>
      <c r="B3244" s="798"/>
      <c r="D3244" s="798"/>
      <c r="E3244" s="798"/>
      <c r="F3244" s="798"/>
      <c r="G3244" s="798"/>
      <c r="J3244" s="778" t="str">
        <f aca="false">IF(I3244="","",H3244/I3244)</f>
        <v/>
      </c>
      <c r="K3244" s="798"/>
      <c r="P3244" s="798"/>
      <c r="Q3244" s="798"/>
      <c r="R3244" s="811"/>
    </row>
    <row r="3245" customFormat="false" ht="16.5" hidden="false" customHeight="true" outlineLevel="0" collapsed="false">
      <c r="A3245" s="747"/>
      <c r="B3245" s="798"/>
      <c r="D3245" s="798"/>
      <c r="E3245" s="798"/>
      <c r="F3245" s="798"/>
      <c r="G3245" s="798"/>
      <c r="J3245" s="778" t="str">
        <f aca="false">IF(I3245="","",H3245/I3245)</f>
        <v/>
      </c>
      <c r="K3245" s="798"/>
      <c r="P3245" s="798"/>
      <c r="Q3245" s="798"/>
      <c r="R3245" s="811"/>
    </row>
    <row r="3246" customFormat="false" ht="16.5" hidden="false" customHeight="true" outlineLevel="0" collapsed="false">
      <c r="A3246" s="747"/>
      <c r="B3246" s="798"/>
      <c r="D3246" s="798"/>
      <c r="E3246" s="798"/>
      <c r="F3246" s="798"/>
      <c r="G3246" s="798"/>
      <c r="J3246" s="778" t="str">
        <f aca="false">IF(I3246="","",H3246/I3246)</f>
        <v/>
      </c>
      <c r="K3246" s="798"/>
      <c r="P3246" s="798"/>
      <c r="Q3246" s="798"/>
      <c r="R3246" s="811"/>
    </row>
    <row r="3247" customFormat="false" ht="16.5" hidden="false" customHeight="true" outlineLevel="0" collapsed="false">
      <c r="A3247" s="747"/>
      <c r="B3247" s="798"/>
      <c r="D3247" s="798"/>
      <c r="E3247" s="798"/>
      <c r="F3247" s="798"/>
      <c r="G3247" s="798"/>
      <c r="J3247" s="778" t="str">
        <f aca="false">IF(I3247="","",H3247/I3247)</f>
        <v/>
      </c>
      <c r="K3247" s="798"/>
      <c r="P3247" s="798"/>
      <c r="Q3247" s="798"/>
      <c r="R3247" s="811"/>
    </row>
    <row r="3248" customFormat="false" ht="16.5" hidden="false" customHeight="true" outlineLevel="0" collapsed="false">
      <c r="A3248" s="747"/>
      <c r="B3248" s="798"/>
      <c r="D3248" s="798"/>
      <c r="E3248" s="798"/>
      <c r="F3248" s="798"/>
      <c r="G3248" s="798"/>
      <c r="J3248" s="778" t="str">
        <f aca="false">IF(I3248="","",H3248/I3248)</f>
        <v/>
      </c>
      <c r="K3248" s="798"/>
      <c r="P3248" s="798"/>
      <c r="Q3248" s="798"/>
      <c r="R3248" s="811"/>
    </row>
    <row r="3249" customFormat="false" ht="16.5" hidden="false" customHeight="true" outlineLevel="0" collapsed="false">
      <c r="A3249" s="747"/>
      <c r="B3249" s="798"/>
      <c r="D3249" s="798"/>
      <c r="E3249" s="798"/>
      <c r="F3249" s="798"/>
      <c r="G3249" s="798"/>
      <c r="J3249" s="778" t="str">
        <f aca="false">IF(I3249="","",H3249/I3249)</f>
        <v/>
      </c>
      <c r="K3249" s="798"/>
      <c r="P3249" s="798"/>
      <c r="Q3249" s="798"/>
      <c r="R3249" s="811"/>
    </row>
    <row r="3250" customFormat="false" ht="16.5" hidden="false" customHeight="true" outlineLevel="0" collapsed="false">
      <c r="A3250" s="747"/>
      <c r="B3250" s="798"/>
      <c r="D3250" s="798"/>
      <c r="E3250" s="798"/>
      <c r="F3250" s="798"/>
      <c r="G3250" s="798"/>
      <c r="J3250" s="778" t="str">
        <f aca="false">IF(I3250="","",H3250/I3250)</f>
        <v/>
      </c>
      <c r="K3250" s="798"/>
      <c r="P3250" s="798"/>
      <c r="Q3250" s="798"/>
      <c r="R3250" s="811"/>
    </row>
    <row r="3251" customFormat="false" ht="16.5" hidden="false" customHeight="true" outlineLevel="0" collapsed="false">
      <c r="A3251" s="747"/>
      <c r="B3251" s="798"/>
      <c r="D3251" s="798"/>
      <c r="E3251" s="798"/>
      <c r="F3251" s="798"/>
      <c r="G3251" s="798"/>
      <c r="J3251" s="778" t="str">
        <f aca="false">IF(I3251="","",H3251/I3251)</f>
        <v/>
      </c>
      <c r="K3251" s="798"/>
      <c r="P3251" s="798"/>
      <c r="Q3251" s="798"/>
      <c r="R3251" s="811"/>
    </row>
    <row r="3252" customFormat="false" ht="16.5" hidden="false" customHeight="true" outlineLevel="0" collapsed="false">
      <c r="A3252" s="747"/>
      <c r="B3252" s="798"/>
      <c r="D3252" s="798"/>
      <c r="E3252" s="798"/>
      <c r="F3252" s="798"/>
      <c r="G3252" s="798"/>
      <c r="J3252" s="778" t="str">
        <f aca="false">IF(I3252="","",H3252/I3252)</f>
        <v/>
      </c>
      <c r="K3252" s="798"/>
      <c r="P3252" s="798"/>
      <c r="Q3252" s="798"/>
      <c r="R3252" s="811"/>
    </row>
    <row r="3253" customFormat="false" ht="16.5" hidden="false" customHeight="true" outlineLevel="0" collapsed="false">
      <c r="A3253" s="747"/>
      <c r="B3253" s="798"/>
      <c r="D3253" s="798"/>
      <c r="E3253" s="798"/>
      <c r="F3253" s="798"/>
      <c r="G3253" s="798"/>
      <c r="J3253" s="778" t="str">
        <f aca="false">IF(I3253="","",H3253/I3253)</f>
        <v/>
      </c>
      <c r="K3253" s="798"/>
      <c r="P3253" s="798"/>
      <c r="Q3253" s="798"/>
      <c r="R3253" s="811"/>
    </row>
    <row r="3254" customFormat="false" ht="16.5" hidden="false" customHeight="true" outlineLevel="0" collapsed="false">
      <c r="A3254" s="747"/>
      <c r="B3254" s="798"/>
      <c r="D3254" s="798"/>
      <c r="E3254" s="798"/>
      <c r="F3254" s="798"/>
      <c r="G3254" s="798"/>
      <c r="J3254" s="778" t="str">
        <f aca="false">IF(I3254="","",H3254/I3254)</f>
        <v/>
      </c>
      <c r="K3254" s="798"/>
      <c r="P3254" s="798"/>
      <c r="Q3254" s="798"/>
      <c r="R3254" s="811"/>
    </row>
    <row r="3255" customFormat="false" ht="16.5" hidden="false" customHeight="true" outlineLevel="0" collapsed="false">
      <c r="A3255" s="747"/>
      <c r="B3255" s="798"/>
      <c r="D3255" s="798"/>
      <c r="E3255" s="798"/>
      <c r="F3255" s="798"/>
      <c r="G3255" s="798"/>
      <c r="J3255" s="778" t="str">
        <f aca="false">IF(I3255="","",H3255/I3255)</f>
        <v/>
      </c>
      <c r="K3255" s="798"/>
      <c r="P3255" s="798"/>
      <c r="Q3255" s="798"/>
      <c r="R3255" s="811"/>
    </row>
    <row r="3256" customFormat="false" ht="16.5" hidden="false" customHeight="true" outlineLevel="0" collapsed="false">
      <c r="A3256" s="747"/>
      <c r="B3256" s="798"/>
      <c r="D3256" s="798"/>
      <c r="E3256" s="798"/>
      <c r="F3256" s="798"/>
      <c r="G3256" s="798"/>
      <c r="J3256" s="778" t="str">
        <f aca="false">IF(I3256="","",H3256/I3256)</f>
        <v/>
      </c>
      <c r="K3256" s="798"/>
      <c r="P3256" s="798"/>
      <c r="Q3256" s="798"/>
      <c r="R3256" s="811"/>
    </row>
    <row r="3257" customFormat="false" ht="16.5" hidden="false" customHeight="true" outlineLevel="0" collapsed="false">
      <c r="A3257" s="747"/>
      <c r="B3257" s="798"/>
      <c r="D3257" s="798"/>
      <c r="E3257" s="798"/>
      <c r="F3257" s="798"/>
      <c r="G3257" s="798"/>
      <c r="J3257" s="778" t="str">
        <f aca="false">IF(I3257="","",H3257/I3257)</f>
        <v/>
      </c>
      <c r="K3257" s="798"/>
      <c r="P3257" s="798"/>
      <c r="Q3257" s="798"/>
      <c r="R3257" s="811"/>
    </row>
    <row r="3258" customFormat="false" ht="16.5" hidden="false" customHeight="true" outlineLevel="0" collapsed="false">
      <c r="A3258" s="747"/>
      <c r="B3258" s="798"/>
      <c r="D3258" s="798"/>
      <c r="E3258" s="798"/>
      <c r="F3258" s="798"/>
      <c r="G3258" s="798"/>
      <c r="J3258" s="778" t="str">
        <f aca="false">IF(I3258="","",H3258/I3258)</f>
        <v/>
      </c>
      <c r="K3258" s="798"/>
      <c r="P3258" s="798"/>
      <c r="Q3258" s="798"/>
      <c r="R3258" s="811"/>
    </row>
    <row r="3259" customFormat="false" ht="16.5" hidden="false" customHeight="true" outlineLevel="0" collapsed="false">
      <c r="A3259" s="747"/>
      <c r="B3259" s="798"/>
      <c r="D3259" s="798"/>
      <c r="E3259" s="798"/>
      <c r="F3259" s="798"/>
      <c r="G3259" s="798"/>
      <c r="J3259" s="778" t="str">
        <f aca="false">IF(I3259="","",H3259/I3259)</f>
        <v/>
      </c>
      <c r="K3259" s="798"/>
      <c r="P3259" s="798"/>
      <c r="Q3259" s="798"/>
      <c r="R3259" s="811"/>
    </row>
    <row r="3260" customFormat="false" ht="16.5" hidden="false" customHeight="true" outlineLevel="0" collapsed="false">
      <c r="A3260" s="747"/>
      <c r="B3260" s="798"/>
      <c r="D3260" s="798"/>
      <c r="E3260" s="798"/>
      <c r="F3260" s="798"/>
      <c r="G3260" s="798"/>
      <c r="J3260" s="778" t="str">
        <f aca="false">IF(I3260="","",H3260/I3260)</f>
        <v/>
      </c>
      <c r="K3260" s="798"/>
      <c r="P3260" s="798"/>
      <c r="Q3260" s="798"/>
      <c r="R3260" s="811"/>
    </row>
    <row r="3261" customFormat="false" ht="16.5" hidden="false" customHeight="true" outlineLevel="0" collapsed="false">
      <c r="A3261" s="747"/>
      <c r="B3261" s="798"/>
      <c r="D3261" s="798"/>
      <c r="E3261" s="798"/>
      <c r="F3261" s="798"/>
      <c r="G3261" s="798"/>
      <c r="J3261" s="778" t="str">
        <f aca="false">IF(I3261="","",H3261/I3261)</f>
        <v/>
      </c>
      <c r="K3261" s="798"/>
      <c r="P3261" s="798"/>
      <c r="Q3261" s="798"/>
      <c r="R3261" s="811"/>
    </row>
    <row r="3262" customFormat="false" ht="16.5" hidden="false" customHeight="true" outlineLevel="0" collapsed="false">
      <c r="A3262" s="747"/>
      <c r="B3262" s="798"/>
      <c r="D3262" s="798"/>
      <c r="E3262" s="798"/>
      <c r="F3262" s="798"/>
      <c r="G3262" s="798"/>
      <c r="J3262" s="778" t="str">
        <f aca="false">IF(I3262="","",H3262/I3262)</f>
        <v/>
      </c>
      <c r="K3262" s="798"/>
      <c r="P3262" s="798"/>
      <c r="Q3262" s="798"/>
      <c r="R3262" s="811"/>
    </row>
    <row r="3263" customFormat="false" ht="16.5" hidden="false" customHeight="true" outlineLevel="0" collapsed="false">
      <c r="A3263" s="747"/>
      <c r="B3263" s="798"/>
      <c r="D3263" s="798"/>
      <c r="E3263" s="798"/>
      <c r="F3263" s="798"/>
      <c r="G3263" s="798"/>
      <c r="J3263" s="778" t="str">
        <f aca="false">IF(I3263="","",H3263/I3263)</f>
        <v/>
      </c>
      <c r="K3263" s="798"/>
      <c r="P3263" s="798"/>
      <c r="Q3263" s="798"/>
      <c r="R3263" s="811"/>
    </row>
    <row r="3264" customFormat="false" ht="16.5" hidden="false" customHeight="true" outlineLevel="0" collapsed="false">
      <c r="A3264" s="747"/>
      <c r="B3264" s="798"/>
      <c r="D3264" s="798"/>
      <c r="E3264" s="798"/>
      <c r="F3264" s="798"/>
      <c r="G3264" s="798"/>
      <c r="J3264" s="778" t="str">
        <f aca="false">IF(I3264="","",H3264/I3264)</f>
        <v/>
      </c>
      <c r="K3264" s="798"/>
      <c r="P3264" s="798"/>
      <c r="Q3264" s="798"/>
      <c r="R3264" s="811"/>
    </row>
    <row r="3265" customFormat="false" ht="16.5" hidden="false" customHeight="true" outlineLevel="0" collapsed="false">
      <c r="A3265" s="747"/>
      <c r="B3265" s="798"/>
      <c r="D3265" s="798"/>
      <c r="E3265" s="798"/>
      <c r="F3265" s="798"/>
      <c r="G3265" s="798"/>
      <c r="J3265" s="778" t="str">
        <f aca="false">IF(I3265="","",H3265/I3265)</f>
        <v/>
      </c>
      <c r="K3265" s="798"/>
      <c r="P3265" s="798"/>
      <c r="Q3265" s="798"/>
      <c r="R3265" s="811"/>
    </row>
    <row r="3266" customFormat="false" ht="16.5" hidden="false" customHeight="true" outlineLevel="0" collapsed="false">
      <c r="A3266" s="747"/>
      <c r="B3266" s="798"/>
      <c r="D3266" s="798"/>
      <c r="E3266" s="798"/>
      <c r="F3266" s="798"/>
      <c r="G3266" s="798"/>
      <c r="J3266" s="778" t="str">
        <f aca="false">IF(I3266="","",H3266/I3266)</f>
        <v/>
      </c>
      <c r="K3266" s="798"/>
      <c r="P3266" s="798"/>
      <c r="Q3266" s="798"/>
      <c r="R3266" s="811"/>
    </row>
    <row r="3267" customFormat="false" ht="16.5" hidden="false" customHeight="true" outlineLevel="0" collapsed="false">
      <c r="A3267" s="747"/>
      <c r="B3267" s="798"/>
      <c r="D3267" s="798"/>
      <c r="E3267" s="798"/>
      <c r="F3267" s="798"/>
      <c r="G3267" s="798"/>
      <c r="J3267" s="778" t="str">
        <f aca="false">IF(I3267="","",H3267/I3267)</f>
        <v/>
      </c>
      <c r="K3267" s="798"/>
      <c r="P3267" s="798"/>
      <c r="Q3267" s="798"/>
      <c r="R3267" s="811"/>
    </row>
    <row r="3268" customFormat="false" ht="16.5" hidden="false" customHeight="true" outlineLevel="0" collapsed="false">
      <c r="A3268" s="747"/>
      <c r="B3268" s="798"/>
      <c r="D3268" s="798"/>
      <c r="E3268" s="798"/>
      <c r="F3268" s="798"/>
      <c r="G3268" s="798"/>
      <c r="J3268" s="778" t="str">
        <f aca="false">IF(I3268="","",H3268/I3268)</f>
        <v/>
      </c>
      <c r="K3268" s="798"/>
      <c r="P3268" s="798"/>
      <c r="Q3268" s="798"/>
      <c r="R3268" s="811"/>
    </row>
    <row r="3269" customFormat="false" ht="16.5" hidden="false" customHeight="true" outlineLevel="0" collapsed="false">
      <c r="A3269" s="747"/>
      <c r="B3269" s="798"/>
      <c r="D3269" s="798"/>
      <c r="E3269" s="798"/>
      <c r="F3269" s="798"/>
      <c r="G3269" s="798"/>
      <c r="J3269" s="778" t="str">
        <f aca="false">IF(I3269="","",H3269/I3269)</f>
        <v/>
      </c>
      <c r="K3269" s="798"/>
      <c r="P3269" s="798"/>
      <c r="Q3269" s="798"/>
      <c r="R3269" s="811"/>
    </row>
    <row r="3270" customFormat="false" ht="16.5" hidden="false" customHeight="true" outlineLevel="0" collapsed="false">
      <c r="A3270" s="747"/>
      <c r="B3270" s="798"/>
      <c r="D3270" s="798"/>
      <c r="E3270" s="798"/>
      <c r="F3270" s="798"/>
      <c r="G3270" s="798"/>
      <c r="J3270" s="778" t="str">
        <f aca="false">IF(I3270="","",H3270/I3270)</f>
        <v/>
      </c>
      <c r="K3270" s="798"/>
      <c r="P3270" s="798"/>
      <c r="Q3270" s="798"/>
      <c r="R3270" s="811"/>
    </row>
    <row r="3271" customFormat="false" ht="16.5" hidden="false" customHeight="true" outlineLevel="0" collapsed="false">
      <c r="A3271" s="747"/>
      <c r="B3271" s="798"/>
      <c r="D3271" s="798"/>
      <c r="E3271" s="798"/>
      <c r="F3271" s="798"/>
      <c r="G3271" s="798"/>
      <c r="J3271" s="778" t="str">
        <f aca="false">IF(I3271="","",H3271/I3271)</f>
        <v/>
      </c>
      <c r="K3271" s="798"/>
      <c r="P3271" s="798"/>
      <c r="Q3271" s="798"/>
      <c r="R3271" s="811"/>
    </row>
    <row r="3272" customFormat="false" ht="16.5" hidden="false" customHeight="true" outlineLevel="0" collapsed="false">
      <c r="A3272" s="747"/>
      <c r="B3272" s="798"/>
      <c r="D3272" s="798"/>
      <c r="E3272" s="798"/>
      <c r="F3272" s="798"/>
      <c r="G3272" s="798"/>
      <c r="J3272" s="778" t="str">
        <f aca="false">IF(I3272="","",H3272/I3272)</f>
        <v/>
      </c>
      <c r="K3272" s="798"/>
      <c r="P3272" s="798"/>
      <c r="Q3272" s="798"/>
      <c r="R3272" s="811"/>
    </row>
    <row r="3273" customFormat="false" ht="16.5" hidden="false" customHeight="true" outlineLevel="0" collapsed="false">
      <c r="A3273" s="747"/>
      <c r="B3273" s="798"/>
      <c r="D3273" s="798"/>
      <c r="E3273" s="798"/>
      <c r="F3273" s="798"/>
      <c r="G3273" s="798"/>
      <c r="J3273" s="778" t="str">
        <f aca="false">IF(I3273="","",H3273/I3273)</f>
        <v/>
      </c>
      <c r="K3273" s="798"/>
      <c r="P3273" s="798"/>
      <c r="Q3273" s="798"/>
      <c r="R3273" s="811"/>
    </row>
    <row r="3274" customFormat="false" ht="16.5" hidden="false" customHeight="true" outlineLevel="0" collapsed="false">
      <c r="A3274" s="747"/>
      <c r="B3274" s="798"/>
      <c r="D3274" s="798"/>
      <c r="E3274" s="798"/>
      <c r="F3274" s="798"/>
      <c r="G3274" s="798"/>
      <c r="J3274" s="778" t="str">
        <f aca="false">IF(I3274="","",H3274/I3274)</f>
        <v/>
      </c>
      <c r="K3274" s="798"/>
      <c r="P3274" s="798"/>
      <c r="Q3274" s="798"/>
      <c r="R3274" s="811"/>
    </row>
    <row r="3275" customFormat="false" ht="16.5" hidden="false" customHeight="true" outlineLevel="0" collapsed="false">
      <c r="A3275" s="747"/>
      <c r="B3275" s="798"/>
      <c r="D3275" s="798"/>
      <c r="E3275" s="798"/>
      <c r="F3275" s="798"/>
      <c r="G3275" s="798"/>
      <c r="J3275" s="778" t="str">
        <f aca="false">IF(I3275="","",H3275/I3275)</f>
        <v/>
      </c>
      <c r="K3275" s="798"/>
      <c r="P3275" s="798"/>
      <c r="Q3275" s="798"/>
      <c r="R3275" s="811"/>
    </row>
    <row r="3276" customFormat="false" ht="16.5" hidden="false" customHeight="true" outlineLevel="0" collapsed="false">
      <c r="A3276" s="747"/>
      <c r="B3276" s="798"/>
      <c r="D3276" s="798"/>
      <c r="E3276" s="798"/>
      <c r="F3276" s="798"/>
      <c r="G3276" s="798"/>
      <c r="J3276" s="778" t="str">
        <f aca="false">IF(I3276="","",H3276/I3276)</f>
        <v/>
      </c>
      <c r="K3276" s="798"/>
      <c r="P3276" s="798"/>
      <c r="Q3276" s="798"/>
      <c r="R3276" s="811"/>
    </row>
    <row r="3277" customFormat="false" ht="16.5" hidden="false" customHeight="true" outlineLevel="0" collapsed="false">
      <c r="A3277" s="747"/>
      <c r="B3277" s="798"/>
      <c r="D3277" s="798"/>
      <c r="E3277" s="798"/>
      <c r="F3277" s="798"/>
      <c r="G3277" s="798"/>
      <c r="J3277" s="778" t="str">
        <f aca="false">IF(I3277="","",H3277/I3277)</f>
        <v/>
      </c>
      <c r="K3277" s="798"/>
      <c r="P3277" s="798"/>
      <c r="Q3277" s="798"/>
      <c r="R3277" s="811"/>
    </row>
    <row r="3278" customFormat="false" ht="16.5" hidden="false" customHeight="true" outlineLevel="0" collapsed="false">
      <c r="A3278" s="747"/>
      <c r="B3278" s="798"/>
      <c r="D3278" s="798"/>
      <c r="E3278" s="798"/>
      <c r="F3278" s="798"/>
      <c r="G3278" s="798"/>
      <c r="J3278" s="778" t="str">
        <f aca="false">IF(I3278="","",H3278/I3278)</f>
        <v/>
      </c>
      <c r="K3278" s="798"/>
      <c r="P3278" s="798"/>
      <c r="Q3278" s="798"/>
      <c r="R3278" s="811"/>
    </row>
    <row r="3279" customFormat="false" ht="16.5" hidden="false" customHeight="true" outlineLevel="0" collapsed="false">
      <c r="A3279" s="747"/>
      <c r="B3279" s="798"/>
      <c r="D3279" s="798"/>
      <c r="E3279" s="798"/>
      <c r="F3279" s="798"/>
      <c r="G3279" s="798"/>
      <c r="J3279" s="778" t="str">
        <f aca="false">IF(I3279="","",H3279/I3279)</f>
        <v/>
      </c>
      <c r="K3279" s="798"/>
      <c r="P3279" s="798"/>
      <c r="Q3279" s="798"/>
      <c r="R3279" s="811"/>
    </row>
    <row r="3280" customFormat="false" ht="16.5" hidden="false" customHeight="true" outlineLevel="0" collapsed="false">
      <c r="A3280" s="747"/>
      <c r="B3280" s="798"/>
      <c r="D3280" s="798"/>
      <c r="E3280" s="798"/>
      <c r="F3280" s="798"/>
      <c r="G3280" s="798"/>
      <c r="J3280" s="778" t="str">
        <f aca="false">IF(I3280="","",H3280/I3280)</f>
        <v/>
      </c>
      <c r="K3280" s="798"/>
      <c r="P3280" s="798"/>
      <c r="Q3280" s="798"/>
      <c r="R3280" s="811"/>
    </row>
    <row r="3281" customFormat="false" ht="16.5" hidden="false" customHeight="true" outlineLevel="0" collapsed="false">
      <c r="A3281" s="747"/>
      <c r="B3281" s="798"/>
      <c r="D3281" s="798"/>
      <c r="E3281" s="798"/>
      <c r="F3281" s="798"/>
      <c r="G3281" s="798"/>
      <c r="J3281" s="778" t="str">
        <f aca="false">IF(I3281="","",H3281/I3281)</f>
        <v/>
      </c>
      <c r="K3281" s="798"/>
      <c r="P3281" s="798"/>
      <c r="Q3281" s="798"/>
      <c r="R3281" s="811"/>
    </row>
    <row r="3282" customFormat="false" ht="16.5" hidden="false" customHeight="true" outlineLevel="0" collapsed="false">
      <c r="A3282" s="747"/>
      <c r="B3282" s="798"/>
      <c r="D3282" s="798"/>
      <c r="E3282" s="798"/>
      <c r="F3282" s="798"/>
      <c r="G3282" s="798"/>
      <c r="J3282" s="778" t="str">
        <f aca="false">IF(I3282="","",H3282/I3282)</f>
        <v/>
      </c>
      <c r="K3282" s="798"/>
      <c r="P3282" s="798"/>
      <c r="Q3282" s="798"/>
      <c r="R3282" s="811"/>
    </row>
    <row r="3283" customFormat="false" ht="16.5" hidden="false" customHeight="true" outlineLevel="0" collapsed="false">
      <c r="A3283" s="747"/>
      <c r="B3283" s="798"/>
      <c r="D3283" s="798"/>
      <c r="E3283" s="798"/>
      <c r="F3283" s="798"/>
      <c r="G3283" s="798"/>
      <c r="J3283" s="778" t="str">
        <f aca="false">IF(I3283="","",H3283/I3283)</f>
        <v/>
      </c>
      <c r="K3283" s="798"/>
      <c r="P3283" s="798"/>
      <c r="Q3283" s="798"/>
      <c r="R3283" s="811"/>
    </row>
    <row r="3284" customFormat="false" ht="16.5" hidden="false" customHeight="true" outlineLevel="0" collapsed="false">
      <c r="A3284" s="747"/>
      <c r="B3284" s="798"/>
      <c r="D3284" s="798"/>
      <c r="E3284" s="798"/>
      <c r="F3284" s="798"/>
      <c r="G3284" s="798"/>
      <c r="J3284" s="778" t="str">
        <f aca="false">IF(I3284="","",H3284/I3284)</f>
        <v/>
      </c>
      <c r="K3284" s="798"/>
      <c r="P3284" s="798"/>
      <c r="Q3284" s="798"/>
      <c r="R3284" s="811"/>
    </row>
    <row r="3285" customFormat="false" ht="16.5" hidden="false" customHeight="true" outlineLevel="0" collapsed="false">
      <c r="A3285" s="747"/>
      <c r="B3285" s="798"/>
      <c r="D3285" s="798"/>
      <c r="E3285" s="798"/>
      <c r="F3285" s="798"/>
      <c r="G3285" s="798"/>
      <c r="J3285" s="778" t="str">
        <f aca="false">IF(I3285="","",H3285/I3285)</f>
        <v/>
      </c>
      <c r="K3285" s="798"/>
      <c r="P3285" s="798"/>
      <c r="Q3285" s="798"/>
      <c r="R3285" s="811"/>
    </row>
    <row r="3286" customFormat="false" ht="16.5" hidden="false" customHeight="true" outlineLevel="0" collapsed="false">
      <c r="A3286" s="747"/>
      <c r="B3286" s="798"/>
      <c r="D3286" s="798"/>
      <c r="E3286" s="798"/>
      <c r="F3286" s="798"/>
      <c r="G3286" s="798"/>
      <c r="J3286" s="778" t="str">
        <f aca="false">IF(I3286="","",H3286/I3286)</f>
        <v/>
      </c>
      <c r="K3286" s="798"/>
      <c r="P3286" s="798"/>
      <c r="Q3286" s="798"/>
      <c r="R3286" s="811"/>
    </row>
    <row r="3287" customFormat="false" ht="16.5" hidden="false" customHeight="true" outlineLevel="0" collapsed="false">
      <c r="A3287" s="747"/>
      <c r="B3287" s="798"/>
      <c r="D3287" s="798"/>
      <c r="E3287" s="798"/>
      <c r="F3287" s="798"/>
      <c r="G3287" s="798"/>
      <c r="J3287" s="778" t="str">
        <f aca="false">IF(I3287="","",H3287/I3287)</f>
        <v/>
      </c>
      <c r="K3287" s="798"/>
      <c r="P3287" s="798"/>
      <c r="Q3287" s="798"/>
      <c r="R3287" s="811"/>
    </row>
    <row r="3288" customFormat="false" ht="16.5" hidden="false" customHeight="true" outlineLevel="0" collapsed="false">
      <c r="A3288" s="747"/>
      <c r="B3288" s="798"/>
      <c r="D3288" s="798"/>
      <c r="E3288" s="798"/>
      <c r="F3288" s="798"/>
      <c r="G3288" s="798"/>
      <c r="J3288" s="778" t="str">
        <f aca="false">IF(I3288="","",H3288/I3288)</f>
        <v/>
      </c>
      <c r="K3288" s="798"/>
      <c r="P3288" s="798"/>
      <c r="Q3288" s="798"/>
      <c r="R3288" s="811"/>
    </row>
    <row r="3289" customFormat="false" ht="16.5" hidden="false" customHeight="true" outlineLevel="0" collapsed="false">
      <c r="A3289" s="747"/>
      <c r="B3289" s="798"/>
      <c r="D3289" s="798"/>
      <c r="E3289" s="798"/>
      <c r="F3289" s="798"/>
      <c r="G3289" s="798"/>
      <c r="J3289" s="778" t="str">
        <f aca="false">IF(I3289="","",H3289/I3289)</f>
        <v/>
      </c>
      <c r="K3289" s="798"/>
      <c r="P3289" s="798"/>
      <c r="Q3289" s="798"/>
      <c r="R3289" s="811"/>
    </row>
    <row r="3290" customFormat="false" ht="16.5" hidden="false" customHeight="true" outlineLevel="0" collapsed="false">
      <c r="A3290" s="747"/>
      <c r="B3290" s="798"/>
      <c r="D3290" s="798"/>
      <c r="E3290" s="798"/>
      <c r="F3290" s="798"/>
      <c r="G3290" s="798"/>
      <c r="J3290" s="778" t="str">
        <f aca="false">IF(I3290="","",H3290/I3290)</f>
        <v/>
      </c>
      <c r="K3290" s="798"/>
      <c r="P3290" s="798"/>
      <c r="Q3290" s="798"/>
      <c r="R3290" s="811"/>
    </row>
    <row r="3291" customFormat="false" ht="16.5" hidden="false" customHeight="true" outlineLevel="0" collapsed="false">
      <c r="A3291" s="747"/>
      <c r="B3291" s="798"/>
      <c r="D3291" s="798"/>
      <c r="E3291" s="798"/>
      <c r="F3291" s="798"/>
      <c r="G3291" s="798"/>
      <c r="J3291" s="778" t="str">
        <f aca="false">IF(I3291="","",H3291/I3291)</f>
        <v/>
      </c>
      <c r="K3291" s="798"/>
      <c r="P3291" s="798"/>
      <c r="Q3291" s="798"/>
      <c r="R3291" s="811"/>
    </row>
    <row r="3292" customFormat="false" ht="16.5" hidden="false" customHeight="true" outlineLevel="0" collapsed="false">
      <c r="A3292" s="747"/>
      <c r="B3292" s="798"/>
      <c r="D3292" s="798"/>
      <c r="E3292" s="798"/>
      <c r="F3292" s="798"/>
      <c r="G3292" s="798"/>
      <c r="J3292" s="778" t="str">
        <f aca="false">IF(I3292="","",H3292/I3292)</f>
        <v/>
      </c>
      <c r="K3292" s="798"/>
      <c r="P3292" s="798"/>
      <c r="Q3292" s="798"/>
      <c r="R3292" s="811"/>
    </row>
    <row r="3293" customFormat="false" ht="16.5" hidden="false" customHeight="true" outlineLevel="0" collapsed="false">
      <c r="A3293" s="747"/>
      <c r="B3293" s="798"/>
      <c r="D3293" s="798"/>
      <c r="E3293" s="798"/>
      <c r="F3293" s="798"/>
      <c r="G3293" s="798"/>
      <c r="J3293" s="778" t="str">
        <f aca="false">IF(I3293="","",H3293/I3293)</f>
        <v/>
      </c>
      <c r="K3293" s="798"/>
      <c r="P3293" s="798"/>
      <c r="Q3293" s="798"/>
      <c r="R3293" s="811"/>
    </row>
    <row r="3294" customFormat="false" ht="16.5" hidden="false" customHeight="true" outlineLevel="0" collapsed="false">
      <c r="A3294" s="747"/>
      <c r="B3294" s="798"/>
      <c r="D3294" s="798"/>
      <c r="E3294" s="798"/>
      <c r="F3294" s="798"/>
      <c r="G3294" s="798"/>
      <c r="J3294" s="778" t="str">
        <f aca="false">IF(I3294="","",H3294/I3294)</f>
        <v/>
      </c>
      <c r="K3294" s="798"/>
      <c r="P3294" s="798"/>
      <c r="Q3294" s="798"/>
      <c r="R3294" s="811"/>
    </row>
    <row r="3295" customFormat="false" ht="16.5" hidden="false" customHeight="true" outlineLevel="0" collapsed="false">
      <c r="A3295" s="747"/>
      <c r="B3295" s="798"/>
      <c r="D3295" s="798"/>
      <c r="E3295" s="798"/>
      <c r="F3295" s="798"/>
      <c r="G3295" s="798"/>
      <c r="J3295" s="778" t="str">
        <f aca="false">IF(I3295="","",H3295/I3295)</f>
        <v/>
      </c>
      <c r="K3295" s="798"/>
      <c r="P3295" s="798"/>
      <c r="Q3295" s="798"/>
      <c r="R3295" s="811"/>
    </row>
    <row r="3296" customFormat="false" ht="16.5" hidden="false" customHeight="true" outlineLevel="0" collapsed="false">
      <c r="A3296" s="747"/>
      <c r="B3296" s="798"/>
      <c r="D3296" s="798"/>
      <c r="E3296" s="798"/>
      <c r="F3296" s="798"/>
      <c r="G3296" s="798"/>
      <c r="J3296" s="778" t="str">
        <f aca="false">IF(I3296="","",H3296/I3296)</f>
        <v/>
      </c>
      <c r="K3296" s="798"/>
      <c r="P3296" s="798"/>
      <c r="Q3296" s="798"/>
      <c r="R3296" s="811"/>
    </row>
    <row r="3297" customFormat="false" ht="16.5" hidden="false" customHeight="true" outlineLevel="0" collapsed="false">
      <c r="A3297" s="747"/>
      <c r="B3297" s="798"/>
      <c r="D3297" s="798"/>
      <c r="E3297" s="798"/>
      <c r="F3297" s="798"/>
      <c r="G3297" s="798"/>
      <c r="J3297" s="778" t="str">
        <f aca="false">IF(I3297="","",H3297/I3297)</f>
        <v/>
      </c>
      <c r="K3297" s="798"/>
      <c r="P3297" s="798"/>
      <c r="Q3297" s="798"/>
      <c r="R3297" s="811"/>
    </row>
    <row r="3298" customFormat="false" ht="16.5" hidden="false" customHeight="true" outlineLevel="0" collapsed="false">
      <c r="A3298" s="747"/>
      <c r="B3298" s="798"/>
      <c r="D3298" s="798"/>
      <c r="E3298" s="798"/>
      <c r="F3298" s="798"/>
      <c r="G3298" s="798"/>
      <c r="J3298" s="778" t="str">
        <f aca="false">IF(I3298="","",H3298/I3298)</f>
        <v/>
      </c>
      <c r="K3298" s="798"/>
      <c r="P3298" s="798"/>
      <c r="Q3298" s="798"/>
      <c r="R3298" s="811"/>
    </row>
    <row r="3299" customFormat="false" ht="16.5" hidden="false" customHeight="true" outlineLevel="0" collapsed="false">
      <c r="A3299" s="747"/>
      <c r="B3299" s="798"/>
      <c r="D3299" s="798"/>
      <c r="E3299" s="798"/>
      <c r="F3299" s="798"/>
      <c r="G3299" s="798"/>
      <c r="J3299" s="778" t="str">
        <f aca="false">IF(I3299="","",H3299/I3299)</f>
        <v/>
      </c>
      <c r="K3299" s="798"/>
      <c r="P3299" s="798"/>
      <c r="Q3299" s="798"/>
      <c r="R3299" s="811"/>
    </row>
    <row r="3300" customFormat="false" ht="16.5" hidden="false" customHeight="true" outlineLevel="0" collapsed="false">
      <c r="A3300" s="747"/>
      <c r="B3300" s="798"/>
      <c r="D3300" s="798"/>
      <c r="E3300" s="798"/>
      <c r="F3300" s="798"/>
      <c r="G3300" s="798"/>
      <c r="J3300" s="778" t="str">
        <f aca="false">IF(I3300="","",H3300/I3300)</f>
        <v/>
      </c>
      <c r="K3300" s="798"/>
      <c r="P3300" s="798"/>
      <c r="Q3300" s="798"/>
      <c r="R3300" s="811"/>
    </row>
    <row r="3301" customFormat="false" ht="16.5" hidden="false" customHeight="true" outlineLevel="0" collapsed="false">
      <c r="A3301" s="747"/>
      <c r="B3301" s="798"/>
      <c r="D3301" s="798"/>
      <c r="E3301" s="798"/>
      <c r="F3301" s="798"/>
      <c r="G3301" s="798"/>
      <c r="J3301" s="778" t="str">
        <f aca="false">IF(I3301="","",H3301/I3301)</f>
        <v/>
      </c>
      <c r="K3301" s="798"/>
      <c r="P3301" s="798"/>
      <c r="Q3301" s="798"/>
      <c r="R3301" s="811"/>
    </row>
    <row r="3302" customFormat="false" ht="16.5" hidden="false" customHeight="true" outlineLevel="0" collapsed="false">
      <c r="A3302" s="747"/>
      <c r="B3302" s="798"/>
      <c r="D3302" s="798"/>
      <c r="E3302" s="798"/>
      <c r="F3302" s="798"/>
      <c r="G3302" s="798"/>
      <c r="J3302" s="778" t="str">
        <f aca="false">IF(I3302="","",H3302/I3302)</f>
        <v/>
      </c>
      <c r="K3302" s="798"/>
      <c r="P3302" s="798"/>
      <c r="Q3302" s="798"/>
      <c r="R3302" s="811"/>
    </row>
    <row r="3303" customFormat="false" ht="16.5" hidden="false" customHeight="true" outlineLevel="0" collapsed="false">
      <c r="A3303" s="747"/>
      <c r="B3303" s="798"/>
      <c r="D3303" s="798"/>
      <c r="E3303" s="798"/>
      <c r="F3303" s="798"/>
      <c r="G3303" s="798"/>
      <c r="J3303" s="778" t="str">
        <f aca="false">IF(I3303="","",H3303/I3303)</f>
        <v/>
      </c>
      <c r="K3303" s="798"/>
      <c r="P3303" s="798"/>
      <c r="Q3303" s="798"/>
      <c r="R3303" s="811"/>
    </row>
    <row r="3304" customFormat="false" ht="16.5" hidden="false" customHeight="true" outlineLevel="0" collapsed="false">
      <c r="A3304" s="747"/>
      <c r="B3304" s="798"/>
      <c r="D3304" s="798"/>
      <c r="E3304" s="798"/>
      <c r="F3304" s="798"/>
      <c r="G3304" s="798"/>
      <c r="J3304" s="778" t="str">
        <f aca="false">IF(I3304="","",H3304/I3304)</f>
        <v/>
      </c>
      <c r="K3304" s="798"/>
      <c r="P3304" s="798"/>
      <c r="Q3304" s="798"/>
      <c r="R3304" s="811"/>
    </row>
    <row r="3305" customFormat="false" ht="16.5" hidden="false" customHeight="true" outlineLevel="0" collapsed="false">
      <c r="A3305" s="747"/>
      <c r="B3305" s="798"/>
      <c r="D3305" s="798"/>
      <c r="E3305" s="798"/>
      <c r="F3305" s="798"/>
      <c r="G3305" s="798"/>
      <c r="J3305" s="778" t="str">
        <f aca="false">IF(I3305="","",H3305/I3305)</f>
        <v/>
      </c>
      <c r="K3305" s="798"/>
      <c r="P3305" s="798"/>
      <c r="Q3305" s="798"/>
      <c r="R3305" s="811"/>
    </row>
    <row r="3306" customFormat="false" ht="16.5" hidden="false" customHeight="true" outlineLevel="0" collapsed="false">
      <c r="A3306" s="747"/>
      <c r="B3306" s="798"/>
      <c r="D3306" s="798"/>
      <c r="E3306" s="798"/>
      <c r="F3306" s="798"/>
      <c r="G3306" s="798"/>
      <c r="J3306" s="778" t="str">
        <f aca="false">IF(I3306="","",H3306/I3306)</f>
        <v/>
      </c>
      <c r="K3306" s="798"/>
      <c r="P3306" s="798"/>
      <c r="Q3306" s="798"/>
      <c r="R3306" s="811"/>
    </row>
    <row r="3307" customFormat="false" ht="16.5" hidden="false" customHeight="true" outlineLevel="0" collapsed="false">
      <c r="A3307" s="747"/>
      <c r="B3307" s="798"/>
      <c r="D3307" s="798"/>
      <c r="E3307" s="798"/>
      <c r="F3307" s="798"/>
      <c r="G3307" s="798"/>
      <c r="J3307" s="778" t="str">
        <f aca="false">IF(I3307="","",H3307/I3307)</f>
        <v/>
      </c>
      <c r="K3307" s="798"/>
      <c r="P3307" s="798"/>
      <c r="Q3307" s="798"/>
      <c r="R3307" s="811"/>
    </row>
    <row r="3308" customFormat="false" ht="16.5" hidden="false" customHeight="true" outlineLevel="0" collapsed="false">
      <c r="A3308" s="747"/>
      <c r="B3308" s="798"/>
      <c r="D3308" s="798"/>
      <c r="E3308" s="798"/>
      <c r="F3308" s="798"/>
      <c r="G3308" s="798"/>
      <c r="J3308" s="778" t="str">
        <f aca="false">IF(I3308="","",H3308/I3308)</f>
        <v/>
      </c>
      <c r="K3308" s="798"/>
      <c r="P3308" s="798"/>
      <c r="Q3308" s="798"/>
      <c r="R3308" s="811"/>
    </row>
    <row r="3309" customFormat="false" ht="16.5" hidden="false" customHeight="true" outlineLevel="0" collapsed="false">
      <c r="A3309" s="747"/>
      <c r="B3309" s="798"/>
      <c r="D3309" s="798"/>
      <c r="E3309" s="798"/>
      <c r="F3309" s="798"/>
      <c r="G3309" s="798"/>
      <c r="J3309" s="778" t="str">
        <f aca="false">IF(I3309="","",H3309/I3309)</f>
        <v/>
      </c>
      <c r="K3309" s="798"/>
      <c r="P3309" s="798"/>
      <c r="Q3309" s="798"/>
      <c r="R3309" s="811"/>
    </row>
    <row r="3310" customFormat="false" ht="16.5" hidden="false" customHeight="true" outlineLevel="0" collapsed="false">
      <c r="A3310" s="747"/>
      <c r="B3310" s="798"/>
      <c r="D3310" s="798"/>
      <c r="E3310" s="798"/>
      <c r="F3310" s="798"/>
      <c r="G3310" s="798"/>
      <c r="J3310" s="778" t="str">
        <f aca="false">IF(I3310="","",H3310/I3310)</f>
        <v/>
      </c>
      <c r="K3310" s="798"/>
      <c r="P3310" s="798"/>
      <c r="Q3310" s="798"/>
      <c r="R3310" s="811"/>
    </row>
    <row r="3311" customFormat="false" ht="16.5" hidden="false" customHeight="true" outlineLevel="0" collapsed="false">
      <c r="A3311" s="747"/>
      <c r="B3311" s="798"/>
      <c r="D3311" s="798"/>
      <c r="E3311" s="798"/>
      <c r="F3311" s="798"/>
      <c r="G3311" s="798"/>
      <c r="J3311" s="778" t="str">
        <f aca="false">IF(I3311="","",H3311/I3311)</f>
        <v/>
      </c>
      <c r="K3311" s="798"/>
      <c r="P3311" s="798"/>
      <c r="Q3311" s="798"/>
      <c r="R3311" s="811"/>
    </row>
    <row r="3312" customFormat="false" ht="16.5" hidden="false" customHeight="true" outlineLevel="0" collapsed="false">
      <c r="A3312" s="747"/>
      <c r="B3312" s="798"/>
      <c r="D3312" s="798"/>
      <c r="E3312" s="798"/>
      <c r="F3312" s="798"/>
      <c r="G3312" s="798"/>
      <c r="J3312" s="778" t="str">
        <f aca="false">IF(I3312="","",H3312/I3312)</f>
        <v/>
      </c>
      <c r="K3312" s="798"/>
      <c r="P3312" s="798"/>
      <c r="Q3312" s="798"/>
      <c r="R3312" s="811"/>
    </row>
    <row r="3313" customFormat="false" ht="16.5" hidden="false" customHeight="true" outlineLevel="0" collapsed="false">
      <c r="A3313" s="747"/>
      <c r="B3313" s="798"/>
      <c r="D3313" s="798"/>
      <c r="E3313" s="798"/>
      <c r="F3313" s="798"/>
      <c r="G3313" s="798"/>
      <c r="J3313" s="778" t="str">
        <f aca="false">IF(I3313="","",H3313/I3313)</f>
        <v/>
      </c>
      <c r="K3313" s="798"/>
      <c r="P3313" s="798"/>
      <c r="Q3313" s="798"/>
      <c r="R3313" s="811"/>
    </row>
    <row r="3314" customFormat="false" ht="16.5" hidden="false" customHeight="true" outlineLevel="0" collapsed="false">
      <c r="A3314" s="747"/>
      <c r="B3314" s="798"/>
      <c r="D3314" s="798"/>
      <c r="E3314" s="798"/>
      <c r="F3314" s="798"/>
      <c r="G3314" s="798"/>
      <c r="J3314" s="778" t="str">
        <f aca="false">IF(I3314="","",H3314/I3314)</f>
        <v/>
      </c>
      <c r="K3314" s="798"/>
      <c r="P3314" s="798"/>
      <c r="Q3314" s="798"/>
      <c r="R3314" s="811"/>
    </row>
    <row r="3315" customFormat="false" ht="16.5" hidden="false" customHeight="true" outlineLevel="0" collapsed="false">
      <c r="A3315" s="747"/>
      <c r="B3315" s="798"/>
      <c r="D3315" s="798"/>
      <c r="E3315" s="798"/>
      <c r="F3315" s="798"/>
      <c r="G3315" s="798"/>
      <c r="J3315" s="778" t="str">
        <f aca="false">IF(I3315="","",H3315/I3315)</f>
        <v/>
      </c>
      <c r="K3315" s="798"/>
      <c r="P3315" s="798"/>
      <c r="Q3315" s="798"/>
      <c r="R3315" s="811"/>
    </row>
    <row r="3316" customFormat="false" ht="16.5" hidden="false" customHeight="true" outlineLevel="0" collapsed="false">
      <c r="A3316" s="747"/>
      <c r="B3316" s="798"/>
      <c r="D3316" s="798"/>
      <c r="E3316" s="798"/>
      <c r="F3316" s="798"/>
      <c r="G3316" s="798"/>
      <c r="J3316" s="778" t="str">
        <f aca="false">IF(I3316="","",H3316/I3316)</f>
        <v/>
      </c>
      <c r="K3316" s="798"/>
      <c r="P3316" s="798"/>
      <c r="Q3316" s="798"/>
      <c r="R3316" s="811"/>
    </row>
    <row r="3317" customFormat="false" ht="16.5" hidden="false" customHeight="true" outlineLevel="0" collapsed="false">
      <c r="A3317" s="747"/>
      <c r="B3317" s="798"/>
      <c r="D3317" s="798"/>
      <c r="E3317" s="798"/>
      <c r="F3317" s="798"/>
      <c r="G3317" s="798"/>
      <c r="J3317" s="778" t="str">
        <f aca="false">IF(I3317="","",H3317/I3317)</f>
        <v/>
      </c>
      <c r="K3317" s="798"/>
      <c r="P3317" s="798"/>
      <c r="Q3317" s="798"/>
      <c r="R3317" s="811"/>
    </row>
    <row r="3318" customFormat="false" ht="16.5" hidden="false" customHeight="true" outlineLevel="0" collapsed="false">
      <c r="A3318" s="747"/>
      <c r="B3318" s="798"/>
      <c r="D3318" s="798"/>
      <c r="E3318" s="798"/>
      <c r="F3318" s="798"/>
      <c r="G3318" s="798"/>
      <c r="J3318" s="778" t="str">
        <f aca="false">IF(I3318="","",H3318/I3318)</f>
        <v/>
      </c>
      <c r="K3318" s="798"/>
      <c r="P3318" s="798"/>
      <c r="Q3318" s="798"/>
      <c r="R3318" s="811"/>
    </row>
    <row r="3319" customFormat="false" ht="16.5" hidden="false" customHeight="true" outlineLevel="0" collapsed="false">
      <c r="A3319" s="747"/>
      <c r="B3319" s="798"/>
      <c r="D3319" s="798"/>
      <c r="E3319" s="798"/>
      <c r="F3319" s="798"/>
      <c r="G3319" s="798"/>
      <c r="J3319" s="778" t="str">
        <f aca="false">IF(I3319="","",H3319/I3319)</f>
        <v/>
      </c>
      <c r="K3319" s="798"/>
      <c r="P3319" s="798"/>
      <c r="Q3319" s="798"/>
      <c r="R3319" s="811"/>
    </row>
    <row r="3320" customFormat="false" ht="16.5" hidden="false" customHeight="true" outlineLevel="0" collapsed="false">
      <c r="A3320" s="747"/>
      <c r="B3320" s="798"/>
      <c r="D3320" s="798"/>
      <c r="E3320" s="798"/>
      <c r="F3320" s="798"/>
      <c r="G3320" s="798"/>
      <c r="J3320" s="778" t="str">
        <f aca="false">IF(I3320="","",H3320/I3320)</f>
        <v/>
      </c>
      <c r="K3320" s="798"/>
      <c r="P3320" s="798"/>
      <c r="Q3320" s="798"/>
      <c r="R3320" s="811"/>
    </row>
    <row r="3321" customFormat="false" ht="16.5" hidden="false" customHeight="true" outlineLevel="0" collapsed="false">
      <c r="A3321" s="747"/>
      <c r="B3321" s="798"/>
      <c r="D3321" s="798"/>
      <c r="E3321" s="798"/>
      <c r="F3321" s="798"/>
      <c r="G3321" s="798"/>
      <c r="J3321" s="778" t="str">
        <f aca="false">IF(I3321="","",H3321/I3321)</f>
        <v/>
      </c>
      <c r="K3321" s="798"/>
      <c r="P3321" s="798"/>
      <c r="Q3321" s="798"/>
      <c r="R3321" s="811"/>
    </row>
    <row r="3322" customFormat="false" ht="16.5" hidden="false" customHeight="true" outlineLevel="0" collapsed="false">
      <c r="A3322" s="747"/>
      <c r="B3322" s="798"/>
      <c r="D3322" s="798"/>
      <c r="E3322" s="798"/>
      <c r="F3322" s="798"/>
      <c r="G3322" s="798"/>
      <c r="J3322" s="778" t="str">
        <f aca="false">IF(I3322="","",H3322/I3322)</f>
        <v/>
      </c>
      <c r="K3322" s="798"/>
      <c r="P3322" s="798"/>
      <c r="Q3322" s="798"/>
      <c r="R3322" s="811"/>
    </row>
    <row r="3323" customFormat="false" ht="16.5" hidden="false" customHeight="true" outlineLevel="0" collapsed="false">
      <c r="A3323" s="747"/>
      <c r="B3323" s="798"/>
      <c r="D3323" s="798"/>
      <c r="E3323" s="798"/>
      <c r="F3323" s="798"/>
      <c r="G3323" s="798"/>
      <c r="J3323" s="778" t="str">
        <f aca="false">IF(I3323="","",H3323/I3323)</f>
        <v/>
      </c>
      <c r="K3323" s="798"/>
      <c r="P3323" s="798"/>
      <c r="Q3323" s="798"/>
      <c r="R3323" s="811"/>
    </row>
    <row r="3324" customFormat="false" ht="16.5" hidden="false" customHeight="true" outlineLevel="0" collapsed="false">
      <c r="A3324" s="747"/>
      <c r="B3324" s="798"/>
      <c r="D3324" s="798"/>
      <c r="E3324" s="798"/>
      <c r="F3324" s="798"/>
      <c r="G3324" s="798"/>
      <c r="J3324" s="778" t="str">
        <f aca="false">IF(I3324="","",H3324/I3324)</f>
        <v/>
      </c>
      <c r="K3324" s="798"/>
      <c r="P3324" s="798"/>
      <c r="Q3324" s="798"/>
      <c r="R3324" s="811"/>
    </row>
    <row r="3325" customFormat="false" ht="16.5" hidden="false" customHeight="true" outlineLevel="0" collapsed="false">
      <c r="A3325" s="747"/>
      <c r="B3325" s="798"/>
      <c r="D3325" s="798"/>
      <c r="E3325" s="798"/>
      <c r="F3325" s="798"/>
      <c r="G3325" s="798"/>
      <c r="J3325" s="778" t="str">
        <f aca="false">IF(I3325="","",H3325/I3325)</f>
        <v/>
      </c>
      <c r="K3325" s="798"/>
      <c r="P3325" s="798"/>
      <c r="Q3325" s="798"/>
      <c r="R3325" s="811"/>
    </row>
    <row r="3326" customFormat="false" ht="16.5" hidden="false" customHeight="true" outlineLevel="0" collapsed="false">
      <c r="A3326" s="747"/>
      <c r="B3326" s="798"/>
      <c r="D3326" s="798"/>
      <c r="E3326" s="798"/>
      <c r="F3326" s="798"/>
      <c r="G3326" s="798"/>
      <c r="J3326" s="778" t="str">
        <f aca="false">IF(I3326="","",H3326/I3326)</f>
        <v/>
      </c>
      <c r="K3326" s="798"/>
      <c r="P3326" s="798"/>
      <c r="Q3326" s="798"/>
      <c r="R3326" s="811"/>
    </row>
    <row r="3327" customFormat="false" ht="16.5" hidden="false" customHeight="true" outlineLevel="0" collapsed="false">
      <c r="A3327" s="747"/>
      <c r="B3327" s="798"/>
      <c r="D3327" s="798"/>
      <c r="E3327" s="798"/>
      <c r="F3327" s="798"/>
      <c r="G3327" s="798"/>
      <c r="J3327" s="778" t="str">
        <f aca="false">IF(I3327="","",H3327/I3327)</f>
        <v/>
      </c>
      <c r="K3327" s="798"/>
      <c r="P3327" s="798"/>
      <c r="Q3327" s="798"/>
      <c r="R3327" s="811"/>
    </row>
    <row r="3328" customFormat="false" ht="16.5" hidden="false" customHeight="true" outlineLevel="0" collapsed="false">
      <c r="A3328" s="747"/>
      <c r="B3328" s="798"/>
      <c r="D3328" s="798"/>
      <c r="E3328" s="798"/>
      <c r="F3328" s="798"/>
      <c r="G3328" s="798"/>
      <c r="J3328" s="778" t="str">
        <f aca="false">IF(I3328="","",H3328/I3328)</f>
        <v/>
      </c>
      <c r="K3328" s="798"/>
      <c r="P3328" s="798"/>
      <c r="Q3328" s="798"/>
      <c r="R3328" s="811"/>
    </row>
    <row r="3329" customFormat="false" ht="16.5" hidden="false" customHeight="true" outlineLevel="0" collapsed="false">
      <c r="A3329" s="747"/>
      <c r="B3329" s="798"/>
      <c r="D3329" s="798"/>
      <c r="E3329" s="798"/>
      <c r="F3329" s="798"/>
      <c r="G3329" s="798"/>
      <c r="J3329" s="778" t="str">
        <f aca="false">IF(I3329="","",H3329/I3329)</f>
        <v/>
      </c>
      <c r="K3329" s="798"/>
      <c r="P3329" s="798"/>
      <c r="Q3329" s="798"/>
      <c r="R3329" s="811"/>
    </row>
    <row r="3330" customFormat="false" ht="16.5" hidden="false" customHeight="true" outlineLevel="0" collapsed="false">
      <c r="A3330" s="747"/>
      <c r="B3330" s="798"/>
      <c r="D3330" s="798"/>
      <c r="E3330" s="798"/>
      <c r="F3330" s="798"/>
      <c r="G3330" s="798"/>
      <c r="J3330" s="778" t="str">
        <f aca="false">IF(I3330="","",H3330/I3330)</f>
        <v/>
      </c>
      <c r="K3330" s="798"/>
      <c r="P3330" s="798"/>
      <c r="Q3330" s="798"/>
      <c r="R3330" s="811"/>
    </row>
    <row r="3331" customFormat="false" ht="16.5" hidden="false" customHeight="true" outlineLevel="0" collapsed="false">
      <c r="A3331" s="747"/>
      <c r="B3331" s="798"/>
      <c r="D3331" s="798"/>
      <c r="E3331" s="798"/>
      <c r="F3331" s="798"/>
      <c r="G3331" s="798"/>
      <c r="J3331" s="778" t="str">
        <f aca="false">IF(I3331="","",H3331/I3331)</f>
        <v/>
      </c>
      <c r="K3331" s="798"/>
      <c r="P3331" s="798"/>
      <c r="Q3331" s="798"/>
      <c r="R3331" s="811"/>
    </row>
    <row r="3332" customFormat="false" ht="16.5" hidden="false" customHeight="true" outlineLevel="0" collapsed="false">
      <c r="A3332" s="747"/>
      <c r="B3332" s="798"/>
      <c r="D3332" s="798"/>
      <c r="E3332" s="798"/>
      <c r="F3332" s="798"/>
      <c r="G3332" s="798"/>
      <c r="J3332" s="778" t="str">
        <f aca="false">IF(I3332="","",H3332/I3332)</f>
        <v/>
      </c>
      <c r="K3332" s="798"/>
      <c r="P3332" s="798"/>
      <c r="Q3332" s="798"/>
      <c r="R3332" s="811"/>
    </row>
    <row r="3333" customFormat="false" ht="16.5" hidden="false" customHeight="true" outlineLevel="0" collapsed="false">
      <c r="A3333" s="747"/>
      <c r="B3333" s="798"/>
      <c r="D3333" s="798"/>
      <c r="E3333" s="798"/>
      <c r="F3333" s="798"/>
      <c r="G3333" s="798"/>
      <c r="J3333" s="778" t="str">
        <f aca="false">IF(I3333="","",H3333/I3333)</f>
        <v/>
      </c>
      <c r="K3333" s="798"/>
      <c r="P3333" s="798"/>
      <c r="Q3333" s="798"/>
      <c r="R3333" s="811"/>
    </row>
    <row r="3334" customFormat="false" ht="16.5" hidden="false" customHeight="true" outlineLevel="0" collapsed="false">
      <c r="A3334" s="747"/>
      <c r="B3334" s="798"/>
      <c r="D3334" s="798"/>
      <c r="E3334" s="798"/>
      <c r="F3334" s="798"/>
      <c r="G3334" s="798"/>
      <c r="J3334" s="778" t="str">
        <f aca="false">IF(I3334="","",H3334/I3334)</f>
        <v/>
      </c>
      <c r="K3334" s="798"/>
      <c r="P3334" s="798"/>
      <c r="Q3334" s="798"/>
      <c r="R3334" s="811"/>
    </row>
    <row r="3335" customFormat="false" ht="16.5" hidden="false" customHeight="true" outlineLevel="0" collapsed="false">
      <c r="A3335" s="747"/>
      <c r="B3335" s="798"/>
      <c r="D3335" s="798"/>
      <c r="E3335" s="798"/>
      <c r="F3335" s="798"/>
      <c r="G3335" s="798"/>
      <c r="J3335" s="778" t="str">
        <f aca="false">IF(I3335="","",H3335/I3335)</f>
        <v/>
      </c>
      <c r="K3335" s="798"/>
      <c r="P3335" s="798"/>
      <c r="Q3335" s="798"/>
      <c r="R3335" s="811"/>
    </row>
    <row r="3336" customFormat="false" ht="16.5" hidden="false" customHeight="true" outlineLevel="0" collapsed="false">
      <c r="A3336" s="747"/>
      <c r="B3336" s="798"/>
      <c r="D3336" s="798"/>
      <c r="E3336" s="798"/>
      <c r="F3336" s="798"/>
      <c r="G3336" s="798"/>
      <c r="J3336" s="778" t="str">
        <f aca="false">IF(I3336="","",H3336/I3336)</f>
        <v/>
      </c>
      <c r="K3336" s="798"/>
      <c r="P3336" s="798"/>
      <c r="Q3336" s="798"/>
      <c r="R3336" s="811"/>
    </row>
    <row r="3337" customFormat="false" ht="16.5" hidden="false" customHeight="true" outlineLevel="0" collapsed="false">
      <c r="A3337" s="747"/>
      <c r="B3337" s="798"/>
      <c r="D3337" s="798"/>
      <c r="E3337" s="798"/>
      <c r="F3337" s="798"/>
      <c r="G3337" s="798"/>
      <c r="J3337" s="778" t="str">
        <f aca="false">IF(I3337="","",H3337/I3337)</f>
        <v/>
      </c>
      <c r="K3337" s="798"/>
      <c r="P3337" s="798"/>
      <c r="Q3337" s="798"/>
      <c r="R3337" s="811"/>
    </row>
    <row r="3338" customFormat="false" ht="16.5" hidden="false" customHeight="true" outlineLevel="0" collapsed="false">
      <c r="A3338" s="747"/>
      <c r="B3338" s="798"/>
      <c r="D3338" s="798"/>
      <c r="E3338" s="798"/>
      <c r="F3338" s="798"/>
      <c r="G3338" s="798"/>
      <c r="J3338" s="778" t="str">
        <f aca="false">IF(I3338="","",H3338/I3338)</f>
        <v/>
      </c>
      <c r="K3338" s="798"/>
      <c r="P3338" s="798"/>
      <c r="Q3338" s="798"/>
      <c r="R3338" s="811"/>
    </row>
    <row r="3339" customFormat="false" ht="16.5" hidden="false" customHeight="true" outlineLevel="0" collapsed="false">
      <c r="A3339" s="747"/>
      <c r="B3339" s="798"/>
      <c r="D3339" s="798"/>
      <c r="E3339" s="798"/>
      <c r="F3339" s="798"/>
      <c r="G3339" s="798"/>
      <c r="J3339" s="778" t="str">
        <f aca="false">IF(I3339="","",H3339/I3339)</f>
        <v/>
      </c>
      <c r="K3339" s="798"/>
      <c r="P3339" s="798"/>
      <c r="Q3339" s="798"/>
      <c r="R3339" s="811"/>
    </row>
    <row r="3340" customFormat="false" ht="16.5" hidden="false" customHeight="true" outlineLevel="0" collapsed="false">
      <c r="A3340" s="747"/>
      <c r="B3340" s="798"/>
      <c r="D3340" s="798"/>
      <c r="E3340" s="798"/>
      <c r="F3340" s="798"/>
      <c r="G3340" s="798"/>
      <c r="J3340" s="778" t="str">
        <f aca="false">IF(I3340="","",H3340/I3340)</f>
        <v/>
      </c>
      <c r="K3340" s="798"/>
      <c r="P3340" s="798"/>
      <c r="Q3340" s="798"/>
      <c r="R3340" s="811"/>
    </row>
    <row r="3341" customFormat="false" ht="16.5" hidden="false" customHeight="true" outlineLevel="0" collapsed="false">
      <c r="A3341" s="747"/>
      <c r="B3341" s="798"/>
      <c r="D3341" s="798"/>
      <c r="E3341" s="798"/>
      <c r="F3341" s="798"/>
      <c r="G3341" s="798"/>
      <c r="J3341" s="778" t="str">
        <f aca="false">IF(I3341="","",H3341/I3341)</f>
        <v/>
      </c>
      <c r="K3341" s="798"/>
      <c r="P3341" s="798"/>
      <c r="Q3341" s="798"/>
      <c r="R3341" s="811"/>
    </row>
    <row r="3342" customFormat="false" ht="16.5" hidden="false" customHeight="true" outlineLevel="0" collapsed="false">
      <c r="A3342" s="747"/>
      <c r="B3342" s="798"/>
      <c r="D3342" s="798"/>
      <c r="E3342" s="798"/>
      <c r="F3342" s="798"/>
      <c r="G3342" s="798"/>
      <c r="J3342" s="778" t="str">
        <f aca="false">IF(I3342="","",H3342/I3342)</f>
        <v/>
      </c>
      <c r="K3342" s="798"/>
      <c r="P3342" s="798"/>
      <c r="Q3342" s="798"/>
      <c r="R3342" s="811"/>
    </row>
    <row r="3343" customFormat="false" ht="16.5" hidden="false" customHeight="true" outlineLevel="0" collapsed="false">
      <c r="A3343" s="747"/>
      <c r="B3343" s="798"/>
      <c r="D3343" s="798"/>
      <c r="E3343" s="798"/>
      <c r="F3343" s="798"/>
      <c r="G3343" s="798"/>
      <c r="J3343" s="778" t="str">
        <f aca="false">IF(I3343="","",H3343/I3343)</f>
        <v/>
      </c>
      <c r="K3343" s="798"/>
      <c r="P3343" s="798"/>
      <c r="Q3343" s="798"/>
      <c r="R3343" s="811"/>
    </row>
    <row r="3344" customFormat="false" ht="16.5" hidden="false" customHeight="true" outlineLevel="0" collapsed="false">
      <c r="A3344" s="747"/>
      <c r="B3344" s="798"/>
      <c r="D3344" s="798"/>
      <c r="E3344" s="798"/>
      <c r="F3344" s="798"/>
      <c r="G3344" s="798"/>
      <c r="J3344" s="778" t="str">
        <f aca="false">IF(I3344="","",H3344/I3344)</f>
        <v/>
      </c>
      <c r="K3344" s="798"/>
      <c r="P3344" s="798"/>
      <c r="Q3344" s="798"/>
      <c r="R3344" s="811"/>
    </row>
    <row r="3345" customFormat="false" ht="16.5" hidden="false" customHeight="true" outlineLevel="0" collapsed="false">
      <c r="A3345" s="747"/>
      <c r="B3345" s="798"/>
      <c r="D3345" s="798"/>
      <c r="E3345" s="798"/>
      <c r="F3345" s="798"/>
      <c r="G3345" s="798"/>
      <c r="J3345" s="778" t="str">
        <f aca="false">IF(I3345="","",H3345/I3345)</f>
        <v/>
      </c>
      <c r="K3345" s="798"/>
      <c r="P3345" s="798"/>
      <c r="Q3345" s="798"/>
      <c r="R3345" s="811"/>
    </row>
    <row r="3346" customFormat="false" ht="16.5" hidden="false" customHeight="true" outlineLevel="0" collapsed="false">
      <c r="A3346" s="747"/>
      <c r="B3346" s="798"/>
      <c r="D3346" s="798"/>
      <c r="E3346" s="798"/>
      <c r="F3346" s="798"/>
      <c r="G3346" s="798"/>
      <c r="J3346" s="778" t="str">
        <f aca="false">IF(I3346="","",H3346/I3346)</f>
        <v/>
      </c>
      <c r="K3346" s="798"/>
      <c r="P3346" s="798"/>
      <c r="Q3346" s="798"/>
      <c r="R3346" s="811"/>
    </row>
    <row r="3347" customFormat="false" ht="16.5" hidden="false" customHeight="true" outlineLevel="0" collapsed="false">
      <c r="A3347" s="747"/>
      <c r="B3347" s="798"/>
      <c r="D3347" s="798"/>
      <c r="E3347" s="798"/>
      <c r="F3347" s="798"/>
      <c r="G3347" s="798"/>
      <c r="J3347" s="778" t="str">
        <f aca="false">IF(I3347="","",H3347/I3347)</f>
        <v/>
      </c>
      <c r="K3347" s="798"/>
      <c r="P3347" s="798"/>
      <c r="Q3347" s="798"/>
      <c r="R3347" s="811"/>
    </row>
    <row r="3348" customFormat="false" ht="16.5" hidden="false" customHeight="true" outlineLevel="0" collapsed="false">
      <c r="A3348" s="747"/>
      <c r="B3348" s="798"/>
      <c r="D3348" s="798"/>
      <c r="E3348" s="798"/>
      <c r="F3348" s="798"/>
      <c r="G3348" s="798"/>
      <c r="J3348" s="778" t="str">
        <f aca="false">IF(I3348="","",H3348/I3348)</f>
        <v/>
      </c>
      <c r="K3348" s="798"/>
      <c r="P3348" s="798"/>
      <c r="Q3348" s="798"/>
      <c r="R3348" s="811"/>
    </row>
    <row r="3349" customFormat="false" ht="16.5" hidden="false" customHeight="true" outlineLevel="0" collapsed="false">
      <c r="A3349" s="747"/>
      <c r="B3349" s="798"/>
      <c r="D3349" s="798"/>
      <c r="E3349" s="798"/>
      <c r="F3349" s="798"/>
      <c r="G3349" s="798"/>
      <c r="J3349" s="778" t="str">
        <f aca="false">IF(I3349="","",H3349/I3349)</f>
        <v/>
      </c>
      <c r="K3349" s="798"/>
      <c r="P3349" s="798"/>
      <c r="Q3349" s="798"/>
      <c r="R3349" s="811"/>
    </row>
    <row r="3350" customFormat="false" ht="16.5" hidden="false" customHeight="true" outlineLevel="0" collapsed="false">
      <c r="A3350" s="747"/>
      <c r="B3350" s="798"/>
      <c r="D3350" s="798"/>
      <c r="E3350" s="798"/>
      <c r="F3350" s="798"/>
      <c r="G3350" s="798"/>
      <c r="J3350" s="778" t="str">
        <f aca="false">IF(I3350="","",H3350/I3350)</f>
        <v/>
      </c>
      <c r="K3350" s="798"/>
      <c r="P3350" s="798"/>
      <c r="Q3350" s="798"/>
      <c r="R3350" s="811"/>
    </row>
    <row r="3351" customFormat="false" ht="16.5" hidden="false" customHeight="true" outlineLevel="0" collapsed="false">
      <c r="A3351" s="747"/>
      <c r="B3351" s="798"/>
      <c r="D3351" s="798"/>
      <c r="E3351" s="798"/>
      <c r="F3351" s="798"/>
      <c r="G3351" s="798"/>
      <c r="J3351" s="778" t="str">
        <f aca="false">IF(I3351="","",H3351/I3351)</f>
        <v/>
      </c>
      <c r="K3351" s="798"/>
      <c r="P3351" s="798"/>
      <c r="Q3351" s="798"/>
      <c r="R3351" s="811"/>
    </row>
    <row r="3352" customFormat="false" ht="16.5" hidden="false" customHeight="true" outlineLevel="0" collapsed="false">
      <c r="A3352" s="747"/>
      <c r="B3352" s="798"/>
      <c r="D3352" s="798"/>
      <c r="E3352" s="798"/>
      <c r="F3352" s="798"/>
      <c r="G3352" s="798"/>
      <c r="J3352" s="778" t="str">
        <f aca="false">IF(I3352="","",H3352/I3352)</f>
        <v/>
      </c>
      <c r="K3352" s="798"/>
      <c r="P3352" s="798"/>
      <c r="Q3352" s="798"/>
      <c r="R3352" s="811"/>
    </row>
    <row r="3353" customFormat="false" ht="16.5" hidden="false" customHeight="true" outlineLevel="0" collapsed="false">
      <c r="A3353" s="747"/>
      <c r="B3353" s="798"/>
      <c r="D3353" s="798"/>
      <c r="E3353" s="798"/>
      <c r="F3353" s="798"/>
      <c r="G3353" s="798"/>
      <c r="J3353" s="778" t="str">
        <f aca="false">IF(I3353="","",H3353/I3353)</f>
        <v/>
      </c>
      <c r="K3353" s="798"/>
      <c r="P3353" s="798"/>
      <c r="Q3353" s="798"/>
      <c r="R3353" s="811"/>
    </row>
    <row r="3354" customFormat="false" ht="16.5" hidden="false" customHeight="true" outlineLevel="0" collapsed="false">
      <c r="A3354" s="747"/>
      <c r="B3354" s="798"/>
      <c r="D3354" s="798"/>
      <c r="E3354" s="798"/>
      <c r="F3354" s="798"/>
      <c r="G3354" s="798"/>
      <c r="J3354" s="778" t="str">
        <f aca="false">IF(I3354="","",H3354/I3354)</f>
        <v/>
      </c>
      <c r="K3354" s="798"/>
      <c r="P3354" s="798"/>
      <c r="Q3354" s="798"/>
      <c r="R3354" s="811"/>
    </row>
    <row r="3355" customFormat="false" ht="16.5" hidden="false" customHeight="true" outlineLevel="0" collapsed="false">
      <c r="A3355" s="747"/>
      <c r="B3355" s="798"/>
      <c r="D3355" s="798"/>
      <c r="E3355" s="798"/>
      <c r="F3355" s="798"/>
      <c r="G3355" s="798"/>
      <c r="J3355" s="778" t="str">
        <f aca="false">IF(I3355="","",H3355/I3355)</f>
        <v/>
      </c>
      <c r="K3355" s="798"/>
      <c r="P3355" s="798"/>
      <c r="Q3355" s="798"/>
      <c r="R3355" s="811"/>
    </row>
    <row r="3356" customFormat="false" ht="16.5" hidden="false" customHeight="true" outlineLevel="0" collapsed="false">
      <c r="A3356" s="747"/>
      <c r="B3356" s="798"/>
      <c r="D3356" s="798"/>
      <c r="E3356" s="798"/>
      <c r="F3356" s="798"/>
      <c r="G3356" s="798"/>
      <c r="J3356" s="778" t="str">
        <f aca="false">IF(I3356="","",H3356/I3356)</f>
        <v/>
      </c>
      <c r="K3356" s="798"/>
      <c r="P3356" s="798"/>
      <c r="Q3356" s="798"/>
      <c r="R3356" s="811"/>
    </row>
    <row r="3357" customFormat="false" ht="16.5" hidden="false" customHeight="true" outlineLevel="0" collapsed="false">
      <c r="A3357" s="747"/>
      <c r="B3357" s="798"/>
      <c r="D3357" s="798"/>
      <c r="E3357" s="798"/>
      <c r="F3357" s="798"/>
      <c r="G3357" s="798"/>
      <c r="J3357" s="778" t="str">
        <f aca="false">IF(I3357="","",H3357/I3357)</f>
        <v/>
      </c>
      <c r="K3357" s="798"/>
      <c r="P3357" s="798"/>
      <c r="Q3357" s="798"/>
      <c r="R3357" s="811"/>
    </row>
    <row r="3358" customFormat="false" ht="16.5" hidden="false" customHeight="true" outlineLevel="0" collapsed="false">
      <c r="A3358" s="747"/>
      <c r="B3358" s="798"/>
      <c r="D3358" s="798"/>
      <c r="E3358" s="798"/>
      <c r="F3358" s="798"/>
      <c r="G3358" s="798"/>
      <c r="J3358" s="778" t="str">
        <f aca="false">IF(I3358="","",H3358/I3358)</f>
        <v/>
      </c>
      <c r="K3358" s="798"/>
      <c r="P3358" s="798"/>
      <c r="Q3358" s="798"/>
      <c r="R3358" s="811"/>
    </row>
    <row r="3359" customFormat="false" ht="16.5" hidden="false" customHeight="true" outlineLevel="0" collapsed="false">
      <c r="A3359" s="747"/>
      <c r="B3359" s="798"/>
      <c r="D3359" s="798"/>
      <c r="E3359" s="798"/>
      <c r="F3359" s="798"/>
      <c r="G3359" s="798"/>
      <c r="J3359" s="778" t="str">
        <f aca="false">IF(I3359="","",H3359/I3359)</f>
        <v/>
      </c>
      <c r="K3359" s="798"/>
      <c r="P3359" s="798"/>
      <c r="Q3359" s="798"/>
      <c r="R3359" s="811"/>
    </row>
    <row r="3360" customFormat="false" ht="16.5" hidden="false" customHeight="true" outlineLevel="0" collapsed="false">
      <c r="A3360" s="747"/>
      <c r="B3360" s="798"/>
      <c r="D3360" s="798"/>
      <c r="E3360" s="798"/>
      <c r="F3360" s="798"/>
      <c r="G3360" s="798"/>
      <c r="J3360" s="778" t="str">
        <f aca="false">IF(I3360="","",H3360/I3360)</f>
        <v/>
      </c>
      <c r="K3360" s="798"/>
      <c r="P3360" s="798"/>
      <c r="Q3360" s="798"/>
      <c r="R3360" s="811"/>
    </row>
    <row r="3361" customFormat="false" ht="16.5" hidden="false" customHeight="true" outlineLevel="0" collapsed="false">
      <c r="A3361" s="747"/>
      <c r="B3361" s="798"/>
      <c r="D3361" s="798"/>
      <c r="E3361" s="798"/>
      <c r="F3361" s="798"/>
      <c r="G3361" s="798"/>
      <c r="J3361" s="778" t="str">
        <f aca="false">IF(I3361="","",H3361/I3361)</f>
        <v/>
      </c>
      <c r="K3361" s="798"/>
      <c r="P3361" s="798"/>
      <c r="Q3361" s="798"/>
      <c r="R3361" s="811"/>
    </row>
    <row r="3362" customFormat="false" ht="16.5" hidden="false" customHeight="true" outlineLevel="0" collapsed="false">
      <c r="A3362" s="747"/>
      <c r="B3362" s="798"/>
      <c r="D3362" s="798"/>
      <c r="E3362" s="798"/>
      <c r="F3362" s="798"/>
      <c r="G3362" s="798"/>
      <c r="J3362" s="778" t="str">
        <f aca="false">IF(I3362="","",H3362/I3362)</f>
        <v/>
      </c>
      <c r="K3362" s="798"/>
      <c r="P3362" s="798"/>
      <c r="Q3362" s="798"/>
      <c r="R3362" s="811"/>
    </row>
    <row r="3363" customFormat="false" ht="16.5" hidden="false" customHeight="true" outlineLevel="0" collapsed="false">
      <c r="A3363" s="747"/>
      <c r="B3363" s="798"/>
      <c r="D3363" s="798"/>
      <c r="E3363" s="798"/>
      <c r="F3363" s="798"/>
      <c r="G3363" s="798"/>
      <c r="J3363" s="778" t="str">
        <f aca="false">IF(I3363="","",H3363/I3363)</f>
        <v/>
      </c>
      <c r="K3363" s="798"/>
      <c r="P3363" s="798"/>
      <c r="Q3363" s="798"/>
      <c r="R3363" s="811"/>
    </row>
    <row r="3364" customFormat="false" ht="16.5" hidden="false" customHeight="true" outlineLevel="0" collapsed="false">
      <c r="A3364" s="747"/>
      <c r="B3364" s="798"/>
      <c r="D3364" s="798"/>
      <c r="E3364" s="798"/>
      <c r="F3364" s="798"/>
      <c r="G3364" s="798"/>
      <c r="J3364" s="778" t="str">
        <f aca="false">IF(I3364="","",H3364/I3364)</f>
        <v/>
      </c>
      <c r="K3364" s="798"/>
      <c r="P3364" s="798"/>
      <c r="Q3364" s="798"/>
      <c r="R3364" s="811"/>
    </row>
    <row r="3365" customFormat="false" ht="16.5" hidden="false" customHeight="true" outlineLevel="0" collapsed="false">
      <c r="A3365" s="747"/>
      <c r="B3365" s="798"/>
      <c r="D3365" s="798"/>
      <c r="E3365" s="798"/>
      <c r="F3365" s="798"/>
      <c r="G3365" s="798"/>
      <c r="J3365" s="778" t="str">
        <f aca="false">IF(I3365="","",H3365/I3365)</f>
        <v/>
      </c>
      <c r="K3365" s="798"/>
      <c r="P3365" s="798"/>
      <c r="Q3365" s="798"/>
      <c r="R3365" s="811"/>
    </row>
    <row r="3366" customFormat="false" ht="16.5" hidden="false" customHeight="true" outlineLevel="0" collapsed="false">
      <c r="A3366" s="747"/>
      <c r="B3366" s="798"/>
      <c r="D3366" s="798"/>
      <c r="E3366" s="798"/>
      <c r="F3366" s="798"/>
      <c r="G3366" s="798"/>
      <c r="J3366" s="778" t="str">
        <f aca="false">IF(I3366="","",H3366/I3366)</f>
        <v/>
      </c>
      <c r="K3366" s="798"/>
      <c r="P3366" s="798"/>
      <c r="Q3366" s="798"/>
      <c r="R3366" s="811"/>
    </row>
    <row r="3367" customFormat="false" ht="16.5" hidden="false" customHeight="true" outlineLevel="0" collapsed="false">
      <c r="A3367" s="747"/>
      <c r="B3367" s="798"/>
      <c r="D3367" s="798"/>
      <c r="E3367" s="798"/>
      <c r="F3367" s="798"/>
      <c r="G3367" s="798"/>
      <c r="J3367" s="778" t="str">
        <f aca="false">IF(I3367="","",H3367/I3367)</f>
        <v/>
      </c>
      <c r="K3367" s="798"/>
      <c r="P3367" s="798"/>
      <c r="Q3367" s="798"/>
      <c r="R3367" s="811"/>
    </row>
    <row r="3368" customFormat="false" ht="16.5" hidden="false" customHeight="true" outlineLevel="0" collapsed="false">
      <c r="A3368" s="747"/>
      <c r="B3368" s="798"/>
      <c r="D3368" s="798"/>
      <c r="E3368" s="798"/>
      <c r="F3368" s="798"/>
      <c r="G3368" s="798"/>
      <c r="J3368" s="778" t="str">
        <f aca="false">IF(I3368="","",H3368/I3368)</f>
        <v/>
      </c>
      <c r="K3368" s="798"/>
      <c r="P3368" s="798"/>
      <c r="Q3368" s="798"/>
      <c r="R3368" s="811"/>
    </row>
    <row r="3369" customFormat="false" ht="16.5" hidden="false" customHeight="true" outlineLevel="0" collapsed="false">
      <c r="A3369" s="747"/>
      <c r="B3369" s="798"/>
      <c r="D3369" s="798"/>
      <c r="E3369" s="798"/>
      <c r="F3369" s="798"/>
      <c r="G3369" s="798"/>
      <c r="J3369" s="778" t="str">
        <f aca="false">IF(I3369="","",H3369/I3369)</f>
        <v/>
      </c>
      <c r="K3369" s="798"/>
      <c r="P3369" s="798"/>
      <c r="Q3369" s="798"/>
      <c r="R3369" s="811"/>
    </row>
    <row r="3370" customFormat="false" ht="16.5" hidden="false" customHeight="true" outlineLevel="0" collapsed="false">
      <c r="A3370" s="747"/>
      <c r="B3370" s="798"/>
      <c r="D3370" s="798"/>
      <c r="E3370" s="798"/>
      <c r="F3370" s="798"/>
      <c r="G3370" s="798"/>
      <c r="J3370" s="778" t="str">
        <f aca="false">IF(I3370="","",H3370/I3370)</f>
        <v/>
      </c>
      <c r="K3370" s="798"/>
      <c r="P3370" s="798"/>
      <c r="Q3370" s="798"/>
      <c r="R3370" s="811"/>
    </row>
    <row r="3371" customFormat="false" ht="16.5" hidden="false" customHeight="true" outlineLevel="0" collapsed="false">
      <c r="A3371" s="747"/>
      <c r="B3371" s="798"/>
      <c r="D3371" s="798"/>
      <c r="E3371" s="798"/>
      <c r="F3371" s="798"/>
      <c r="G3371" s="798"/>
      <c r="J3371" s="778" t="str">
        <f aca="false">IF(I3371="","",H3371/I3371)</f>
        <v/>
      </c>
      <c r="K3371" s="798"/>
      <c r="P3371" s="798"/>
      <c r="Q3371" s="798"/>
      <c r="R3371" s="811"/>
    </row>
    <row r="3372" customFormat="false" ht="16.5" hidden="false" customHeight="true" outlineLevel="0" collapsed="false">
      <c r="A3372" s="747"/>
      <c r="B3372" s="798"/>
      <c r="D3372" s="798"/>
      <c r="E3372" s="798"/>
      <c r="F3372" s="798"/>
      <c r="G3372" s="798"/>
      <c r="J3372" s="778" t="str">
        <f aca="false">IF(I3372="","",H3372/I3372)</f>
        <v/>
      </c>
      <c r="K3372" s="798"/>
      <c r="P3372" s="798"/>
      <c r="Q3372" s="798"/>
      <c r="R3372" s="811"/>
    </row>
    <row r="3373" customFormat="false" ht="16.5" hidden="false" customHeight="true" outlineLevel="0" collapsed="false">
      <c r="A3373" s="747"/>
      <c r="B3373" s="798"/>
      <c r="D3373" s="798"/>
      <c r="E3373" s="798"/>
      <c r="F3373" s="798"/>
      <c r="G3373" s="798"/>
      <c r="J3373" s="778" t="str">
        <f aca="false">IF(I3373="","",H3373/I3373)</f>
        <v/>
      </c>
      <c r="K3373" s="798"/>
      <c r="P3373" s="798"/>
      <c r="Q3373" s="798"/>
      <c r="R3373" s="811"/>
    </row>
    <row r="3374" customFormat="false" ht="16.5" hidden="false" customHeight="true" outlineLevel="0" collapsed="false">
      <c r="A3374" s="747"/>
      <c r="B3374" s="798"/>
      <c r="D3374" s="798"/>
      <c r="E3374" s="798"/>
      <c r="F3374" s="798"/>
      <c r="G3374" s="798"/>
      <c r="J3374" s="778" t="str">
        <f aca="false">IF(I3374="","",H3374/I3374)</f>
        <v/>
      </c>
      <c r="K3374" s="798"/>
      <c r="P3374" s="798"/>
      <c r="Q3374" s="798"/>
      <c r="R3374" s="811"/>
    </row>
    <row r="3375" customFormat="false" ht="16.5" hidden="false" customHeight="true" outlineLevel="0" collapsed="false">
      <c r="A3375" s="747"/>
      <c r="B3375" s="798"/>
      <c r="D3375" s="798"/>
      <c r="E3375" s="798"/>
      <c r="F3375" s="798"/>
      <c r="G3375" s="798"/>
      <c r="J3375" s="778" t="str">
        <f aca="false">IF(I3375="","",H3375/I3375)</f>
        <v/>
      </c>
      <c r="K3375" s="798"/>
      <c r="P3375" s="798"/>
      <c r="Q3375" s="798"/>
      <c r="R3375" s="811"/>
    </row>
    <row r="3376" customFormat="false" ht="16.5" hidden="false" customHeight="true" outlineLevel="0" collapsed="false">
      <c r="A3376" s="747"/>
      <c r="B3376" s="798"/>
      <c r="D3376" s="798"/>
      <c r="E3376" s="798"/>
      <c r="F3376" s="798"/>
      <c r="G3376" s="798"/>
      <c r="J3376" s="778" t="str">
        <f aca="false">IF(I3376="","",H3376/I3376)</f>
        <v/>
      </c>
      <c r="K3376" s="798"/>
      <c r="P3376" s="798"/>
      <c r="Q3376" s="798"/>
      <c r="R3376" s="811"/>
    </row>
    <row r="3377" customFormat="false" ht="16.5" hidden="false" customHeight="true" outlineLevel="0" collapsed="false">
      <c r="A3377" s="747"/>
      <c r="B3377" s="798"/>
      <c r="D3377" s="798"/>
      <c r="E3377" s="798"/>
      <c r="F3377" s="798"/>
      <c r="G3377" s="798"/>
      <c r="J3377" s="778" t="str">
        <f aca="false">IF(I3377="","",H3377/I3377)</f>
        <v/>
      </c>
      <c r="K3377" s="798"/>
      <c r="P3377" s="798"/>
      <c r="Q3377" s="798"/>
      <c r="R3377" s="811"/>
    </row>
    <row r="3378" customFormat="false" ht="16.5" hidden="false" customHeight="true" outlineLevel="0" collapsed="false">
      <c r="A3378" s="747"/>
      <c r="B3378" s="798"/>
      <c r="D3378" s="798"/>
      <c r="E3378" s="798"/>
      <c r="F3378" s="798"/>
      <c r="G3378" s="798"/>
      <c r="J3378" s="778" t="str">
        <f aca="false">IF(I3378="","",H3378/I3378)</f>
        <v/>
      </c>
      <c r="K3378" s="798"/>
      <c r="P3378" s="798"/>
      <c r="Q3378" s="798"/>
      <c r="R3378" s="811"/>
    </row>
    <row r="3379" customFormat="false" ht="16.5" hidden="false" customHeight="true" outlineLevel="0" collapsed="false">
      <c r="A3379" s="747"/>
      <c r="B3379" s="798"/>
      <c r="D3379" s="798"/>
      <c r="E3379" s="798"/>
      <c r="F3379" s="798"/>
      <c r="G3379" s="798"/>
      <c r="J3379" s="778" t="str">
        <f aca="false">IF(I3379="","",H3379/I3379)</f>
        <v/>
      </c>
      <c r="K3379" s="798"/>
      <c r="P3379" s="798"/>
      <c r="Q3379" s="798"/>
      <c r="R3379" s="811"/>
    </row>
    <row r="3380" customFormat="false" ht="16.5" hidden="false" customHeight="true" outlineLevel="0" collapsed="false">
      <c r="A3380" s="747"/>
      <c r="B3380" s="798"/>
      <c r="D3380" s="798"/>
      <c r="E3380" s="798"/>
      <c r="F3380" s="798"/>
      <c r="G3380" s="798"/>
      <c r="J3380" s="778" t="str">
        <f aca="false">IF(I3380="","",H3380/I3380)</f>
        <v/>
      </c>
      <c r="K3380" s="798"/>
      <c r="P3380" s="798"/>
      <c r="Q3380" s="798"/>
      <c r="R3380" s="811"/>
    </row>
    <row r="3381" customFormat="false" ht="16.5" hidden="false" customHeight="true" outlineLevel="0" collapsed="false">
      <c r="A3381" s="747"/>
      <c r="B3381" s="798"/>
      <c r="D3381" s="798"/>
      <c r="E3381" s="798"/>
      <c r="F3381" s="798"/>
      <c r="G3381" s="798"/>
      <c r="J3381" s="778" t="str">
        <f aca="false">IF(I3381="","",H3381/I3381)</f>
        <v/>
      </c>
      <c r="K3381" s="798"/>
      <c r="P3381" s="798"/>
      <c r="Q3381" s="798"/>
      <c r="R3381" s="811"/>
    </row>
    <row r="3382" customFormat="false" ht="16.5" hidden="false" customHeight="true" outlineLevel="0" collapsed="false">
      <c r="A3382" s="747"/>
      <c r="B3382" s="798"/>
      <c r="D3382" s="798"/>
      <c r="E3382" s="798"/>
      <c r="F3382" s="798"/>
      <c r="G3382" s="798"/>
      <c r="J3382" s="778" t="str">
        <f aca="false">IF(I3382="","",H3382/I3382)</f>
        <v/>
      </c>
      <c r="K3382" s="798"/>
      <c r="P3382" s="798"/>
      <c r="Q3382" s="798"/>
      <c r="R3382" s="811"/>
    </row>
    <row r="3383" customFormat="false" ht="16.5" hidden="false" customHeight="true" outlineLevel="0" collapsed="false">
      <c r="A3383" s="747"/>
      <c r="B3383" s="798"/>
      <c r="D3383" s="798"/>
      <c r="E3383" s="798"/>
      <c r="F3383" s="798"/>
      <c r="G3383" s="798"/>
      <c r="J3383" s="778" t="str">
        <f aca="false">IF(I3383="","",H3383/I3383)</f>
        <v/>
      </c>
      <c r="K3383" s="798"/>
      <c r="P3383" s="798"/>
      <c r="Q3383" s="798"/>
      <c r="R3383" s="811"/>
    </row>
    <row r="3384" customFormat="false" ht="16.5" hidden="false" customHeight="true" outlineLevel="0" collapsed="false">
      <c r="A3384" s="747"/>
      <c r="B3384" s="798"/>
      <c r="D3384" s="798"/>
      <c r="E3384" s="798"/>
      <c r="F3384" s="798"/>
      <c r="G3384" s="798"/>
      <c r="J3384" s="778" t="str">
        <f aca="false">IF(I3384="","",H3384/I3384)</f>
        <v/>
      </c>
      <c r="K3384" s="798"/>
      <c r="P3384" s="798"/>
      <c r="Q3384" s="798"/>
      <c r="R3384" s="811"/>
    </row>
    <row r="3385" customFormat="false" ht="16.5" hidden="false" customHeight="true" outlineLevel="0" collapsed="false">
      <c r="A3385" s="747"/>
      <c r="B3385" s="798"/>
      <c r="D3385" s="798"/>
      <c r="E3385" s="798"/>
      <c r="F3385" s="798"/>
      <c r="G3385" s="798"/>
      <c r="J3385" s="778" t="str">
        <f aca="false">IF(I3385="","",H3385/I3385)</f>
        <v/>
      </c>
      <c r="K3385" s="798"/>
      <c r="P3385" s="798"/>
      <c r="Q3385" s="798"/>
      <c r="R3385" s="811"/>
    </row>
    <row r="3386" customFormat="false" ht="16.5" hidden="false" customHeight="true" outlineLevel="0" collapsed="false">
      <c r="A3386" s="747"/>
      <c r="B3386" s="798"/>
      <c r="D3386" s="798"/>
      <c r="E3386" s="798"/>
      <c r="F3386" s="798"/>
      <c r="G3386" s="798"/>
      <c r="J3386" s="778" t="str">
        <f aca="false">IF(I3386="","",H3386/I3386)</f>
        <v/>
      </c>
      <c r="K3386" s="798"/>
      <c r="P3386" s="798"/>
      <c r="Q3386" s="798"/>
      <c r="R3386" s="811"/>
    </row>
    <row r="3387" customFormat="false" ht="16.5" hidden="false" customHeight="true" outlineLevel="0" collapsed="false">
      <c r="A3387" s="747"/>
      <c r="B3387" s="798"/>
      <c r="D3387" s="798"/>
      <c r="E3387" s="798"/>
      <c r="F3387" s="798"/>
      <c r="G3387" s="798"/>
      <c r="J3387" s="778" t="str">
        <f aca="false">IF(I3387="","",H3387/I3387)</f>
        <v/>
      </c>
      <c r="K3387" s="798"/>
      <c r="P3387" s="798"/>
      <c r="Q3387" s="798"/>
      <c r="R3387" s="811"/>
    </row>
    <row r="3388" customFormat="false" ht="16.5" hidden="false" customHeight="true" outlineLevel="0" collapsed="false">
      <c r="A3388" s="747"/>
      <c r="B3388" s="798"/>
      <c r="D3388" s="798"/>
      <c r="E3388" s="798"/>
      <c r="F3388" s="798"/>
      <c r="G3388" s="798"/>
      <c r="J3388" s="778" t="str">
        <f aca="false">IF(I3388="","",H3388/I3388)</f>
        <v/>
      </c>
      <c r="K3388" s="798"/>
      <c r="P3388" s="798"/>
      <c r="Q3388" s="798"/>
      <c r="R3388" s="811"/>
    </row>
    <row r="3389" customFormat="false" ht="16.5" hidden="false" customHeight="true" outlineLevel="0" collapsed="false">
      <c r="A3389" s="747"/>
      <c r="B3389" s="798"/>
      <c r="D3389" s="798"/>
      <c r="E3389" s="798"/>
      <c r="F3389" s="798"/>
      <c r="G3389" s="798"/>
      <c r="J3389" s="778" t="str">
        <f aca="false">IF(I3389="","",H3389/I3389)</f>
        <v/>
      </c>
      <c r="K3389" s="798"/>
      <c r="P3389" s="798"/>
      <c r="Q3389" s="798"/>
      <c r="R3389" s="811"/>
    </row>
    <row r="3390" customFormat="false" ht="16.5" hidden="false" customHeight="true" outlineLevel="0" collapsed="false">
      <c r="A3390" s="747"/>
      <c r="B3390" s="798"/>
      <c r="D3390" s="798"/>
      <c r="E3390" s="798"/>
      <c r="F3390" s="798"/>
      <c r="G3390" s="798"/>
      <c r="J3390" s="778" t="str">
        <f aca="false">IF(I3390="","",H3390/I3390)</f>
        <v/>
      </c>
      <c r="K3390" s="798"/>
      <c r="P3390" s="798"/>
      <c r="Q3390" s="798"/>
      <c r="R3390" s="811"/>
    </row>
    <row r="3391" customFormat="false" ht="16.5" hidden="false" customHeight="true" outlineLevel="0" collapsed="false">
      <c r="A3391" s="747"/>
      <c r="B3391" s="798"/>
      <c r="D3391" s="798"/>
      <c r="E3391" s="798"/>
      <c r="F3391" s="798"/>
      <c r="G3391" s="798"/>
      <c r="J3391" s="778" t="str">
        <f aca="false">IF(I3391="","",H3391/I3391)</f>
        <v/>
      </c>
      <c r="K3391" s="798"/>
      <c r="P3391" s="798"/>
      <c r="Q3391" s="798"/>
      <c r="R3391" s="811"/>
    </row>
    <row r="3392" customFormat="false" ht="16.5" hidden="false" customHeight="true" outlineLevel="0" collapsed="false">
      <c r="A3392" s="747"/>
      <c r="B3392" s="798"/>
      <c r="D3392" s="798"/>
      <c r="E3392" s="798"/>
      <c r="F3392" s="798"/>
      <c r="G3392" s="798"/>
      <c r="J3392" s="778" t="str">
        <f aca="false">IF(I3392="","",H3392/I3392)</f>
        <v/>
      </c>
      <c r="K3392" s="798"/>
      <c r="P3392" s="798"/>
      <c r="Q3392" s="798"/>
      <c r="R3392" s="811"/>
    </row>
    <row r="3393" customFormat="false" ht="16.5" hidden="false" customHeight="true" outlineLevel="0" collapsed="false">
      <c r="A3393" s="747"/>
      <c r="B3393" s="798"/>
      <c r="D3393" s="798"/>
      <c r="E3393" s="798"/>
      <c r="F3393" s="798"/>
      <c r="G3393" s="798"/>
      <c r="J3393" s="778" t="str">
        <f aca="false">IF(I3393="","",H3393/I3393)</f>
        <v/>
      </c>
      <c r="K3393" s="798"/>
      <c r="P3393" s="798"/>
      <c r="Q3393" s="798"/>
      <c r="R3393" s="811"/>
    </row>
    <row r="3394" customFormat="false" ht="16.5" hidden="false" customHeight="true" outlineLevel="0" collapsed="false">
      <c r="A3394" s="747"/>
      <c r="B3394" s="798"/>
      <c r="D3394" s="798"/>
      <c r="E3394" s="798"/>
      <c r="F3394" s="798"/>
      <c r="G3394" s="798"/>
      <c r="J3394" s="778" t="str">
        <f aca="false">IF(I3394="","",H3394/I3394)</f>
        <v/>
      </c>
      <c r="K3394" s="798"/>
      <c r="P3394" s="798"/>
      <c r="Q3394" s="798"/>
      <c r="R3394" s="811"/>
    </row>
    <row r="3395" customFormat="false" ht="16.5" hidden="false" customHeight="true" outlineLevel="0" collapsed="false">
      <c r="A3395" s="747"/>
      <c r="B3395" s="798"/>
      <c r="D3395" s="798"/>
      <c r="E3395" s="798"/>
      <c r="F3395" s="798"/>
      <c r="G3395" s="798"/>
      <c r="J3395" s="778" t="str">
        <f aca="false">IF(I3395="","",H3395/I3395)</f>
        <v/>
      </c>
      <c r="K3395" s="798"/>
      <c r="P3395" s="798"/>
      <c r="Q3395" s="798"/>
      <c r="R3395" s="811"/>
    </row>
    <row r="3396" customFormat="false" ht="16.5" hidden="false" customHeight="true" outlineLevel="0" collapsed="false">
      <c r="A3396" s="747"/>
      <c r="B3396" s="798"/>
      <c r="D3396" s="798"/>
      <c r="E3396" s="798"/>
      <c r="F3396" s="798"/>
      <c r="G3396" s="798"/>
      <c r="J3396" s="778" t="str">
        <f aca="false">IF(I3396="","",H3396/I3396)</f>
        <v/>
      </c>
      <c r="K3396" s="798"/>
      <c r="P3396" s="798"/>
      <c r="Q3396" s="798"/>
      <c r="R3396" s="811"/>
    </row>
    <row r="3397" customFormat="false" ht="16.5" hidden="false" customHeight="true" outlineLevel="0" collapsed="false">
      <c r="A3397" s="747"/>
      <c r="B3397" s="798"/>
      <c r="D3397" s="798"/>
      <c r="E3397" s="798"/>
      <c r="F3397" s="798"/>
      <c r="G3397" s="798"/>
      <c r="J3397" s="778" t="str">
        <f aca="false">IF(I3397="","",H3397/I3397)</f>
        <v/>
      </c>
      <c r="K3397" s="798"/>
      <c r="P3397" s="798"/>
      <c r="Q3397" s="798"/>
      <c r="R3397" s="811"/>
    </row>
    <row r="3398" customFormat="false" ht="16.5" hidden="false" customHeight="true" outlineLevel="0" collapsed="false">
      <c r="A3398" s="747"/>
      <c r="B3398" s="798"/>
      <c r="D3398" s="798"/>
      <c r="E3398" s="798"/>
      <c r="F3398" s="798"/>
      <c r="G3398" s="798"/>
      <c r="J3398" s="778" t="str">
        <f aca="false">IF(I3398="","",H3398/I3398)</f>
        <v/>
      </c>
      <c r="K3398" s="798"/>
      <c r="P3398" s="798"/>
      <c r="Q3398" s="798"/>
      <c r="R3398" s="811"/>
    </row>
    <row r="3399" customFormat="false" ht="16.5" hidden="false" customHeight="true" outlineLevel="0" collapsed="false">
      <c r="A3399" s="747"/>
      <c r="B3399" s="798"/>
      <c r="D3399" s="798"/>
      <c r="E3399" s="798"/>
      <c r="F3399" s="798"/>
      <c r="G3399" s="798"/>
      <c r="J3399" s="778" t="str">
        <f aca="false">IF(I3399="","",H3399/I3399)</f>
        <v/>
      </c>
      <c r="K3399" s="798"/>
      <c r="P3399" s="798"/>
      <c r="Q3399" s="798"/>
      <c r="R3399" s="811"/>
    </row>
    <row r="3400" customFormat="false" ht="16.5" hidden="false" customHeight="true" outlineLevel="0" collapsed="false">
      <c r="A3400" s="747"/>
      <c r="B3400" s="798"/>
      <c r="D3400" s="798"/>
      <c r="E3400" s="798"/>
      <c r="F3400" s="798"/>
      <c r="G3400" s="798"/>
      <c r="J3400" s="778" t="str">
        <f aca="false">IF(I3400="","",H3400/I3400)</f>
        <v/>
      </c>
      <c r="K3400" s="798"/>
      <c r="P3400" s="798"/>
      <c r="Q3400" s="798"/>
      <c r="R3400" s="811"/>
    </row>
    <row r="3401" customFormat="false" ht="16.5" hidden="false" customHeight="true" outlineLevel="0" collapsed="false">
      <c r="A3401" s="747"/>
      <c r="B3401" s="798"/>
      <c r="D3401" s="798"/>
      <c r="E3401" s="798"/>
      <c r="F3401" s="798"/>
      <c r="G3401" s="798"/>
      <c r="J3401" s="778" t="str">
        <f aca="false">IF(I3401="","",H3401/I3401)</f>
        <v/>
      </c>
      <c r="K3401" s="798"/>
      <c r="P3401" s="798"/>
      <c r="Q3401" s="798"/>
      <c r="R3401" s="811"/>
    </row>
    <row r="3402" customFormat="false" ht="16.5" hidden="false" customHeight="true" outlineLevel="0" collapsed="false">
      <c r="A3402" s="747"/>
      <c r="B3402" s="798"/>
      <c r="D3402" s="798"/>
      <c r="E3402" s="798"/>
      <c r="F3402" s="798"/>
      <c r="G3402" s="798"/>
      <c r="J3402" s="778" t="str">
        <f aca="false">IF(I3402="","",H3402/I3402)</f>
        <v/>
      </c>
      <c r="K3402" s="798"/>
      <c r="P3402" s="798"/>
      <c r="Q3402" s="798"/>
      <c r="R3402" s="811"/>
    </row>
    <row r="3403" customFormat="false" ht="16.5" hidden="false" customHeight="true" outlineLevel="0" collapsed="false">
      <c r="A3403" s="747"/>
      <c r="B3403" s="798"/>
      <c r="D3403" s="798"/>
      <c r="E3403" s="798"/>
      <c r="F3403" s="798"/>
      <c r="G3403" s="798"/>
      <c r="J3403" s="778" t="str">
        <f aca="false">IF(I3403="","",H3403/I3403)</f>
        <v/>
      </c>
      <c r="K3403" s="798"/>
      <c r="P3403" s="798"/>
      <c r="Q3403" s="798"/>
      <c r="R3403" s="811"/>
    </row>
    <row r="3404" customFormat="false" ht="16.5" hidden="false" customHeight="true" outlineLevel="0" collapsed="false">
      <c r="A3404" s="747"/>
      <c r="B3404" s="798"/>
      <c r="D3404" s="798"/>
      <c r="E3404" s="798"/>
      <c r="F3404" s="798"/>
      <c r="G3404" s="798"/>
      <c r="J3404" s="778" t="str">
        <f aca="false">IF(I3404="","",H3404/I3404)</f>
        <v/>
      </c>
      <c r="K3404" s="798"/>
      <c r="P3404" s="798"/>
      <c r="Q3404" s="798"/>
      <c r="R3404" s="811"/>
    </row>
    <row r="3405" customFormat="false" ht="16.5" hidden="false" customHeight="true" outlineLevel="0" collapsed="false">
      <c r="A3405" s="747"/>
      <c r="B3405" s="798"/>
      <c r="D3405" s="798"/>
      <c r="E3405" s="798"/>
      <c r="F3405" s="798"/>
      <c r="G3405" s="798"/>
      <c r="J3405" s="778" t="str">
        <f aca="false">IF(I3405="","",H3405/I3405)</f>
        <v/>
      </c>
      <c r="K3405" s="798"/>
      <c r="P3405" s="798"/>
      <c r="Q3405" s="798"/>
      <c r="R3405" s="811"/>
    </row>
    <row r="3406" customFormat="false" ht="16.5" hidden="false" customHeight="true" outlineLevel="0" collapsed="false">
      <c r="A3406" s="747"/>
      <c r="B3406" s="798"/>
      <c r="D3406" s="798"/>
      <c r="E3406" s="798"/>
      <c r="F3406" s="798"/>
      <c r="G3406" s="798"/>
      <c r="J3406" s="778" t="str">
        <f aca="false">IF(I3406="","",H3406/I3406)</f>
        <v/>
      </c>
      <c r="K3406" s="798"/>
      <c r="P3406" s="798"/>
      <c r="Q3406" s="798"/>
      <c r="R3406" s="811"/>
    </row>
    <row r="3407" customFormat="false" ht="16.5" hidden="false" customHeight="true" outlineLevel="0" collapsed="false">
      <c r="A3407" s="747"/>
      <c r="B3407" s="798"/>
      <c r="D3407" s="798"/>
      <c r="E3407" s="798"/>
      <c r="F3407" s="798"/>
      <c r="G3407" s="798"/>
      <c r="J3407" s="778" t="str">
        <f aca="false">IF(I3407="","",H3407/I3407)</f>
        <v/>
      </c>
      <c r="K3407" s="798"/>
      <c r="P3407" s="798"/>
      <c r="Q3407" s="798"/>
      <c r="R3407" s="811"/>
    </row>
    <row r="3408" customFormat="false" ht="16.5" hidden="false" customHeight="true" outlineLevel="0" collapsed="false">
      <c r="A3408" s="747"/>
      <c r="B3408" s="798"/>
      <c r="D3408" s="798"/>
      <c r="E3408" s="798"/>
      <c r="F3408" s="798"/>
      <c r="G3408" s="798"/>
      <c r="J3408" s="778" t="str">
        <f aca="false">IF(I3408="","",H3408/I3408)</f>
        <v/>
      </c>
      <c r="K3408" s="798"/>
      <c r="P3408" s="798"/>
      <c r="Q3408" s="798"/>
      <c r="R3408" s="811"/>
    </row>
    <row r="3409" customFormat="false" ht="16.5" hidden="false" customHeight="true" outlineLevel="0" collapsed="false">
      <c r="A3409" s="747"/>
      <c r="B3409" s="798"/>
      <c r="D3409" s="798"/>
      <c r="E3409" s="798"/>
      <c r="F3409" s="798"/>
      <c r="G3409" s="798"/>
      <c r="J3409" s="778" t="str">
        <f aca="false">IF(I3409="","",H3409/I3409)</f>
        <v/>
      </c>
      <c r="K3409" s="798"/>
      <c r="P3409" s="798"/>
      <c r="Q3409" s="798"/>
      <c r="R3409" s="811"/>
    </row>
    <row r="3410" customFormat="false" ht="16.5" hidden="false" customHeight="true" outlineLevel="0" collapsed="false">
      <c r="A3410" s="747"/>
      <c r="B3410" s="798"/>
      <c r="D3410" s="798"/>
      <c r="E3410" s="798"/>
      <c r="F3410" s="798"/>
      <c r="G3410" s="798"/>
      <c r="J3410" s="778" t="str">
        <f aca="false">IF(I3410="","",H3410/I3410)</f>
        <v/>
      </c>
      <c r="K3410" s="798"/>
      <c r="P3410" s="798"/>
      <c r="Q3410" s="798"/>
      <c r="R3410" s="811"/>
    </row>
    <row r="3411" customFormat="false" ht="16.5" hidden="false" customHeight="true" outlineLevel="0" collapsed="false">
      <c r="A3411" s="747"/>
      <c r="B3411" s="798"/>
      <c r="D3411" s="798"/>
      <c r="E3411" s="798"/>
      <c r="F3411" s="798"/>
      <c r="G3411" s="798"/>
      <c r="J3411" s="778" t="str">
        <f aca="false">IF(I3411="","",H3411/I3411)</f>
        <v/>
      </c>
      <c r="K3411" s="798"/>
      <c r="P3411" s="798"/>
      <c r="Q3411" s="798"/>
      <c r="R3411" s="811"/>
    </row>
    <row r="3412" customFormat="false" ht="16.5" hidden="false" customHeight="true" outlineLevel="0" collapsed="false">
      <c r="A3412" s="747"/>
      <c r="B3412" s="798"/>
      <c r="D3412" s="798"/>
      <c r="E3412" s="798"/>
      <c r="F3412" s="798"/>
      <c r="G3412" s="798"/>
      <c r="J3412" s="778" t="str">
        <f aca="false">IF(I3412="","",H3412/I3412)</f>
        <v/>
      </c>
      <c r="K3412" s="798"/>
      <c r="P3412" s="798"/>
      <c r="Q3412" s="798"/>
      <c r="R3412" s="811"/>
    </row>
    <row r="3413" customFormat="false" ht="16.5" hidden="false" customHeight="true" outlineLevel="0" collapsed="false">
      <c r="A3413" s="747"/>
      <c r="B3413" s="798"/>
      <c r="D3413" s="798"/>
      <c r="E3413" s="798"/>
      <c r="F3413" s="798"/>
      <c r="G3413" s="798"/>
      <c r="J3413" s="778" t="str">
        <f aca="false">IF(I3413="","",H3413/I3413)</f>
        <v/>
      </c>
      <c r="K3413" s="798"/>
      <c r="P3413" s="798"/>
      <c r="Q3413" s="798"/>
      <c r="R3413" s="811"/>
    </row>
    <row r="3414" customFormat="false" ht="16.5" hidden="false" customHeight="true" outlineLevel="0" collapsed="false">
      <c r="A3414" s="747"/>
      <c r="B3414" s="798"/>
      <c r="D3414" s="798"/>
      <c r="E3414" s="798"/>
      <c r="F3414" s="798"/>
      <c r="G3414" s="798"/>
      <c r="J3414" s="778" t="str">
        <f aca="false">IF(I3414="","",H3414/I3414)</f>
        <v/>
      </c>
      <c r="K3414" s="798"/>
      <c r="P3414" s="798"/>
      <c r="Q3414" s="798"/>
      <c r="R3414" s="811"/>
    </row>
    <row r="3415" customFormat="false" ht="16.5" hidden="false" customHeight="true" outlineLevel="0" collapsed="false">
      <c r="A3415" s="747"/>
      <c r="B3415" s="798"/>
      <c r="D3415" s="798"/>
      <c r="E3415" s="798"/>
      <c r="F3415" s="798"/>
      <c r="G3415" s="798"/>
      <c r="J3415" s="778" t="str">
        <f aca="false">IF(I3415="","",H3415/I3415)</f>
        <v/>
      </c>
      <c r="K3415" s="798"/>
      <c r="P3415" s="798"/>
      <c r="Q3415" s="798"/>
      <c r="R3415" s="811"/>
    </row>
    <row r="3416" customFormat="false" ht="16.5" hidden="false" customHeight="true" outlineLevel="0" collapsed="false">
      <c r="A3416" s="747"/>
      <c r="B3416" s="798"/>
      <c r="D3416" s="798"/>
      <c r="E3416" s="798"/>
      <c r="F3416" s="798"/>
      <c r="G3416" s="798"/>
      <c r="J3416" s="778" t="str">
        <f aca="false">IF(I3416="","",H3416/I3416)</f>
        <v/>
      </c>
      <c r="K3416" s="798"/>
      <c r="P3416" s="798"/>
      <c r="Q3416" s="798"/>
      <c r="R3416" s="811"/>
    </row>
    <row r="3417" customFormat="false" ht="16.5" hidden="false" customHeight="true" outlineLevel="0" collapsed="false">
      <c r="A3417" s="747"/>
      <c r="B3417" s="798"/>
      <c r="D3417" s="798"/>
      <c r="E3417" s="798"/>
      <c r="F3417" s="798"/>
      <c r="G3417" s="798"/>
      <c r="J3417" s="778" t="str">
        <f aca="false">IF(I3417="","",H3417/I3417)</f>
        <v/>
      </c>
      <c r="K3417" s="798"/>
      <c r="P3417" s="798"/>
      <c r="Q3417" s="798"/>
      <c r="R3417" s="811"/>
    </row>
    <row r="3418" customFormat="false" ht="16.5" hidden="false" customHeight="true" outlineLevel="0" collapsed="false">
      <c r="A3418" s="747"/>
      <c r="B3418" s="798"/>
      <c r="D3418" s="798"/>
      <c r="E3418" s="798"/>
      <c r="F3418" s="798"/>
      <c r="G3418" s="798"/>
      <c r="J3418" s="778" t="str">
        <f aca="false">IF(I3418="","",H3418/I3418)</f>
        <v/>
      </c>
      <c r="K3418" s="798"/>
      <c r="P3418" s="798"/>
      <c r="Q3418" s="798"/>
      <c r="R3418" s="811"/>
    </row>
    <row r="3419" customFormat="false" ht="16.5" hidden="false" customHeight="true" outlineLevel="0" collapsed="false">
      <c r="A3419" s="747"/>
      <c r="B3419" s="798"/>
      <c r="D3419" s="798"/>
      <c r="E3419" s="798"/>
      <c r="F3419" s="798"/>
      <c r="G3419" s="798"/>
      <c r="J3419" s="778" t="str">
        <f aca="false">IF(I3419="","",H3419/I3419)</f>
        <v/>
      </c>
      <c r="K3419" s="798"/>
      <c r="P3419" s="798"/>
      <c r="Q3419" s="798"/>
      <c r="R3419" s="811"/>
    </row>
    <row r="3420" customFormat="false" ht="16.5" hidden="false" customHeight="true" outlineLevel="0" collapsed="false">
      <c r="A3420" s="747"/>
      <c r="B3420" s="798"/>
      <c r="D3420" s="798"/>
      <c r="E3420" s="798"/>
      <c r="F3420" s="798"/>
      <c r="G3420" s="798"/>
      <c r="J3420" s="778" t="str">
        <f aca="false">IF(I3420="","",H3420/I3420)</f>
        <v/>
      </c>
      <c r="K3420" s="798"/>
      <c r="P3420" s="798"/>
      <c r="Q3420" s="798"/>
      <c r="R3420" s="811"/>
    </row>
    <row r="3421" customFormat="false" ht="16.5" hidden="false" customHeight="true" outlineLevel="0" collapsed="false">
      <c r="A3421" s="747"/>
      <c r="B3421" s="798"/>
      <c r="D3421" s="798"/>
      <c r="E3421" s="798"/>
      <c r="F3421" s="798"/>
      <c r="G3421" s="798"/>
      <c r="J3421" s="778" t="str">
        <f aca="false">IF(I3421="","",H3421/I3421)</f>
        <v/>
      </c>
      <c r="K3421" s="798"/>
      <c r="P3421" s="798"/>
      <c r="Q3421" s="798"/>
      <c r="R3421" s="811"/>
    </row>
    <row r="3422" customFormat="false" ht="16.5" hidden="false" customHeight="true" outlineLevel="0" collapsed="false">
      <c r="A3422" s="747"/>
      <c r="B3422" s="798"/>
      <c r="D3422" s="798"/>
      <c r="E3422" s="798"/>
      <c r="F3422" s="798"/>
      <c r="G3422" s="798"/>
      <c r="J3422" s="778" t="str">
        <f aca="false">IF(I3422="","",H3422/I3422)</f>
        <v/>
      </c>
      <c r="K3422" s="798"/>
      <c r="P3422" s="798"/>
      <c r="Q3422" s="798"/>
      <c r="R3422" s="811"/>
    </row>
    <row r="3423" customFormat="false" ht="16.5" hidden="false" customHeight="true" outlineLevel="0" collapsed="false">
      <c r="A3423" s="747"/>
      <c r="B3423" s="798"/>
      <c r="D3423" s="798"/>
      <c r="E3423" s="798"/>
      <c r="F3423" s="798"/>
      <c r="G3423" s="798"/>
      <c r="J3423" s="778" t="str">
        <f aca="false">IF(I3423="","",H3423/I3423)</f>
        <v/>
      </c>
      <c r="K3423" s="798"/>
      <c r="P3423" s="798"/>
      <c r="Q3423" s="798"/>
      <c r="R3423" s="811"/>
    </row>
    <row r="3424" customFormat="false" ht="16.5" hidden="false" customHeight="true" outlineLevel="0" collapsed="false">
      <c r="A3424" s="747"/>
      <c r="B3424" s="798"/>
      <c r="D3424" s="798"/>
      <c r="E3424" s="798"/>
      <c r="F3424" s="798"/>
      <c r="G3424" s="798"/>
      <c r="J3424" s="778" t="str">
        <f aca="false">IF(I3424="","",H3424/I3424)</f>
        <v/>
      </c>
      <c r="K3424" s="798"/>
      <c r="P3424" s="798"/>
      <c r="Q3424" s="798"/>
      <c r="R3424" s="811"/>
    </row>
    <row r="3425" customFormat="false" ht="16.5" hidden="false" customHeight="true" outlineLevel="0" collapsed="false">
      <c r="A3425" s="747"/>
      <c r="B3425" s="798"/>
      <c r="D3425" s="798"/>
      <c r="E3425" s="798"/>
      <c r="F3425" s="798"/>
      <c r="G3425" s="798"/>
      <c r="J3425" s="778" t="str">
        <f aca="false">IF(I3425="","",H3425/I3425)</f>
        <v/>
      </c>
      <c r="K3425" s="798"/>
      <c r="P3425" s="798"/>
      <c r="Q3425" s="798"/>
      <c r="R3425" s="811"/>
    </row>
    <row r="3426" customFormat="false" ht="16.5" hidden="false" customHeight="true" outlineLevel="0" collapsed="false">
      <c r="A3426" s="747"/>
      <c r="B3426" s="798"/>
      <c r="D3426" s="798"/>
      <c r="E3426" s="798"/>
      <c r="F3426" s="798"/>
      <c r="G3426" s="798"/>
      <c r="J3426" s="778" t="str">
        <f aca="false">IF(I3426="","",H3426/I3426)</f>
        <v/>
      </c>
      <c r="K3426" s="798"/>
      <c r="P3426" s="798"/>
      <c r="Q3426" s="798"/>
      <c r="R3426" s="811"/>
    </row>
    <row r="3427" customFormat="false" ht="16.5" hidden="false" customHeight="true" outlineLevel="0" collapsed="false">
      <c r="A3427" s="747"/>
      <c r="B3427" s="798"/>
      <c r="D3427" s="798"/>
      <c r="E3427" s="798"/>
      <c r="F3427" s="798"/>
      <c r="G3427" s="798"/>
      <c r="J3427" s="778" t="str">
        <f aca="false">IF(I3427="","",H3427/I3427)</f>
        <v/>
      </c>
      <c r="K3427" s="798"/>
      <c r="P3427" s="798"/>
      <c r="Q3427" s="798"/>
      <c r="R3427" s="811"/>
    </row>
    <row r="3428" customFormat="false" ht="16.5" hidden="false" customHeight="true" outlineLevel="0" collapsed="false">
      <c r="A3428" s="747"/>
      <c r="B3428" s="798"/>
      <c r="D3428" s="798"/>
      <c r="E3428" s="798"/>
      <c r="F3428" s="798"/>
      <c r="G3428" s="798"/>
      <c r="J3428" s="778" t="str">
        <f aca="false">IF(I3428="","",H3428/I3428)</f>
        <v/>
      </c>
      <c r="K3428" s="798"/>
      <c r="P3428" s="798"/>
      <c r="Q3428" s="798"/>
      <c r="R3428" s="811"/>
    </row>
    <row r="3429" customFormat="false" ht="16.5" hidden="false" customHeight="true" outlineLevel="0" collapsed="false">
      <c r="A3429" s="747"/>
      <c r="B3429" s="798"/>
      <c r="D3429" s="798"/>
      <c r="E3429" s="798"/>
      <c r="F3429" s="798"/>
      <c r="G3429" s="798"/>
      <c r="J3429" s="778" t="str">
        <f aca="false">IF(I3429="","",H3429/I3429)</f>
        <v/>
      </c>
      <c r="K3429" s="798"/>
      <c r="P3429" s="798"/>
      <c r="Q3429" s="798"/>
      <c r="R3429" s="811"/>
    </row>
    <row r="3430" customFormat="false" ht="16.5" hidden="false" customHeight="true" outlineLevel="0" collapsed="false">
      <c r="A3430" s="747"/>
      <c r="B3430" s="798"/>
      <c r="D3430" s="798"/>
      <c r="E3430" s="798"/>
      <c r="F3430" s="798"/>
      <c r="G3430" s="798"/>
      <c r="J3430" s="778" t="str">
        <f aca="false">IF(I3430="","",H3430/I3430)</f>
        <v/>
      </c>
      <c r="K3430" s="798"/>
      <c r="P3430" s="798"/>
      <c r="Q3430" s="798"/>
      <c r="R3430" s="811"/>
    </row>
    <row r="3431" customFormat="false" ht="16.5" hidden="false" customHeight="true" outlineLevel="0" collapsed="false">
      <c r="A3431" s="747"/>
      <c r="B3431" s="798"/>
      <c r="D3431" s="798"/>
      <c r="E3431" s="798"/>
      <c r="F3431" s="798"/>
      <c r="G3431" s="798"/>
      <c r="J3431" s="778" t="str">
        <f aca="false">IF(I3431="","",H3431/I3431)</f>
        <v/>
      </c>
      <c r="K3431" s="798"/>
      <c r="P3431" s="798"/>
      <c r="Q3431" s="798"/>
      <c r="R3431" s="811"/>
    </row>
    <row r="3432" customFormat="false" ht="16.5" hidden="false" customHeight="true" outlineLevel="0" collapsed="false">
      <c r="A3432" s="747"/>
      <c r="B3432" s="798"/>
      <c r="D3432" s="798"/>
      <c r="E3432" s="798"/>
      <c r="F3432" s="798"/>
      <c r="G3432" s="798"/>
      <c r="J3432" s="778" t="str">
        <f aca="false">IF(I3432="","",H3432/I3432)</f>
        <v/>
      </c>
      <c r="K3432" s="798"/>
      <c r="P3432" s="798"/>
      <c r="Q3432" s="798"/>
      <c r="R3432" s="811"/>
    </row>
    <row r="3433" customFormat="false" ht="16.5" hidden="false" customHeight="true" outlineLevel="0" collapsed="false">
      <c r="A3433" s="747"/>
      <c r="B3433" s="798"/>
      <c r="D3433" s="798"/>
      <c r="E3433" s="798"/>
      <c r="F3433" s="798"/>
      <c r="G3433" s="798"/>
      <c r="J3433" s="778" t="str">
        <f aca="false">IF(I3433="","",H3433/I3433)</f>
        <v/>
      </c>
      <c r="K3433" s="798"/>
      <c r="P3433" s="798"/>
      <c r="Q3433" s="798"/>
      <c r="R3433" s="811"/>
    </row>
    <row r="3434" customFormat="false" ht="16.5" hidden="false" customHeight="true" outlineLevel="0" collapsed="false">
      <c r="A3434" s="747"/>
      <c r="B3434" s="798"/>
      <c r="D3434" s="798"/>
      <c r="E3434" s="798"/>
      <c r="F3434" s="798"/>
      <c r="G3434" s="798"/>
      <c r="J3434" s="778" t="str">
        <f aca="false">IF(I3434="","",H3434/I3434)</f>
        <v/>
      </c>
      <c r="K3434" s="798"/>
      <c r="P3434" s="798"/>
      <c r="Q3434" s="798"/>
      <c r="R3434" s="811"/>
    </row>
    <row r="3435" customFormat="false" ht="16.5" hidden="false" customHeight="true" outlineLevel="0" collapsed="false">
      <c r="A3435" s="747"/>
      <c r="B3435" s="798"/>
      <c r="D3435" s="798"/>
      <c r="E3435" s="798"/>
      <c r="F3435" s="798"/>
      <c r="G3435" s="798"/>
      <c r="J3435" s="778" t="str">
        <f aca="false">IF(I3435="","",H3435/I3435)</f>
        <v/>
      </c>
      <c r="K3435" s="798"/>
      <c r="P3435" s="798"/>
      <c r="Q3435" s="798"/>
      <c r="R3435" s="811"/>
    </row>
    <row r="3436" customFormat="false" ht="16.5" hidden="false" customHeight="true" outlineLevel="0" collapsed="false">
      <c r="A3436" s="747"/>
      <c r="B3436" s="798"/>
      <c r="D3436" s="798"/>
      <c r="E3436" s="798"/>
      <c r="F3436" s="798"/>
      <c r="G3436" s="798"/>
      <c r="J3436" s="778" t="str">
        <f aca="false">IF(I3436="","",H3436/I3436)</f>
        <v/>
      </c>
      <c r="K3436" s="798"/>
      <c r="P3436" s="798"/>
      <c r="Q3436" s="798"/>
      <c r="R3436" s="811"/>
    </row>
    <row r="3437" customFormat="false" ht="16.5" hidden="false" customHeight="true" outlineLevel="0" collapsed="false">
      <c r="A3437" s="747"/>
      <c r="B3437" s="798"/>
      <c r="D3437" s="798"/>
      <c r="E3437" s="798"/>
      <c r="F3437" s="798"/>
      <c r="G3437" s="798"/>
      <c r="J3437" s="778" t="str">
        <f aca="false">IF(I3437="","",H3437/I3437)</f>
        <v/>
      </c>
      <c r="K3437" s="798"/>
      <c r="P3437" s="798"/>
      <c r="Q3437" s="798"/>
      <c r="R3437" s="811"/>
    </row>
    <row r="3438" customFormat="false" ht="16.5" hidden="false" customHeight="true" outlineLevel="0" collapsed="false">
      <c r="A3438" s="747"/>
      <c r="B3438" s="798"/>
      <c r="D3438" s="798"/>
      <c r="E3438" s="798"/>
      <c r="F3438" s="798"/>
      <c r="G3438" s="798"/>
      <c r="J3438" s="778" t="str">
        <f aca="false">IF(I3438="","",H3438/I3438)</f>
        <v/>
      </c>
      <c r="K3438" s="798"/>
      <c r="P3438" s="798"/>
      <c r="Q3438" s="798"/>
      <c r="R3438" s="811"/>
    </row>
    <row r="3439" customFormat="false" ht="16.5" hidden="false" customHeight="true" outlineLevel="0" collapsed="false">
      <c r="A3439" s="747"/>
      <c r="B3439" s="798"/>
      <c r="D3439" s="798"/>
      <c r="E3439" s="798"/>
      <c r="F3439" s="798"/>
      <c r="G3439" s="798"/>
      <c r="J3439" s="778" t="str">
        <f aca="false">IF(I3439="","",H3439/I3439)</f>
        <v/>
      </c>
      <c r="K3439" s="798"/>
      <c r="P3439" s="798"/>
      <c r="Q3439" s="798"/>
      <c r="R3439" s="811"/>
    </row>
    <row r="3440" customFormat="false" ht="16.5" hidden="false" customHeight="true" outlineLevel="0" collapsed="false">
      <c r="A3440" s="747"/>
      <c r="B3440" s="798"/>
      <c r="D3440" s="798"/>
      <c r="E3440" s="798"/>
      <c r="F3440" s="798"/>
      <c r="G3440" s="798"/>
      <c r="J3440" s="778" t="str">
        <f aca="false">IF(I3440="","",H3440/I3440)</f>
        <v/>
      </c>
      <c r="K3440" s="798"/>
      <c r="P3440" s="798"/>
      <c r="Q3440" s="798"/>
      <c r="R3440" s="811"/>
    </row>
    <row r="3441" customFormat="false" ht="16.5" hidden="false" customHeight="true" outlineLevel="0" collapsed="false">
      <c r="A3441" s="747"/>
      <c r="B3441" s="798"/>
      <c r="D3441" s="798"/>
      <c r="E3441" s="798"/>
      <c r="F3441" s="798"/>
      <c r="G3441" s="798"/>
      <c r="J3441" s="778" t="str">
        <f aca="false">IF(I3441="","",H3441/I3441)</f>
        <v/>
      </c>
      <c r="K3441" s="798"/>
      <c r="P3441" s="798"/>
      <c r="Q3441" s="798"/>
      <c r="R3441" s="811"/>
    </row>
    <row r="3442" customFormat="false" ht="16.5" hidden="false" customHeight="true" outlineLevel="0" collapsed="false">
      <c r="A3442" s="747"/>
      <c r="B3442" s="798"/>
      <c r="D3442" s="798"/>
      <c r="E3442" s="798"/>
      <c r="F3442" s="798"/>
      <c r="G3442" s="798"/>
      <c r="J3442" s="778" t="str">
        <f aca="false">IF(I3442="","",H3442/I3442)</f>
        <v/>
      </c>
      <c r="K3442" s="798"/>
      <c r="P3442" s="798"/>
      <c r="Q3442" s="798"/>
      <c r="R3442" s="811"/>
    </row>
    <row r="3443" customFormat="false" ht="16.5" hidden="false" customHeight="true" outlineLevel="0" collapsed="false">
      <c r="A3443" s="747"/>
      <c r="B3443" s="798"/>
      <c r="D3443" s="798"/>
      <c r="E3443" s="798"/>
      <c r="F3443" s="798"/>
      <c r="G3443" s="798"/>
      <c r="J3443" s="778" t="str">
        <f aca="false">IF(I3443="","",H3443/I3443)</f>
        <v/>
      </c>
      <c r="K3443" s="798"/>
      <c r="P3443" s="798"/>
      <c r="Q3443" s="798"/>
      <c r="R3443" s="811"/>
    </row>
    <row r="3444" customFormat="false" ht="16.5" hidden="false" customHeight="true" outlineLevel="0" collapsed="false">
      <c r="A3444" s="747"/>
      <c r="B3444" s="798"/>
      <c r="D3444" s="798"/>
      <c r="E3444" s="798"/>
      <c r="F3444" s="798"/>
      <c r="G3444" s="798"/>
      <c r="J3444" s="778" t="str">
        <f aca="false">IF(I3444="","",H3444/I3444)</f>
        <v/>
      </c>
      <c r="K3444" s="798"/>
      <c r="P3444" s="798"/>
      <c r="Q3444" s="798"/>
      <c r="R3444" s="811"/>
    </row>
    <row r="3445" customFormat="false" ht="16.5" hidden="false" customHeight="true" outlineLevel="0" collapsed="false">
      <c r="A3445" s="747"/>
      <c r="B3445" s="798"/>
      <c r="D3445" s="798"/>
      <c r="E3445" s="798"/>
      <c r="F3445" s="798"/>
      <c r="G3445" s="798"/>
      <c r="J3445" s="778" t="str">
        <f aca="false">IF(I3445="","",H3445/I3445)</f>
        <v/>
      </c>
      <c r="K3445" s="798"/>
      <c r="P3445" s="798"/>
      <c r="Q3445" s="798"/>
      <c r="R3445" s="811"/>
    </row>
    <row r="3446" customFormat="false" ht="16.5" hidden="false" customHeight="true" outlineLevel="0" collapsed="false">
      <c r="A3446" s="747"/>
      <c r="B3446" s="798"/>
      <c r="D3446" s="798"/>
      <c r="E3446" s="798"/>
      <c r="F3446" s="798"/>
      <c r="G3446" s="798"/>
      <c r="J3446" s="778" t="str">
        <f aca="false">IF(I3446="","",H3446/I3446)</f>
        <v/>
      </c>
      <c r="K3446" s="798"/>
      <c r="P3446" s="798"/>
      <c r="Q3446" s="798"/>
      <c r="R3446" s="811"/>
    </row>
    <row r="3447" customFormat="false" ht="16.5" hidden="false" customHeight="true" outlineLevel="0" collapsed="false">
      <c r="A3447" s="747"/>
      <c r="B3447" s="798"/>
      <c r="D3447" s="798"/>
      <c r="E3447" s="798"/>
      <c r="F3447" s="798"/>
      <c r="G3447" s="798"/>
      <c r="J3447" s="778" t="str">
        <f aca="false">IF(I3447="","",H3447/I3447)</f>
        <v/>
      </c>
      <c r="K3447" s="798"/>
      <c r="P3447" s="798"/>
      <c r="Q3447" s="798"/>
      <c r="R3447" s="811"/>
    </row>
    <row r="3448" customFormat="false" ht="16.5" hidden="false" customHeight="true" outlineLevel="0" collapsed="false">
      <c r="A3448" s="747"/>
      <c r="B3448" s="798"/>
      <c r="D3448" s="798"/>
      <c r="E3448" s="798"/>
      <c r="F3448" s="798"/>
      <c r="G3448" s="798"/>
      <c r="J3448" s="778" t="str">
        <f aca="false">IF(I3448="","",H3448/I3448)</f>
        <v/>
      </c>
      <c r="K3448" s="798"/>
      <c r="P3448" s="798"/>
      <c r="Q3448" s="798"/>
      <c r="R3448" s="811"/>
    </row>
    <row r="3449" customFormat="false" ht="16.5" hidden="false" customHeight="true" outlineLevel="0" collapsed="false">
      <c r="A3449" s="747"/>
      <c r="B3449" s="798"/>
      <c r="D3449" s="798"/>
      <c r="E3449" s="798"/>
      <c r="F3449" s="798"/>
      <c r="G3449" s="798"/>
      <c r="J3449" s="778" t="str">
        <f aca="false">IF(I3449="","",H3449/I3449)</f>
        <v/>
      </c>
      <c r="K3449" s="798"/>
      <c r="P3449" s="798"/>
      <c r="Q3449" s="798"/>
      <c r="R3449" s="811"/>
    </row>
    <row r="3450" customFormat="false" ht="16.5" hidden="false" customHeight="true" outlineLevel="0" collapsed="false">
      <c r="A3450" s="747"/>
      <c r="B3450" s="798"/>
      <c r="D3450" s="798"/>
      <c r="E3450" s="798"/>
      <c r="F3450" s="798"/>
      <c r="G3450" s="798"/>
      <c r="J3450" s="778" t="str">
        <f aca="false">IF(I3450="","",H3450/I3450)</f>
        <v/>
      </c>
      <c r="K3450" s="798"/>
      <c r="P3450" s="798"/>
      <c r="Q3450" s="798"/>
      <c r="R3450" s="811"/>
    </row>
    <row r="3451" customFormat="false" ht="16.5" hidden="false" customHeight="true" outlineLevel="0" collapsed="false">
      <c r="A3451" s="747"/>
      <c r="B3451" s="798"/>
      <c r="D3451" s="798"/>
      <c r="E3451" s="798"/>
      <c r="F3451" s="798"/>
      <c r="G3451" s="798"/>
      <c r="J3451" s="778" t="str">
        <f aca="false">IF(I3451="","",H3451/I3451)</f>
        <v/>
      </c>
      <c r="K3451" s="798"/>
      <c r="P3451" s="798"/>
      <c r="Q3451" s="798"/>
      <c r="R3451" s="811"/>
    </row>
    <row r="3452" customFormat="false" ht="16.5" hidden="false" customHeight="true" outlineLevel="0" collapsed="false">
      <c r="A3452" s="747"/>
      <c r="B3452" s="798"/>
      <c r="D3452" s="798"/>
      <c r="E3452" s="798"/>
      <c r="F3452" s="798"/>
      <c r="G3452" s="798"/>
      <c r="J3452" s="778" t="str">
        <f aca="false">IF(I3452="","",H3452/I3452)</f>
        <v/>
      </c>
      <c r="K3452" s="798"/>
      <c r="P3452" s="798"/>
      <c r="Q3452" s="798"/>
      <c r="R3452" s="811"/>
    </row>
    <row r="3453" customFormat="false" ht="16.5" hidden="false" customHeight="true" outlineLevel="0" collapsed="false">
      <c r="A3453" s="747"/>
      <c r="B3453" s="798"/>
      <c r="D3453" s="798"/>
      <c r="E3453" s="798"/>
      <c r="F3453" s="798"/>
      <c r="G3453" s="798"/>
      <c r="J3453" s="778" t="str">
        <f aca="false">IF(I3453="","",H3453/I3453)</f>
        <v/>
      </c>
      <c r="K3453" s="798"/>
      <c r="P3453" s="798"/>
      <c r="Q3453" s="798"/>
      <c r="R3453" s="811"/>
    </row>
    <row r="3454" customFormat="false" ht="16.5" hidden="false" customHeight="true" outlineLevel="0" collapsed="false">
      <c r="A3454" s="747"/>
      <c r="B3454" s="798"/>
      <c r="D3454" s="798"/>
      <c r="E3454" s="798"/>
      <c r="F3454" s="798"/>
      <c r="G3454" s="798"/>
      <c r="J3454" s="778" t="str">
        <f aca="false">IF(I3454="","",H3454/I3454)</f>
        <v/>
      </c>
      <c r="K3454" s="798"/>
      <c r="P3454" s="798"/>
      <c r="Q3454" s="798"/>
      <c r="R3454" s="811"/>
    </row>
    <row r="3455" customFormat="false" ht="16.5" hidden="false" customHeight="true" outlineLevel="0" collapsed="false">
      <c r="A3455" s="747"/>
      <c r="B3455" s="798"/>
      <c r="D3455" s="798"/>
      <c r="E3455" s="798"/>
      <c r="F3455" s="798"/>
      <c r="G3455" s="798"/>
      <c r="J3455" s="778" t="str">
        <f aca="false">IF(I3455="","",H3455/I3455)</f>
        <v/>
      </c>
      <c r="K3455" s="798"/>
      <c r="P3455" s="798"/>
      <c r="Q3455" s="798"/>
      <c r="R3455" s="811"/>
    </row>
    <row r="3456" customFormat="false" ht="16.5" hidden="false" customHeight="true" outlineLevel="0" collapsed="false">
      <c r="A3456" s="747"/>
      <c r="B3456" s="798"/>
      <c r="D3456" s="798"/>
      <c r="E3456" s="798"/>
      <c r="F3456" s="798"/>
      <c r="G3456" s="798"/>
      <c r="J3456" s="778" t="str">
        <f aca="false">IF(I3456="","",H3456/I3456)</f>
        <v/>
      </c>
      <c r="K3456" s="798"/>
      <c r="P3456" s="798"/>
      <c r="Q3456" s="798"/>
      <c r="R3456" s="811"/>
    </row>
    <row r="3457" customFormat="false" ht="16.5" hidden="false" customHeight="true" outlineLevel="0" collapsed="false">
      <c r="A3457" s="747"/>
      <c r="B3457" s="798"/>
      <c r="D3457" s="798"/>
      <c r="E3457" s="798"/>
      <c r="F3457" s="798"/>
      <c r="G3457" s="798"/>
      <c r="J3457" s="778" t="str">
        <f aca="false">IF(I3457="","",H3457/I3457)</f>
        <v/>
      </c>
      <c r="K3457" s="798"/>
      <c r="P3457" s="798"/>
      <c r="Q3457" s="798"/>
      <c r="R3457" s="811"/>
    </row>
    <row r="3458" customFormat="false" ht="16.5" hidden="false" customHeight="true" outlineLevel="0" collapsed="false">
      <c r="A3458" s="747"/>
      <c r="B3458" s="798"/>
      <c r="D3458" s="798"/>
      <c r="E3458" s="798"/>
      <c r="F3458" s="798"/>
      <c r="G3458" s="798"/>
      <c r="J3458" s="778" t="str">
        <f aca="false">IF(I3458="","",H3458/I3458)</f>
        <v/>
      </c>
      <c r="K3458" s="798"/>
      <c r="P3458" s="798"/>
      <c r="Q3458" s="798"/>
      <c r="R3458" s="811"/>
    </row>
    <row r="3459" customFormat="false" ht="16.5" hidden="false" customHeight="true" outlineLevel="0" collapsed="false">
      <c r="A3459" s="747"/>
      <c r="B3459" s="798"/>
      <c r="D3459" s="798"/>
      <c r="E3459" s="798"/>
      <c r="F3459" s="798"/>
      <c r="G3459" s="798"/>
      <c r="J3459" s="778" t="str">
        <f aca="false">IF(I3459="","",H3459/I3459)</f>
        <v/>
      </c>
      <c r="K3459" s="798"/>
      <c r="P3459" s="798"/>
      <c r="Q3459" s="798"/>
      <c r="R3459" s="811"/>
    </row>
    <row r="3460" customFormat="false" ht="16.5" hidden="false" customHeight="true" outlineLevel="0" collapsed="false">
      <c r="A3460" s="747"/>
      <c r="B3460" s="798"/>
      <c r="D3460" s="798"/>
      <c r="E3460" s="798"/>
      <c r="F3460" s="798"/>
      <c r="G3460" s="798"/>
      <c r="J3460" s="778" t="str">
        <f aca="false">IF(I3460="","",H3460/I3460)</f>
        <v/>
      </c>
      <c r="K3460" s="798"/>
      <c r="P3460" s="798"/>
      <c r="Q3460" s="798"/>
      <c r="R3460" s="811"/>
    </row>
    <row r="3461" customFormat="false" ht="16.5" hidden="false" customHeight="true" outlineLevel="0" collapsed="false">
      <c r="A3461" s="747"/>
      <c r="B3461" s="798"/>
      <c r="D3461" s="798"/>
      <c r="E3461" s="798"/>
      <c r="F3461" s="798"/>
      <c r="G3461" s="798"/>
      <c r="J3461" s="778" t="str">
        <f aca="false">IF(I3461="","",H3461/I3461)</f>
        <v/>
      </c>
      <c r="K3461" s="798"/>
      <c r="P3461" s="798"/>
      <c r="Q3461" s="798"/>
      <c r="R3461" s="811"/>
    </row>
    <row r="3462" customFormat="false" ht="16.5" hidden="false" customHeight="true" outlineLevel="0" collapsed="false">
      <c r="A3462" s="747"/>
      <c r="B3462" s="798"/>
      <c r="D3462" s="798"/>
      <c r="E3462" s="798"/>
      <c r="F3462" s="798"/>
      <c r="G3462" s="798"/>
      <c r="J3462" s="778" t="str">
        <f aca="false">IF(I3462="","",H3462/I3462)</f>
        <v/>
      </c>
      <c r="K3462" s="798"/>
      <c r="P3462" s="798"/>
      <c r="Q3462" s="798"/>
      <c r="R3462" s="811"/>
    </row>
    <row r="3463" customFormat="false" ht="16.5" hidden="false" customHeight="true" outlineLevel="0" collapsed="false">
      <c r="A3463" s="747"/>
      <c r="B3463" s="798"/>
      <c r="D3463" s="798"/>
      <c r="E3463" s="798"/>
      <c r="F3463" s="798"/>
      <c r="G3463" s="798"/>
      <c r="J3463" s="778" t="str">
        <f aca="false">IF(I3463="","",H3463/I3463)</f>
        <v/>
      </c>
      <c r="K3463" s="798"/>
      <c r="P3463" s="798"/>
      <c r="Q3463" s="798"/>
      <c r="R3463" s="811"/>
    </row>
    <row r="3464" customFormat="false" ht="16.5" hidden="false" customHeight="true" outlineLevel="0" collapsed="false">
      <c r="A3464" s="747"/>
      <c r="B3464" s="798"/>
      <c r="D3464" s="798"/>
      <c r="E3464" s="798"/>
      <c r="F3464" s="798"/>
      <c r="G3464" s="798"/>
      <c r="J3464" s="778" t="str">
        <f aca="false">IF(I3464="","",H3464/I3464)</f>
        <v/>
      </c>
      <c r="K3464" s="798"/>
      <c r="P3464" s="798"/>
      <c r="Q3464" s="798"/>
      <c r="R3464" s="811"/>
    </row>
    <row r="3465" customFormat="false" ht="16.5" hidden="false" customHeight="true" outlineLevel="0" collapsed="false">
      <c r="A3465" s="747"/>
      <c r="B3465" s="798"/>
      <c r="D3465" s="798"/>
      <c r="E3465" s="798"/>
      <c r="F3465" s="798"/>
      <c r="G3465" s="798"/>
      <c r="J3465" s="778" t="str">
        <f aca="false">IF(I3465="","",H3465/I3465)</f>
        <v/>
      </c>
      <c r="K3465" s="798"/>
      <c r="P3465" s="798"/>
      <c r="Q3465" s="798"/>
      <c r="R3465" s="811"/>
    </row>
    <row r="3466" customFormat="false" ht="16.5" hidden="false" customHeight="true" outlineLevel="0" collapsed="false">
      <c r="A3466" s="747"/>
      <c r="B3466" s="798"/>
      <c r="D3466" s="798"/>
      <c r="E3466" s="798"/>
      <c r="F3466" s="798"/>
      <c r="G3466" s="798"/>
      <c r="J3466" s="778" t="str">
        <f aca="false">IF(I3466="","",H3466/I3466)</f>
        <v/>
      </c>
      <c r="K3466" s="798"/>
      <c r="P3466" s="798"/>
      <c r="Q3466" s="798"/>
      <c r="R3466" s="811"/>
    </row>
    <row r="3467" customFormat="false" ht="16.5" hidden="false" customHeight="true" outlineLevel="0" collapsed="false">
      <c r="A3467" s="747"/>
      <c r="B3467" s="798"/>
      <c r="D3467" s="798"/>
      <c r="E3467" s="798"/>
      <c r="F3467" s="798"/>
      <c r="G3467" s="798"/>
      <c r="J3467" s="778" t="str">
        <f aca="false">IF(I3467="","",H3467/I3467)</f>
        <v/>
      </c>
      <c r="K3467" s="798"/>
      <c r="P3467" s="798"/>
      <c r="Q3467" s="798"/>
      <c r="R3467" s="811"/>
    </row>
    <row r="3468" customFormat="false" ht="16.5" hidden="false" customHeight="true" outlineLevel="0" collapsed="false">
      <c r="A3468" s="747"/>
      <c r="B3468" s="798"/>
      <c r="D3468" s="798"/>
      <c r="E3468" s="798"/>
      <c r="F3468" s="798"/>
      <c r="G3468" s="798"/>
      <c r="J3468" s="778" t="str">
        <f aca="false">IF(I3468="","",H3468/I3468)</f>
        <v/>
      </c>
      <c r="K3468" s="798"/>
      <c r="P3468" s="798"/>
      <c r="Q3468" s="798"/>
      <c r="R3468" s="811"/>
    </row>
    <row r="3469" customFormat="false" ht="16.5" hidden="false" customHeight="true" outlineLevel="0" collapsed="false">
      <c r="A3469" s="747"/>
      <c r="B3469" s="798"/>
      <c r="D3469" s="798"/>
      <c r="E3469" s="798"/>
      <c r="F3469" s="798"/>
      <c r="G3469" s="798"/>
      <c r="J3469" s="778" t="str">
        <f aca="false">IF(I3469="","",H3469/I3469)</f>
        <v/>
      </c>
      <c r="K3469" s="798"/>
      <c r="P3469" s="798"/>
      <c r="Q3469" s="798"/>
      <c r="R3469" s="811"/>
    </row>
    <row r="3470" customFormat="false" ht="16.5" hidden="false" customHeight="true" outlineLevel="0" collapsed="false">
      <c r="A3470" s="747"/>
      <c r="B3470" s="798"/>
      <c r="D3470" s="798"/>
      <c r="E3470" s="798"/>
      <c r="F3470" s="798"/>
      <c r="G3470" s="798"/>
      <c r="J3470" s="778" t="str">
        <f aca="false">IF(I3470="","",H3470/I3470)</f>
        <v/>
      </c>
      <c r="K3470" s="798"/>
      <c r="P3470" s="798"/>
      <c r="Q3470" s="798"/>
      <c r="R3470" s="811"/>
    </row>
    <row r="3471" customFormat="false" ht="16.5" hidden="false" customHeight="true" outlineLevel="0" collapsed="false">
      <c r="A3471" s="747"/>
      <c r="B3471" s="798"/>
      <c r="D3471" s="798"/>
      <c r="E3471" s="798"/>
      <c r="F3471" s="798"/>
      <c r="G3471" s="798"/>
      <c r="J3471" s="778" t="str">
        <f aca="false">IF(I3471="","",H3471/I3471)</f>
        <v/>
      </c>
      <c r="K3471" s="798"/>
      <c r="P3471" s="798"/>
      <c r="Q3471" s="798"/>
      <c r="R3471" s="811"/>
    </row>
    <row r="3472" customFormat="false" ht="16.5" hidden="false" customHeight="true" outlineLevel="0" collapsed="false">
      <c r="A3472" s="747"/>
      <c r="B3472" s="798"/>
      <c r="D3472" s="798"/>
      <c r="E3472" s="798"/>
      <c r="F3472" s="798"/>
      <c r="G3472" s="798"/>
      <c r="J3472" s="778" t="str">
        <f aca="false">IF(I3472="","",H3472/I3472)</f>
        <v/>
      </c>
      <c r="K3472" s="798"/>
      <c r="P3472" s="798"/>
      <c r="Q3472" s="798"/>
      <c r="R3472" s="811"/>
    </row>
    <row r="3473" customFormat="false" ht="16.5" hidden="false" customHeight="true" outlineLevel="0" collapsed="false">
      <c r="A3473" s="747"/>
      <c r="B3473" s="798"/>
      <c r="D3473" s="798"/>
      <c r="E3473" s="798"/>
      <c r="F3473" s="798"/>
      <c r="G3473" s="798"/>
      <c r="J3473" s="778" t="str">
        <f aca="false">IF(I3473="","",H3473/I3473)</f>
        <v/>
      </c>
      <c r="K3473" s="798"/>
      <c r="P3473" s="798"/>
      <c r="Q3473" s="798"/>
      <c r="R3473" s="811"/>
    </row>
    <row r="3474" customFormat="false" ht="16.5" hidden="false" customHeight="true" outlineLevel="0" collapsed="false">
      <c r="A3474" s="747"/>
      <c r="B3474" s="798"/>
      <c r="D3474" s="798"/>
      <c r="E3474" s="798"/>
      <c r="F3474" s="798"/>
      <c r="G3474" s="798"/>
      <c r="J3474" s="778" t="str">
        <f aca="false">IF(I3474="","",H3474/I3474)</f>
        <v/>
      </c>
      <c r="K3474" s="798"/>
      <c r="P3474" s="798"/>
      <c r="Q3474" s="798"/>
      <c r="R3474" s="811"/>
    </row>
    <row r="3475" customFormat="false" ht="16.5" hidden="false" customHeight="true" outlineLevel="0" collapsed="false">
      <c r="A3475" s="747"/>
      <c r="B3475" s="798"/>
      <c r="D3475" s="798"/>
      <c r="E3475" s="798"/>
      <c r="F3475" s="798"/>
      <c r="G3475" s="798"/>
      <c r="J3475" s="778" t="str">
        <f aca="false">IF(I3475="","",H3475/I3475)</f>
        <v/>
      </c>
      <c r="K3475" s="798"/>
      <c r="P3475" s="798"/>
      <c r="Q3475" s="798"/>
      <c r="R3475" s="811"/>
    </row>
    <row r="3476" customFormat="false" ht="16.5" hidden="false" customHeight="true" outlineLevel="0" collapsed="false">
      <c r="A3476" s="747"/>
      <c r="B3476" s="798"/>
      <c r="D3476" s="798"/>
      <c r="E3476" s="798"/>
      <c r="F3476" s="798"/>
      <c r="G3476" s="798"/>
      <c r="J3476" s="778" t="str">
        <f aca="false">IF(I3476="","",H3476/I3476)</f>
        <v/>
      </c>
      <c r="K3476" s="798"/>
      <c r="P3476" s="798"/>
      <c r="Q3476" s="798"/>
      <c r="R3476" s="811"/>
    </row>
    <row r="3477" customFormat="false" ht="16.5" hidden="false" customHeight="true" outlineLevel="0" collapsed="false">
      <c r="A3477" s="747"/>
      <c r="B3477" s="798"/>
      <c r="D3477" s="798"/>
      <c r="E3477" s="798"/>
      <c r="F3477" s="798"/>
      <c r="G3477" s="798"/>
      <c r="J3477" s="778" t="str">
        <f aca="false">IF(I3477="","",H3477/I3477)</f>
        <v/>
      </c>
      <c r="K3477" s="798"/>
      <c r="P3477" s="798"/>
      <c r="Q3477" s="798"/>
      <c r="R3477" s="811"/>
    </row>
    <row r="3478" customFormat="false" ht="16.5" hidden="false" customHeight="true" outlineLevel="0" collapsed="false">
      <c r="A3478" s="747"/>
      <c r="B3478" s="798"/>
      <c r="D3478" s="798"/>
      <c r="E3478" s="798"/>
      <c r="F3478" s="798"/>
      <c r="G3478" s="798"/>
      <c r="J3478" s="778" t="str">
        <f aca="false">IF(I3478="","",H3478/I3478)</f>
        <v/>
      </c>
      <c r="K3478" s="798"/>
      <c r="P3478" s="798"/>
      <c r="Q3478" s="798"/>
      <c r="R3478" s="811"/>
    </row>
    <row r="3479" customFormat="false" ht="16.5" hidden="false" customHeight="true" outlineLevel="0" collapsed="false">
      <c r="A3479" s="747"/>
      <c r="B3479" s="798"/>
      <c r="D3479" s="798"/>
      <c r="E3479" s="798"/>
      <c r="F3479" s="798"/>
      <c r="G3479" s="798"/>
      <c r="J3479" s="778" t="str">
        <f aca="false">IF(I3479="","",H3479/I3479)</f>
        <v/>
      </c>
      <c r="K3479" s="798"/>
      <c r="P3479" s="798"/>
      <c r="Q3479" s="798"/>
      <c r="R3479" s="811"/>
    </row>
    <row r="3480" customFormat="false" ht="16.5" hidden="false" customHeight="true" outlineLevel="0" collapsed="false">
      <c r="A3480" s="747"/>
      <c r="B3480" s="798"/>
      <c r="D3480" s="798"/>
      <c r="E3480" s="798"/>
      <c r="F3480" s="798"/>
      <c r="G3480" s="798"/>
      <c r="J3480" s="778" t="str">
        <f aca="false">IF(I3480="","",H3480/I3480)</f>
        <v/>
      </c>
      <c r="K3480" s="798"/>
      <c r="P3480" s="798"/>
      <c r="Q3480" s="798"/>
      <c r="R3480" s="811"/>
    </row>
    <row r="3481" customFormat="false" ht="16.5" hidden="false" customHeight="true" outlineLevel="0" collapsed="false">
      <c r="A3481" s="747"/>
      <c r="B3481" s="798"/>
      <c r="D3481" s="798"/>
      <c r="E3481" s="798"/>
      <c r="F3481" s="798"/>
      <c r="G3481" s="798"/>
      <c r="J3481" s="778" t="str">
        <f aca="false">IF(I3481="","",H3481/I3481)</f>
        <v/>
      </c>
      <c r="K3481" s="798"/>
      <c r="P3481" s="798"/>
      <c r="Q3481" s="798"/>
      <c r="R3481" s="811"/>
    </row>
    <row r="3482" customFormat="false" ht="16.5" hidden="false" customHeight="true" outlineLevel="0" collapsed="false">
      <c r="A3482" s="747"/>
      <c r="B3482" s="798"/>
      <c r="D3482" s="798"/>
      <c r="E3482" s="798"/>
      <c r="F3482" s="798"/>
      <c r="G3482" s="798"/>
      <c r="J3482" s="778" t="str">
        <f aca="false">IF(I3482="","",H3482/I3482)</f>
        <v/>
      </c>
      <c r="K3482" s="798"/>
      <c r="P3482" s="798"/>
      <c r="Q3482" s="798"/>
      <c r="R3482" s="811"/>
    </row>
    <row r="3483" customFormat="false" ht="16.5" hidden="false" customHeight="true" outlineLevel="0" collapsed="false">
      <c r="A3483" s="747"/>
      <c r="B3483" s="798"/>
      <c r="D3483" s="798"/>
      <c r="E3483" s="798"/>
      <c r="F3483" s="798"/>
      <c r="G3483" s="798"/>
      <c r="J3483" s="778" t="str">
        <f aca="false">IF(I3483="","",H3483/I3483)</f>
        <v/>
      </c>
      <c r="K3483" s="798"/>
      <c r="P3483" s="798"/>
      <c r="Q3483" s="798"/>
      <c r="R3483" s="811"/>
    </row>
    <row r="3484" customFormat="false" ht="16.5" hidden="false" customHeight="true" outlineLevel="0" collapsed="false">
      <c r="A3484" s="747"/>
      <c r="B3484" s="798"/>
      <c r="D3484" s="798"/>
      <c r="E3484" s="798"/>
      <c r="F3484" s="798"/>
      <c r="G3484" s="798"/>
      <c r="J3484" s="778" t="str">
        <f aca="false">IF(I3484="","",H3484/I3484)</f>
        <v/>
      </c>
      <c r="K3484" s="798"/>
      <c r="P3484" s="798"/>
      <c r="Q3484" s="798"/>
      <c r="R3484" s="811"/>
    </row>
    <row r="3485" customFormat="false" ht="16.5" hidden="false" customHeight="true" outlineLevel="0" collapsed="false">
      <c r="A3485" s="747"/>
      <c r="B3485" s="798"/>
      <c r="D3485" s="798"/>
      <c r="E3485" s="798"/>
      <c r="F3485" s="798"/>
      <c r="G3485" s="798"/>
      <c r="J3485" s="778" t="str">
        <f aca="false">IF(I3485="","",H3485/I3485)</f>
        <v/>
      </c>
      <c r="K3485" s="798"/>
      <c r="P3485" s="798"/>
      <c r="Q3485" s="798"/>
      <c r="R3485" s="811"/>
    </row>
    <row r="3486" customFormat="false" ht="16.5" hidden="false" customHeight="true" outlineLevel="0" collapsed="false">
      <c r="A3486" s="747"/>
      <c r="B3486" s="798"/>
      <c r="D3486" s="798"/>
      <c r="E3486" s="798"/>
      <c r="F3486" s="798"/>
      <c r="G3486" s="798"/>
      <c r="J3486" s="778" t="str">
        <f aca="false">IF(I3486="","",H3486/I3486)</f>
        <v/>
      </c>
      <c r="K3486" s="798"/>
      <c r="P3486" s="798"/>
      <c r="Q3486" s="798"/>
      <c r="R3486" s="811"/>
    </row>
    <row r="3487" customFormat="false" ht="16.5" hidden="false" customHeight="true" outlineLevel="0" collapsed="false">
      <c r="A3487" s="747"/>
      <c r="B3487" s="798"/>
      <c r="D3487" s="798"/>
      <c r="E3487" s="798"/>
      <c r="F3487" s="798"/>
      <c r="G3487" s="798"/>
      <c r="J3487" s="778" t="str">
        <f aca="false">IF(I3487="","",H3487/I3487)</f>
        <v/>
      </c>
      <c r="K3487" s="798"/>
      <c r="P3487" s="798"/>
      <c r="Q3487" s="798"/>
      <c r="R3487" s="811"/>
    </row>
    <row r="3488" customFormat="false" ht="16.5" hidden="false" customHeight="true" outlineLevel="0" collapsed="false">
      <c r="A3488" s="747"/>
      <c r="B3488" s="798"/>
      <c r="D3488" s="798"/>
      <c r="E3488" s="798"/>
      <c r="F3488" s="798"/>
      <c r="G3488" s="798"/>
      <c r="J3488" s="778" t="str">
        <f aca="false">IF(I3488="","",H3488/I3488)</f>
        <v/>
      </c>
      <c r="K3488" s="798"/>
      <c r="P3488" s="798"/>
      <c r="Q3488" s="798"/>
      <c r="R3488" s="811"/>
    </row>
    <row r="3489" customFormat="false" ht="16.5" hidden="false" customHeight="true" outlineLevel="0" collapsed="false">
      <c r="A3489" s="747"/>
      <c r="B3489" s="798"/>
      <c r="D3489" s="798"/>
      <c r="E3489" s="798"/>
      <c r="F3489" s="798"/>
      <c r="G3489" s="798"/>
      <c r="J3489" s="778" t="str">
        <f aca="false">IF(I3489="","",H3489/I3489)</f>
        <v/>
      </c>
      <c r="K3489" s="798"/>
      <c r="P3489" s="798"/>
      <c r="Q3489" s="798"/>
      <c r="R3489" s="811"/>
    </row>
    <row r="3490" customFormat="false" ht="16.5" hidden="false" customHeight="true" outlineLevel="0" collapsed="false">
      <c r="A3490" s="747"/>
      <c r="B3490" s="798"/>
      <c r="D3490" s="798"/>
      <c r="E3490" s="798"/>
      <c r="F3490" s="798"/>
      <c r="G3490" s="798"/>
      <c r="J3490" s="778" t="str">
        <f aca="false">IF(I3490="","",H3490/I3490)</f>
        <v/>
      </c>
      <c r="K3490" s="798"/>
      <c r="P3490" s="798"/>
      <c r="Q3490" s="798"/>
      <c r="R3490" s="811"/>
    </row>
    <row r="3491" customFormat="false" ht="16.5" hidden="false" customHeight="true" outlineLevel="0" collapsed="false">
      <c r="A3491" s="747"/>
      <c r="B3491" s="798"/>
      <c r="D3491" s="798"/>
      <c r="E3491" s="798"/>
      <c r="F3491" s="798"/>
      <c r="G3491" s="798"/>
      <c r="J3491" s="778" t="str">
        <f aca="false">IF(I3491="","",H3491/I3491)</f>
        <v/>
      </c>
      <c r="K3491" s="798"/>
      <c r="P3491" s="798"/>
      <c r="Q3491" s="798"/>
      <c r="R3491" s="811"/>
    </row>
    <row r="3492" customFormat="false" ht="16.5" hidden="false" customHeight="true" outlineLevel="0" collapsed="false">
      <c r="A3492" s="747"/>
      <c r="B3492" s="798"/>
      <c r="D3492" s="798"/>
      <c r="E3492" s="798"/>
      <c r="F3492" s="798"/>
      <c r="G3492" s="798"/>
      <c r="J3492" s="778" t="str">
        <f aca="false">IF(I3492="","",H3492/I3492)</f>
        <v/>
      </c>
      <c r="K3492" s="798"/>
      <c r="P3492" s="798"/>
      <c r="Q3492" s="798"/>
      <c r="R3492" s="811"/>
    </row>
    <row r="3493" customFormat="false" ht="16.5" hidden="false" customHeight="true" outlineLevel="0" collapsed="false">
      <c r="A3493" s="747"/>
      <c r="B3493" s="798"/>
      <c r="D3493" s="798"/>
      <c r="E3493" s="798"/>
      <c r="F3493" s="798"/>
      <c r="G3493" s="798"/>
      <c r="J3493" s="778" t="str">
        <f aca="false">IF(I3493="","",H3493/I3493)</f>
        <v/>
      </c>
      <c r="K3493" s="798"/>
      <c r="P3493" s="798"/>
      <c r="Q3493" s="798"/>
      <c r="R3493" s="811"/>
    </row>
    <row r="3494" customFormat="false" ht="16.5" hidden="false" customHeight="true" outlineLevel="0" collapsed="false">
      <c r="A3494" s="747"/>
      <c r="B3494" s="798"/>
      <c r="D3494" s="798"/>
      <c r="E3494" s="798"/>
      <c r="F3494" s="798"/>
      <c r="G3494" s="798"/>
      <c r="J3494" s="778" t="str">
        <f aca="false">IF(I3494="","",H3494/I3494)</f>
        <v/>
      </c>
      <c r="K3494" s="798"/>
      <c r="P3494" s="798"/>
      <c r="Q3494" s="798"/>
      <c r="R3494" s="811"/>
    </row>
    <row r="3495" customFormat="false" ht="16.5" hidden="false" customHeight="true" outlineLevel="0" collapsed="false">
      <c r="A3495" s="747"/>
      <c r="B3495" s="798"/>
      <c r="D3495" s="798"/>
      <c r="E3495" s="798"/>
      <c r="F3495" s="798"/>
      <c r="G3495" s="798"/>
      <c r="J3495" s="778" t="str">
        <f aca="false">IF(I3495="","",H3495/I3495)</f>
        <v/>
      </c>
      <c r="K3495" s="798"/>
      <c r="P3495" s="798"/>
      <c r="Q3495" s="798"/>
      <c r="R3495" s="811"/>
    </row>
    <row r="3496" customFormat="false" ht="16.5" hidden="false" customHeight="true" outlineLevel="0" collapsed="false">
      <c r="A3496" s="747"/>
      <c r="B3496" s="798"/>
      <c r="D3496" s="798"/>
      <c r="E3496" s="798"/>
      <c r="F3496" s="798"/>
      <c r="G3496" s="798"/>
      <c r="J3496" s="778" t="str">
        <f aca="false">IF(I3496="","",H3496/I3496)</f>
        <v/>
      </c>
      <c r="K3496" s="798"/>
      <c r="P3496" s="798"/>
      <c r="Q3496" s="798"/>
      <c r="R3496" s="811"/>
    </row>
    <row r="3497" customFormat="false" ht="16.5" hidden="false" customHeight="true" outlineLevel="0" collapsed="false">
      <c r="A3497" s="747"/>
      <c r="B3497" s="798"/>
      <c r="D3497" s="798"/>
      <c r="E3497" s="798"/>
      <c r="F3497" s="798"/>
      <c r="G3497" s="798"/>
      <c r="J3497" s="778" t="str">
        <f aca="false">IF(I3497="","",H3497/I3497)</f>
        <v/>
      </c>
      <c r="K3497" s="798"/>
      <c r="P3497" s="798"/>
      <c r="Q3497" s="798"/>
      <c r="R3497" s="811"/>
    </row>
    <row r="3498" customFormat="false" ht="16.5" hidden="false" customHeight="true" outlineLevel="0" collapsed="false">
      <c r="A3498" s="747"/>
      <c r="B3498" s="798"/>
      <c r="D3498" s="798"/>
      <c r="E3498" s="798"/>
      <c r="F3498" s="798"/>
      <c r="G3498" s="798"/>
      <c r="J3498" s="778" t="str">
        <f aca="false">IF(I3498="","",H3498/I3498)</f>
        <v/>
      </c>
      <c r="K3498" s="798"/>
      <c r="P3498" s="798"/>
      <c r="Q3498" s="798"/>
      <c r="R3498" s="811"/>
    </row>
    <row r="3499" customFormat="false" ht="16.5" hidden="false" customHeight="true" outlineLevel="0" collapsed="false">
      <c r="A3499" s="747"/>
      <c r="B3499" s="798"/>
      <c r="D3499" s="798"/>
      <c r="E3499" s="798"/>
      <c r="F3499" s="798"/>
      <c r="G3499" s="798"/>
      <c r="J3499" s="778" t="str">
        <f aca="false">IF(I3499="","",H3499/I3499)</f>
        <v/>
      </c>
      <c r="K3499" s="798"/>
      <c r="P3499" s="798"/>
      <c r="Q3499" s="798"/>
      <c r="R3499" s="811"/>
    </row>
    <row r="3500" customFormat="false" ht="16.5" hidden="false" customHeight="true" outlineLevel="0" collapsed="false">
      <c r="A3500" s="747"/>
      <c r="B3500" s="798"/>
      <c r="D3500" s="798"/>
      <c r="E3500" s="798"/>
      <c r="F3500" s="798"/>
      <c r="G3500" s="798"/>
      <c r="J3500" s="778" t="str">
        <f aca="false">IF(I3500="","",H3500/I3500)</f>
        <v/>
      </c>
      <c r="K3500" s="798"/>
      <c r="P3500" s="798"/>
      <c r="Q3500" s="798"/>
      <c r="R3500" s="811"/>
    </row>
    <row r="3501" customFormat="false" ht="16.5" hidden="false" customHeight="true" outlineLevel="0" collapsed="false">
      <c r="A3501" s="747"/>
      <c r="B3501" s="798"/>
      <c r="D3501" s="798"/>
      <c r="E3501" s="798"/>
      <c r="F3501" s="798"/>
      <c r="G3501" s="798"/>
      <c r="J3501" s="778" t="str">
        <f aca="false">IF(I3501="","",H3501/I3501)</f>
        <v/>
      </c>
      <c r="K3501" s="798"/>
      <c r="P3501" s="798"/>
      <c r="Q3501" s="798"/>
      <c r="R3501" s="811"/>
    </row>
    <row r="3502" customFormat="false" ht="16.5" hidden="false" customHeight="true" outlineLevel="0" collapsed="false">
      <c r="A3502" s="747"/>
      <c r="B3502" s="798"/>
      <c r="D3502" s="798"/>
      <c r="E3502" s="798"/>
      <c r="F3502" s="798"/>
      <c r="G3502" s="798"/>
      <c r="J3502" s="778" t="str">
        <f aca="false">IF(I3502="","",H3502/I3502)</f>
        <v/>
      </c>
      <c r="K3502" s="798"/>
      <c r="P3502" s="798"/>
      <c r="Q3502" s="798"/>
      <c r="R3502" s="811"/>
    </row>
    <row r="3503" customFormat="false" ht="16.5" hidden="false" customHeight="true" outlineLevel="0" collapsed="false">
      <c r="A3503" s="747"/>
      <c r="B3503" s="798"/>
      <c r="D3503" s="798"/>
      <c r="E3503" s="798"/>
      <c r="F3503" s="798"/>
      <c r="G3503" s="798"/>
      <c r="J3503" s="778" t="str">
        <f aca="false">IF(I3503="","",H3503/I3503)</f>
        <v/>
      </c>
      <c r="K3503" s="798"/>
      <c r="P3503" s="798"/>
      <c r="Q3503" s="798"/>
      <c r="R3503" s="811"/>
    </row>
    <row r="3504" customFormat="false" ht="16.5" hidden="false" customHeight="true" outlineLevel="0" collapsed="false">
      <c r="A3504" s="747"/>
      <c r="B3504" s="798"/>
      <c r="D3504" s="798"/>
      <c r="E3504" s="798"/>
      <c r="F3504" s="798"/>
      <c r="G3504" s="798"/>
      <c r="J3504" s="778" t="str">
        <f aca="false">IF(I3504="","",H3504/I3504)</f>
        <v/>
      </c>
      <c r="K3504" s="798"/>
      <c r="P3504" s="798"/>
      <c r="Q3504" s="798"/>
      <c r="R3504" s="811"/>
    </row>
    <row r="3505" customFormat="false" ht="16.5" hidden="false" customHeight="true" outlineLevel="0" collapsed="false">
      <c r="A3505" s="747"/>
      <c r="B3505" s="798"/>
      <c r="D3505" s="798"/>
      <c r="E3505" s="798"/>
      <c r="F3505" s="798"/>
      <c r="G3505" s="798"/>
      <c r="J3505" s="778" t="str">
        <f aca="false">IF(I3505="","",H3505/I3505)</f>
        <v/>
      </c>
      <c r="K3505" s="798"/>
      <c r="P3505" s="798"/>
      <c r="Q3505" s="798"/>
      <c r="R3505" s="811"/>
    </row>
    <row r="3506" customFormat="false" ht="16.5" hidden="false" customHeight="true" outlineLevel="0" collapsed="false">
      <c r="A3506" s="747"/>
      <c r="B3506" s="798"/>
      <c r="D3506" s="798"/>
      <c r="E3506" s="798"/>
      <c r="F3506" s="798"/>
      <c r="G3506" s="798"/>
      <c r="J3506" s="778" t="str">
        <f aca="false">IF(I3506="","",H3506/I3506)</f>
        <v/>
      </c>
      <c r="K3506" s="798"/>
      <c r="P3506" s="798"/>
      <c r="Q3506" s="798"/>
      <c r="R3506" s="811"/>
    </row>
    <row r="3507" customFormat="false" ht="16.5" hidden="false" customHeight="true" outlineLevel="0" collapsed="false">
      <c r="A3507" s="747"/>
      <c r="B3507" s="798"/>
      <c r="D3507" s="798"/>
      <c r="E3507" s="798"/>
      <c r="F3507" s="798"/>
      <c r="G3507" s="798"/>
      <c r="J3507" s="778" t="str">
        <f aca="false">IF(I3507="","",H3507/I3507)</f>
        <v/>
      </c>
      <c r="K3507" s="798"/>
      <c r="P3507" s="798"/>
      <c r="Q3507" s="798"/>
      <c r="R3507" s="811"/>
    </row>
    <row r="3508" customFormat="false" ht="16.5" hidden="false" customHeight="true" outlineLevel="0" collapsed="false">
      <c r="A3508" s="747"/>
      <c r="B3508" s="798"/>
      <c r="D3508" s="798"/>
      <c r="E3508" s="798"/>
      <c r="F3508" s="798"/>
      <c r="G3508" s="798"/>
      <c r="J3508" s="778" t="str">
        <f aca="false">IF(I3508="","",H3508/I3508)</f>
        <v/>
      </c>
      <c r="K3508" s="798"/>
      <c r="P3508" s="798"/>
      <c r="Q3508" s="798"/>
      <c r="R3508" s="811"/>
    </row>
    <row r="3509" customFormat="false" ht="16.5" hidden="false" customHeight="true" outlineLevel="0" collapsed="false">
      <c r="A3509" s="747"/>
      <c r="B3509" s="798"/>
      <c r="D3509" s="798"/>
      <c r="E3509" s="798"/>
      <c r="F3509" s="798"/>
      <c r="G3509" s="798"/>
      <c r="J3509" s="778" t="str">
        <f aca="false">IF(I3509="","",H3509/I3509)</f>
        <v/>
      </c>
      <c r="K3509" s="798"/>
      <c r="P3509" s="798"/>
      <c r="Q3509" s="798"/>
      <c r="R3509" s="811"/>
    </row>
    <row r="3510" customFormat="false" ht="16.5" hidden="false" customHeight="true" outlineLevel="0" collapsed="false">
      <c r="A3510" s="747"/>
      <c r="B3510" s="798"/>
      <c r="D3510" s="798"/>
      <c r="E3510" s="798"/>
      <c r="F3510" s="798"/>
      <c r="G3510" s="798"/>
      <c r="J3510" s="778" t="str">
        <f aca="false">IF(I3510="","",H3510/I3510)</f>
        <v/>
      </c>
      <c r="K3510" s="798"/>
      <c r="P3510" s="798"/>
      <c r="Q3510" s="798"/>
      <c r="R3510" s="811"/>
    </row>
    <row r="3511" customFormat="false" ht="16.5" hidden="false" customHeight="true" outlineLevel="0" collapsed="false">
      <c r="A3511" s="747"/>
      <c r="B3511" s="798"/>
      <c r="D3511" s="798"/>
      <c r="E3511" s="798"/>
      <c r="F3511" s="798"/>
      <c r="G3511" s="798"/>
      <c r="J3511" s="778" t="str">
        <f aca="false">IF(I3511="","",H3511/I3511)</f>
        <v/>
      </c>
      <c r="K3511" s="798"/>
      <c r="P3511" s="798"/>
      <c r="Q3511" s="798"/>
      <c r="R3511" s="811"/>
    </row>
    <row r="3512" customFormat="false" ht="16.5" hidden="false" customHeight="true" outlineLevel="0" collapsed="false">
      <c r="A3512" s="747"/>
      <c r="B3512" s="798"/>
      <c r="D3512" s="798"/>
      <c r="E3512" s="798"/>
      <c r="F3512" s="798"/>
      <c r="G3512" s="798"/>
      <c r="J3512" s="778" t="str">
        <f aca="false">IF(I3512="","",H3512/I3512)</f>
        <v/>
      </c>
      <c r="K3512" s="798"/>
      <c r="P3512" s="798"/>
      <c r="Q3512" s="798"/>
      <c r="R3512" s="811"/>
    </row>
    <row r="3513" customFormat="false" ht="16.5" hidden="false" customHeight="true" outlineLevel="0" collapsed="false">
      <c r="A3513" s="747"/>
      <c r="B3513" s="798"/>
      <c r="D3513" s="798"/>
      <c r="E3513" s="798"/>
      <c r="F3513" s="798"/>
      <c r="G3513" s="798"/>
      <c r="J3513" s="778" t="str">
        <f aca="false">IF(I3513="","",H3513/I3513)</f>
        <v/>
      </c>
      <c r="K3513" s="798"/>
      <c r="P3513" s="798"/>
      <c r="Q3513" s="798"/>
      <c r="R3513" s="811"/>
    </row>
    <row r="3514" customFormat="false" ht="16.5" hidden="false" customHeight="true" outlineLevel="0" collapsed="false">
      <c r="A3514" s="747"/>
      <c r="B3514" s="798"/>
      <c r="D3514" s="798"/>
      <c r="E3514" s="798"/>
      <c r="F3514" s="798"/>
      <c r="G3514" s="798"/>
      <c r="J3514" s="778" t="str">
        <f aca="false">IF(I3514="","",H3514/I3514)</f>
        <v/>
      </c>
      <c r="K3514" s="798"/>
      <c r="P3514" s="798"/>
      <c r="Q3514" s="798"/>
      <c r="R3514" s="811"/>
    </row>
    <row r="3515" customFormat="false" ht="16.5" hidden="false" customHeight="true" outlineLevel="0" collapsed="false">
      <c r="A3515" s="747"/>
      <c r="B3515" s="798"/>
      <c r="D3515" s="798"/>
      <c r="E3515" s="798"/>
      <c r="F3515" s="798"/>
      <c r="G3515" s="798"/>
      <c r="J3515" s="778" t="str">
        <f aca="false">IF(I3515="","",H3515/I3515)</f>
        <v/>
      </c>
      <c r="K3515" s="798"/>
      <c r="P3515" s="798"/>
      <c r="Q3515" s="798"/>
      <c r="R3515" s="811"/>
    </row>
    <row r="3516" customFormat="false" ht="16.5" hidden="false" customHeight="true" outlineLevel="0" collapsed="false">
      <c r="A3516" s="747"/>
      <c r="B3516" s="798"/>
      <c r="D3516" s="798"/>
      <c r="E3516" s="798"/>
      <c r="F3516" s="798"/>
      <c r="G3516" s="798"/>
      <c r="J3516" s="778" t="str">
        <f aca="false">IF(I3516="","",H3516/I3516)</f>
        <v/>
      </c>
      <c r="K3516" s="798"/>
      <c r="P3516" s="798"/>
      <c r="Q3516" s="798"/>
      <c r="R3516" s="811"/>
    </row>
    <row r="3517" customFormat="false" ht="16.5" hidden="false" customHeight="true" outlineLevel="0" collapsed="false">
      <c r="A3517" s="747"/>
      <c r="B3517" s="798"/>
      <c r="D3517" s="798"/>
      <c r="E3517" s="798"/>
      <c r="F3517" s="798"/>
      <c r="G3517" s="798"/>
      <c r="J3517" s="778" t="str">
        <f aca="false">IF(I3517="","",H3517/I3517)</f>
        <v/>
      </c>
      <c r="K3517" s="798"/>
      <c r="P3517" s="798"/>
      <c r="Q3517" s="798"/>
      <c r="R3517" s="811"/>
    </row>
    <row r="3518" customFormat="false" ht="16.5" hidden="false" customHeight="true" outlineLevel="0" collapsed="false">
      <c r="A3518" s="747"/>
      <c r="B3518" s="798"/>
      <c r="D3518" s="798"/>
      <c r="E3518" s="798"/>
      <c r="F3518" s="798"/>
      <c r="G3518" s="798"/>
      <c r="J3518" s="778" t="str">
        <f aca="false">IF(I3518="","",H3518/I3518)</f>
        <v/>
      </c>
      <c r="K3518" s="798"/>
      <c r="P3518" s="798"/>
      <c r="Q3518" s="798"/>
      <c r="R3518" s="811"/>
    </row>
    <row r="3519" customFormat="false" ht="16.5" hidden="false" customHeight="true" outlineLevel="0" collapsed="false">
      <c r="A3519" s="747"/>
      <c r="B3519" s="798"/>
      <c r="D3519" s="798"/>
      <c r="E3519" s="798"/>
      <c r="F3519" s="798"/>
      <c r="G3519" s="798"/>
      <c r="J3519" s="778" t="str">
        <f aca="false">IF(I3519="","",H3519/I3519)</f>
        <v/>
      </c>
      <c r="K3519" s="798"/>
      <c r="P3519" s="798"/>
      <c r="Q3519" s="798"/>
      <c r="R3519" s="811"/>
    </row>
    <row r="3520" customFormat="false" ht="16.5" hidden="false" customHeight="true" outlineLevel="0" collapsed="false">
      <c r="A3520" s="747"/>
      <c r="B3520" s="798"/>
      <c r="D3520" s="798"/>
      <c r="E3520" s="798"/>
      <c r="F3520" s="798"/>
      <c r="G3520" s="798"/>
      <c r="J3520" s="778" t="str">
        <f aca="false">IF(I3520="","",H3520/I3520)</f>
        <v/>
      </c>
      <c r="K3520" s="798"/>
      <c r="P3520" s="798"/>
      <c r="Q3520" s="798"/>
      <c r="R3520" s="811"/>
    </row>
    <row r="3521" customFormat="false" ht="16.5" hidden="false" customHeight="true" outlineLevel="0" collapsed="false">
      <c r="A3521" s="747"/>
      <c r="B3521" s="798"/>
      <c r="D3521" s="798"/>
      <c r="E3521" s="798"/>
      <c r="F3521" s="798"/>
      <c r="G3521" s="798"/>
      <c r="J3521" s="778" t="str">
        <f aca="false">IF(I3521="","",H3521/I3521)</f>
        <v/>
      </c>
      <c r="K3521" s="798"/>
      <c r="P3521" s="798"/>
      <c r="Q3521" s="798"/>
      <c r="R3521" s="811"/>
    </row>
    <row r="3522" customFormat="false" ht="16.5" hidden="false" customHeight="true" outlineLevel="0" collapsed="false">
      <c r="A3522" s="747"/>
      <c r="B3522" s="798"/>
      <c r="D3522" s="798"/>
      <c r="E3522" s="798"/>
      <c r="F3522" s="798"/>
      <c r="G3522" s="798"/>
      <c r="J3522" s="778" t="str">
        <f aca="false">IF(I3522="","",H3522/I3522)</f>
        <v/>
      </c>
      <c r="K3522" s="798"/>
      <c r="P3522" s="798"/>
      <c r="Q3522" s="798"/>
      <c r="R3522" s="811"/>
    </row>
    <row r="3523" customFormat="false" ht="16.5" hidden="false" customHeight="true" outlineLevel="0" collapsed="false">
      <c r="A3523" s="747"/>
      <c r="B3523" s="798"/>
      <c r="D3523" s="798"/>
      <c r="E3523" s="798"/>
      <c r="F3523" s="798"/>
      <c r="G3523" s="798"/>
      <c r="J3523" s="778" t="str">
        <f aca="false">IF(I3523="","",H3523/I3523)</f>
        <v/>
      </c>
      <c r="K3523" s="798"/>
      <c r="P3523" s="798"/>
      <c r="Q3523" s="798"/>
      <c r="R3523" s="811"/>
    </row>
    <row r="3524" customFormat="false" ht="16.5" hidden="false" customHeight="true" outlineLevel="0" collapsed="false">
      <c r="A3524" s="747"/>
      <c r="B3524" s="798"/>
      <c r="D3524" s="798"/>
      <c r="E3524" s="798"/>
      <c r="F3524" s="798"/>
      <c r="G3524" s="798"/>
      <c r="J3524" s="778" t="str">
        <f aca="false">IF(I3524="","",H3524/I3524)</f>
        <v/>
      </c>
      <c r="K3524" s="798"/>
      <c r="P3524" s="798"/>
      <c r="Q3524" s="798"/>
      <c r="R3524" s="811"/>
    </row>
    <row r="3525" customFormat="false" ht="16.5" hidden="false" customHeight="true" outlineLevel="0" collapsed="false">
      <c r="A3525" s="747"/>
      <c r="B3525" s="798"/>
      <c r="D3525" s="798"/>
      <c r="E3525" s="798"/>
      <c r="F3525" s="798"/>
      <c r="G3525" s="798"/>
      <c r="J3525" s="778" t="str">
        <f aca="false">IF(I3525="","",H3525/I3525)</f>
        <v/>
      </c>
      <c r="K3525" s="798"/>
      <c r="P3525" s="798"/>
      <c r="Q3525" s="798"/>
      <c r="R3525" s="811"/>
    </row>
    <row r="3526" customFormat="false" ht="16.5" hidden="false" customHeight="true" outlineLevel="0" collapsed="false">
      <c r="A3526" s="747"/>
      <c r="B3526" s="798"/>
      <c r="D3526" s="798"/>
      <c r="E3526" s="798"/>
      <c r="F3526" s="798"/>
      <c r="G3526" s="798"/>
      <c r="J3526" s="778" t="str">
        <f aca="false">IF(I3526="","",H3526/I3526)</f>
        <v/>
      </c>
      <c r="K3526" s="798"/>
      <c r="P3526" s="798"/>
      <c r="Q3526" s="798"/>
      <c r="R3526" s="811"/>
    </row>
    <row r="3527" customFormat="false" ht="16.5" hidden="false" customHeight="true" outlineLevel="0" collapsed="false">
      <c r="A3527" s="747"/>
      <c r="B3527" s="798"/>
      <c r="D3527" s="798"/>
      <c r="E3527" s="798"/>
      <c r="F3527" s="798"/>
      <c r="G3527" s="798"/>
      <c r="J3527" s="778" t="str">
        <f aca="false">IF(I3527="","",H3527/I3527)</f>
        <v/>
      </c>
      <c r="K3527" s="798"/>
      <c r="P3527" s="798"/>
      <c r="Q3527" s="798"/>
      <c r="R3527" s="811"/>
    </row>
    <row r="3528" customFormat="false" ht="16.5" hidden="false" customHeight="true" outlineLevel="0" collapsed="false">
      <c r="A3528" s="747"/>
      <c r="B3528" s="798"/>
      <c r="D3528" s="798"/>
      <c r="E3528" s="798"/>
      <c r="F3528" s="798"/>
      <c r="G3528" s="798"/>
      <c r="J3528" s="778" t="str">
        <f aca="false">IF(I3528="","",H3528/I3528)</f>
        <v/>
      </c>
      <c r="K3528" s="798"/>
      <c r="P3528" s="798"/>
      <c r="Q3528" s="798"/>
      <c r="R3528" s="811"/>
    </row>
    <row r="3529" customFormat="false" ht="16.5" hidden="false" customHeight="true" outlineLevel="0" collapsed="false">
      <c r="A3529" s="747"/>
      <c r="B3529" s="798"/>
      <c r="D3529" s="798"/>
      <c r="E3529" s="798"/>
      <c r="F3529" s="798"/>
      <c r="G3529" s="798"/>
      <c r="J3529" s="778" t="str">
        <f aca="false">IF(I3529="","",H3529/I3529)</f>
        <v/>
      </c>
      <c r="K3529" s="798"/>
      <c r="P3529" s="798"/>
      <c r="Q3529" s="798"/>
      <c r="R3529" s="811"/>
    </row>
    <row r="3530" customFormat="false" ht="16.5" hidden="false" customHeight="true" outlineLevel="0" collapsed="false">
      <c r="A3530" s="747"/>
      <c r="B3530" s="798"/>
      <c r="D3530" s="798"/>
      <c r="E3530" s="798"/>
      <c r="F3530" s="798"/>
      <c r="G3530" s="798"/>
      <c r="J3530" s="778" t="str">
        <f aca="false">IF(I3530="","",H3530/I3530)</f>
        <v/>
      </c>
      <c r="K3530" s="798"/>
      <c r="P3530" s="798"/>
      <c r="Q3530" s="798"/>
      <c r="R3530" s="811"/>
    </row>
    <row r="3531" customFormat="false" ht="16.5" hidden="false" customHeight="true" outlineLevel="0" collapsed="false">
      <c r="A3531" s="747"/>
      <c r="B3531" s="798"/>
      <c r="D3531" s="798"/>
      <c r="E3531" s="798"/>
      <c r="F3531" s="798"/>
      <c r="G3531" s="798"/>
      <c r="J3531" s="778" t="str">
        <f aca="false">IF(I3531="","",H3531/I3531)</f>
        <v/>
      </c>
      <c r="K3531" s="798"/>
      <c r="P3531" s="798"/>
      <c r="Q3531" s="798"/>
      <c r="R3531" s="811"/>
    </row>
    <row r="3532" customFormat="false" ht="16.5" hidden="false" customHeight="true" outlineLevel="0" collapsed="false">
      <c r="A3532" s="747"/>
      <c r="B3532" s="798"/>
      <c r="D3532" s="798"/>
      <c r="E3532" s="798"/>
      <c r="F3532" s="798"/>
      <c r="G3532" s="798"/>
      <c r="J3532" s="778" t="str">
        <f aca="false">IF(I3532="","",H3532/I3532)</f>
        <v/>
      </c>
      <c r="K3532" s="798"/>
      <c r="P3532" s="798"/>
      <c r="Q3532" s="798"/>
      <c r="R3532" s="811"/>
    </row>
    <row r="3533" customFormat="false" ht="16.5" hidden="false" customHeight="true" outlineLevel="0" collapsed="false">
      <c r="A3533" s="747"/>
      <c r="B3533" s="798"/>
      <c r="D3533" s="798"/>
      <c r="E3533" s="798"/>
      <c r="F3533" s="798"/>
      <c r="G3533" s="798"/>
      <c r="J3533" s="778" t="str">
        <f aca="false">IF(I3533="","",H3533/I3533)</f>
        <v/>
      </c>
      <c r="K3533" s="798"/>
      <c r="P3533" s="798"/>
      <c r="Q3533" s="798"/>
      <c r="R3533" s="811"/>
    </row>
    <row r="3534" customFormat="false" ht="16.5" hidden="false" customHeight="true" outlineLevel="0" collapsed="false">
      <c r="A3534" s="747"/>
      <c r="B3534" s="798"/>
      <c r="D3534" s="798"/>
      <c r="E3534" s="798"/>
      <c r="F3534" s="798"/>
      <c r="G3534" s="798"/>
      <c r="J3534" s="778" t="str">
        <f aca="false">IF(I3534="","",H3534/I3534)</f>
        <v/>
      </c>
      <c r="K3534" s="798"/>
      <c r="P3534" s="798"/>
      <c r="Q3534" s="798"/>
      <c r="R3534" s="811"/>
    </row>
    <row r="3535" customFormat="false" ht="16.5" hidden="false" customHeight="true" outlineLevel="0" collapsed="false">
      <c r="A3535" s="747"/>
      <c r="B3535" s="798"/>
      <c r="D3535" s="798"/>
      <c r="E3535" s="798"/>
      <c r="F3535" s="798"/>
      <c r="G3535" s="798"/>
      <c r="J3535" s="778" t="str">
        <f aca="false">IF(I3535="","",H3535/I3535)</f>
        <v/>
      </c>
      <c r="K3535" s="798"/>
      <c r="P3535" s="798"/>
      <c r="Q3535" s="798"/>
      <c r="R3535" s="811"/>
    </row>
    <row r="3536" customFormat="false" ht="16.5" hidden="false" customHeight="true" outlineLevel="0" collapsed="false">
      <c r="A3536" s="747"/>
      <c r="B3536" s="798"/>
      <c r="D3536" s="798"/>
      <c r="E3536" s="798"/>
      <c r="F3536" s="798"/>
      <c r="G3536" s="798"/>
      <c r="J3536" s="778" t="str">
        <f aca="false">IF(I3536="","",H3536/I3536)</f>
        <v/>
      </c>
      <c r="K3536" s="798"/>
      <c r="P3536" s="798"/>
      <c r="Q3536" s="798"/>
      <c r="R3536" s="811"/>
    </row>
    <row r="3537" customFormat="false" ht="16.5" hidden="false" customHeight="true" outlineLevel="0" collapsed="false">
      <c r="A3537" s="747"/>
      <c r="B3537" s="798"/>
      <c r="D3537" s="798"/>
      <c r="E3537" s="798"/>
      <c r="F3537" s="798"/>
      <c r="G3537" s="798"/>
      <c r="J3537" s="778" t="str">
        <f aca="false">IF(I3537="","",H3537/I3537)</f>
        <v/>
      </c>
      <c r="K3537" s="798"/>
      <c r="P3537" s="798"/>
      <c r="Q3537" s="798"/>
      <c r="R3537" s="811"/>
    </row>
    <row r="3538" customFormat="false" ht="16.5" hidden="false" customHeight="true" outlineLevel="0" collapsed="false">
      <c r="A3538" s="747"/>
      <c r="B3538" s="798"/>
      <c r="D3538" s="798"/>
      <c r="E3538" s="798"/>
      <c r="F3538" s="798"/>
      <c r="G3538" s="798"/>
      <c r="J3538" s="778" t="str">
        <f aca="false">IF(I3538="","",H3538/I3538)</f>
        <v/>
      </c>
      <c r="K3538" s="798"/>
      <c r="P3538" s="798"/>
      <c r="Q3538" s="798"/>
      <c r="R3538" s="811"/>
    </row>
    <row r="3539" customFormat="false" ht="16.5" hidden="false" customHeight="true" outlineLevel="0" collapsed="false">
      <c r="A3539" s="747"/>
      <c r="B3539" s="798"/>
      <c r="D3539" s="798"/>
      <c r="E3539" s="798"/>
      <c r="F3539" s="798"/>
      <c r="G3539" s="798"/>
      <c r="J3539" s="778" t="str">
        <f aca="false">IF(I3539="","",H3539/I3539)</f>
        <v/>
      </c>
      <c r="K3539" s="798"/>
      <c r="P3539" s="798"/>
      <c r="Q3539" s="798"/>
      <c r="R3539" s="811"/>
    </row>
    <row r="3540" customFormat="false" ht="16.5" hidden="false" customHeight="true" outlineLevel="0" collapsed="false">
      <c r="A3540" s="747"/>
      <c r="B3540" s="798"/>
      <c r="D3540" s="798"/>
      <c r="E3540" s="798"/>
      <c r="F3540" s="798"/>
      <c r="G3540" s="798"/>
      <c r="J3540" s="778" t="str">
        <f aca="false">IF(I3540="","",H3540/I3540)</f>
        <v/>
      </c>
      <c r="K3540" s="798"/>
      <c r="P3540" s="798"/>
      <c r="Q3540" s="798"/>
      <c r="R3540" s="811"/>
    </row>
    <row r="3541" customFormat="false" ht="16.5" hidden="false" customHeight="true" outlineLevel="0" collapsed="false">
      <c r="A3541" s="747"/>
      <c r="B3541" s="798"/>
      <c r="D3541" s="798"/>
      <c r="E3541" s="798"/>
      <c r="F3541" s="798"/>
      <c r="G3541" s="798"/>
      <c r="J3541" s="778" t="str">
        <f aca="false">IF(I3541="","",H3541/I3541)</f>
        <v/>
      </c>
      <c r="K3541" s="798"/>
      <c r="P3541" s="798"/>
      <c r="Q3541" s="798"/>
      <c r="R3541" s="811"/>
    </row>
    <row r="3542" customFormat="false" ht="16.5" hidden="false" customHeight="true" outlineLevel="0" collapsed="false">
      <c r="A3542" s="747"/>
      <c r="B3542" s="798"/>
      <c r="D3542" s="798"/>
      <c r="E3542" s="798"/>
      <c r="F3542" s="798"/>
      <c r="G3542" s="798"/>
      <c r="J3542" s="778" t="str">
        <f aca="false">IF(I3542="","",H3542/I3542)</f>
        <v/>
      </c>
      <c r="K3542" s="798"/>
      <c r="P3542" s="798"/>
      <c r="Q3542" s="798"/>
      <c r="R3542" s="811"/>
    </row>
    <row r="3543" customFormat="false" ht="16.5" hidden="false" customHeight="true" outlineLevel="0" collapsed="false">
      <c r="A3543" s="747"/>
      <c r="B3543" s="798"/>
      <c r="D3543" s="798"/>
      <c r="E3543" s="798"/>
      <c r="F3543" s="798"/>
      <c r="G3543" s="798"/>
      <c r="J3543" s="778" t="str">
        <f aca="false">IF(I3543="","",H3543/I3543)</f>
        <v/>
      </c>
      <c r="K3543" s="798"/>
      <c r="P3543" s="798"/>
      <c r="Q3543" s="798"/>
      <c r="R3543" s="811"/>
    </row>
    <row r="3544" customFormat="false" ht="16.5" hidden="false" customHeight="true" outlineLevel="0" collapsed="false">
      <c r="A3544" s="747"/>
      <c r="B3544" s="798"/>
      <c r="D3544" s="798"/>
      <c r="E3544" s="798"/>
      <c r="F3544" s="798"/>
      <c r="G3544" s="798"/>
      <c r="J3544" s="778" t="str">
        <f aca="false">IF(I3544="","",H3544/I3544)</f>
        <v/>
      </c>
      <c r="K3544" s="798"/>
      <c r="P3544" s="798"/>
      <c r="Q3544" s="798"/>
      <c r="R3544" s="811"/>
    </row>
    <row r="3545" customFormat="false" ht="16.5" hidden="false" customHeight="true" outlineLevel="0" collapsed="false">
      <c r="A3545" s="747"/>
      <c r="B3545" s="798"/>
      <c r="D3545" s="798"/>
      <c r="E3545" s="798"/>
      <c r="F3545" s="798"/>
      <c r="G3545" s="798"/>
      <c r="J3545" s="778" t="str">
        <f aca="false">IF(I3545="","",H3545/I3545)</f>
        <v/>
      </c>
      <c r="K3545" s="798"/>
      <c r="P3545" s="798"/>
      <c r="Q3545" s="798"/>
      <c r="R3545" s="811"/>
    </row>
    <row r="3546" customFormat="false" ht="16.5" hidden="false" customHeight="true" outlineLevel="0" collapsed="false">
      <c r="A3546" s="747"/>
      <c r="B3546" s="798"/>
      <c r="D3546" s="798"/>
      <c r="E3546" s="798"/>
      <c r="F3546" s="798"/>
      <c r="G3546" s="798"/>
      <c r="J3546" s="778" t="str">
        <f aca="false">IF(I3546="","",H3546/I3546)</f>
        <v/>
      </c>
      <c r="K3546" s="798"/>
      <c r="P3546" s="798"/>
      <c r="Q3546" s="798"/>
      <c r="R3546" s="811"/>
    </row>
    <row r="3547" customFormat="false" ht="16.5" hidden="false" customHeight="true" outlineLevel="0" collapsed="false">
      <c r="A3547" s="747"/>
      <c r="B3547" s="798"/>
      <c r="D3547" s="798"/>
      <c r="E3547" s="798"/>
      <c r="F3547" s="798"/>
      <c r="G3547" s="798"/>
      <c r="J3547" s="778" t="str">
        <f aca="false">IF(I3547="","",H3547/I3547)</f>
        <v/>
      </c>
      <c r="K3547" s="798"/>
      <c r="P3547" s="798"/>
      <c r="Q3547" s="798"/>
      <c r="R3547" s="811"/>
    </row>
    <row r="3548" customFormat="false" ht="16.5" hidden="false" customHeight="true" outlineLevel="0" collapsed="false">
      <c r="A3548" s="747"/>
      <c r="B3548" s="798"/>
      <c r="D3548" s="798"/>
      <c r="E3548" s="798"/>
      <c r="F3548" s="798"/>
      <c r="G3548" s="798"/>
      <c r="J3548" s="778" t="str">
        <f aca="false">IF(I3548="","",H3548/I3548)</f>
        <v/>
      </c>
      <c r="K3548" s="798"/>
      <c r="P3548" s="798"/>
      <c r="Q3548" s="798"/>
      <c r="R3548" s="811"/>
    </row>
    <row r="3549" customFormat="false" ht="16.5" hidden="false" customHeight="true" outlineLevel="0" collapsed="false">
      <c r="A3549" s="747"/>
      <c r="B3549" s="798"/>
      <c r="D3549" s="798"/>
      <c r="E3549" s="798"/>
      <c r="F3549" s="798"/>
      <c r="G3549" s="798"/>
      <c r="J3549" s="778" t="str">
        <f aca="false">IF(I3549="","",H3549/I3549)</f>
        <v/>
      </c>
      <c r="K3549" s="798"/>
      <c r="P3549" s="798"/>
      <c r="Q3549" s="798"/>
      <c r="R3549" s="811"/>
    </row>
    <row r="3550" customFormat="false" ht="16.5" hidden="false" customHeight="true" outlineLevel="0" collapsed="false">
      <c r="A3550" s="747"/>
      <c r="B3550" s="798"/>
      <c r="D3550" s="798"/>
      <c r="E3550" s="798"/>
      <c r="F3550" s="798"/>
      <c r="G3550" s="798"/>
      <c r="J3550" s="778" t="str">
        <f aca="false">IF(I3550="","",H3550/I3550)</f>
        <v/>
      </c>
      <c r="K3550" s="798"/>
      <c r="P3550" s="798"/>
      <c r="Q3550" s="798"/>
      <c r="R3550" s="811"/>
    </row>
    <row r="3551" customFormat="false" ht="16.5" hidden="false" customHeight="true" outlineLevel="0" collapsed="false">
      <c r="A3551" s="747"/>
      <c r="B3551" s="798"/>
      <c r="D3551" s="798"/>
      <c r="E3551" s="798"/>
      <c r="F3551" s="798"/>
      <c r="G3551" s="798"/>
      <c r="J3551" s="778" t="str">
        <f aca="false">IF(I3551="","",H3551/I3551)</f>
        <v/>
      </c>
      <c r="K3551" s="798"/>
      <c r="P3551" s="798"/>
      <c r="Q3551" s="798"/>
      <c r="R3551" s="811"/>
    </row>
    <row r="3552" customFormat="false" ht="16.5" hidden="false" customHeight="true" outlineLevel="0" collapsed="false">
      <c r="A3552" s="747"/>
      <c r="B3552" s="798"/>
      <c r="D3552" s="798"/>
      <c r="E3552" s="798"/>
      <c r="F3552" s="798"/>
      <c r="G3552" s="798"/>
      <c r="J3552" s="778" t="str">
        <f aca="false">IF(I3552="","",H3552/I3552)</f>
        <v/>
      </c>
      <c r="K3552" s="798"/>
      <c r="P3552" s="798"/>
      <c r="Q3552" s="798"/>
      <c r="R3552" s="811"/>
    </row>
    <row r="3553" customFormat="false" ht="16.5" hidden="false" customHeight="true" outlineLevel="0" collapsed="false">
      <c r="A3553" s="747"/>
      <c r="B3553" s="798"/>
      <c r="D3553" s="798"/>
      <c r="E3553" s="798"/>
      <c r="F3553" s="798"/>
      <c r="G3553" s="798"/>
      <c r="J3553" s="778" t="str">
        <f aca="false">IF(I3553="","",H3553/I3553)</f>
        <v/>
      </c>
      <c r="K3553" s="798"/>
      <c r="P3553" s="798"/>
      <c r="Q3553" s="798"/>
      <c r="R3553" s="811"/>
    </row>
    <row r="3554" customFormat="false" ht="16.5" hidden="false" customHeight="true" outlineLevel="0" collapsed="false">
      <c r="A3554" s="747"/>
      <c r="B3554" s="798"/>
      <c r="D3554" s="798"/>
      <c r="E3554" s="798"/>
      <c r="F3554" s="798"/>
      <c r="G3554" s="798"/>
      <c r="J3554" s="778" t="str">
        <f aca="false">IF(I3554="","",H3554/I3554)</f>
        <v/>
      </c>
      <c r="K3554" s="798"/>
      <c r="P3554" s="798"/>
      <c r="Q3554" s="798"/>
      <c r="R3554" s="811"/>
    </row>
    <row r="3555" customFormat="false" ht="16.5" hidden="false" customHeight="true" outlineLevel="0" collapsed="false">
      <c r="A3555" s="747"/>
      <c r="B3555" s="798"/>
      <c r="D3555" s="798"/>
      <c r="E3555" s="798"/>
      <c r="F3555" s="798"/>
      <c r="G3555" s="798"/>
      <c r="J3555" s="778" t="str">
        <f aca="false">IF(I3555="","",H3555/I3555)</f>
        <v/>
      </c>
      <c r="K3555" s="798"/>
      <c r="P3555" s="798"/>
      <c r="Q3555" s="798"/>
      <c r="R3555" s="811"/>
    </row>
    <row r="3556" customFormat="false" ht="16.5" hidden="false" customHeight="true" outlineLevel="0" collapsed="false">
      <c r="A3556" s="747"/>
      <c r="B3556" s="798"/>
      <c r="D3556" s="798"/>
      <c r="E3556" s="798"/>
      <c r="F3556" s="798"/>
      <c r="G3556" s="798"/>
      <c r="J3556" s="778" t="str">
        <f aca="false">IF(I3556="","",H3556/I3556)</f>
        <v/>
      </c>
      <c r="K3556" s="798"/>
      <c r="P3556" s="798"/>
      <c r="Q3556" s="798"/>
      <c r="R3556" s="811"/>
    </row>
    <row r="3557" customFormat="false" ht="16.5" hidden="false" customHeight="true" outlineLevel="0" collapsed="false">
      <c r="A3557" s="747"/>
      <c r="B3557" s="798"/>
      <c r="D3557" s="798"/>
      <c r="E3557" s="798"/>
      <c r="F3557" s="798"/>
      <c r="G3557" s="798"/>
      <c r="J3557" s="778" t="str">
        <f aca="false">IF(I3557="","",H3557/I3557)</f>
        <v/>
      </c>
      <c r="K3557" s="798"/>
      <c r="P3557" s="798"/>
      <c r="Q3557" s="798"/>
      <c r="R3557" s="811"/>
    </row>
    <row r="3558" customFormat="false" ht="16.5" hidden="false" customHeight="true" outlineLevel="0" collapsed="false">
      <c r="A3558" s="747"/>
      <c r="B3558" s="798"/>
      <c r="D3558" s="798"/>
      <c r="E3558" s="798"/>
      <c r="F3558" s="798"/>
      <c r="G3558" s="798"/>
      <c r="J3558" s="778" t="str">
        <f aca="false">IF(I3558="","",H3558/I3558)</f>
        <v/>
      </c>
      <c r="K3558" s="798"/>
      <c r="P3558" s="798"/>
      <c r="Q3558" s="798"/>
      <c r="R3558" s="811"/>
    </row>
    <row r="3559" customFormat="false" ht="16.5" hidden="false" customHeight="true" outlineLevel="0" collapsed="false">
      <c r="A3559" s="747"/>
      <c r="B3559" s="798"/>
      <c r="D3559" s="798"/>
      <c r="E3559" s="798"/>
      <c r="F3559" s="798"/>
      <c r="G3559" s="798"/>
      <c r="J3559" s="778" t="str">
        <f aca="false">IF(I3559="","",H3559/I3559)</f>
        <v/>
      </c>
      <c r="K3559" s="798"/>
      <c r="P3559" s="798"/>
      <c r="Q3559" s="798"/>
      <c r="R3559" s="811"/>
    </row>
    <row r="3560" customFormat="false" ht="16.5" hidden="false" customHeight="true" outlineLevel="0" collapsed="false">
      <c r="A3560" s="747"/>
      <c r="B3560" s="798"/>
      <c r="D3560" s="798"/>
      <c r="E3560" s="798"/>
      <c r="F3560" s="798"/>
      <c r="G3560" s="798"/>
      <c r="J3560" s="778" t="str">
        <f aca="false">IF(I3560="","",H3560/I3560)</f>
        <v/>
      </c>
      <c r="K3560" s="798"/>
      <c r="P3560" s="798"/>
      <c r="Q3560" s="798"/>
      <c r="R3560" s="811"/>
    </row>
    <row r="3561" customFormat="false" ht="16.5" hidden="false" customHeight="true" outlineLevel="0" collapsed="false">
      <c r="A3561" s="747"/>
      <c r="B3561" s="798"/>
      <c r="D3561" s="798"/>
      <c r="E3561" s="798"/>
      <c r="F3561" s="798"/>
      <c r="G3561" s="798"/>
      <c r="J3561" s="778" t="str">
        <f aca="false">IF(I3561="","",H3561/I3561)</f>
        <v/>
      </c>
      <c r="K3561" s="798"/>
      <c r="P3561" s="798"/>
      <c r="Q3561" s="798"/>
      <c r="R3561" s="811"/>
    </row>
    <row r="3562" customFormat="false" ht="16.5" hidden="false" customHeight="true" outlineLevel="0" collapsed="false">
      <c r="A3562" s="747"/>
      <c r="B3562" s="798"/>
      <c r="D3562" s="798"/>
      <c r="E3562" s="798"/>
      <c r="F3562" s="798"/>
      <c r="G3562" s="798"/>
      <c r="J3562" s="778" t="str">
        <f aca="false">IF(I3562="","",H3562/I3562)</f>
        <v/>
      </c>
      <c r="K3562" s="798"/>
      <c r="P3562" s="798"/>
      <c r="Q3562" s="798"/>
      <c r="R3562" s="811"/>
    </row>
    <row r="3563" customFormat="false" ht="16.5" hidden="false" customHeight="true" outlineLevel="0" collapsed="false">
      <c r="A3563" s="747"/>
      <c r="B3563" s="798"/>
      <c r="D3563" s="798"/>
      <c r="E3563" s="798"/>
      <c r="F3563" s="798"/>
      <c r="G3563" s="798"/>
      <c r="J3563" s="778" t="str">
        <f aca="false">IF(I3563="","",H3563/I3563)</f>
        <v/>
      </c>
      <c r="K3563" s="798"/>
      <c r="P3563" s="798"/>
      <c r="Q3563" s="798"/>
      <c r="R3563" s="811"/>
    </row>
    <row r="3564" customFormat="false" ht="16.5" hidden="false" customHeight="true" outlineLevel="0" collapsed="false">
      <c r="A3564" s="747"/>
      <c r="B3564" s="798"/>
      <c r="D3564" s="798"/>
      <c r="E3564" s="798"/>
      <c r="F3564" s="798"/>
      <c r="G3564" s="798"/>
      <c r="J3564" s="778" t="str">
        <f aca="false">IF(I3564="","",H3564/I3564)</f>
        <v/>
      </c>
      <c r="K3564" s="798"/>
      <c r="P3564" s="798"/>
      <c r="Q3564" s="798"/>
      <c r="R3564" s="811"/>
    </row>
    <row r="3565" customFormat="false" ht="16.5" hidden="false" customHeight="true" outlineLevel="0" collapsed="false">
      <c r="A3565" s="747"/>
      <c r="B3565" s="798"/>
      <c r="D3565" s="798"/>
      <c r="E3565" s="798"/>
      <c r="F3565" s="798"/>
      <c r="G3565" s="798"/>
      <c r="J3565" s="778" t="str">
        <f aca="false">IF(I3565="","",H3565/I3565)</f>
        <v/>
      </c>
      <c r="K3565" s="798"/>
      <c r="P3565" s="798"/>
      <c r="Q3565" s="798"/>
      <c r="R3565" s="811"/>
    </row>
    <row r="3566" customFormat="false" ht="16.5" hidden="false" customHeight="true" outlineLevel="0" collapsed="false">
      <c r="A3566" s="747"/>
      <c r="B3566" s="798"/>
      <c r="D3566" s="798"/>
      <c r="E3566" s="798"/>
      <c r="F3566" s="798"/>
      <c r="G3566" s="798"/>
      <c r="J3566" s="778" t="str">
        <f aca="false">IF(I3566="","",H3566/I3566)</f>
        <v/>
      </c>
      <c r="K3566" s="798"/>
      <c r="P3566" s="798"/>
      <c r="Q3566" s="798"/>
      <c r="R3566" s="811"/>
    </row>
    <row r="3567" customFormat="false" ht="16.5" hidden="false" customHeight="true" outlineLevel="0" collapsed="false">
      <c r="A3567" s="747"/>
      <c r="B3567" s="798"/>
      <c r="D3567" s="798"/>
      <c r="E3567" s="798"/>
      <c r="F3567" s="798"/>
      <c r="G3567" s="798"/>
      <c r="J3567" s="778" t="str">
        <f aca="false">IF(I3567="","",H3567/I3567)</f>
        <v/>
      </c>
      <c r="K3567" s="798"/>
      <c r="P3567" s="798"/>
      <c r="Q3567" s="798"/>
      <c r="R3567" s="811"/>
    </row>
    <row r="3568" customFormat="false" ht="16.5" hidden="false" customHeight="true" outlineLevel="0" collapsed="false">
      <c r="A3568" s="747"/>
      <c r="B3568" s="798"/>
      <c r="D3568" s="798"/>
      <c r="E3568" s="798"/>
      <c r="F3568" s="798"/>
      <c r="G3568" s="798"/>
      <c r="J3568" s="778" t="str">
        <f aca="false">IF(I3568="","",H3568/I3568)</f>
        <v/>
      </c>
      <c r="K3568" s="798"/>
      <c r="P3568" s="798"/>
      <c r="Q3568" s="798"/>
      <c r="R3568" s="811"/>
    </row>
    <row r="3569" customFormat="false" ht="16.5" hidden="false" customHeight="true" outlineLevel="0" collapsed="false">
      <c r="A3569" s="747"/>
      <c r="B3569" s="798"/>
      <c r="D3569" s="798"/>
      <c r="E3569" s="798"/>
      <c r="F3569" s="798"/>
      <c r="G3569" s="798"/>
      <c r="J3569" s="778" t="str">
        <f aca="false">IF(I3569="","",H3569/I3569)</f>
        <v/>
      </c>
      <c r="K3569" s="798"/>
      <c r="P3569" s="798"/>
      <c r="Q3569" s="798"/>
      <c r="R3569" s="811"/>
    </row>
    <row r="3570" customFormat="false" ht="16.5" hidden="false" customHeight="true" outlineLevel="0" collapsed="false">
      <c r="A3570" s="747"/>
      <c r="B3570" s="798"/>
      <c r="D3570" s="798"/>
      <c r="E3570" s="798"/>
      <c r="F3570" s="798"/>
      <c r="G3570" s="798"/>
      <c r="J3570" s="778" t="str">
        <f aca="false">IF(I3570="","",H3570/I3570)</f>
        <v/>
      </c>
      <c r="K3570" s="798"/>
      <c r="P3570" s="798"/>
      <c r="Q3570" s="798"/>
      <c r="R3570" s="811"/>
    </row>
    <row r="3571" customFormat="false" ht="16.5" hidden="false" customHeight="true" outlineLevel="0" collapsed="false">
      <c r="A3571" s="747"/>
      <c r="B3571" s="798"/>
      <c r="D3571" s="798"/>
      <c r="E3571" s="798"/>
      <c r="F3571" s="798"/>
      <c r="G3571" s="798"/>
      <c r="J3571" s="778" t="str">
        <f aca="false">IF(I3571="","",H3571/I3571)</f>
        <v/>
      </c>
      <c r="K3571" s="798"/>
      <c r="P3571" s="798"/>
      <c r="Q3571" s="798"/>
      <c r="R3571" s="811"/>
    </row>
    <row r="3572" customFormat="false" ht="16.5" hidden="false" customHeight="true" outlineLevel="0" collapsed="false">
      <c r="A3572" s="747"/>
      <c r="B3572" s="798"/>
      <c r="D3572" s="798"/>
      <c r="E3572" s="798"/>
      <c r="F3572" s="798"/>
      <c r="G3572" s="798"/>
      <c r="J3572" s="778" t="str">
        <f aca="false">IF(I3572="","",H3572/I3572)</f>
        <v/>
      </c>
      <c r="K3572" s="798"/>
      <c r="P3572" s="798"/>
      <c r="Q3572" s="798"/>
      <c r="R3572" s="811"/>
    </row>
    <row r="3573" customFormat="false" ht="16.5" hidden="false" customHeight="true" outlineLevel="0" collapsed="false">
      <c r="A3573" s="747"/>
      <c r="B3573" s="798"/>
      <c r="D3573" s="798"/>
      <c r="E3573" s="798"/>
      <c r="F3573" s="798"/>
      <c r="G3573" s="798"/>
      <c r="J3573" s="778" t="str">
        <f aca="false">IF(I3573="","",H3573/I3573)</f>
        <v/>
      </c>
      <c r="K3573" s="798"/>
      <c r="P3573" s="798"/>
      <c r="Q3573" s="798"/>
      <c r="R3573" s="811"/>
    </row>
    <row r="3574" customFormat="false" ht="16.5" hidden="false" customHeight="true" outlineLevel="0" collapsed="false">
      <c r="A3574" s="747"/>
      <c r="B3574" s="798"/>
      <c r="D3574" s="798"/>
      <c r="E3574" s="798"/>
      <c r="F3574" s="798"/>
      <c r="G3574" s="798"/>
      <c r="J3574" s="778" t="str">
        <f aca="false">IF(I3574="","",H3574/I3574)</f>
        <v/>
      </c>
      <c r="K3574" s="798"/>
      <c r="P3574" s="798"/>
      <c r="Q3574" s="798"/>
      <c r="R3574" s="811"/>
    </row>
    <row r="3575" customFormat="false" ht="16.5" hidden="false" customHeight="true" outlineLevel="0" collapsed="false">
      <c r="A3575" s="747"/>
      <c r="B3575" s="798"/>
      <c r="D3575" s="798"/>
      <c r="E3575" s="798"/>
      <c r="F3575" s="798"/>
      <c r="G3575" s="798"/>
      <c r="J3575" s="778" t="str">
        <f aca="false">IF(I3575="","",H3575/I3575)</f>
        <v/>
      </c>
      <c r="K3575" s="798"/>
      <c r="P3575" s="798"/>
      <c r="Q3575" s="798"/>
      <c r="R3575" s="811"/>
    </row>
    <row r="3576" customFormat="false" ht="16.5" hidden="false" customHeight="true" outlineLevel="0" collapsed="false">
      <c r="A3576" s="747"/>
      <c r="B3576" s="798"/>
      <c r="D3576" s="798"/>
      <c r="E3576" s="798"/>
      <c r="F3576" s="798"/>
      <c r="G3576" s="798"/>
      <c r="J3576" s="778" t="str">
        <f aca="false">IF(I3576="","",H3576/I3576)</f>
        <v/>
      </c>
      <c r="K3576" s="798"/>
      <c r="P3576" s="798"/>
      <c r="Q3576" s="798"/>
      <c r="R3576" s="811"/>
    </row>
    <row r="3577" customFormat="false" ht="16.5" hidden="false" customHeight="true" outlineLevel="0" collapsed="false">
      <c r="A3577" s="747"/>
      <c r="B3577" s="798"/>
      <c r="D3577" s="798"/>
      <c r="E3577" s="798"/>
      <c r="F3577" s="798"/>
      <c r="G3577" s="798"/>
      <c r="J3577" s="778" t="str">
        <f aca="false">IF(I3577="","",H3577/I3577)</f>
        <v/>
      </c>
      <c r="K3577" s="798"/>
      <c r="P3577" s="798"/>
      <c r="Q3577" s="798"/>
      <c r="R3577" s="811"/>
    </row>
    <row r="3578" customFormat="false" ht="16.5" hidden="false" customHeight="true" outlineLevel="0" collapsed="false">
      <c r="A3578" s="747"/>
      <c r="B3578" s="798"/>
      <c r="D3578" s="798"/>
      <c r="E3578" s="798"/>
      <c r="F3578" s="798"/>
      <c r="G3578" s="798"/>
      <c r="J3578" s="778" t="str">
        <f aca="false">IF(I3578="","",H3578/I3578)</f>
        <v/>
      </c>
      <c r="K3578" s="798"/>
      <c r="P3578" s="798"/>
      <c r="Q3578" s="798"/>
      <c r="R3578" s="811"/>
    </row>
    <row r="3579" customFormat="false" ht="16.5" hidden="false" customHeight="true" outlineLevel="0" collapsed="false">
      <c r="A3579" s="747"/>
      <c r="B3579" s="798"/>
      <c r="D3579" s="798"/>
      <c r="E3579" s="798"/>
      <c r="F3579" s="798"/>
      <c r="G3579" s="798"/>
      <c r="J3579" s="778" t="str">
        <f aca="false">IF(I3579="","",H3579/I3579)</f>
        <v/>
      </c>
      <c r="K3579" s="798"/>
      <c r="P3579" s="798"/>
      <c r="Q3579" s="798"/>
      <c r="R3579" s="811"/>
    </row>
    <row r="3580" customFormat="false" ht="16.5" hidden="false" customHeight="true" outlineLevel="0" collapsed="false">
      <c r="A3580" s="747"/>
      <c r="B3580" s="798"/>
      <c r="D3580" s="798"/>
      <c r="E3580" s="798"/>
      <c r="F3580" s="798"/>
      <c r="G3580" s="798"/>
      <c r="J3580" s="778" t="str">
        <f aca="false">IF(I3580="","",H3580/I3580)</f>
        <v/>
      </c>
      <c r="K3580" s="798"/>
      <c r="P3580" s="798"/>
      <c r="Q3580" s="798"/>
      <c r="R3580" s="811"/>
    </row>
    <row r="3581" customFormat="false" ht="16.5" hidden="false" customHeight="true" outlineLevel="0" collapsed="false">
      <c r="A3581" s="747"/>
      <c r="B3581" s="798"/>
      <c r="D3581" s="798"/>
      <c r="E3581" s="798"/>
      <c r="F3581" s="798"/>
      <c r="G3581" s="798"/>
      <c r="J3581" s="778" t="str">
        <f aca="false">IF(I3581="","",H3581/I3581)</f>
        <v/>
      </c>
      <c r="K3581" s="798"/>
      <c r="P3581" s="798"/>
      <c r="Q3581" s="798"/>
      <c r="R3581" s="811"/>
    </row>
    <row r="3582" customFormat="false" ht="16.5" hidden="false" customHeight="true" outlineLevel="0" collapsed="false">
      <c r="A3582" s="747"/>
      <c r="B3582" s="798"/>
      <c r="D3582" s="798"/>
      <c r="E3582" s="798"/>
      <c r="F3582" s="798"/>
      <c r="G3582" s="798"/>
      <c r="J3582" s="778" t="str">
        <f aca="false">IF(I3582="","",H3582/I3582)</f>
        <v/>
      </c>
      <c r="K3582" s="798"/>
      <c r="P3582" s="798"/>
      <c r="Q3582" s="798"/>
      <c r="R3582" s="811"/>
    </row>
    <row r="3583" customFormat="false" ht="16.5" hidden="false" customHeight="true" outlineLevel="0" collapsed="false">
      <c r="A3583" s="747"/>
      <c r="B3583" s="798"/>
      <c r="D3583" s="798"/>
      <c r="E3583" s="798"/>
      <c r="F3583" s="798"/>
      <c r="G3583" s="798"/>
      <c r="J3583" s="778" t="str">
        <f aca="false">IF(I3583="","",H3583/I3583)</f>
        <v/>
      </c>
      <c r="K3583" s="798"/>
      <c r="P3583" s="798"/>
      <c r="Q3583" s="798"/>
      <c r="R3583" s="811"/>
    </row>
    <row r="3584" customFormat="false" ht="16.5" hidden="false" customHeight="true" outlineLevel="0" collapsed="false">
      <c r="A3584" s="747"/>
      <c r="B3584" s="798"/>
      <c r="D3584" s="798"/>
      <c r="E3584" s="798"/>
      <c r="F3584" s="798"/>
      <c r="G3584" s="798"/>
      <c r="J3584" s="778" t="str">
        <f aca="false">IF(I3584="","",H3584/I3584)</f>
        <v/>
      </c>
      <c r="K3584" s="798"/>
      <c r="P3584" s="798"/>
      <c r="Q3584" s="798"/>
      <c r="R3584" s="811"/>
    </row>
    <row r="3585" customFormat="false" ht="16.5" hidden="false" customHeight="true" outlineLevel="0" collapsed="false">
      <c r="A3585" s="747"/>
      <c r="B3585" s="798"/>
      <c r="D3585" s="798"/>
      <c r="E3585" s="798"/>
      <c r="F3585" s="798"/>
      <c r="G3585" s="798"/>
      <c r="J3585" s="778" t="str">
        <f aca="false">IF(I3585="","",H3585/I3585)</f>
        <v/>
      </c>
      <c r="K3585" s="798"/>
      <c r="P3585" s="798"/>
      <c r="Q3585" s="798"/>
      <c r="R3585" s="811"/>
    </row>
    <row r="3586" customFormat="false" ht="16.5" hidden="false" customHeight="true" outlineLevel="0" collapsed="false">
      <c r="A3586" s="747"/>
      <c r="B3586" s="798"/>
      <c r="D3586" s="798"/>
      <c r="E3586" s="798"/>
      <c r="F3586" s="798"/>
      <c r="G3586" s="798"/>
      <c r="J3586" s="778" t="str">
        <f aca="false">IF(I3586="","",H3586/I3586)</f>
        <v/>
      </c>
      <c r="K3586" s="798"/>
      <c r="P3586" s="798"/>
      <c r="Q3586" s="798"/>
      <c r="R3586" s="811"/>
    </row>
    <row r="3587" customFormat="false" ht="16.5" hidden="false" customHeight="true" outlineLevel="0" collapsed="false">
      <c r="A3587" s="747"/>
      <c r="B3587" s="798"/>
      <c r="D3587" s="798"/>
      <c r="E3587" s="798"/>
      <c r="F3587" s="798"/>
      <c r="G3587" s="798"/>
      <c r="J3587" s="778" t="str">
        <f aca="false">IF(I3587="","",H3587/I3587)</f>
        <v/>
      </c>
      <c r="K3587" s="798"/>
      <c r="P3587" s="798"/>
      <c r="Q3587" s="798"/>
      <c r="R3587" s="811"/>
    </row>
    <row r="3588" customFormat="false" ht="16.5" hidden="false" customHeight="true" outlineLevel="0" collapsed="false">
      <c r="A3588" s="747"/>
      <c r="B3588" s="798"/>
      <c r="D3588" s="798"/>
      <c r="E3588" s="798"/>
      <c r="F3588" s="798"/>
      <c r="G3588" s="798"/>
      <c r="J3588" s="778" t="str">
        <f aca="false">IF(I3588="","",H3588/I3588)</f>
        <v/>
      </c>
      <c r="K3588" s="798"/>
      <c r="P3588" s="798"/>
      <c r="Q3588" s="798"/>
      <c r="R3588" s="811"/>
    </row>
    <row r="3589" customFormat="false" ht="16.5" hidden="false" customHeight="true" outlineLevel="0" collapsed="false">
      <c r="A3589" s="747"/>
      <c r="B3589" s="798"/>
      <c r="D3589" s="798"/>
      <c r="E3589" s="798"/>
      <c r="F3589" s="798"/>
      <c r="G3589" s="798"/>
      <c r="J3589" s="778" t="str">
        <f aca="false">IF(I3589="","",H3589/I3589)</f>
        <v/>
      </c>
      <c r="K3589" s="798"/>
      <c r="P3589" s="798"/>
      <c r="Q3589" s="798"/>
      <c r="R3589" s="811"/>
    </row>
    <row r="3590" customFormat="false" ht="16.5" hidden="false" customHeight="true" outlineLevel="0" collapsed="false">
      <c r="A3590" s="747"/>
      <c r="B3590" s="798"/>
      <c r="D3590" s="798"/>
      <c r="E3590" s="798"/>
      <c r="F3590" s="798"/>
      <c r="G3590" s="798"/>
      <c r="J3590" s="778" t="str">
        <f aca="false">IF(I3590="","",H3590/I3590)</f>
        <v/>
      </c>
      <c r="K3590" s="798"/>
      <c r="P3590" s="798"/>
      <c r="Q3590" s="798"/>
      <c r="R3590" s="811"/>
    </row>
    <row r="3591" customFormat="false" ht="16.5" hidden="false" customHeight="true" outlineLevel="0" collapsed="false">
      <c r="A3591" s="747"/>
      <c r="B3591" s="798"/>
      <c r="D3591" s="798"/>
      <c r="E3591" s="798"/>
      <c r="F3591" s="798"/>
      <c r="G3591" s="798"/>
      <c r="J3591" s="778" t="str">
        <f aca="false">IF(I3591="","",H3591/I3591)</f>
        <v/>
      </c>
      <c r="K3591" s="798"/>
      <c r="P3591" s="798"/>
      <c r="Q3591" s="798"/>
      <c r="R3591" s="811"/>
    </row>
    <row r="3592" customFormat="false" ht="16.5" hidden="false" customHeight="true" outlineLevel="0" collapsed="false">
      <c r="A3592" s="747"/>
      <c r="B3592" s="798"/>
      <c r="D3592" s="798"/>
      <c r="E3592" s="798"/>
      <c r="F3592" s="798"/>
      <c r="G3592" s="798"/>
      <c r="J3592" s="778" t="str">
        <f aca="false">IF(I3592="","",H3592/I3592)</f>
        <v/>
      </c>
      <c r="K3592" s="798"/>
      <c r="P3592" s="798"/>
      <c r="Q3592" s="798"/>
      <c r="R3592" s="811"/>
    </row>
    <row r="3593" customFormat="false" ht="16.5" hidden="false" customHeight="true" outlineLevel="0" collapsed="false">
      <c r="A3593" s="747"/>
      <c r="B3593" s="798"/>
      <c r="D3593" s="798"/>
      <c r="E3593" s="798"/>
      <c r="F3593" s="798"/>
      <c r="G3593" s="798"/>
      <c r="J3593" s="778" t="str">
        <f aca="false">IF(I3593="","",H3593/I3593)</f>
        <v/>
      </c>
      <c r="K3593" s="798"/>
      <c r="P3593" s="798"/>
      <c r="Q3593" s="798"/>
      <c r="R3593" s="811"/>
    </row>
    <row r="3594" customFormat="false" ht="16.5" hidden="false" customHeight="true" outlineLevel="0" collapsed="false">
      <c r="A3594" s="747"/>
      <c r="B3594" s="798"/>
      <c r="D3594" s="798"/>
      <c r="E3594" s="798"/>
      <c r="F3594" s="798"/>
      <c r="G3594" s="798"/>
      <c r="J3594" s="778" t="str">
        <f aca="false">IF(I3594="","",H3594/I3594)</f>
        <v/>
      </c>
      <c r="K3594" s="798"/>
      <c r="P3594" s="798"/>
      <c r="Q3594" s="798"/>
      <c r="R3594" s="811"/>
    </row>
    <row r="3595" customFormat="false" ht="16.5" hidden="false" customHeight="true" outlineLevel="0" collapsed="false">
      <c r="A3595" s="747"/>
      <c r="B3595" s="798"/>
      <c r="D3595" s="798"/>
      <c r="E3595" s="798"/>
      <c r="F3595" s="798"/>
      <c r="G3595" s="798"/>
      <c r="J3595" s="778" t="str">
        <f aca="false">IF(I3595="","",H3595/I3595)</f>
        <v/>
      </c>
      <c r="K3595" s="798"/>
      <c r="P3595" s="798"/>
      <c r="Q3595" s="798"/>
      <c r="R3595" s="811"/>
    </row>
    <row r="3596" customFormat="false" ht="16.5" hidden="false" customHeight="true" outlineLevel="0" collapsed="false">
      <c r="A3596" s="747"/>
      <c r="B3596" s="798"/>
      <c r="D3596" s="798"/>
      <c r="E3596" s="798"/>
      <c r="F3596" s="798"/>
      <c r="G3596" s="798"/>
      <c r="J3596" s="778" t="str">
        <f aca="false">IF(I3596="","",H3596/I3596)</f>
        <v/>
      </c>
      <c r="K3596" s="798"/>
      <c r="P3596" s="798"/>
      <c r="Q3596" s="798"/>
      <c r="R3596" s="811"/>
    </row>
    <row r="3597" customFormat="false" ht="16.5" hidden="false" customHeight="true" outlineLevel="0" collapsed="false">
      <c r="A3597" s="747"/>
      <c r="B3597" s="798"/>
      <c r="D3597" s="798"/>
      <c r="E3597" s="798"/>
      <c r="F3597" s="798"/>
      <c r="G3597" s="798"/>
      <c r="J3597" s="778" t="str">
        <f aca="false">IF(I3597="","",H3597/I3597)</f>
        <v/>
      </c>
      <c r="K3597" s="798"/>
      <c r="P3597" s="798"/>
      <c r="Q3597" s="798"/>
      <c r="R3597" s="811"/>
    </row>
    <row r="3598" customFormat="false" ht="16.5" hidden="false" customHeight="true" outlineLevel="0" collapsed="false">
      <c r="A3598" s="747"/>
      <c r="B3598" s="798"/>
      <c r="D3598" s="798"/>
      <c r="E3598" s="798"/>
      <c r="F3598" s="798"/>
      <c r="G3598" s="798"/>
      <c r="J3598" s="778" t="str">
        <f aca="false">IF(I3598="","",H3598/I3598)</f>
        <v/>
      </c>
      <c r="K3598" s="798"/>
      <c r="P3598" s="798"/>
      <c r="Q3598" s="798"/>
      <c r="R3598" s="811"/>
    </row>
    <row r="3599" customFormat="false" ht="16.5" hidden="false" customHeight="true" outlineLevel="0" collapsed="false">
      <c r="A3599" s="747"/>
      <c r="B3599" s="798"/>
      <c r="D3599" s="798"/>
      <c r="E3599" s="798"/>
      <c r="F3599" s="798"/>
      <c r="G3599" s="798"/>
      <c r="J3599" s="778" t="str">
        <f aca="false">IF(I3599="","",H3599/I3599)</f>
        <v/>
      </c>
      <c r="K3599" s="798"/>
      <c r="P3599" s="798"/>
      <c r="Q3599" s="798"/>
      <c r="R3599" s="811"/>
    </row>
    <row r="3600" customFormat="false" ht="16.5" hidden="false" customHeight="true" outlineLevel="0" collapsed="false">
      <c r="A3600" s="747"/>
      <c r="B3600" s="798"/>
      <c r="D3600" s="798"/>
      <c r="E3600" s="798"/>
      <c r="F3600" s="798"/>
      <c r="G3600" s="798"/>
      <c r="J3600" s="778" t="str">
        <f aca="false">IF(I3600="","",H3600/I3600)</f>
        <v/>
      </c>
      <c r="K3600" s="798"/>
      <c r="P3600" s="798"/>
      <c r="Q3600" s="798"/>
      <c r="R3600" s="811"/>
    </row>
    <row r="3601" customFormat="false" ht="16.5" hidden="false" customHeight="true" outlineLevel="0" collapsed="false">
      <c r="A3601" s="747"/>
      <c r="B3601" s="798"/>
      <c r="D3601" s="798"/>
      <c r="E3601" s="798"/>
      <c r="F3601" s="798"/>
      <c r="G3601" s="798"/>
      <c r="J3601" s="778" t="str">
        <f aca="false">IF(I3601="","",H3601/I3601)</f>
        <v/>
      </c>
      <c r="K3601" s="798"/>
      <c r="P3601" s="798"/>
      <c r="Q3601" s="798"/>
      <c r="R3601" s="811"/>
    </row>
    <row r="3602" customFormat="false" ht="16.5" hidden="false" customHeight="true" outlineLevel="0" collapsed="false">
      <c r="A3602" s="747"/>
      <c r="B3602" s="798"/>
      <c r="D3602" s="798"/>
      <c r="E3602" s="798"/>
      <c r="F3602" s="798"/>
      <c r="G3602" s="798"/>
      <c r="J3602" s="778" t="str">
        <f aca="false">IF(I3602="","",H3602/I3602)</f>
        <v/>
      </c>
      <c r="K3602" s="798"/>
      <c r="P3602" s="798"/>
      <c r="Q3602" s="798"/>
      <c r="R3602" s="811"/>
    </row>
    <row r="3603" customFormat="false" ht="16.5" hidden="false" customHeight="true" outlineLevel="0" collapsed="false">
      <c r="A3603" s="747"/>
      <c r="B3603" s="798"/>
      <c r="D3603" s="798"/>
      <c r="E3603" s="798"/>
      <c r="F3603" s="798"/>
      <c r="G3603" s="798"/>
      <c r="J3603" s="778" t="str">
        <f aca="false">IF(I3603="","",H3603/I3603)</f>
        <v/>
      </c>
      <c r="K3603" s="798"/>
      <c r="P3603" s="798"/>
      <c r="Q3603" s="798"/>
      <c r="R3603" s="811"/>
    </row>
    <row r="3604" customFormat="false" ht="16.5" hidden="false" customHeight="true" outlineLevel="0" collapsed="false">
      <c r="A3604" s="747"/>
      <c r="B3604" s="798"/>
      <c r="D3604" s="798"/>
      <c r="E3604" s="798"/>
      <c r="F3604" s="798"/>
      <c r="G3604" s="798"/>
      <c r="J3604" s="778" t="str">
        <f aca="false">IF(I3604="","",H3604/I3604)</f>
        <v/>
      </c>
      <c r="K3604" s="798"/>
      <c r="P3604" s="798"/>
      <c r="Q3604" s="798"/>
      <c r="R3604" s="811"/>
    </row>
    <row r="3605" customFormat="false" ht="16.5" hidden="false" customHeight="true" outlineLevel="0" collapsed="false">
      <c r="A3605" s="747"/>
      <c r="B3605" s="798"/>
      <c r="D3605" s="798"/>
      <c r="E3605" s="798"/>
      <c r="F3605" s="798"/>
      <c r="G3605" s="798"/>
      <c r="J3605" s="778" t="str">
        <f aca="false">IF(I3605="","",H3605/I3605)</f>
        <v/>
      </c>
      <c r="K3605" s="798"/>
      <c r="P3605" s="798"/>
      <c r="Q3605" s="798"/>
      <c r="R3605" s="811"/>
    </row>
    <row r="3606" customFormat="false" ht="16.5" hidden="false" customHeight="true" outlineLevel="0" collapsed="false">
      <c r="A3606" s="747"/>
      <c r="B3606" s="798"/>
      <c r="D3606" s="798"/>
      <c r="E3606" s="798"/>
      <c r="F3606" s="798"/>
      <c r="G3606" s="798"/>
      <c r="J3606" s="778" t="str">
        <f aca="false">IF(I3606="","",H3606/I3606)</f>
        <v/>
      </c>
      <c r="K3606" s="798"/>
      <c r="P3606" s="798"/>
      <c r="Q3606" s="798"/>
      <c r="R3606" s="811"/>
    </row>
    <row r="3607" customFormat="false" ht="16.5" hidden="false" customHeight="true" outlineLevel="0" collapsed="false">
      <c r="A3607" s="747"/>
      <c r="B3607" s="798"/>
      <c r="D3607" s="798"/>
      <c r="E3607" s="798"/>
      <c r="F3607" s="798"/>
      <c r="G3607" s="798"/>
      <c r="J3607" s="778" t="str">
        <f aca="false">IF(I3607="","",H3607/I3607)</f>
        <v/>
      </c>
      <c r="K3607" s="798"/>
      <c r="P3607" s="798"/>
      <c r="Q3607" s="798"/>
      <c r="R3607" s="811"/>
    </row>
    <row r="3608" customFormat="false" ht="16.5" hidden="false" customHeight="true" outlineLevel="0" collapsed="false">
      <c r="A3608" s="747"/>
      <c r="B3608" s="798"/>
      <c r="D3608" s="798"/>
      <c r="E3608" s="798"/>
      <c r="F3608" s="798"/>
      <c r="G3608" s="798"/>
      <c r="J3608" s="778" t="str">
        <f aca="false">IF(I3608="","",H3608/I3608)</f>
        <v/>
      </c>
      <c r="K3608" s="798"/>
      <c r="P3608" s="798"/>
      <c r="Q3608" s="798"/>
      <c r="R3608" s="811"/>
    </row>
    <row r="3609" customFormat="false" ht="16.5" hidden="false" customHeight="true" outlineLevel="0" collapsed="false">
      <c r="A3609" s="747"/>
      <c r="B3609" s="798"/>
      <c r="D3609" s="798"/>
      <c r="E3609" s="798"/>
      <c r="F3609" s="798"/>
      <c r="G3609" s="798"/>
      <c r="J3609" s="778" t="str">
        <f aca="false">IF(I3609="","",H3609/I3609)</f>
        <v/>
      </c>
      <c r="K3609" s="798"/>
      <c r="P3609" s="798"/>
      <c r="Q3609" s="798"/>
      <c r="R3609" s="811"/>
    </row>
    <row r="3610" customFormat="false" ht="16.5" hidden="false" customHeight="true" outlineLevel="0" collapsed="false">
      <c r="A3610" s="747"/>
      <c r="B3610" s="798"/>
      <c r="D3610" s="798"/>
      <c r="E3610" s="798"/>
      <c r="F3610" s="798"/>
      <c r="G3610" s="798"/>
      <c r="J3610" s="778" t="str">
        <f aca="false">IF(I3610="","",H3610/I3610)</f>
        <v/>
      </c>
      <c r="K3610" s="798"/>
      <c r="P3610" s="798"/>
      <c r="Q3610" s="798"/>
      <c r="R3610" s="811"/>
    </row>
    <row r="3611" customFormat="false" ht="16.5" hidden="false" customHeight="true" outlineLevel="0" collapsed="false">
      <c r="A3611" s="747"/>
      <c r="B3611" s="798"/>
      <c r="D3611" s="798"/>
      <c r="E3611" s="798"/>
      <c r="F3611" s="798"/>
      <c r="G3611" s="798"/>
      <c r="J3611" s="778" t="str">
        <f aca="false">IF(I3611="","",H3611/I3611)</f>
        <v/>
      </c>
      <c r="K3611" s="798"/>
      <c r="P3611" s="798"/>
      <c r="Q3611" s="798"/>
      <c r="R3611" s="811"/>
    </row>
    <row r="3612" customFormat="false" ht="16.5" hidden="false" customHeight="true" outlineLevel="0" collapsed="false">
      <c r="A3612" s="747"/>
      <c r="B3612" s="798"/>
      <c r="D3612" s="798"/>
      <c r="E3612" s="798"/>
      <c r="F3612" s="798"/>
      <c r="G3612" s="798"/>
      <c r="J3612" s="778" t="str">
        <f aca="false">IF(I3612="","",H3612/I3612)</f>
        <v/>
      </c>
      <c r="K3612" s="798"/>
      <c r="P3612" s="798"/>
      <c r="Q3612" s="798"/>
      <c r="R3612" s="811"/>
    </row>
    <row r="3613" customFormat="false" ht="16.5" hidden="false" customHeight="true" outlineLevel="0" collapsed="false">
      <c r="A3613" s="747"/>
      <c r="B3613" s="798"/>
      <c r="D3613" s="798"/>
      <c r="E3613" s="798"/>
      <c r="F3613" s="798"/>
      <c r="G3613" s="798"/>
      <c r="J3613" s="778" t="str">
        <f aca="false">IF(I3613="","",H3613/I3613)</f>
        <v/>
      </c>
      <c r="K3613" s="798"/>
      <c r="P3613" s="798"/>
      <c r="Q3613" s="798"/>
      <c r="R3613" s="811"/>
    </row>
    <row r="3614" customFormat="false" ht="16.5" hidden="false" customHeight="true" outlineLevel="0" collapsed="false">
      <c r="A3614" s="747"/>
      <c r="B3614" s="798"/>
      <c r="D3614" s="798"/>
      <c r="E3614" s="798"/>
      <c r="F3614" s="798"/>
      <c r="G3614" s="798"/>
      <c r="J3614" s="778" t="str">
        <f aca="false">IF(I3614="","",H3614/I3614)</f>
        <v/>
      </c>
      <c r="K3614" s="798"/>
      <c r="P3614" s="798"/>
      <c r="Q3614" s="798"/>
      <c r="R3614" s="811"/>
    </row>
    <row r="3615" customFormat="false" ht="16.5" hidden="false" customHeight="true" outlineLevel="0" collapsed="false">
      <c r="A3615" s="747"/>
      <c r="B3615" s="798"/>
      <c r="D3615" s="798"/>
      <c r="E3615" s="798"/>
      <c r="F3615" s="798"/>
      <c r="G3615" s="798"/>
      <c r="J3615" s="778" t="str">
        <f aca="false">IF(I3615="","",H3615/I3615)</f>
        <v/>
      </c>
      <c r="K3615" s="798"/>
      <c r="P3615" s="798"/>
      <c r="Q3615" s="798"/>
      <c r="R3615" s="811"/>
    </row>
    <row r="3616" customFormat="false" ht="16.5" hidden="false" customHeight="true" outlineLevel="0" collapsed="false">
      <c r="A3616" s="747"/>
      <c r="B3616" s="798"/>
      <c r="D3616" s="798"/>
      <c r="E3616" s="798"/>
      <c r="F3616" s="798"/>
      <c r="G3616" s="798"/>
      <c r="J3616" s="778" t="str">
        <f aca="false">IF(I3616="","",H3616/I3616)</f>
        <v/>
      </c>
      <c r="K3616" s="798"/>
      <c r="P3616" s="798"/>
      <c r="Q3616" s="798"/>
      <c r="R3616" s="811"/>
    </row>
    <row r="3617" customFormat="false" ht="16.5" hidden="false" customHeight="true" outlineLevel="0" collapsed="false">
      <c r="A3617" s="747"/>
      <c r="B3617" s="798"/>
      <c r="D3617" s="798"/>
      <c r="E3617" s="798"/>
      <c r="F3617" s="798"/>
      <c r="G3617" s="798"/>
      <c r="J3617" s="778" t="str">
        <f aca="false">IF(I3617="","",H3617/I3617)</f>
        <v/>
      </c>
      <c r="K3617" s="798"/>
      <c r="P3617" s="798"/>
      <c r="Q3617" s="798"/>
      <c r="R3617" s="811"/>
    </row>
    <row r="3618" customFormat="false" ht="16.5" hidden="false" customHeight="true" outlineLevel="0" collapsed="false">
      <c r="A3618" s="747"/>
      <c r="B3618" s="798"/>
      <c r="D3618" s="798"/>
      <c r="E3618" s="798"/>
      <c r="F3618" s="798"/>
      <c r="G3618" s="798"/>
      <c r="J3618" s="778" t="str">
        <f aca="false">IF(I3618="","",H3618/I3618)</f>
        <v/>
      </c>
      <c r="K3618" s="798"/>
      <c r="P3618" s="798"/>
      <c r="Q3618" s="798"/>
      <c r="R3618" s="811"/>
    </row>
    <row r="3619" customFormat="false" ht="16.5" hidden="false" customHeight="true" outlineLevel="0" collapsed="false">
      <c r="A3619" s="747"/>
      <c r="B3619" s="798"/>
      <c r="D3619" s="798"/>
      <c r="E3619" s="798"/>
      <c r="F3619" s="798"/>
      <c r="G3619" s="798"/>
      <c r="J3619" s="778" t="str">
        <f aca="false">IF(I3619="","",H3619/I3619)</f>
        <v/>
      </c>
      <c r="K3619" s="798"/>
      <c r="P3619" s="798"/>
      <c r="Q3619" s="798"/>
      <c r="R3619" s="811"/>
    </row>
    <row r="3620" customFormat="false" ht="16.5" hidden="false" customHeight="true" outlineLevel="0" collapsed="false">
      <c r="A3620" s="747"/>
      <c r="B3620" s="798"/>
      <c r="D3620" s="798"/>
      <c r="E3620" s="798"/>
      <c r="F3620" s="798"/>
      <c r="G3620" s="798"/>
      <c r="J3620" s="778" t="str">
        <f aca="false">IF(I3620="","",H3620/I3620)</f>
        <v/>
      </c>
      <c r="K3620" s="798"/>
      <c r="P3620" s="798"/>
      <c r="Q3620" s="798"/>
      <c r="R3620" s="811"/>
    </row>
    <row r="3621" customFormat="false" ht="16.5" hidden="false" customHeight="true" outlineLevel="0" collapsed="false">
      <c r="A3621" s="747"/>
      <c r="B3621" s="798"/>
      <c r="D3621" s="798"/>
      <c r="E3621" s="798"/>
      <c r="F3621" s="798"/>
      <c r="G3621" s="798"/>
      <c r="J3621" s="778" t="str">
        <f aca="false">IF(I3621="","",H3621/I3621)</f>
        <v/>
      </c>
      <c r="K3621" s="798"/>
      <c r="P3621" s="798"/>
      <c r="Q3621" s="798"/>
      <c r="R3621" s="811"/>
    </row>
    <row r="3622" customFormat="false" ht="16.5" hidden="false" customHeight="true" outlineLevel="0" collapsed="false">
      <c r="A3622" s="747"/>
      <c r="B3622" s="798"/>
      <c r="D3622" s="798"/>
      <c r="E3622" s="798"/>
      <c r="F3622" s="798"/>
      <c r="G3622" s="798"/>
      <c r="J3622" s="778" t="str">
        <f aca="false">IF(I3622="","",H3622/I3622)</f>
        <v/>
      </c>
      <c r="K3622" s="798"/>
      <c r="P3622" s="798"/>
      <c r="Q3622" s="798"/>
      <c r="R3622" s="811"/>
    </row>
    <row r="3623" customFormat="false" ht="16.5" hidden="false" customHeight="true" outlineLevel="0" collapsed="false">
      <c r="A3623" s="747"/>
      <c r="B3623" s="798"/>
      <c r="D3623" s="798"/>
      <c r="E3623" s="798"/>
      <c r="F3623" s="798"/>
      <c r="G3623" s="798"/>
      <c r="J3623" s="778" t="str">
        <f aca="false">IF(I3623="","",H3623/I3623)</f>
        <v/>
      </c>
      <c r="K3623" s="798"/>
      <c r="P3623" s="798"/>
      <c r="Q3623" s="798"/>
      <c r="R3623" s="811"/>
    </row>
    <row r="3624" customFormat="false" ht="16.5" hidden="false" customHeight="true" outlineLevel="0" collapsed="false">
      <c r="A3624" s="747"/>
      <c r="B3624" s="798"/>
      <c r="D3624" s="798"/>
      <c r="E3624" s="798"/>
      <c r="F3624" s="798"/>
      <c r="G3624" s="798"/>
      <c r="J3624" s="778" t="str">
        <f aca="false">IF(I3624="","",H3624/I3624)</f>
        <v/>
      </c>
      <c r="K3624" s="798"/>
      <c r="P3624" s="798"/>
      <c r="Q3624" s="798"/>
      <c r="R3624" s="811"/>
    </row>
    <row r="3625" customFormat="false" ht="16.5" hidden="false" customHeight="true" outlineLevel="0" collapsed="false">
      <c r="A3625" s="747"/>
      <c r="B3625" s="798"/>
      <c r="D3625" s="798"/>
      <c r="E3625" s="798"/>
      <c r="F3625" s="798"/>
      <c r="G3625" s="798"/>
      <c r="J3625" s="778" t="str">
        <f aca="false">IF(I3625="","",H3625/I3625)</f>
        <v/>
      </c>
      <c r="K3625" s="798"/>
      <c r="P3625" s="798"/>
      <c r="Q3625" s="798"/>
      <c r="R3625" s="811"/>
    </row>
    <row r="3626" customFormat="false" ht="16.5" hidden="false" customHeight="true" outlineLevel="0" collapsed="false">
      <c r="A3626" s="747"/>
      <c r="B3626" s="798"/>
      <c r="D3626" s="798"/>
      <c r="E3626" s="798"/>
      <c r="F3626" s="798"/>
      <c r="G3626" s="798"/>
      <c r="J3626" s="778" t="str">
        <f aca="false">IF(I3626="","",H3626/I3626)</f>
        <v/>
      </c>
      <c r="K3626" s="798"/>
      <c r="P3626" s="798"/>
      <c r="Q3626" s="798"/>
      <c r="R3626" s="811"/>
    </row>
    <row r="3627" customFormat="false" ht="16.5" hidden="false" customHeight="true" outlineLevel="0" collapsed="false">
      <c r="A3627" s="747"/>
      <c r="B3627" s="798"/>
      <c r="D3627" s="798"/>
      <c r="E3627" s="798"/>
      <c r="F3627" s="798"/>
      <c r="G3627" s="798"/>
      <c r="J3627" s="778" t="str">
        <f aca="false">IF(I3627="","",H3627/I3627)</f>
        <v/>
      </c>
      <c r="K3627" s="798"/>
      <c r="P3627" s="798"/>
      <c r="Q3627" s="798"/>
      <c r="R3627" s="811"/>
    </row>
    <row r="3628" customFormat="false" ht="16.5" hidden="false" customHeight="true" outlineLevel="0" collapsed="false">
      <c r="A3628" s="747"/>
      <c r="B3628" s="798"/>
      <c r="D3628" s="798"/>
      <c r="E3628" s="798"/>
      <c r="F3628" s="798"/>
      <c r="G3628" s="798"/>
      <c r="J3628" s="778" t="str">
        <f aca="false">IF(I3628="","",H3628/I3628)</f>
        <v/>
      </c>
      <c r="K3628" s="798"/>
      <c r="P3628" s="798"/>
      <c r="Q3628" s="798"/>
      <c r="R3628" s="811"/>
    </row>
    <row r="3629" customFormat="false" ht="16.5" hidden="false" customHeight="true" outlineLevel="0" collapsed="false">
      <c r="A3629" s="747"/>
      <c r="B3629" s="798"/>
      <c r="D3629" s="798"/>
      <c r="E3629" s="798"/>
      <c r="F3629" s="798"/>
      <c r="G3629" s="798"/>
      <c r="J3629" s="778" t="str">
        <f aca="false">IF(I3629="","",H3629/I3629)</f>
        <v/>
      </c>
      <c r="K3629" s="798"/>
      <c r="P3629" s="798"/>
      <c r="Q3629" s="798"/>
      <c r="R3629" s="811"/>
    </row>
    <row r="3630" customFormat="false" ht="16.5" hidden="false" customHeight="true" outlineLevel="0" collapsed="false">
      <c r="A3630" s="747"/>
      <c r="B3630" s="798"/>
      <c r="D3630" s="798"/>
      <c r="E3630" s="798"/>
      <c r="F3630" s="798"/>
      <c r="G3630" s="798"/>
      <c r="J3630" s="778" t="str">
        <f aca="false">IF(I3630="","",H3630/I3630)</f>
        <v/>
      </c>
      <c r="K3630" s="798"/>
      <c r="P3630" s="798"/>
      <c r="Q3630" s="798"/>
      <c r="R3630" s="811"/>
    </row>
    <row r="3631" customFormat="false" ht="16.5" hidden="false" customHeight="true" outlineLevel="0" collapsed="false">
      <c r="A3631" s="747"/>
      <c r="B3631" s="798"/>
      <c r="D3631" s="798"/>
      <c r="E3631" s="798"/>
      <c r="F3631" s="798"/>
      <c r="G3631" s="798"/>
      <c r="J3631" s="778" t="str">
        <f aca="false">IF(I3631="","",H3631/I3631)</f>
        <v/>
      </c>
      <c r="K3631" s="798"/>
      <c r="P3631" s="798"/>
      <c r="Q3631" s="798"/>
      <c r="R3631" s="811"/>
    </row>
    <row r="3632" customFormat="false" ht="16.5" hidden="false" customHeight="true" outlineLevel="0" collapsed="false">
      <c r="A3632" s="747"/>
      <c r="B3632" s="798"/>
      <c r="D3632" s="798"/>
      <c r="E3632" s="798"/>
      <c r="F3632" s="798"/>
      <c r="G3632" s="798"/>
      <c r="J3632" s="778" t="str">
        <f aca="false">IF(I3632="","",H3632/I3632)</f>
        <v/>
      </c>
      <c r="K3632" s="798"/>
      <c r="P3632" s="798"/>
      <c r="Q3632" s="798"/>
      <c r="R3632" s="811"/>
    </row>
    <row r="3633" customFormat="false" ht="16.5" hidden="false" customHeight="true" outlineLevel="0" collapsed="false">
      <c r="A3633" s="747"/>
      <c r="B3633" s="798"/>
      <c r="D3633" s="798"/>
      <c r="E3633" s="798"/>
      <c r="F3633" s="798"/>
      <c r="G3633" s="798"/>
      <c r="J3633" s="778" t="str">
        <f aca="false">IF(I3633="","",H3633/I3633)</f>
        <v/>
      </c>
      <c r="K3633" s="798"/>
      <c r="P3633" s="798"/>
      <c r="Q3633" s="798"/>
      <c r="R3633" s="811"/>
    </row>
    <row r="3634" customFormat="false" ht="16.5" hidden="false" customHeight="true" outlineLevel="0" collapsed="false">
      <c r="A3634" s="747"/>
      <c r="B3634" s="798"/>
      <c r="D3634" s="798"/>
      <c r="E3634" s="798"/>
      <c r="F3634" s="798"/>
      <c r="G3634" s="798"/>
      <c r="J3634" s="778" t="str">
        <f aca="false">IF(I3634="","",H3634/I3634)</f>
        <v/>
      </c>
      <c r="K3634" s="798"/>
      <c r="P3634" s="798"/>
      <c r="Q3634" s="798"/>
      <c r="R3634" s="811"/>
    </row>
    <row r="3635" customFormat="false" ht="16.5" hidden="false" customHeight="true" outlineLevel="0" collapsed="false">
      <c r="A3635" s="747"/>
      <c r="B3635" s="798"/>
      <c r="D3635" s="798"/>
      <c r="E3635" s="798"/>
      <c r="F3635" s="798"/>
      <c r="G3635" s="798"/>
      <c r="J3635" s="778" t="str">
        <f aca="false">IF(I3635="","",H3635/I3635)</f>
        <v/>
      </c>
      <c r="K3635" s="798"/>
      <c r="P3635" s="798"/>
      <c r="Q3635" s="798"/>
      <c r="R3635" s="811"/>
    </row>
    <row r="3636" customFormat="false" ht="16.5" hidden="false" customHeight="true" outlineLevel="0" collapsed="false">
      <c r="A3636" s="747"/>
      <c r="B3636" s="798"/>
      <c r="D3636" s="798"/>
      <c r="E3636" s="798"/>
      <c r="F3636" s="798"/>
      <c r="G3636" s="798"/>
      <c r="J3636" s="778" t="str">
        <f aca="false">IF(I3636="","",H3636/I3636)</f>
        <v/>
      </c>
      <c r="K3636" s="798"/>
      <c r="P3636" s="798"/>
      <c r="Q3636" s="798"/>
      <c r="R3636" s="811"/>
    </row>
    <row r="3637" customFormat="false" ht="16.5" hidden="false" customHeight="true" outlineLevel="0" collapsed="false">
      <c r="A3637" s="747"/>
      <c r="B3637" s="798"/>
      <c r="D3637" s="798"/>
      <c r="E3637" s="798"/>
      <c r="F3637" s="798"/>
      <c r="G3637" s="798"/>
      <c r="J3637" s="778" t="str">
        <f aca="false">IF(I3637="","",H3637/I3637)</f>
        <v/>
      </c>
      <c r="K3637" s="798"/>
      <c r="P3637" s="798"/>
      <c r="Q3637" s="798"/>
      <c r="R3637" s="811"/>
    </row>
    <row r="3638" customFormat="false" ht="16.5" hidden="false" customHeight="true" outlineLevel="0" collapsed="false">
      <c r="A3638" s="747"/>
      <c r="B3638" s="798"/>
      <c r="D3638" s="798"/>
      <c r="E3638" s="798"/>
      <c r="F3638" s="798"/>
      <c r="G3638" s="798"/>
      <c r="J3638" s="778" t="str">
        <f aca="false">IF(I3638="","",H3638/I3638)</f>
        <v/>
      </c>
      <c r="K3638" s="798"/>
      <c r="P3638" s="798"/>
      <c r="Q3638" s="798"/>
      <c r="R3638" s="811"/>
    </row>
    <row r="3639" customFormat="false" ht="16.5" hidden="false" customHeight="true" outlineLevel="0" collapsed="false">
      <c r="A3639" s="747"/>
      <c r="B3639" s="798"/>
      <c r="D3639" s="798"/>
      <c r="E3639" s="798"/>
      <c r="F3639" s="798"/>
      <c r="G3639" s="798"/>
      <c r="J3639" s="778" t="str">
        <f aca="false">IF(I3639="","",H3639/I3639)</f>
        <v/>
      </c>
      <c r="K3639" s="798"/>
      <c r="P3639" s="798"/>
      <c r="Q3639" s="798"/>
      <c r="R3639" s="811"/>
    </row>
    <row r="3640" customFormat="false" ht="16.5" hidden="false" customHeight="true" outlineLevel="0" collapsed="false">
      <c r="A3640" s="747"/>
      <c r="B3640" s="798"/>
      <c r="D3640" s="798"/>
      <c r="E3640" s="798"/>
      <c r="F3640" s="798"/>
      <c r="G3640" s="798"/>
      <c r="J3640" s="778" t="str">
        <f aca="false">IF(I3640="","",H3640/I3640)</f>
        <v/>
      </c>
      <c r="K3640" s="798"/>
      <c r="P3640" s="798"/>
      <c r="Q3640" s="798"/>
      <c r="R3640" s="811"/>
    </row>
    <row r="3641" customFormat="false" ht="16.5" hidden="false" customHeight="true" outlineLevel="0" collapsed="false">
      <c r="A3641" s="747"/>
      <c r="B3641" s="798"/>
      <c r="D3641" s="798"/>
      <c r="E3641" s="798"/>
      <c r="F3641" s="798"/>
      <c r="G3641" s="798"/>
      <c r="J3641" s="778" t="str">
        <f aca="false">IF(I3641="","",H3641/I3641)</f>
        <v/>
      </c>
      <c r="K3641" s="798"/>
      <c r="P3641" s="798"/>
      <c r="Q3641" s="798"/>
      <c r="R3641" s="811"/>
    </row>
    <row r="3642" customFormat="false" ht="16.5" hidden="false" customHeight="true" outlineLevel="0" collapsed="false">
      <c r="A3642" s="747"/>
      <c r="B3642" s="798"/>
      <c r="D3642" s="798"/>
      <c r="E3642" s="798"/>
      <c r="F3642" s="798"/>
      <c r="G3642" s="798"/>
      <c r="J3642" s="778" t="str">
        <f aca="false">IF(I3642="","",H3642/I3642)</f>
        <v/>
      </c>
      <c r="K3642" s="798"/>
      <c r="P3642" s="798"/>
      <c r="Q3642" s="798"/>
      <c r="R3642" s="811"/>
    </row>
    <row r="3643" customFormat="false" ht="16.5" hidden="false" customHeight="true" outlineLevel="0" collapsed="false">
      <c r="A3643" s="747"/>
      <c r="B3643" s="798"/>
      <c r="D3643" s="798"/>
      <c r="E3643" s="798"/>
      <c r="F3643" s="798"/>
      <c r="G3643" s="798"/>
      <c r="J3643" s="778" t="str">
        <f aca="false">IF(I3643="","",H3643/I3643)</f>
        <v/>
      </c>
      <c r="K3643" s="798"/>
      <c r="P3643" s="798"/>
      <c r="Q3643" s="798"/>
      <c r="R3643" s="811"/>
    </row>
    <row r="3644" customFormat="false" ht="16.5" hidden="false" customHeight="true" outlineLevel="0" collapsed="false">
      <c r="A3644" s="747"/>
      <c r="B3644" s="798"/>
      <c r="D3644" s="798"/>
      <c r="E3644" s="798"/>
      <c r="F3644" s="798"/>
      <c r="G3644" s="798"/>
      <c r="J3644" s="778" t="str">
        <f aca="false">IF(I3644="","",H3644/I3644)</f>
        <v/>
      </c>
      <c r="K3644" s="798"/>
      <c r="P3644" s="798"/>
      <c r="Q3644" s="798"/>
      <c r="R3644" s="811"/>
    </row>
    <row r="3645" customFormat="false" ht="16.5" hidden="false" customHeight="true" outlineLevel="0" collapsed="false">
      <c r="A3645" s="747"/>
      <c r="B3645" s="798"/>
      <c r="D3645" s="798"/>
      <c r="E3645" s="798"/>
      <c r="F3645" s="798"/>
      <c r="G3645" s="798"/>
      <c r="J3645" s="778" t="str">
        <f aca="false">IF(I3645="","",H3645/I3645)</f>
        <v/>
      </c>
      <c r="K3645" s="798"/>
      <c r="P3645" s="798"/>
      <c r="Q3645" s="798"/>
      <c r="R3645" s="811"/>
    </row>
    <row r="3646" customFormat="false" ht="16.5" hidden="false" customHeight="true" outlineLevel="0" collapsed="false">
      <c r="A3646" s="747"/>
      <c r="B3646" s="798"/>
      <c r="D3646" s="798"/>
      <c r="E3646" s="798"/>
      <c r="F3646" s="798"/>
      <c r="G3646" s="798"/>
      <c r="J3646" s="778" t="str">
        <f aca="false">IF(I3646="","",H3646/I3646)</f>
        <v/>
      </c>
      <c r="K3646" s="798"/>
      <c r="P3646" s="798"/>
      <c r="Q3646" s="798"/>
      <c r="R3646" s="811"/>
    </row>
    <row r="3647" customFormat="false" ht="16.5" hidden="false" customHeight="true" outlineLevel="0" collapsed="false">
      <c r="A3647" s="747"/>
      <c r="B3647" s="798"/>
      <c r="D3647" s="798"/>
      <c r="E3647" s="798"/>
      <c r="F3647" s="798"/>
      <c r="G3647" s="798"/>
      <c r="J3647" s="778" t="str">
        <f aca="false">IF(I3647="","",H3647/I3647)</f>
        <v/>
      </c>
      <c r="K3647" s="798"/>
      <c r="P3647" s="798"/>
      <c r="Q3647" s="798"/>
      <c r="R3647" s="811"/>
    </row>
    <row r="3648" customFormat="false" ht="16.5" hidden="false" customHeight="true" outlineLevel="0" collapsed="false">
      <c r="A3648" s="747"/>
      <c r="B3648" s="798"/>
      <c r="D3648" s="798"/>
      <c r="E3648" s="798"/>
      <c r="F3648" s="798"/>
      <c r="G3648" s="798"/>
      <c r="J3648" s="778" t="str">
        <f aca="false">IF(I3648="","",H3648/I3648)</f>
        <v/>
      </c>
      <c r="K3648" s="798"/>
      <c r="P3648" s="798"/>
      <c r="Q3648" s="798"/>
      <c r="R3648" s="811"/>
    </row>
    <row r="3649" customFormat="false" ht="16.5" hidden="false" customHeight="true" outlineLevel="0" collapsed="false">
      <c r="A3649" s="747"/>
      <c r="B3649" s="798"/>
      <c r="D3649" s="798"/>
      <c r="E3649" s="798"/>
      <c r="F3649" s="798"/>
      <c r="G3649" s="798"/>
      <c r="J3649" s="778" t="str">
        <f aca="false">IF(I3649="","",H3649/I3649)</f>
        <v/>
      </c>
      <c r="K3649" s="798"/>
      <c r="P3649" s="798"/>
      <c r="Q3649" s="798"/>
      <c r="R3649" s="811"/>
    </row>
    <row r="3650" customFormat="false" ht="16.5" hidden="false" customHeight="true" outlineLevel="0" collapsed="false">
      <c r="A3650" s="747"/>
      <c r="B3650" s="798"/>
      <c r="D3650" s="798"/>
      <c r="E3650" s="798"/>
      <c r="F3650" s="798"/>
      <c r="G3650" s="798"/>
      <c r="J3650" s="778" t="str">
        <f aca="false">IF(I3650="","",H3650/I3650)</f>
        <v/>
      </c>
      <c r="K3650" s="798"/>
      <c r="P3650" s="798"/>
      <c r="Q3650" s="798"/>
      <c r="R3650" s="811"/>
    </row>
    <row r="3651" customFormat="false" ht="16.5" hidden="false" customHeight="true" outlineLevel="0" collapsed="false">
      <c r="A3651" s="747"/>
      <c r="B3651" s="798"/>
      <c r="D3651" s="798"/>
      <c r="E3651" s="798"/>
      <c r="F3651" s="798"/>
      <c r="G3651" s="798"/>
      <c r="J3651" s="778" t="str">
        <f aca="false">IF(I3651="","",H3651/I3651)</f>
        <v/>
      </c>
      <c r="K3651" s="798"/>
      <c r="P3651" s="798"/>
      <c r="Q3651" s="798"/>
      <c r="R3651" s="811"/>
    </row>
    <row r="3652" customFormat="false" ht="16.5" hidden="false" customHeight="true" outlineLevel="0" collapsed="false">
      <c r="A3652" s="747"/>
      <c r="B3652" s="798"/>
      <c r="D3652" s="798"/>
      <c r="E3652" s="798"/>
      <c r="F3652" s="798"/>
      <c r="G3652" s="798"/>
      <c r="J3652" s="778" t="str">
        <f aca="false">IF(I3652="","",H3652/I3652)</f>
        <v/>
      </c>
      <c r="K3652" s="798"/>
      <c r="P3652" s="798"/>
      <c r="Q3652" s="798"/>
      <c r="R3652" s="811"/>
    </row>
    <row r="3653" customFormat="false" ht="16.5" hidden="false" customHeight="true" outlineLevel="0" collapsed="false">
      <c r="A3653" s="747"/>
      <c r="B3653" s="798"/>
      <c r="D3653" s="798"/>
      <c r="E3653" s="798"/>
      <c r="F3653" s="798"/>
      <c r="G3653" s="798"/>
      <c r="J3653" s="778" t="str">
        <f aca="false">IF(I3653="","",H3653/I3653)</f>
        <v/>
      </c>
      <c r="K3653" s="798"/>
      <c r="P3653" s="798"/>
      <c r="Q3653" s="798"/>
      <c r="R3653" s="811"/>
    </row>
    <row r="3654" customFormat="false" ht="16.5" hidden="false" customHeight="true" outlineLevel="0" collapsed="false">
      <c r="A3654" s="747"/>
      <c r="B3654" s="798"/>
      <c r="D3654" s="798"/>
      <c r="E3654" s="798"/>
      <c r="F3654" s="798"/>
      <c r="G3654" s="798"/>
      <c r="J3654" s="778" t="str">
        <f aca="false">IF(I3654="","",H3654/I3654)</f>
        <v/>
      </c>
      <c r="K3654" s="798"/>
      <c r="P3654" s="798"/>
      <c r="Q3654" s="798"/>
      <c r="R3654" s="811"/>
    </row>
    <row r="3655" customFormat="false" ht="16.5" hidden="false" customHeight="true" outlineLevel="0" collapsed="false">
      <c r="A3655" s="747"/>
      <c r="B3655" s="798"/>
      <c r="D3655" s="798"/>
      <c r="E3655" s="798"/>
      <c r="F3655" s="798"/>
      <c r="G3655" s="798"/>
      <c r="J3655" s="778" t="str">
        <f aca="false">IF(I3655="","",H3655/I3655)</f>
        <v/>
      </c>
      <c r="K3655" s="798"/>
      <c r="P3655" s="798"/>
      <c r="Q3655" s="798"/>
      <c r="R3655" s="811"/>
    </row>
    <row r="3656" customFormat="false" ht="16.5" hidden="false" customHeight="true" outlineLevel="0" collapsed="false">
      <c r="A3656" s="747"/>
      <c r="B3656" s="798"/>
      <c r="D3656" s="798"/>
      <c r="E3656" s="798"/>
      <c r="F3656" s="798"/>
      <c r="G3656" s="798"/>
      <c r="J3656" s="778" t="str">
        <f aca="false">IF(I3656="","",H3656/I3656)</f>
        <v/>
      </c>
      <c r="K3656" s="798"/>
      <c r="P3656" s="798"/>
      <c r="Q3656" s="798"/>
      <c r="R3656" s="811"/>
    </row>
    <row r="3657" customFormat="false" ht="16.5" hidden="false" customHeight="true" outlineLevel="0" collapsed="false">
      <c r="A3657" s="747"/>
      <c r="B3657" s="798"/>
      <c r="D3657" s="798"/>
      <c r="E3657" s="798"/>
      <c r="F3657" s="798"/>
      <c r="G3657" s="798"/>
      <c r="J3657" s="778" t="str">
        <f aca="false">IF(I3657="","",H3657/I3657)</f>
        <v/>
      </c>
      <c r="K3657" s="798"/>
      <c r="P3657" s="798"/>
      <c r="Q3657" s="798"/>
      <c r="R3657" s="811"/>
    </row>
    <row r="3658" customFormat="false" ht="16.5" hidden="false" customHeight="true" outlineLevel="0" collapsed="false">
      <c r="A3658" s="747"/>
      <c r="B3658" s="798"/>
      <c r="D3658" s="798"/>
      <c r="E3658" s="798"/>
      <c r="F3658" s="798"/>
      <c r="G3658" s="798"/>
      <c r="J3658" s="778" t="str">
        <f aca="false">IF(I3658="","",H3658/I3658)</f>
        <v/>
      </c>
      <c r="K3658" s="798"/>
      <c r="P3658" s="798"/>
      <c r="Q3658" s="798"/>
      <c r="R3658" s="811"/>
    </row>
    <row r="3659" customFormat="false" ht="16.5" hidden="false" customHeight="true" outlineLevel="0" collapsed="false">
      <c r="A3659" s="747"/>
      <c r="B3659" s="798"/>
      <c r="D3659" s="798"/>
      <c r="E3659" s="798"/>
      <c r="F3659" s="798"/>
      <c r="G3659" s="798"/>
      <c r="J3659" s="778" t="str">
        <f aca="false">IF(I3659="","",H3659/I3659)</f>
        <v/>
      </c>
      <c r="K3659" s="798"/>
      <c r="P3659" s="798"/>
      <c r="Q3659" s="798"/>
      <c r="R3659" s="811"/>
    </row>
    <row r="3660" customFormat="false" ht="16.5" hidden="false" customHeight="true" outlineLevel="0" collapsed="false">
      <c r="A3660" s="747"/>
      <c r="B3660" s="798"/>
      <c r="D3660" s="798"/>
      <c r="E3660" s="798"/>
      <c r="F3660" s="798"/>
      <c r="G3660" s="798"/>
      <c r="J3660" s="778" t="str">
        <f aca="false">IF(I3660="","",H3660/I3660)</f>
        <v/>
      </c>
      <c r="K3660" s="798"/>
      <c r="P3660" s="798"/>
      <c r="Q3660" s="798"/>
      <c r="R3660" s="811"/>
    </row>
    <row r="3661" customFormat="false" ht="16.5" hidden="false" customHeight="true" outlineLevel="0" collapsed="false">
      <c r="A3661" s="747"/>
      <c r="B3661" s="798"/>
      <c r="D3661" s="798"/>
      <c r="E3661" s="798"/>
      <c r="F3661" s="798"/>
      <c r="G3661" s="798"/>
      <c r="J3661" s="778" t="str">
        <f aca="false">IF(I3661="","",H3661/I3661)</f>
        <v/>
      </c>
      <c r="K3661" s="798"/>
      <c r="P3661" s="798"/>
      <c r="Q3661" s="798"/>
      <c r="R3661" s="811"/>
    </row>
    <row r="3662" customFormat="false" ht="16.5" hidden="false" customHeight="true" outlineLevel="0" collapsed="false">
      <c r="A3662" s="747"/>
      <c r="B3662" s="798"/>
      <c r="D3662" s="798"/>
      <c r="E3662" s="798"/>
      <c r="F3662" s="798"/>
      <c r="G3662" s="798"/>
      <c r="J3662" s="778" t="str">
        <f aca="false">IF(I3662="","",H3662/I3662)</f>
        <v/>
      </c>
      <c r="K3662" s="798"/>
      <c r="P3662" s="798"/>
      <c r="Q3662" s="798"/>
      <c r="R3662" s="811"/>
    </row>
    <row r="3663" customFormat="false" ht="16.5" hidden="false" customHeight="true" outlineLevel="0" collapsed="false">
      <c r="A3663" s="747"/>
      <c r="B3663" s="798"/>
      <c r="D3663" s="798"/>
      <c r="E3663" s="798"/>
      <c r="F3663" s="798"/>
      <c r="G3663" s="798"/>
      <c r="J3663" s="778" t="str">
        <f aca="false">IF(I3663="","",H3663/I3663)</f>
        <v/>
      </c>
      <c r="K3663" s="798"/>
      <c r="P3663" s="798"/>
      <c r="Q3663" s="798"/>
      <c r="R3663" s="811"/>
    </row>
    <row r="3664" customFormat="false" ht="16.5" hidden="false" customHeight="true" outlineLevel="0" collapsed="false">
      <c r="A3664" s="747"/>
      <c r="B3664" s="798"/>
      <c r="D3664" s="798"/>
      <c r="E3664" s="798"/>
      <c r="F3664" s="798"/>
      <c r="G3664" s="798"/>
      <c r="J3664" s="778" t="str">
        <f aca="false">IF(I3664="","",H3664/I3664)</f>
        <v/>
      </c>
      <c r="K3664" s="798"/>
      <c r="P3664" s="798"/>
      <c r="Q3664" s="798"/>
      <c r="R3664" s="811"/>
    </row>
    <row r="3665" customFormat="false" ht="16.5" hidden="false" customHeight="true" outlineLevel="0" collapsed="false">
      <c r="A3665" s="747"/>
      <c r="B3665" s="798"/>
      <c r="D3665" s="798"/>
      <c r="E3665" s="798"/>
      <c r="F3665" s="798"/>
      <c r="G3665" s="798"/>
      <c r="J3665" s="778" t="str">
        <f aca="false">IF(I3665="","",H3665/I3665)</f>
        <v/>
      </c>
      <c r="K3665" s="798"/>
      <c r="P3665" s="798"/>
      <c r="Q3665" s="798"/>
      <c r="R3665" s="811"/>
    </row>
    <row r="3666" customFormat="false" ht="16.5" hidden="false" customHeight="true" outlineLevel="0" collapsed="false">
      <c r="A3666" s="747"/>
      <c r="B3666" s="798"/>
      <c r="D3666" s="798"/>
      <c r="E3666" s="798"/>
      <c r="F3666" s="798"/>
      <c r="G3666" s="798"/>
      <c r="J3666" s="778" t="str">
        <f aca="false">IF(I3666="","",H3666/I3666)</f>
        <v/>
      </c>
      <c r="K3666" s="798"/>
      <c r="P3666" s="798"/>
      <c r="Q3666" s="798"/>
      <c r="R3666" s="811"/>
    </row>
    <row r="3667" customFormat="false" ht="16.5" hidden="false" customHeight="true" outlineLevel="0" collapsed="false">
      <c r="A3667" s="747"/>
      <c r="B3667" s="798"/>
      <c r="D3667" s="798"/>
      <c r="E3667" s="798"/>
      <c r="F3667" s="798"/>
      <c r="G3667" s="798"/>
      <c r="J3667" s="778" t="str">
        <f aca="false">IF(I3667="","",H3667/I3667)</f>
        <v/>
      </c>
      <c r="K3667" s="798"/>
      <c r="P3667" s="798"/>
      <c r="Q3667" s="798"/>
      <c r="R3667" s="811"/>
    </row>
    <row r="3668" customFormat="false" ht="16.5" hidden="false" customHeight="true" outlineLevel="0" collapsed="false">
      <c r="A3668" s="747"/>
      <c r="B3668" s="798"/>
      <c r="D3668" s="798"/>
      <c r="E3668" s="798"/>
      <c r="F3668" s="798"/>
      <c r="G3668" s="798"/>
      <c r="J3668" s="778" t="str">
        <f aca="false">IF(I3668="","",H3668/I3668)</f>
        <v/>
      </c>
      <c r="K3668" s="798"/>
      <c r="P3668" s="798"/>
      <c r="Q3668" s="798"/>
      <c r="R3668" s="811"/>
    </row>
    <row r="3669" customFormat="false" ht="16.5" hidden="false" customHeight="true" outlineLevel="0" collapsed="false">
      <c r="A3669" s="747"/>
      <c r="B3669" s="798"/>
      <c r="D3669" s="798"/>
      <c r="E3669" s="798"/>
      <c r="F3669" s="798"/>
      <c r="G3669" s="798"/>
      <c r="J3669" s="778" t="str">
        <f aca="false">IF(I3669="","",H3669/I3669)</f>
        <v/>
      </c>
      <c r="K3669" s="798"/>
      <c r="P3669" s="798"/>
      <c r="Q3669" s="798"/>
      <c r="R3669" s="811"/>
    </row>
    <row r="3670" customFormat="false" ht="16.5" hidden="false" customHeight="true" outlineLevel="0" collapsed="false">
      <c r="A3670" s="747"/>
      <c r="B3670" s="798"/>
      <c r="D3670" s="798"/>
      <c r="E3670" s="798"/>
      <c r="F3670" s="798"/>
      <c r="G3670" s="798"/>
      <c r="J3670" s="778" t="str">
        <f aca="false">IF(I3670="","",H3670/I3670)</f>
        <v/>
      </c>
      <c r="K3670" s="798"/>
      <c r="P3670" s="798"/>
      <c r="Q3670" s="798"/>
      <c r="R3670" s="811"/>
    </row>
    <row r="3671" customFormat="false" ht="16.5" hidden="false" customHeight="true" outlineLevel="0" collapsed="false">
      <c r="A3671" s="747"/>
      <c r="B3671" s="798"/>
      <c r="D3671" s="798"/>
      <c r="E3671" s="798"/>
      <c r="F3671" s="798"/>
      <c r="G3671" s="798"/>
      <c r="J3671" s="778" t="str">
        <f aca="false">IF(I3671="","",H3671/I3671)</f>
        <v/>
      </c>
      <c r="K3671" s="798"/>
      <c r="P3671" s="798"/>
      <c r="Q3671" s="798"/>
      <c r="R3671" s="811"/>
    </row>
    <row r="3672" customFormat="false" ht="16.5" hidden="false" customHeight="true" outlineLevel="0" collapsed="false">
      <c r="A3672" s="747"/>
      <c r="B3672" s="798"/>
      <c r="D3672" s="798"/>
      <c r="E3672" s="798"/>
      <c r="F3672" s="798"/>
      <c r="G3672" s="798"/>
      <c r="J3672" s="778" t="str">
        <f aca="false">IF(I3672="","",H3672/I3672)</f>
        <v/>
      </c>
      <c r="K3672" s="798"/>
      <c r="P3672" s="798"/>
      <c r="Q3672" s="798"/>
      <c r="R3672" s="811"/>
    </row>
    <row r="3673" customFormat="false" ht="16.5" hidden="false" customHeight="true" outlineLevel="0" collapsed="false">
      <c r="A3673" s="747"/>
      <c r="B3673" s="798"/>
      <c r="D3673" s="798"/>
      <c r="E3673" s="798"/>
      <c r="F3673" s="798"/>
      <c r="G3673" s="798"/>
      <c r="J3673" s="778" t="str">
        <f aca="false">IF(I3673="","",H3673/I3673)</f>
        <v/>
      </c>
      <c r="K3673" s="798"/>
      <c r="P3673" s="798"/>
      <c r="Q3673" s="798"/>
      <c r="R3673" s="811"/>
    </row>
    <row r="3674" customFormat="false" ht="16.5" hidden="false" customHeight="true" outlineLevel="0" collapsed="false">
      <c r="A3674" s="747"/>
      <c r="B3674" s="798"/>
      <c r="D3674" s="798"/>
      <c r="E3674" s="798"/>
      <c r="F3674" s="798"/>
      <c r="G3674" s="798"/>
      <c r="J3674" s="778" t="str">
        <f aca="false">IF(I3674="","",H3674/I3674)</f>
        <v/>
      </c>
      <c r="K3674" s="798"/>
      <c r="P3674" s="798"/>
      <c r="Q3674" s="798"/>
      <c r="R3674" s="811"/>
    </row>
    <row r="3675" customFormat="false" ht="16.5" hidden="false" customHeight="true" outlineLevel="0" collapsed="false">
      <c r="A3675" s="747"/>
      <c r="B3675" s="798"/>
      <c r="D3675" s="798"/>
      <c r="E3675" s="798"/>
      <c r="F3675" s="798"/>
      <c r="G3675" s="798"/>
      <c r="J3675" s="778" t="str">
        <f aca="false">IF(I3675="","",H3675/I3675)</f>
        <v/>
      </c>
      <c r="K3675" s="798"/>
      <c r="P3675" s="798"/>
      <c r="Q3675" s="798"/>
      <c r="R3675" s="811"/>
    </row>
    <row r="3676" customFormat="false" ht="16.5" hidden="false" customHeight="true" outlineLevel="0" collapsed="false">
      <c r="A3676" s="747"/>
      <c r="B3676" s="798"/>
      <c r="D3676" s="798"/>
      <c r="E3676" s="798"/>
      <c r="F3676" s="798"/>
      <c r="G3676" s="798"/>
      <c r="J3676" s="778" t="str">
        <f aca="false">IF(I3676="","",H3676/I3676)</f>
        <v/>
      </c>
      <c r="K3676" s="798"/>
      <c r="P3676" s="798"/>
      <c r="Q3676" s="798"/>
      <c r="R3676" s="811"/>
    </row>
    <row r="3677" customFormat="false" ht="16.5" hidden="false" customHeight="true" outlineLevel="0" collapsed="false">
      <c r="A3677" s="747"/>
      <c r="B3677" s="798"/>
      <c r="D3677" s="798"/>
      <c r="E3677" s="798"/>
      <c r="F3677" s="798"/>
      <c r="G3677" s="798"/>
      <c r="J3677" s="778" t="str">
        <f aca="false">IF(I3677="","",H3677/I3677)</f>
        <v/>
      </c>
      <c r="K3677" s="798"/>
      <c r="P3677" s="798"/>
      <c r="Q3677" s="798"/>
      <c r="R3677" s="811"/>
    </row>
    <row r="3678" customFormat="false" ht="16.5" hidden="false" customHeight="true" outlineLevel="0" collapsed="false">
      <c r="A3678" s="747"/>
      <c r="B3678" s="798"/>
      <c r="D3678" s="798"/>
      <c r="E3678" s="798"/>
      <c r="F3678" s="798"/>
      <c r="G3678" s="798"/>
      <c r="J3678" s="778" t="str">
        <f aca="false">IF(I3678="","",H3678/I3678)</f>
        <v/>
      </c>
      <c r="K3678" s="798"/>
      <c r="P3678" s="798"/>
      <c r="Q3678" s="798"/>
      <c r="R3678" s="811"/>
    </row>
    <row r="3679" customFormat="false" ht="16.5" hidden="false" customHeight="true" outlineLevel="0" collapsed="false">
      <c r="A3679" s="747"/>
      <c r="B3679" s="798"/>
      <c r="D3679" s="798"/>
      <c r="E3679" s="798"/>
      <c r="F3679" s="798"/>
      <c r="G3679" s="798"/>
      <c r="J3679" s="778" t="str">
        <f aca="false">IF(I3679="","",H3679/I3679)</f>
        <v/>
      </c>
      <c r="K3679" s="798"/>
      <c r="P3679" s="798"/>
      <c r="Q3679" s="798"/>
      <c r="R3679" s="811"/>
    </row>
    <row r="3680" customFormat="false" ht="16.5" hidden="false" customHeight="true" outlineLevel="0" collapsed="false">
      <c r="A3680" s="747"/>
      <c r="B3680" s="798"/>
      <c r="D3680" s="798"/>
      <c r="E3680" s="798"/>
      <c r="F3680" s="798"/>
      <c r="G3680" s="798"/>
      <c r="J3680" s="778" t="str">
        <f aca="false">IF(I3680="","",H3680/I3680)</f>
        <v/>
      </c>
      <c r="K3680" s="798"/>
      <c r="P3680" s="798"/>
      <c r="Q3680" s="798"/>
      <c r="R3680" s="811"/>
    </row>
    <row r="3681" customFormat="false" ht="16.5" hidden="false" customHeight="true" outlineLevel="0" collapsed="false">
      <c r="A3681" s="747"/>
      <c r="B3681" s="798"/>
      <c r="D3681" s="798"/>
      <c r="E3681" s="798"/>
      <c r="F3681" s="798"/>
      <c r="G3681" s="798"/>
      <c r="J3681" s="778" t="str">
        <f aca="false">IF(I3681="","",H3681/I3681)</f>
        <v/>
      </c>
      <c r="K3681" s="798"/>
      <c r="P3681" s="798"/>
      <c r="Q3681" s="798"/>
      <c r="R3681" s="811"/>
    </row>
    <row r="3682" customFormat="false" ht="16.5" hidden="false" customHeight="true" outlineLevel="0" collapsed="false">
      <c r="A3682" s="747"/>
      <c r="B3682" s="798"/>
      <c r="D3682" s="798"/>
      <c r="E3682" s="798"/>
      <c r="F3682" s="798"/>
      <c r="G3682" s="798"/>
      <c r="J3682" s="778" t="str">
        <f aca="false">IF(I3682="","",H3682/I3682)</f>
        <v/>
      </c>
      <c r="K3682" s="798"/>
      <c r="P3682" s="798"/>
      <c r="Q3682" s="798"/>
      <c r="R3682" s="811"/>
    </row>
    <row r="3683" customFormat="false" ht="16.5" hidden="false" customHeight="true" outlineLevel="0" collapsed="false">
      <c r="A3683" s="747"/>
      <c r="B3683" s="798"/>
      <c r="D3683" s="798"/>
      <c r="E3683" s="798"/>
      <c r="F3683" s="798"/>
      <c r="G3683" s="798"/>
      <c r="J3683" s="778" t="str">
        <f aca="false">IF(I3683="","",H3683/I3683)</f>
        <v/>
      </c>
      <c r="K3683" s="798"/>
      <c r="P3683" s="798"/>
      <c r="Q3683" s="798"/>
      <c r="R3683" s="811"/>
    </row>
    <row r="3684" customFormat="false" ht="16.5" hidden="false" customHeight="true" outlineLevel="0" collapsed="false">
      <c r="A3684" s="747"/>
      <c r="B3684" s="798"/>
      <c r="D3684" s="798"/>
      <c r="E3684" s="798"/>
      <c r="F3684" s="798"/>
      <c r="G3684" s="798"/>
      <c r="J3684" s="778" t="str">
        <f aca="false">IF(I3684="","",H3684/I3684)</f>
        <v/>
      </c>
      <c r="K3684" s="798"/>
      <c r="P3684" s="798"/>
      <c r="Q3684" s="798"/>
      <c r="R3684" s="811"/>
    </row>
    <row r="3685" customFormat="false" ht="16.5" hidden="false" customHeight="true" outlineLevel="0" collapsed="false">
      <c r="A3685" s="747"/>
      <c r="B3685" s="798"/>
      <c r="D3685" s="798"/>
      <c r="E3685" s="798"/>
      <c r="F3685" s="798"/>
      <c r="G3685" s="798"/>
      <c r="J3685" s="778" t="str">
        <f aca="false">IF(I3685="","",H3685/I3685)</f>
        <v/>
      </c>
      <c r="K3685" s="798"/>
      <c r="P3685" s="798"/>
      <c r="Q3685" s="798"/>
      <c r="R3685" s="811"/>
    </row>
    <row r="3686" customFormat="false" ht="16.5" hidden="false" customHeight="true" outlineLevel="0" collapsed="false">
      <c r="A3686" s="747"/>
      <c r="B3686" s="798"/>
      <c r="D3686" s="798"/>
      <c r="E3686" s="798"/>
      <c r="F3686" s="798"/>
      <c r="G3686" s="798"/>
      <c r="J3686" s="778" t="str">
        <f aca="false">IF(I3686="","",H3686/I3686)</f>
        <v/>
      </c>
      <c r="K3686" s="798"/>
      <c r="P3686" s="798"/>
      <c r="Q3686" s="798"/>
      <c r="R3686" s="811"/>
    </row>
    <row r="3687" customFormat="false" ht="16.5" hidden="false" customHeight="true" outlineLevel="0" collapsed="false">
      <c r="A3687" s="747"/>
      <c r="B3687" s="798"/>
      <c r="D3687" s="798"/>
      <c r="E3687" s="798"/>
      <c r="F3687" s="798"/>
      <c r="G3687" s="798"/>
      <c r="J3687" s="778" t="str">
        <f aca="false">IF(I3687="","",H3687/I3687)</f>
        <v/>
      </c>
      <c r="K3687" s="798"/>
      <c r="P3687" s="798"/>
      <c r="Q3687" s="798"/>
      <c r="R3687" s="811"/>
    </row>
    <row r="3688" customFormat="false" ht="16.5" hidden="false" customHeight="true" outlineLevel="0" collapsed="false">
      <c r="A3688" s="747"/>
      <c r="B3688" s="798"/>
      <c r="D3688" s="798"/>
      <c r="E3688" s="798"/>
      <c r="F3688" s="798"/>
      <c r="G3688" s="798"/>
      <c r="J3688" s="778" t="str">
        <f aca="false">IF(I3688="","",H3688/I3688)</f>
        <v/>
      </c>
      <c r="K3688" s="798"/>
      <c r="P3688" s="798"/>
      <c r="Q3688" s="798"/>
      <c r="R3688" s="811"/>
    </row>
    <row r="3689" customFormat="false" ht="16.5" hidden="false" customHeight="true" outlineLevel="0" collapsed="false">
      <c r="A3689" s="747"/>
      <c r="B3689" s="798"/>
      <c r="D3689" s="798"/>
      <c r="E3689" s="798"/>
      <c r="F3689" s="798"/>
      <c r="G3689" s="798"/>
      <c r="J3689" s="778" t="str">
        <f aca="false">IF(I3689="","",H3689/I3689)</f>
        <v/>
      </c>
      <c r="K3689" s="798"/>
      <c r="P3689" s="798"/>
      <c r="Q3689" s="798"/>
      <c r="R3689" s="811"/>
    </row>
    <row r="3690" customFormat="false" ht="16.5" hidden="false" customHeight="true" outlineLevel="0" collapsed="false">
      <c r="A3690" s="747"/>
      <c r="B3690" s="798"/>
      <c r="D3690" s="798"/>
      <c r="E3690" s="798"/>
      <c r="F3690" s="798"/>
      <c r="G3690" s="798"/>
      <c r="J3690" s="778" t="str">
        <f aca="false">IF(I3690="","",H3690/I3690)</f>
        <v/>
      </c>
      <c r="K3690" s="798"/>
      <c r="P3690" s="798"/>
      <c r="Q3690" s="798"/>
      <c r="R3690" s="811"/>
    </row>
    <row r="3691" customFormat="false" ht="16.5" hidden="false" customHeight="true" outlineLevel="0" collapsed="false">
      <c r="A3691" s="747"/>
      <c r="B3691" s="798"/>
      <c r="D3691" s="798"/>
      <c r="E3691" s="798"/>
      <c r="F3691" s="798"/>
      <c r="G3691" s="798"/>
      <c r="J3691" s="778" t="str">
        <f aca="false">IF(I3691="","",H3691/I3691)</f>
        <v/>
      </c>
      <c r="K3691" s="798"/>
      <c r="P3691" s="798"/>
      <c r="Q3691" s="798"/>
      <c r="R3691" s="811"/>
    </row>
    <row r="3692" customFormat="false" ht="16.5" hidden="false" customHeight="true" outlineLevel="0" collapsed="false">
      <c r="A3692" s="747"/>
      <c r="B3692" s="798"/>
      <c r="D3692" s="798"/>
      <c r="E3692" s="798"/>
      <c r="F3692" s="798"/>
      <c r="G3692" s="798"/>
      <c r="J3692" s="778" t="str">
        <f aca="false">IF(I3692="","",H3692/I3692)</f>
        <v/>
      </c>
      <c r="K3692" s="798"/>
      <c r="P3692" s="798"/>
      <c r="Q3692" s="798"/>
      <c r="R3692" s="811"/>
    </row>
    <row r="3693" customFormat="false" ht="16.5" hidden="false" customHeight="true" outlineLevel="0" collapsed="false">
      <c r="A3693" s="747"/>
      <c r="B3693" s="798"/>
      <c r="D3693" s="798"/>
      <c r="E3693" s="798"/>
      <c r="F3693" s="798"/>
      <c r="G3693" s="798"/>
      <c r="J3693" s="778" t="str">
        <f aca="false">IF(I3693="","",H3693/I3693)</f>
        <v/>
      </c>
      <c r="K3693" s="798"/>
      <c r="P3693" s="798"/>
      <c r="Q3693" s="798"/>
      <c r="R3693" s="811"/>
    </row>
    <row r="3694" customFormat="false" ht="16.5" hidden="false" customHeight="true" outlineLevel="0" collapsed="false">
      <c r="A3694" s="747"/>
      <c r="B3694" s="798"/>
      <c r="D3694" s="798"/>
      <c r="E3694" s="798"/>
      <c r="F3694" s="798"/>
      <c r="G3694" s="798"/>
      <c r="J3694" s="778" t="str">
        <f aca="false">IF(I3694="","",H3694/I3694)</f>
        <v/>
      </c>
      <c r="K3694" s="798"/>
      <c r="P3694" s="798"/>
      <c r="Q3694" s="798"/>
      <c r="R3694" s="811"/>
    </row>
    <row r="3695" customFormat="false" ht="16.5" hidden="false" customHeight="true" outlineLevel="0" collapsed="false">
      <c r="A3695" s="747"/>
      <c r="B3695" s="798"/>
      <c r="D3695" s="798"/>
      <c r="E3695" s="798"/>
      <c r="F3695" s="798"/>
      <c r="G3695" s="798"/>
      <c r="J3695" s="778" t="str">
        <f aca="false">IF(I3695="","",H3695/I3695)</f>
        <v/>
      </c>
      <c r="K3695" s="798"/>
      <c r="P3695" s="798"/>
      <c r="Q3695" s="798"/>
      <c r="R3695" s="811"/>
    </row>
    <row r="3696" customFormat="false" ht="16.5" hidden="false" customHeight="true" outlineLevel="0" collapsed="false">
      <c r="A3696" s="747"/>
      <c r="B3696" s="798"/>
      <c r="D3696" s="798"/>
      <c r="E3696" s="798"/>
      <c r="F3696" s="798"/>
      <c r="G3696" s="798"/>
      <c r="J3696" s="778" t="str">
        <f aca="false">IF(I3696="","",H3696/I3696)</f>
        <v/>
      </c>
      <c r="K3696" s="798"/>
      <c r="P3696" s="798"/>
      <c r="Q3696" s="798"/>
      <c r="R3696" s="811"/>
    </row>
    <row r="3697" customFormat="false" ht="16.5" hidden="false" customHeight="true" outlineLevel="0" collapsed="false">
      <c r="A3697" s="747"/>
      <c r="B3697" s="798"/>
      <c r="D3697" s="798"/>
      <c r="E3697" s="798"/>
      <c r="F3697" s="798"/>
      <c r="G3697" s="798"/>
      <c r="J3697" s="778" t="str">
        <f aca="false">IF(I3697="","",H3697/I3697)</f>
        <v/>
      </c>
      <c r="K3697" s="798"/>
      <c r="P3697" s="798"/>
      <c r="Q3697" s="798"/>
      <c r="R3697" s="811"/>
    </row>
    <row r="3698" customFormat="false" ht="16.5" hidden="false" customHeight="true" outlineLevel="0" collapsed="false">
      <c r="A3698" s="747"/>
      <c r="B3698" s="798"/>
      <c r="D3698" s="798"/>
      <c r="E3698" s="798"/>
      <c r="F3698" s="798"/>
      <c r="G3698" s="798"/>
      <c r="J3698" s="778" t="str">
        <f aca="false">IF(I3698="","",H3698/I3698)</f>
        <v/>
      </c>
      <c r="K3698" s="798"/>
      <c r="P3698" s="798"/>
      <c r="Q3698" s="798"/>
      <c r="R3698" s="811"/>
    </row>
    <row r="3699" customFormat="false" ht="16.5" hidden="false" customHeight="true" outlineLevel="0" collapsed="false">
      <c r="A3699" s="747"/>
      <c r="B3699" s="798"/>
      <c r="D3699" s="798"/>
      <c r="E3699" s="798"/>
      <c r="F3699" s="798"/>
      <c r="G3699" s="798"/>
      <c r="J3699" s="778" t="str">
        <f aca="false">IF(I3699="","",H3699/I3699)</f>
        <v/>
      </c>
      <c r="K3699" s="798"/>
      <c r="P3699" s="798"/>
      <c r="Q3699" s="798"/>
      <c r="R3699" s="811"/>
    </row>
    <row r="3700" customFormat="false" ht="16.5" hidden="false" customHeight="true" outlineLevel="0" collapsed="false">
      <c r="A3700" s="747"/>
      <c r="B3700" s="798"/>
      <c r="D3700" s="798"/>
      <c r="E3700" s="798"/>
      <c r="F3700" s="798"/>
      <c r="G3700" s="798"/>
      <c r="J3700" s="778" t="str">
        <f aca="false">IF(I3700="","",H3700/I3700)</f>
        <v/>
      </c>
      <c r="K3700" s="798"/>
      <c r="P3700" s="798"/>
      <c r="Q3700" s="798"/>
      <c r="R3700" s="811"/>
    </row>
    <row r="3701" customFormat="false" ht="16.5" hidden="false" customHeight="true" outlineLevel="0" collapsed="false">
      <c r="A3701" s="747"/>
      <c r="B3701" s="798"/>
      <c r="D3701" s="798"/>
      <c r="E3701" s="798"/>
      <c r="F3701" s="798"/>
      <c r="G3701" s="798"/>
      <c r="J3701" s="778" t="str">
        <f aca="false">IF(I3701="","",H3701/I3701)</f>
        <v/>
      </c>
      <c r="K3701" s="798"/>
      <c r="P3701" s="798"/>
      <c r="Q3701" s="798"/>
      <c r="R3701" s="811"/>
    </row>
    <row r="3702" customFormat="false" ht="16.5" hidden="false" customHeight="true" outlineLevel="0" collapsed="false">
      <c r="A3702" s="747"/>
      <c r="B3702" s="798"/>
      <c r="D3702" s="798"/>
      <c r="E3702" s="798"/>
      <c r="F3702" s="798"/>
      <c r="G3702" s="798"/>
      <c r="J3702" s="778" t="str">
        <f aca="false">IF(I3702="","",H3702/I3702)</f>
        <v/>
      </c>
      <c r="K3702" s="798"/>
      <c r="P3702" s="798"/>
      <c r="Q3702" s="798"/>
      <c r="R3702" s="811"/>
    </row>
    <row r="3703" customFormat="false" ht="16.5" hidden="false" customHeight="true" outlineLevel="0" collapsed="false">
      <c r="A3703" s="747"/>
      <c r="B3703" s="798"/>
      <c r="D3703" s="798"/>
      <c r="E3703" s="798"/>
      <c r="F3703" s="798"/>
      <c r="G3703" s="798"/>
      <c r="J3703" s="778" t="str">
        <f aca="false">IF(I3703="","",H3703/I3703)</f>
        <v/>
      </c>
      <c r="K3703" s="798"/>
      <c r="P3703" s="798"/>
      <c r="Q3703" s="798"/>
      <c r="R3703" s="811"/>
    </row>
    <row r="3704" customFormat="false" ht="16.5" hidden="false" customHeight="true" outlineLevel="0" collapsed="false">
      <c r="A3704" s="747"/>
      <c r="B3704" s="798"/>
      <c r="D3704" s="798"/>
      <c r="E3704" s="798"/>
      <c r="F3704" s="798"/>
      <c r="G3704" s="798"/>
      <c r="J3704" s="778" t="str">
        <f aca="false">IF(I3704="","",H3704/I3704)</f>
        <v/>
      </c>
      <c r="K3704" s="798"/>
      <c r="P3704" s="798"/>
      <c r="Q3704" s="798"/>
      <c r="R3704" s="811"/>
    </row>
    <row r="3705" customFormat="false" ht="16.5" hidden="false" customHeight="true" outlineLevel="0" collapsed="false">
      <c r="A3705" s="747"/>
      <c r="B3705" s="798"/>
      <c r="D3705" s="798"/>
      <c r="E3705" s="798"/>
      <c r="F3705" s="798"/>
      <c r="G3705" s="798"/>
      <c r="J3705" s="778" t="str">
        <f aca="false">IF(I3705="","",H3705/I3705)</f>
        <v/>
      </c>
      <c r="K3705" s="798"/>
      <c r="P3705" s="798"/>
      <c r="Q3705" s="798"/>
      <c r="R3705" s="811"/>
    </row>
    <row r="3706" customFormat="false" ht="16.5" hidden="false" customHeight="true" outlineLevel="0" collapsed="false">
      <c r="A3706" s="747"/>
      <c r="B3706" s="798"/>
      <c r="D3706" s="798"/>
      <c r="E3706" s="798"/>
      <c r="F3706" s="798"/>
      <c r="G3706" s="798"/>
      <c r="J3706" s="778" t="str">
        <f aca="false">IF(I3706="","",H3706/I3706)</f>
        <v/>
      </c>
      <c r="K3706" s="798"/>
      <c r="P3706" s="798"/>
      <c r="Q3706" s="798"/>
      <c r="R3706" s="811"/>
    </row>
    <row r="3707" customFormat="false" ht="16.5" hidden="false" customHeight="true" outlineLevel="0" collapsed="false">
      <c r="A3707" s="747"/>
      <c r="B3707" s="798"/>
      <c r="D3707" s="798"/>
      <c r="E3707" s="798"/>
      <c r="F3707" s="798"/>
      <c r="G3707" s="798"/>
      <c r="J3707" s="778" t="str">
        <f aca="false">IF(I3707="","",H3707/I3707)</f>
        <v/>
      </c>
      <c r="K3707" s="798"/>
      <c r="P3707" s="798"/>
      <c r="Q3707" s="798"/>
      <c r="R3707" s="811"/>
    </row>
    <row r="3708" customFormat="false" ht="16.5" hidden="false" customHeight="true" outlineLevel="0" collapsed="false">
      <c r="A3708" s="747"/>
      <c r="B3708" s="798"/>
      <c r="D3708" s="798"/>
      <c r="E3708" s="798"/>
      <c r="F3708" s="798"/>
      <c r="G3708" s="798"/>
      <c r="J3708" s="778" t="str">
        <f aca="false">IF(I3708="","",H3708/I3708)</f>
        <v/>
      </c>
      <c r="K3708" s="798"/>
      <c r="P3708" s="798"/>
      <c r="Q3708" s="798"/>
      <c r="R3708" s="811"/>
    </row>
    <row r="3709" customFormat="false" ht="16.5" hidden="false" customHeight="true" outlineLevel="0" collapsed="false">
      <c r="A3709" s="747"/>
      <c r="B3709" s="798"/>
      <c r="D3709" s="798"/>
      <c r="E3709" s="798"/>
      <c r="F3709" s="798"/>
      <c r="G3709" s="798"/>
      <c r="J3709" s="778" t="str">
        <f aca="false">IF(I3709="","",H3709/I3709)</f>
        <v/>
      </c>
      <c r="K3709" s="798"/>
      <c r="P3709" s="798"/>
      <c r="Q3709" s="798"/>
      <c r="R3709" s="811"/>
    </row>
    <row r="3710" customFormat="false" ht="16.5" hidden="false" customHeight="true" outlineLevel="0" collapsed="false">
      <c r="A3710" s="747"/>
      <c r="B3710" s="798"/>
      <c r="D3710" s="798"/>
      <c r="E3710" s="798"/>
      <c r="F3710" s="798"/>
      <c r="G3710" s="798"/>
      <c r="J3710" s="778" t="str">
        <f aca="false">IF(I3710="","",H3710/I3710)</f>
        <v/>
      </c>
      <c r="K3710" s="798"/>
      <c r="P3710" s="798"/>
      <c r="Q3710" s="798"/>
      <c r="R3710" s="811"/>
    </row>
    <row r="3711" customFormat="false" ht="16.5" hidden="false" customHeight="true" outlineLevel="0" collapsed="false">
      <c r="A3711" s="747"/>
      <c r="B3711" s="798"/>
      <c r="D3711" s="798"/>
      <c r="E3711" s="798"/>
      <c r="F3711" s="798"/>
      <c r="G3711" s="798"/>
      <c r="J3711" s="778" t="str">
        <f aca="false">IF(I3711="","",H3711/I3711)</f>
        <v/>
      </c>
      <c r="K3711" s="798"/>
      <c r="P3711" s="798"/>
      <c r="Q3711" s="798"/>
      <c r="R3711" s="811"/>
    </row>
    <row r="3712" customFormat="false" ht="16.5" hidden="false" customHeight="true" outlineLevel="0" collapsed="false">
      <c r="A3712" s="747"/>
      <c r="B3712" s="798"/>
      <c r="D3712" s="798"/>
      <c r="E3712" s="798"/>
      <c r="F3712" s="798"/>
      <c r="G3712" s="798"/>
      <c r="J3712" s="778" t="str">
        <f aca="false">IF(I3712="","",H3712/I3712)</f>
        <v/>
      </c>
      <c r="K3712" s="798"/>
      <c r="P3712" s="798"/>
      <c r="Q3712" s="798"/>
      <c r="R3712" s="811"/>
    </row>
    <row r="3713" customFormat="false" ht="16.5" hidden="false" customHeight="true" outlineLevel="0" collapsed="false">
      <c r="A3713" s="747"/>
      <c r="B3713" s="798"/>
      <c r="D3713" s="798"/>
      <c r="E3713" s="798"/>
      <c r="F3713" s="798"/>
      <c r="G3713" s="798"/>
      <c r="J3713" s="778" t="str">
        <f aca="false">IF(I3713="","",H3713/I3713)</f>
        <v/>
      </c>
      <c r="K3713" s="798"/>
      <c r="P3713" s="798"/>
      <c r="Q3713" s="798"/>
      <c r="R3713" s="811"/>
    </row>
    <row r="3714" customFormat="false" ht="16.5" hidden="false" customHeight="true" outlineLevel="0" collapsed="false">
      <c r="A3714" s="747"/>
      <c r="B3714" s="798"/>
      <c r="D3714" s="798"/>
      <c r="E3714" s="798"/>
      <c r="F3714" s="798"/>
      <c r="G3714" s="798"/>
      <c r="J3714" s="778" t="str">
        <f aca="false">IF(I3714="","",H3714/I3714)</f>
        <v/>
      </c>
      <c r="K3714" s="798"/>
      <c r="P3714" s="798"/>
      <c r="Q3714" s="798"/>
      <c r="R3714" s="811"/>
    </row>
    <row r="3715" customFormat="false" ht="16.5" hidden="false" customHeight="true" outlineLevel="0" collapsed="false">
      <c r="A3715" s="747"/>
      <c r="B3715" s="798"/>
      <c r="D3715" s="798"/>
      <c r="E3715" s="798"/>
      <c r="F3715" s="798"/>
      <c r="G3715" s="798"/>
      <c r="J3715" s="778" t="str">
        <f aca="false">IF(I3715="","",H3715/I3715)</f>
        <v/>
      </c>
      <c r="K3715" s="798"/>
      <c r="P3715" s="798"/>
      <c r="Q3715" s="798"/>
      <c r="R3715" s="811"/>
    </row>
    <row r="3716" customFormat="false" ht="16.5" hidden="false" customHeight="true" outlineLevel="0" collapsed="false">
      <c r="A3716" s="747"/>
      <c r="B3716" s="798"/>
      <c r="D3716" s="798"/>
      <c r="E3716" s="798"/>
      <c r="F3716" s="798"/>
      <c r="G3716" s="798"/>
      <c r="J3716" s="778" t="str">
        <f aca="false">IF(I3716="","",H3716/I3716)</f>
        <v/>
      </c>
      <c r="K3716" s="798"/>
      <c r="P3716" s="798"/>
      <c r="Q3716" s="798"/>
      <c r="R3716" s="811"/>
    </row>
    <row r="3717" customFormat="false" ht="16.5" hidden="false" customHeight="true" outlineLevel="0" collapsed="false">
      <c r="A3717" s="747"/>
      <c r="B3717" s="798"/>
      <c r="D3717" s="798"/>
      <c r="E3717" s="798"/>
      <c r="F3717" s="798"/>
      <c r="G3717" s="798"/>
      <c r="J3717" s="778" t="str">
        <f aca="false">IF(I3717="","",H3717/I3717)</f>
        <v/>
      </c>
      <c r="K3717" s="798"/>
      <c r="P3717" s="798"/>
      <c r="Q3717" s="798"/>
      <c r="R3717" s="811"/>
    </row>
    <row r="3718" customFormat="false" ht="16.5" hidden="false" customHeight="true" outlineLevel="0" collapsed="false">
      <c r="A3718" s="747"/>
      <c r="B3718" s="798"/>
      <c r="D3718" s="798"/>
      <c r="E3718" s="798"/>
      <c r="F3718" s="798"/>
      <c r="G3718" s="798"/>
      <c r="J3718" s="778" t="str">
        <f aca="false">IF(I3718="","",H3718/I3718)</f>
        <v/>
      </c>
      <c r="K3718" s="798"/>
      <c r="P3718" s="798"/>
      <c r="Q3718" s="798"/>
      <c r="R3718" s="811"/>
    </row>
    <row r="3719" customFormat="false" ht="16.5" hidden="false" customHeight="true" outlineLevel="0" collapsed="false">
      <c r="A3719" s="747"/>
      <c r="B3719" s="798"/>
      <c r="D3719" s="798"/>
      <c r="E3719" s="798"/>
      <c r="F3719" s="798"/>
      <c r="G3719" s="798"/>
      <c r="J3719" s="778" t="str">
        <f aca="false">IF(I3719="","",H3719/I3719)</f>
        <v/>
      </c>
      <c r="K3719" s="798"/>
      <c r="P3719" s="798"/>
      <c r="Q3719" s="798"/>
      <c r="R3719" s="811"/>
    </row>
    <row r="3720" customFormat="false" ht="16.5" hidden="false" customHeight="true" outlineLevel="0" collapsed="false">
      <c r="A3720" s="747"/>
      <c r="B3720" s="798"/>
      <c r="D3720" s="798"/>
      <c r="E3720" s="798"/>
      <c r="F3720" s="798"/>
      <c r="G3720" s="798"/>
      <c r="J3720" s="778" t="str">
        <f aca="false">IF(I3720="","",H3720/I3720)</f>
        <v/>
      </c>
      <c r="K3720" s="798"/>
      <c r="P3720" s="798"/>
      <c r="Q3720" s="798"/>
      <c r="R3720" s="811"/>
    </row>
    <row r="3721" customFormat="false" ht="16.5" hidden="false" customHeight="true" outlineLevel="0" collapsed="false">
      <c r="A3721" s="747"/>
      <c r="B3721" s="798"/>
      <c r="D3721" s="798"/>
      <c r="E3721" s="798"/>
      <c r="F3721" s="798"/>
      <c r="G3721" s="798"/>
      <c r="J3721" s="778" t="str">
        <f aca="false">IF(I3721="","",H3721/I3721)</f>
        <v/>
      </c>
      <c r="K3721" s="798"/>
      <c r="P3721" s="798"/>
      <c r="Q3721" s="798"/>
      <c r="R3721" s="811"/>
    </row>
    <row r="3722" customFormat="false" ht="16.5" hidden="false" customHeight="true" outlineLevel="0" collapsed="false">
      <c r="A3722" s="747"/>
      <c r="B3722" s="798"/>
      <c r="D3722" s="798"/>
      <c r="E3722" s="798"/>
      <c r="F3722" s="798"/>
      <c r="G3722" s="798"/>
      <c r="J3722" s="778" t="str">
        <f aca="false">IF(I3722="","",H3722/I3722)</f>
        <v/>
      </c>
      <c r="K3722" s="798"/>
      <c r="P3722" s="798"/>
      <c r="Q3722" s="798"/>
      <c r="R3722" s="811"/>
    </row>
    <row r="3723" customFormat="false" ht="16.5" hidden="false" customHeight="true" outlineLevel="0" collapsed="false">
      <c r="A3723" s="747"/>
      <c r="B3723" s="798"/>
      <c r="D3723" s="798"/>
      <c r="E3723" s="798"/>
      <c r="F3723" s="798"/>
      <c r="G3723" s="798"/>
      <c r="J3723" s="778" t="str">
        <f aca="false">IF(I3723="","",H3723/I3723)</f>
        <v/>
      </c>
      <c r="K3723" s="798"/>
      <c r="P3723" s="798"/>
      <c r="Q3723" s="798"/>
      <c r="R3723" s="811"/>
    </row>
    <row r="3724" customFormat="false" ht="16.5" hidden="false" customHeight="true" outlineLevel="0" collapsed="false">
      <c r="A3724" s="747"/>
      <c r="B3724" s="798"/>
      <c r="D3724" s="798"/>
      <c r="E3724" s="798"/>
      <c r="F3724" s="798"/>
      <c r="G3724" s="798"/>
      <c r="J3724" s="778" t="str">
        <f aca="false">IF(I3724="","",H3724/I3724)</f>
        <v/>
      </c>
      <c r="K3724" s="798"/>
      <c r="P3724" s="798"/>
      <c r="Q3724" s="798"/>
      <c r="R3724" s="811"/>
    </row>
    <row r="3725" customFormat="false" ht="16.5" hidden="false" customHeight="true" outlineLevel="0" collapsed="false">
      <c r="A3725" s="747"/>
      <c r="B3725" s="798"/>
      <c r="D3725" s="798"/>
      <c r="E3725" s="798"/>
      <c r="F3725" s="798"/>
      <c r="G3725" s="798"/>
      <c r="J3725" s="778" t="str">
        <f aca="false">IF(I3725="","",H3725/I3725)</f>
        <v/>
      </c>
      <c r="K3725" s="798"/>
      <c r="P3725" s="798"/>
      <c r="Q3725" s="798"/>
      <c r="R3725" s="811"/>
    </row>
    <row r="3726" customFormat="false" ht="16.5" hidden="false" customHeight="true" outlineLevel="0" collapsed="false">
      <c r="A3726" s="747"/>
      <c r="B3726" s="798"/>
      <c r="D3726" s="798"/>
      <c r="E3726" s="798"/>
      <c r="F3726" s="798"/>
      <c r="G3726" s="798"/>
      <c r="J3726" s="778" t="str">
        <f aca="false">IF(I3726="","",H3726/I3726)</f>
        <v/>
      </c>
      <c r="K3726" s="798"/>
      <c r="P3726" s="798"/>
      <c r="Q3726" s="798"/>
      <c r="R3726" s="811"/>
    </row>
    <row r="3727" customFormat="false" ht="16.5" hidden="false" customHeight="true" outlineLevel="0" collapsed="false">
      <c r="A3727" s="747"/>
      <c r="B3727" s="798"/>
      <c r="D3727" s="798"/>
      <c r="E3727" s="798"/>
      <c r="F3727" s="798"/>
      <c r="G3727" s="798"/>
      <c r="J3727" s="778" t="str">
        <f aca="false">IF(I3727="","",H3727/I3727)</f>
        <v/>
      </c>
      <c r="K3727" s="798"/>
      <c r="P3727" s="798"/>
      <c r="Q3727" s="798"/>
      <c r="R3727" s="811"/>
    </row>
    <row r="3728" customFormat="false" ht="16.5" hidden="false" customHeight="true" outlineLevel="0" collapsed="false">
      <c r="A3728" s="747"/>
      <c r="B3728" s="798"/>
      <c r="D3728" s="798"/>
      <c r="E3728" s="798"/>
      <c r="F3728" s="798"/>
      <c r="G3728" s="798"/>
      <c r="J3728" s="778" t="str">
        <f aca="false">IF(I3728="","",H3728/I3728)</f>
        <v/>
      </c>
      <c r="K3728" s="798"/>
      <c r="P3728" s="798"/>
      <c r="Q3728" s="798"/>
      <c r="R3728" s="811"/>
    </row>
    <row r="3729" customFormat="false" ht="16.5" hidden="false" customHeight="true" outlineLevel="0" collapsed="false">
      <c r="A3729" s="747"/>
      <c r="B3729" s="798"/>
      <c r="D3729" s="798"/>
      <c r="E3729" s="798"/>
      <c r="F3729" s="798"/>
      <c r="G3729" s="798"/>
      <c r="J3729" s="778" t="str">
        <f aca="false">IF(I3729="","",H3729/I3729)</f>
        <v/>
      </c>
      <c r="K3729" s="798"/>
      <c r="P3729" s="798"/>
      <c r="Q3729" s="798"/>
      <c r="R3729" s="811"/>
    </row>
    <row r="3730" customFormat="false" ht="16.5" hidden="false" customHeight="true" outlineLevel="0" collapsed="false">
      <c r="A3730" s="747"/>
      <c r="B3730" s="798"/>
      <c r="D3730" s="798"/>
      <c r="E3730" s="798"/>
      <c r="F3730" s="798"/>
      <c r="G3730" s="798"/>
      <c r="J3730" s="778" t="str">
        <f aca="false">IF(I3730="","",H3730/I3730)</f>
        <v/>
      </c>
      <c r="K3730" s="798"/>
      <c r="P3730" s="798"/>
      <c r="Q3730" s="798"/>
      <c r="R3730" s="811"/>
    </row>
    <row r="3731" customFormat="false" ht="16.5" hidden="false" customHeight="true" outlineLevel="0" collapsed="false">
      <c r="A3731" s="747"/>
      <c r="B3731" s="798"/>
      <c r="D3731" s="798"/>
      <c r="E3731" s="798"/>
      <c r="F3731" s="798"/>
      <c r="G3731" s="798"/>
      <c r="J3731" s="778" t="str">
        <f aca="false">IF(I3731="","",H3731/I3731)</f>
        <v/>
      </c>
      <c r="K3731" s="798"/>
      <c r="P3731" s="798"/>
      <c r="Q3731" s="798"/>
      <c r="R3731" s="811"/>
    </row>
    <row r="3732" customFormat="false" ht="16.5" hidden="false" customHeight="true" outlineLevel="0" collapsed="false">
      <c r="A3732" s="747"/>
      <c r="B3732" s="798"/>
      <c r="D3732" s="798"/>
      <c r="E3732" s="798"/>
      <c r="F3732" s="798"/>
      <c r="G3732" s="798"/>
      <c r="J3732" s="778" t="str">
        <f aca="false">IF(I3732="","",H3732/I3732)</f>
        <v/>
      </c>
      <c r="K3732" s="798"/>
      <c r="P3732" s="798"/>
      <c r="Q3732" s="798"/>
      <c r="R3732" s="811"/>
    </row>
    <row r="3733" customFormat="false" ht="16.5" hidden="false" customHeight="true" outlineLevel="0" collapsed="false">
      <c r="A3733" s="747"/>
      <c r="B3733" s="798"/>
      <c r="D3733" s="798"/>
      <c r="E3733" s="798"/>
      <c r="F3733" s="798"/>
      <c r="G3733" s="798"/>
      <c r="J3733" s="778" t="str">
        <f aca="false">IF(I3733="","",H3733/I3733)</f>
        <v/>
      </c>
      <c r="K3733" s="798"/>
      <c r="P3733" s="798"/>
      <c r="Q3733" s="798"/>
      <c r="R3733" s="811"/>
    </row>
    <row r="3734" customFormat="false" ht="16.5" hidden="false" customHeight="true" outlineLevel="0" collapsed="false">
      <c r="A3734" s="747"/>
      <c r="B3734" s="798"/>
      <c r="D3734" s="798"/>
      <c r="E3734" s="798"/>
      <c r="F3734" s="798"/>
      <c r="G3734" s="798"/>
      <c r="J3734" s="778" t="str">
        <f aca="false">IF(I3734="","",H3734/I3734)</f>
        <v/>
      </c>
      <c r="K3734" s="798"/>
      <c r="P3734" s="798"/>
      <c r="Q3734" s="798"/>
      <c r="R3734" s="811"/>
    </row>
    <row r="3735" customFormat="false" ht="16.5" hidden="false" customHeight="true" outlineLevel="0" collapsed="false">
      <c r="A3735" s="747"/>
      <c r="B3735" s="798"/>
      <c r="D3735" s="798"/>
      <c r="E3735" s="798"/>
      <c r="F3735" s="798"/>
      <c r="G3735" s="798"/>
      <c r="J3735" s="778" t="str">
        <f aca="false">IF(I3735="","",H3735/I3735)</f>
        <v/>
      </c>
      <c r="K3735" s="798"/>
      <c r="P3735" s="798"/>
      <c r="Q3735" s="798"/>
      <c r="R3735" s="811"/>
    </row>
    <row r="3736" customFormat="false" ht="16.5" hidden="false" customHeight="true" outlineLevel="0" collapsed="false">
      <c r="A3736" s="747"/>
      <c r="B3736" s="798"/>
      <c r="D3736" s="798"/>
      <c r="E3736" s="798"/>
      <c r="F3736" s="798"/>
      <c r="G3736" s="798"/>
      <c r="J3736" s="778" t="str">
        <f aca="false">IF(I3736="","",H3736/I3736)</f>
        <v/>
      </c>
      <c r="K3736" s="798"/>
      <c r="P3736" s="798"/>
      <c r="Q3736" s="798"/>
      <c r="R3736" s="811"/>
    </row>
    <row r="3737" customFormat="false" ht="16.5" hidden="false" customHeight="true" outlineLevel="0" collapsed="false">
      <c r="A3737" s="747"/>
      <c r="B3737" s="798"/>
      <c r="D3737" s="798"/>
      <c r="E3737" s="798"/>
      <c r="F3737" s="798"/>
      <c r="G3737" s="798"/>
      <c r="J3737" s="778" t="str">
        <f aca="false">IF(I3737="","",H3737/I3737)</f>
        <v/>
      </c>
      <c r="K3737" s="798"/>
      <c r="P3737" s="798"/>
      <c r="Q3737" s="798"/>
      <c r="R3737" s="811"/>
    </row>
    <row r="3738" customFormat="false" ht="16.5" hidden="false" customHeight="true" outlineLevel="0" collapsed="false">
      <c r="A3738" s="747"/>
      <c r="B3738" s="798"/>
      <c r="D3738" s="798"/>
      <c r="E3738" s="798"/>
      <c r="F3738" s="798"/>
      <c r="G3738" s="798"/>
      <c r="J3738" s="778" t="str">
        <f aca="false">IF(I3738="","",H3738/I3738)</f>
        <v/>
      </c>
      <c r="K3738" s="798"/>
      <c r="P3738" s="798"/>
      <c r="Q3738" s="798"/>
      <c r="R3738" s="811"/>
    </row>
    <row r="3739" customFormat="false" ht="16.5" hidden="false" customHeight="true" outlineLevel="0" collapsed="false">
      <c r="A3739" s="747"/>
      <c r="B3739" s="798"/>
      <c r="D3739" s="798"/>
      <c r="E3739" s="798"/>
      <c r="F3739" s="798"/>
      <c r="G3739" s="798"/>
      <c r="J3739" s="778" t="str">
        <f aca="false">IF(I3739="","",H3739/I3739)</f>
        <v/>
      </c>
      <c r="K3739" s="798"/>
      <c r="P3739" s="798"/>
      <c r="Q3739" s="798"/>
      <c r="R3739" s="811"/>
    </row>
    <row r="3740" customFormat="false" ht="16.5" hidden="false" customHeight="true" outlineLevel="0" collapsed="false">
      <c r="A3740" s="747"/>
      <c r="B3740" s="798"/>
      <c r="D3740" s="798"/>
      <c r="E3740" s="798"/>
      <c r="F3740" s="798"/>
      <c r="G3740" s="798"/>
      <c r="J3740" s="778" t="str">
        <f aca="false">IF(I3740="","",H3740/I3740)</f>
        <v/>
      </c>
      <c r="K3740" s="798"/>
      <c r="P3740" s="798"/>
      <c r="Q3740" s="798"/>
      <c r="R3740" s="811"/>
    </row>
    <row r="3741" customFormat="false" ht="16.5" hidden="false" customHeight="true" outlineLevel="0" collapsed="false">
      <c r="A3741" s="747"/>
      <c r="B3741" s="798"/>
      <c r="D3741" s="798"/>
      <c r="E3741" s="798"/>
      <c r="F3741" s="798"/>
      <c r="G3741" s="798"/>
      <c r="J3741" s="778" t="str">
        <f aca="false">IF(I3741="","",H3741/I3741)</f>
        <v/>
      </c>
      <c r="K3741" s="798"/>
      <c r="P3741" s="798"/>
      <c r="Q3741" s="798"/>
      <c r="R3741" s="811"/>
    </row>
    <row r="3742" customFormat="false" ht="16.5" hidden="false" customHeight="true" outlineLevel="0" collapsed="false">
      <c r="A3742" s="747"/>
      <c r="B3742" s="798"/>
      <c r="D3742" s="798"/>
      <c r="E3742" s="798"/>
      <c r="F3742" s="798"/>
      <c r="G3742" s="798"/>
      <c r="J3742" s="778" t="str">
        <f aca="false">IF(I3742="","",H3742/I3742)</f>
        <v/>
      </c>
      <c r="K3742" s="798"/>
      <c r="P3742" s="798"/>
      <c r="Q3742" s="798"/>
      <c r="R3742" s="811"/>
    </row>
    <row r="3743" customFormat="false" ht="16.5" hidden="false" customHeight="true" outlineLevel="0" collapsed="false">
      <c r="A3743" s="747"/>
      <c r="B3743" s="798"/>
      <c r="D3743" s="798"/>
      <c r="E3743" s="798"/>
      <c r="F3743" s="798"/>
      <c r="G3743" s="798"/>
      <c r="J3743" s="778" t="str">
        <f aca="false">IF(I3743="","",H3743/I3743)</f>
        <v/>
      </c>
      <c r="K3743" s="798"/>
      <c r="P3743" s="798"/>
      <c r="Q3743" s="798"/>
      <c r="R3743" s="811"/>
    </row>
    <row r="3744" customFormat="false" ht="16.5" hidden="false" customHeight="true" outlineLevel="0" collapsed="false">
      <c r="A3744" s="747"/>
      <c r="B3744" s="798"/>
      <c r="D3744" s="798"/>
      <c r="E3744" s="798"/>
      <c r="F3744" s="798"/>
      <c r="G3744" s="798"/>
      <c r="J3744" s="778" t="str">
        <f aca="false">IF(I3744="","",H3744/I3744)</f>
        <v/>
      </c>
      <c r="K3744" s="798"/>
      <c r="P3744" s="798"/>
      <c r="Q3744" s="798"/>
      <c r="R3744" s="811"/>
    </row>
    <row r="3745" customFormat="false" ht="16.5" hidden="false" customHeight="true" outlineLevel="0" collapsed="false">
      <c r="A3745" s="747"/>
      <c r="B3745" s="798"/>
      <c r="D3745" s="798"/>
      <c r="E3745" s="798"/>
      <c r="F3745" s="798"/>
      <c r="G3745" s="798"/>
      <c r="J3745" s="778" t="str">
        <f aca="false">IF(I3745="","",H3745/I3745)</f>
        <v/>
      </c>
      <c r="K3745" s="798"/>
      <c r="P3745" s="798"/>
      <c r="Q3745" s="798"/>
      <c r="R3745" s="811"/>
    </row>
    <row r="3746" customFormat="false" ht="16.5" hidden="false" customHeight="true" outlineLevel="0" collapsed="false">
      <c r="A3746" s="747"/>
      <c r="B3746" s="798"/>
      <c r="D3746" s="798"/>
      <c r="E3746" s="798"/>
      <c r="F3746" s="798"/>
      <c r="G3746" s="798"/>
      <c r="J3746" s="778" t="str">
        <f aca="false">IF(I3746="","",H3746/I3746)</f>
        <v/>
      </c>
      <c r="K3746" s="798"/>
      <c r="P3746" s="798"/>
      <c r="Q3746" s="798"/>
      <c r="R3746" s="811"/>
    </row>
    <row r="3747" customFormat="false" ht="16.5" hidden="false" customHeight="true" outlineLevel="0" collapsed="false">
      <c r="A3747" s="747"/>
      <c r="B3747" s="798"/>
      <c r="D3747" s="798"/>
      <c r="E3747" s="798"/>
      <c r="F3747" s="798"/>
      <c r="G3747" s="798"/>
      <c r="J3747" s="778" t="str">
        <f aca="false">IF(I3747="","",H3747/I3747)</f>
        <v/>
      </c>
      <c r="K3747" s="798"/>
      <c r="P3747" s="798"/>
      <c r="Q3747" s="798"/>
      <c r="R3747" s="811"/>
    </row>
    <row r="3748" customFormat="false" ht="16.5" hidden="false" customHeight="true" outlineLevel="0" collapsed="false">
      <c r="A3748" s="747"/>
      <c r="B3748" s="798"/>
      <c r="D3748" s="798"/>
      <c r="E3748" s="798"/>
      <c r="F3748" s="798"/>
      <c r="G3748" s="798"/>
      <c r="J3748" s="778" t="str">
        <f aca="false">IF(I3748="","",H3748/I3748)</f>
        <v/>
      </c>
      <c r="K3748" s="798"/>
      <c r="P3748" s="798"/>
      <c r="Q3748" s="798"/>
      <c r="R3748" s="811"/>
    </row>
    <row r="3749" customFormat="false" ht="16.5" hidden="false" customHeight="true" outlineLevel="0" collapsed="false">
      <c r="A3749" s="747"/>
      <c r="B3749" s="798"/>
      <c r="D3749" s="798"/>
      <c r="E3749" s="798"/>
      <c r="F3749" s="798"/>
      <c r="G3749" s="798"/>
      <c r="J3749" s="778" t="str">
        <f aca="false">IF(I3749="","",H3749/I3749)</f>
        <v/>
      </c>
      <c r="K3749" s="798"/>
      <c r="P3749" s="798"/>
      <c r="Q3749" s="798"/>
      <c r="R3749" s="811"/>
    </row>
    <row r="3750" customFormat="false" ht="16.5" hidden="false" customHeight="true" outlineLevel="0" collapsed="false">
      <c r="A3750" s="747"/>
      <c r="B3750" s="798"/>
      <c r="D3750" s="798"/>
      <c r="E3750" s="798"/>
      <c r="F3750" s="798"/>
      <c r="G3750" s="798"/>
      <c r="J3750" s="778" t="str">
        <f aca="false">IF(I3750="","",H3750/I3750)</f>
        <v/>
      </c>
      <c r="K3750" s="798"/>
      <c r="P3750" s="798"/>
      <c r="Q3750" s="798"/>
      <c r="R3750" s="811"/>
    </row>
    <row r="3751" customFormat="false" ht="16.5" hidden="false" customHeight="true" outlineLevel="0" collapsed="false">
      <c r="A3751" s="747"/>
      <c r="B3751" s="798"/>
      <c r="D3751" s="798"/>
      <c r="E3751" s="798"/>
      <c r="F3751" s="798"/>
      <c r="G3751" s="798"/>
      <c r="J3751" s="778" t="str">
        <f aca="false">IF(I3751="","",H3751/I3751)</f>
        <v/>
      </c>
      <c r="K3751" s="798"/>
      <c r="P3751" s="798"/>
      <c r="Q3751" s="798"/>
      <c r="R3751" s="811"/>
    </row>
    <row r="3752" customFormat="false" ht="16.5" hidden="false" customHeight="true" outlineLevel="0" collapsed="false">
      <c r="A3752" s="747"/>
      <c r="B3752" s="798"/>
      <c r="D3752" s="798"/>
      <c r="E3752" s="798"/>
      <c r="F3752" s="798"/>
      <c r="G3752" s="798"/>
      <c r="J3752" s="778" t="str">
        <f aca="false">IF(I3752="","",H3752/I3752)</f>
        <v/>
      </c>
      <c r="K3752" s="798"/>
      <c r="P3752" s="798"/>
      <c r="Q3752" s="798"/>
      <c r="R3752" s="811"/>
    </row>
    <row r="3753" customFormat="false" ht="16.5" hidden="false" customHeight="true" outlineLevel="0" collapsed="false">
      <c r="A3753" s="747"/>
      <c r="B3753" s="798"/>
      <c r="D3753" s="798"/>
      <c r="E3753" s="798"/>
      <c r="F3753" s="798"/>
      <c r="G3753" s="798"/>
      <c r="J3753" s="778" t="str">
        <f aca="false">IF(I3753="","",H3753/I3753)</f>
        <v/>
      </c>
      <c r="K3753" s="798"/>
      <c r="P3753" s="798"/>
      <c r="Q3753" s="798"/>
      <c r="R3753" s="811"/>
    </row>
    <row r="3754" customFormat="false" ht="16.5" hidden="false" customHeight="true" outlineLevel="0" collapsed="false">
      <c r="A3754" s="747"/>
      <c r="B3754" s="798"/>
      <c r="D3754" s="798"/>
      <c r="E3754" s="798"/>
      <c r="F3754" s="798"/>
      <c r="G3754" s="798"/>
      <c r="J3754" s="778" t="str">
        <f aca="false">IF(I3754="","",H3754/I3754)</f>
        <v/>
      </c>
      <c r="K3754" s="798"/>
      <c r="P3754" s="798"/>
      <c r="Q3754" s="798"/>
      <c r="R3754" s="811"/>
    </row>
    <row r="3755" customFormat="false" ht="16.5" hidden="false" customHeight="true" outlineLevel="0" collapsed="false">
      <c r="A3755" s="747"/>
      <c r="B3755" s="798"/>
      <c r="D3755" s="798"/>
      <c r="E3755" s="798"/>
      <c r="F3755" s="798"/>
      <c r="G3755" s="798"/>
      <c r="J3755" s="778" t="str">
        <f aca="false">IF(I3755="","",H3755/I3755)</f>
        <v/>
      </c>
      <c r="K3755" s="798"/>
      <c r="P3755" s="798"/>
      <c r="Q3755" s="798"/>
      <c r="R3755" s="811"/>
    </row>
    <row r="3756" customFormat="false" ht="16.5" hidden="false" customHeight="true" outlineLevel="0" collapsed="false">
      <c r="A3756" s="747"/>
      <c r="B3756" s="798"/>
      <c r="D3756" s="798"/>
      <c r="E3756" s="798"/>
      <c r="F3756" s="798"/>
      <c r="G3756" s="798"/>
      <c r="J3756" s="778" t="str">
        <f aca="false">IF(I3756="","",H3756/I3756)</f>
        <v/>
      </c>
      <c r="K3756" s="798"/>
      <c r="P3756" s="798"/>
      <c r="Q3756" s="798"/>
      <c r="R3756" s="811"/>
    </row>
    <row r="3757" customFormat="false" ht="16.5" hidden="false" customHeight="true" outlineLevel="0" collapsed="false">
      <c r="A3757" s="747"/>
      <c r="B3757" s="798"/>
      <c r="D3757" s="798"/>
      <c r="E3757" s="798"/>
      <c r="F3757" s="798"/>
      <c r="G3757" s="798"/>
      <c r="J3757" s="778" t="str">
        <f aca="false">IF(I3757="","",H3757/I3757)</f>
        <v/>
      </c>
      <c r="K3757" s="798"/>
      <c r="P3757" s="798"/>
      <c r="Q3757" s="798"/>
      <c r="R3757" s="811"/>
    </row>
    <row r="3758" customFormat="false" ht="16.5" hidden="false" customHeight="true" outlineLevel="0" collapsed="false">
      <c r="A3758" s="747"/>
      <c r="B3758" s="798"/>
      <c r="D3758" s="798"/>
      <c r="E3758" s="798"/>
      <c r="F3758" s="798"/>
      <c r="G3758" s="798"/>
      <c r="J3758" s="778" t="str">
        <f aca="false">IF(I3758="","",H3758/I3758)</f>
        <v/>
      </c>
      <c r="K3758" s="798"/>
      <c r="P3758" s="798"/>
      <c r="Q3758" s="798"/>
      <c r="R3758" s="811"/>
    </row>
    <row r="3759" customFormat="false" ht="16.5" hidden="false" customHeight="true" outlineLevel="0" collapsed="false">
      <c r="A3759" s="747"/>
      <c r="B3759" s="798"/>
      <c r="D3759" s="798"/>
      <c r="E3759" s="798"/>
      <c r="F3759" s="798"/>
      <c r="G3759" s="798"/>
      <c r="J3759" s="778" t="str">
        <f aca="false">IF(I3759="","",H3759/I3759)</f>
        <v/>
      </c>
      <c r="K3759" s="798"/>
      <c r="P3759" s="798"/>
      <c r="Q3759" s="798"/>
      <c r="R3759" s="811"/>
    </row>
    <row r="3760" customFormat="false" ht="16.5" hidden="false" customHeight="true" outlineLevel="0" collapsed="false">
      <c r="A3760" s="747"/>
      <c r="B3760" s="798"/>
      <c r="D3760" s="798"/>
      <c r="E3760" s="798"/>
      <c r="F3760" s="798"/>
      <c r="G3760" s="798"/>
      <c r="J3760" s="778" t="str">
        <f aca="false">IF(I3760="","",H3760/I3760)</f>
        <v/>
      </c>
      <c r="K3760" s="798"/>
      <c r="P3760" s="798"/>
      <c r="Q3760" s="798"/>
      <c r="R3760" s="811"/>
    </row>
    <row r="3761" customFormat="false" ht="16.5" hidden="false" customHeight="true" outlineLevel="0" collapsed="false">
      <c r="A3761" s="747"/>
      <c r="B3761" s="798"/>
      <c r="D3761" s="798"/>
      <c r="E3761" s="798"/>
      <c r="F3761" s="798"/>
      <c r="G3761" s="798"/>
      <c r="J3761" s="778" t="str">
        <f aca="false">IF(I3761="","",H3761/I3761)</f>
        <v/>
      </c>
      <c r="K3761" s="798"/>
      <c r="P3761" s="798"/>
      <c r="Q3761" s="798"/>
      <c r="R3761" s="811"/>
    </row>
    <row r="3762" customFormat="false" ht="16.5" hidden="false" customHeight="true" outlineLevel="0" collapsed="false">
      <c r="A3762" s="747"/>
      <c r="B3762" s="798"/>
      <c r="D3762" s="798"/>
      <c r="E3762" s="798"/>
      <c r="F3762" s="798"/>
      <c r="G3762" s="798"/>
      <c r="J3762" s="778" t="str">
        <f aca="false">IF(I3762="","",H3762/I3762)</f>
        <v/>
      </c>
      <c r="K3762" s="798"/>
      <c r="P3762" s="798"/>
      <c r="Q3762" s="798"/>
      <c r="R3762" s="811"/>
    </row>
    <row r="3763" customFormat="false" ht="16.5" hidden="false" customHeight="true" outlineLevel="0" collapsed="false">
      <c r="A3763" s="747"/>
      <c r="B3763" s="798"/>
      <c r="D3763" s="798"/>
      <c r="E3763" s="798"/>
      <c r="F3763" s="798"/>
      <c r="G3763" s="798"/>
      <c r="J3763" s="778" t="str">
        <f aca="false">IF(I3763="","",H3763/I3763)</f>
        <v/>
      </c>
      <c r="K3763" s="798"/>
      <c r="P3763" s="798"/>
      <c r="Q3763" s="798"/>
      <c r="R3763" s="811"/>
    </row>
    <row r="3764" customFormat="false" ht="16.5" hidden="false" customHeight="true" outlineLevel="0" collapsed="false">
      <c r="A3764" s="747"/>
      <c r="B3764" s="798"/>
      <c r="D3764" s="798"/>
      <c r="E3764" s="798"/>
      <c r="F3764" s="798"/>
      <c r="G3764" s="798"/>
      <c r="J3764" s="778" t="str">
        <f aca="false">IF(I3764="","",H3764/I3764)</f>
        <v/>
      </c>
      <c r="K3764" s="798"/>
      <c r="P3764" s="798"/>
      <c r="Q3764" s="798"/>
      <c r="R3764" s="811"/>
    </row>
    <row r="3765" customFormat="false" ht="16.5" hidden="false" customHeight="true" outlineLevel="0" collapsed="false">
      <c r="A3765" s="747"/>
      <c r="B3765" s="798"/>
      <c r="D3765" s="798"/>
      <c r="E3765" s="798"/>
      <c r="F3765" s="798"/>
      <c r="G3765" s="798"/>
      <c r="J3765" s="778" t="str">
        <f aca="false">IF(I3765="","",H3765/I3765)</f>
        <v/>
      </c>
      <c r="K3765" s="798"/>
      <c r="P3765" s="798"/>
      <c r="Q3765" s="798"/>
      <c r="R3765" s="811"/>
    </row>
    <row r="3766" customFormat="false" ht="16.5" hidden="false" customHeight="true" outlineLevel="0" collapsed="false">
      <c r="A3766" s="747"/>
      <c r="B3766" s="798"/>
      <c r="D3766" s="798"/>
      <c r="E3766" s="798"/>
      <c r="F3766" s="798"/>
      <c r="G3766" s="798"/>
      <c r="J3766" s="778" t="str">
        <f aca="false">IF(I3766="","",H3766/I3766)</f>
        <v/>
      </c>
      <c r="K3766" s="798"/>
      <c r="P3766" s="798"/>
      <c r="Q3766" s="798"/>
      <c r="R3766" s="811"/>
    </row>
    <row r="3767" customFormat="false" ht="16.5" hidden="false" customHeight="true" outlineLevel="0" collapsed="false">
      <c r="A3767" s="747"/>
      <c r="B3767" s="798"/>
      <c r="D3767" s="798"/>
      <c r="E3767" s="798"/>
      <c r="F3767" s="798"/>
      <c r="G3767" s="798"/>
      <c r="J3767" s="778" t="str">
        <f aca="false">IF(I3767="","",H3767/I3767)</f>
        <v/>
      </c>
      <c r="K3767" s="798"/>
      <c r="P3767" s="798"/>
      <c r="Q3767" s="798"/>
      <c r="R3767" s="811"/>
    </row>
    <row r="3768" customFormat="false" ht="16.5" hidden="false" customHeight="true" outlineLevel="0" collapsed="false">
      <c r="A3768" s="747"/>
      <c r="B3768" s="798"/>
      <c r="D3768" s="798"/>
      <c r="E3768" s="798"/>
      <c r="F3768" s="798"/>
      <c r="G3768" s="798"/>
      <c r="J3768" s="778" t="str">
        <f aca="false">IF(I3768="","",H3768/I3768)</f>
        <v/>
      </c>
      <c r="K3768" s="798"/>
      <c r="P3768" s="798"/>
      <c r="Q3768" s="798"/>
      <c r="R3768" s="811"/>
    </row>
    <row r="3769" customFormat="false" ht="16.5" hidden="false" customHeight="true" outlineLevel="0" collapsed="false">
      <c r="A3769" s="747"/>
      <c r="B3769" s="798"/>
      <c r="D3769" s="798"/>
      <c r="E3769" s="798"/>
      <c r="F3769" s="798"/>
      <c r="G3769" s="798"/>
      <c r="J3769" s="778" t="str">
        <f aca="false">IF(I3769="","",H3769/I3769)</f>
        <v/>
      </c>
      <c r="K3769" s="798"/>
      <c r="P3769" s="798"/>
      <c r="Q3769" s="798"/>
      <c r="R3769" s="811"/>
    </row>
    <row r="3770" customFormat="false" ht="16.5" hidden="false" customHeight="true" outlineLevel="0" collapsed="false">
      <c r="A3770" s="747"/>
      <c r="B3770" s="798"/>
      <c r="D3770" s="798"/>
      <c r="E3770" s="798"/>
      <c r="F3770" s="798"/>
      <c r="G3770" s="798"/>
      <c r="J3770" s="778" t="str">
        <f aca="false">IF(I3770="","",H3770/I3770)</f>
        <v/>
      </c>
      <c r="K3770" s="798"/>
      <c r="P3770" s="798"/>
      <c r="Q3770" s="798"/>
      <c r="R3770" s="811"/>
    </row>
    <row r="3771" customFormat="false" ht="16.5" hidden="false" customHeight="true" outlineLevel="0" collapsed="false">
      <c r="A3771" s="747"/>
      <c r="B3771" s="798"/>
      <c r="D3771" s="798"/>
      <c r="E3771" s="798"/>
      <c r="F3771" s="798"/>
      <c r="G3771" s="798"/>
      <c r="J3771" s="778" t="str">
        <f aca="false">IF(I3771="","",H3771/I3771)</f>
        <v/>
      </c>
      <c r="K3771" s="798"/>
      <c r="P3771" s="798"/>
      <c r="Q3771" s="798"/>
      <c r="R3771" s="811"/>
    </row>
    <row r="3772" customFormat="false" ht="16.5" hidden="false" customHeight="true" outlineLevel="0" collapsed="false">
      <c r="A3772" s="747"/>
      <c r="B3772" s="798"/>
      <c r="D3772" s="798"/>
      <c r="E3772" s="798"/>
      <c r="F3772" s="798"/>
      <c r="G3772" s="798"/>
      <c r="J3772" s="778" t="str">
        <f aca="false">IF(I3772="","",H3772/I3772)</f>
        <v/>
      </c>
      <c r="K3772" s="798"/>
      <c r="P3772" s="798"/>
      <c r="Q3772" s="798"/>
      <c r="R3772" s="811"/>
    </row>
    <row r="3773" customFormat="false" ht="16.5" hidden="false" customHeight="true" outlineLevel="0" collapsed="false">
      <c r="A3773" s="747"/>
      <c r="B3773" s="798"/>
      <c r="D3773" s="798"/>
      <c r="E3773" s="798"/>
      <c r="F3773" s="798"/>
      <c r="G3773" s="798"/>
      <c r="J3773" s="778" t="str">
        <f aca="false">IF(I3773="","",H3773/I3773)</f>
        <v/>
      </c>
      <c r="K3773" s="798"/>
      <c r="P3773" s="798"/>
      <c r="Q3773" s="798"/>
      <c r="R3773" s="811"/>
    </row>
    <row r="3774" customFormat="false" ht="16.5" hidden="false" customHeight="true" outlineLevel="0" collapsed="false">
      <c r="A3774" s="747"/>
      <c r="B3774" s="798"/>
      <c r="D3774" s="798"/>
      <c r="E3774" s="798"/>
      <c r="F3774" s="798"/>
      <c r="G3774" s="798"/>
      <c r="J3774" s="778" t="str">
        <f aca="false">IF(I3774="","",H3774/I3774)</f>
        <v/>
      </c>
      <c r="K3774" s="798"/>
      <c r="P3774" s="798"/>
      <c r="Q3774" s="798"/>
      <c r="R3774" s="811"/>
    </row>
    <row r="3775" customFormat="false" ht="16.5" hidden="false" customHeight="true" outlineLevel="0" collapsed="false">
      <c r="A3775" s="747"/>
      <c r="B3775" s="798"/>
      <c r="D3775" s="798"/>
      <c r="E3775" s="798"/>
      <c r="F3775" s="798"/>
      <c r="G3775" s="798"/>
      <c r="J3775" s="778" t="str">
        <f aca="false">IF(I3775="","",H3775/I3775)</f>
        <v/>
      </c>
      <c r="K3775" s="798"/>
      <c r="P3775" s="798"/>
      <c r="Q3775" s="798"/>
      <c r="R3775" s="811"/>
    </row>
    <row r="3776" customFormat="false" ht="16.5" hidden="false" customHeight="true" outlineLevel="0" collapsed="false">
      <c r="A3776" s="747"/>
      <c r="B3776" s="798"/>
      <c r="D3776" s="798"/>
      <c r="E3776" s="798"/>
      <c r="F3776" s="798"/>
      <c r="G3776" s="798"/>
      <c r="J3776" s="778" t="str">
        <f aca="false">IF(I3776="","",H3776/I3776)</f>
        <v/>
      </c>
      <c r="K3776" s="798"/>
      <c r="P3776" s="798"/>
      <c r="Q3776" s="798"/>
      <c r="R3776" s="811"/>
    </row>
    <row r="3777" customFormat="false" ht="16.5" hidden="false" customHeight="true" outlineLevel="0" collapsed="false">
      <c r="A3777" s="747"/>
      <c r="B3777" s="798"/>
      <c r="D3777" s="798"/>
      <c r="E3777" s="798"/>
      <c r="F3777" s="798"/>
      <c r="G3777" s="798"/>
      <c r="J3777" s="778" t="str">
        <f aca="false">IF(I3777="","",H3777/I3777)</f>
        <v/>
      </c>
      <c r="K3777" s="798"/>
      <c r="P3777" s="798"/>
      <c r="Q3777" s="798"/>
      <c r="R3777" s="811"/>
    </row>
    <row r="3778" customFormat="false" ht="16.5" hidden="false" customHeight="true" outlineLevel="0" collapsed="false">
      <c r="A3778" s="747"/>
      <c r="B3778" s="798"/>
      <c r="D3778" s="798"/>
      <c r="E3778" s="798"/>
      <c r="F3778" s="798"/>
      <c r="G3778" s="798"/>
      <c r="J3778" s="778" t="str">
        <f aca="false">IF(I3778="","",H3778/I3778)</f>
        <v/>
      </c>
      <c r="K3778" s="798"/>
      <c r="P3778" s="798"/>
      <c r="Q3778" s="798"/>
      <c r="R3778" s="811"/>
    </row>
    <row r="3779" customFormat="false" ht="16.5" hidden="false" customHeight="true" outlineLevel="0" collapsed="false">
      <c r="A3779" s="747"/>
      <c r="B3779" s="798"/>
      <c r="D3779" s="798"/>
      <c r="E3779" s="798"/>
      <c r="F3779" s="798"/>
      <c r="G3779" s="798"/>
      <c r="J3779" s="778" t="str">
        <f aca="false">IF(I3779="","",H3779/I3779)</f>
        <v/>
      </c>
      <c r="K3779" s="798"/>
      <c r="P3779" s="798"/>
      <c r="Q3779" s="798"/>
      <c r="R3779" s="811"/>
    </row>
    <row r="3780" customFormat="false" ht="16.5" hidden="false" customHeight="true" outlineLevel="0" collapsed="false">
      <c r="A3780" s="747"/>
      <c r="B3780" s="798"/>
      <c r="D3780" s="798"/>
      <c r="E3780" s="798"/>
      <c r="F3780" s="798"/>
      <c r="G3780" s="798"/>
      <c r="J3780" s="778" t="str">
        <f aca="false">IF(I3780="","",H3780/I3780)</f>
        <v/>
      </c>
      <c r="K3780" s="798"/>
      <c r="P3780" s="798"/>
      <c r="Q3780" s="798"/>
      <c r="R3780" s="811"/>
    </row>
    <row r="3781" customFormat="false" ht="16.5" hidden="false" customHeight="true" outlineLevel="0" collapsed="false">
      <c r="A3781" s="747"/>
      <c r="B3781" s="798"/>
      <c r="D3781" s="798"/>
      <c r="E3781" s="798"/>
      <c r="F3781" s="798"/>
      <c r="G3781" s="798"/>
      <c r="J3781" s="778" t="str">
        <f aca="false">IF(I3781="","",H3781/I3781)</f>
        <v/>
      </c>
      <c r="K3781" s="798"/>
      <c r="P3781" s="798"/>
      <c r="Q3781" s="798"/>
      <c r="R3781" s="811"/>
    </row>
    <row r="3782" customFormat="false" ht="16.5" hidden="false" customHeight="true" outlineLevel="0" collapsed="false">
      <c r="A3782" s="747"/>
      <c r="B3782" s="798"/>
      <c r="D3782" s="798"/>
      <c r="E3782" s="798"/>
      <c r="F3782" s="798"/>
      <c r="G3782" s="798"/>
      <c r="J3782" s="778" t="str">
        <f aca="false">IF(I3782="","",H3782/I3782)</f>
        <v/>
      </c>
      <c r="K3782" s="798"/>
      <c r="P3782" s="798"/>
      <c r="Q3782" s="798"/>
      <c r="R3782" s="811"/>
    </row>
    <row r="3783" customFormat="false" ht="16.5" hidden="false" customHeight="true" outlineLevel="0" collapsed="false">
      <c r="A3783" s="747"/>
      <c r="B3783" s="798"/>
      <c r="D3783" s="798"/>
      <c r="E3783" s="798"/>
      <c r="F3783" s="798"/>
      <c r="G3783" s="798"/>
      <c r="J3783" s="778" t="str">
        <f aca="false">IF(I3783="","",H3783/I3783)</f>
        <v/>
      </c>
      <c r="K3783" s="798"/>
      <c r="P3783" s="798"/>
      <c r="Q3783" s="798"/>
      <c r="R3783" s="811"/>
    </row>
    <row r="3784" customFormat="false" ht="16.5" hidden="false" customHeight="true" outlineLevel="0" collapsed="false">
      <c r="A3784" s="747"/>
      <c r="B3784" s="798"/>
      <c r="D3784" s="798"/>
      <c r="E3784" s="798"/>
      <c r="F3784" s="798"/>
      <c r="G3784" s="798"/>
      <c r="J3784" s="778" t="str">
        <f aca="false">IF(I3784="","",H3784/I3784)</f>
        <v/>
      </c>
      <c r="K3784" s="798"/>
      <c r="P3784" s="798"/>
      <c r="Q3784" s="798"/>
      <c r="R3784" s="811"/>
    </row>
    <row r="3785" customFormat="false" ht="16.5" hidden="false" customHeight="true" outlineLevel="0" collapsed="false">
      <c r="A3785" s="747"/>
      <c r="B3785" s="798"/>
      <c r="D3785" s="798"/>
      <c r="E3785" s="798"/>
      <c r="F3785" s="798"/>
      <c r="G3785" s="798"/>
      <c r="J3785" s="778" t="str">
        <f aca="false">IF(I3785="","",H3785/I3785)</f>
        <v/>
      </c>
      <c r="K3785" s="798"/>
      <c r="P3785" s="798"/>
      <c r="Q3785" s="798"/>
      <c r="R3785" s="811"/>
    </row>
    <row r="3786" customFormat="false" ht="16.5" hidden="false" customHeight="true" outlineLevel="0" collapsed="false">
      <c r="A3786" s="747"/>
      <c r="B3786" s="798"/>
      <c r="D3786" s="798"/>
      <c r="E3786" s="798"/>
      <c r="F3786" s="798"/>
      <c r="G3786" s="798"/>
      <c r="J3786" s="778" t="str">
        <f aca="false">IF(I3786="","",H3786/I3786)</f>
        <v/>
      </c>
      <c r="K3786" s="798"/>
      <c r="P3786" s="798"/>
      <c r="Q3786" s="798"/>
      <c r="R3786" s="811"/>
    </row>
    <row r="3787" customFormat="false" ht="16.5" hidden="false" customHeight="true" outlineLevel="0" collapsed="false">
      <c r="A3787" s="747"/>
      <c r="B3787" s="798"/>
      <c r="D3787" s="798"/>
      <c r="E3787" s="798"/>
      <c r="F3787" s="798"/>
      <c r="G3787" s="798"/>
      <c r="J3787" s="778" t="str">
        <f aca="false">IF(I3787="","",H3787/I3787)</f>
        <v/>
      </c>
      <c r="K3787" s="798"/>
      <c r="P3787" s="798"/>
      <c r="Q3787" s="798"/>
      <c r="R3787" s="811"/>
    </row>
    <row r="3788" customFormat="false" ht="16.5" hidden="false" customHeight="true" outlineLevel="0" collapsed="false">
      <c r="A3788" s="747"/>
      <c r="B3788" s="798"/>
      <c r="D3788" s="798"/>
      <c r="E3788" s="798"/>
      <c r="F3788" s="798"/>
      <c r="G3788" s="798"/>
      <c r="J3788" s="778" t="str">
        <f aca="false">IF(I3788="","",H3788/I3788)</f>
        <v/>
      </c>
      <c r="K3788" s="798"/>
      <c r="P3788" s="798"/>
      <c r="Q3788" s="798"/>
      <c r="R3788" s="811"/>
    </row>
    <row r="3789" customFormat="false" ht="16.5" hidden="false" customHeight="true" outlineLevel="0" collapsed="false">
      <c r="A3789" s="747"/>
      <c r="B3789" s="798"/>
      <c r="D3789" s="798"/>
      <c r="E3789" s="798"/>
      <c r="F3789" s="798"/>
      <c r="G3789" s="798"/>
      <c r="J3789" s="778" t="str">
        <f aca="false">IF(I3789="","",H3789/I3789)</f>
        <v/>
      </c>
      <c r="K3789" s="798"/>
      <c r="P3789" s="798"/>
      <c r="Q3789" s="798"/>
      <c r="R3789" s="811"/>
    </row>
    <row r="3790" customFormat="false" ht="16.5" hidden="false" customHeight="true" outlineLevel="0" collapsed="false">
      <c r="A3790" s="747"/>
      <c r="B3790" s="798"/>
      <c r="D3790" s="798"/>
      <c r="E3790" s="798"/>
      <c r="F3790" s="798"/>
      <c r="G3790" s="798"/>
      <c r="J3790" s="778" t="str">
        <f aca="false">IF(I3790="","",H3790/I3790)</f>
        <v/>
      </c>
      <c r="K3790" s="798"/>
      <c r="P3790" s="798"/>
      <c r="Q3790" s="798"/>
      <c r="R3790" s="811"/>
    </row>
    <row r="3791" customFormat="false" ht="16.5" hidden="false" customHeight="true" outlineLevel="0" collapsed="false">
      <c r="A3791" s="747"/>
      <c r="B3791" s="798"/>
      <c r="D3791" s="798"/>
      <c r="E3791" s="798"/>
      <c r="F3791" s="798"/>
      <c r="G3791" s="798"/>
      <c r="J3791" s="778" t="str">
        <f aca="false">IF(I3791="","",H3791/I3791)</f>
        <v/>
      </c>
      <c r="K3791" s="798"/>
      <c r="P3791" s="798"/>
      <c r="Q3791" s="798"/>
      <c r="R3791" s="811"/>
    </row>
    <row r="3792" customFormat="false" ht="16.5" hidden="false" customHeight="true" outlineLevel="0" collapsed="false">
      <c r="A3792" s="747"/>
      <c r="B3792" s="798"/>
      <c r="D3792" s="798"/>
      <c r="E3792" s="798"/>
      <c r="F3792" s="798"/>
      <c r="G3792" s="798"/>
      <c r="J3792" s="778" t="str">
        <f aca="false">IF(I3792="","",H3792/I3792)</f>
        <v/>
      </c>
      <c r="K3792" s="798"/>
      <c r="P3792" s="798"/>
      <c r="Q3792" s="798"/>
      <c r="R3792" s="811"/>
    </row>
    <row r="3793" customFormat="false" ht="16.5" hidden="false" customHeight="true" outlineLevel="0" collapsed="false">
      <c r="A3793" s="747"/>
      <c r="B3793" s="798"/>
      <c r="D3793" s="798"/>
      <c r="E3793" s="798"/>
      <c r="F3793" s="798"/>
      <c r="G3793" s="798"/>
      <c r="J3793" s="778" t="str">
        <f aca="false">IF(I3793="","",H3793/I3793)</f>
        <v/>
      </c>
      <c r="K3793" s="798"/>
      <c r="P3793" s="798"/>
      <c r="Q3793" s="798"/>
      <c r="R3793" s="811"/>
    </row>
    <row r="3794" customFormat="false" ht="16.5" hidden="false" customHeight="true" outlineLevel="0" collapsed="false">
      <c r="A3794" s="747"/>
      <c r="B3794" s="798"/>
      <c r="D3794" s="798"/>
      <c r="E3794" s="798"/>
      <c r="F3794" s="798"/>
      <c r="G3794" s="798"/>
      <c r="J3794" s="778" t="str">
        <f aca="false">IF(I3794="","",H3794/I3794)</f>
        <v/>
      </c>
      <c r="K3794" s="798"/>
      <c r="P3794" s="798"/>
      <c r="Q3794" s="798"/>
      <c r="R3794" s="811"/>
    </row>
    <row r="3795" customFormat="false" ht="16.5" hidden="false" customHeight="true" outlineLevel="0" collapsed="false">
      <c r="A3795" s="747"/>
      <c r="B3795" s="798"/>
      <c r="D3795" s="798"/>
      <c r="E3795" s="798"/>
      <c r="F3795" s="798"/>
      <c r="G3795" s="798"/>
      <c r="J3795" s="778" t="str">
        <f aca="false">IF(I3795="","",H3795/I3795)</f>
        <v/>
      </c>
      <c r="K3795" s="798"/>
      <c r="P3795" s="798"/>
      <c r="Q3795" s="798"/>
      <c r="R3795" s="811"/>
    </row>
    <row r="3796" customFormat="false" ht="16.5" hidden="false" customHeight="true" outlineLevel="0" collapsed="false">
      <c r="A3796" s="747"/>
      <c r="B3796" s="798"/>
      <c r="D3796" s="798"/>
      <c r="E3796" s="798"/>
      <c r="F3796" s="798"/>
      <c r="G3796" s="798"/>
      <c r="J3796" s="778" t="str">
        <f aca="false">IF(I3796="","",H3796/I3796)</f>
        <v/>
      </c>
      <c r="K3796" s="798"/>
      <c r="P3796" s="798"/>
      <c r="Q3796" s="798"/>
      <c r="R3796" s="811"/>
    </row>
    <row r="3797" customFormat="false" ht="16.5" hidden="false" customHeight="true" outlineLevel="0" collapsed="false">
      <c r="A3797" s="747"/>
      <c r="B3797" s="798"/>
      <c r="D3797" s="798"/>
      <c r="E3797" s="798"/>
      <c r="F3797" s="798"/>
      <c r="G3797" s="798"/>
      <c r="J3797" s="778" t="str">
        <f aca="false">IF(I3797="","",H3797/I3797)</f>
        <v/>
      </c>
      <c r="K3797" s="798"/>
      <c r="P3797" s="798"/>
      <c r="Q3797" s="798"/>
      <c r="R3797" s="811"/>
    </row>
    <row r="3798" customFormat="false" ht="16.5" hidden="false" customHeight="true" outlineLevel="0" collapsed="false">
      <c r="A3798" s="747"/>
      <c r="B3798" s="798"/>
      <c r="D3798" s="798"/>
      <c r="E3798" s="798"/>
      <c r="F3798" s="798"/>
      <c r="G3798" s="798"/>
      <c r="J3798" s="778" t="str">
        <f aca="false">IF(I3798="","",H3798/I3798)</f>
        <v/>
      </c>
      <c r="K3798" s="798"/>
      <c r="P3798" s="798"/>
      <c r="Q3798" s="798"/>
      <c r="R3798" s="811"/>
    </row>
    <row r="3799" customFormat="false" ht="16.5" hidden="false" customHeight="true" outlineLevel="0" collapsed="false">
      <c r="A3799" s="747"/>
      <c r="B3799" s="798"/>
      <c r="D3799" s="798"/>
      <c r="E3799" s="798"/>
      <c r="F3799" s="798"/>
      <c r="G3799" s="798"/>
      <c r="J3799" s="778" t="str">
        <f aca="false">IF(I3799="","",H3799/I3799)</f>
        <v/>
      </c>
      <c r="K3799" s="798"/>
      <c r="P3799" s="798"/>
      <c r="Q3799" s="798"/>
      <c r="R3799" s="811"/>
    </row>
    <row r="3800" customFormat="false" ht="16.5" hidden="false" customHeight="true" outlineLevel="0" collapsed="false">
      <c r="A3800" s="747"/>
      <c r="B3800" s="798"/>
      <c r="D3800" s="798"/>
      <c r="E3800" s="798"/>
      <c r="F3800" s="798"/>
      <c r="G3800" s="798"/>
      <c r="J3800" s="778" t="str">
        <f aca="false">IF(I3800="","",H3800/I3800)</f>
        <v/>
      </c>
      <c r="K3800" s="798"/>
      <c r="P3800" s="798"/>
      <c r="Q3800" s="798"/>
      <c r="R3800" s="811"/>
    </row>
    <row r="3801" customFormat="false" ht="16.5" hidden="false" customHeight="true" outlineLevel="0" collapsed="false">
      <c r="A3801" s="747"/>
      <c r="B3801" s="798"/>
      <c r="D3801" s="798"/>
      <c r="E3801" s="798"/>
      <c r="F3801" s="798"/>
      <c r="G3801" s="798"/>
      <c r="J3801" s="778" t="str">
        <f aca="false">IF(I3801="","",H3801/I3801)</f>
        <v/>
      </c>
      <c r="K3801" s="798"/>
      <c r="P3801" s="798"/>
      <c r="Q3801" s="798"/>
      <c r="R3801" s="811"/>
    </row>
    <row r="3802" customFormat="false" ht="16.5" hidden="false" customHeight="true" outlineLevel="0" collapsed="false">
      <c r="A3802" s="747"/>
      <c r="B3802" s="798"/>
      <c r="D3802" s="798"/>
      <c r="E3802" s="798"/>
      <c r="F3802" s="798"/>
      <c r="G3802" s="798"/>
      <c r="J3802" s="778" t="str">
        <f aca="false">IF(I3802="","",H3802/I3802)</f>
        <v/>
      </c>
      <c r="K3802" s="798"/>
      <c r="P3802" s="798"/>
      <c r="Q3802" s="798"/>
      <c r="R3802" s="811"/>
    </row>
    <row r="3803" customFormat="false" ht="16.5" hidden="false" customHeight="true" outlineLevel="0" collapsed="false">
      <c r="A3803" s="747"/>
      <c r="B3803" s="798"/>
      <c r="D3803" s="798"/>
      <c r="E3803" s="798"/>
      <c r="F3803" s="798"/>
      <c r="G3803" s="798"/>
      <c r="J3803" s="778" t="str">
        <f aca="false">IF(I3803="","",H3803/I3803)</f>
        <v/>
      </c>
      <c r="K3803" s="798"/>
      <c r="P3803" s="798"/>
      <c r="Q3803" s="798"/>
      <c r="R3803" s="811"/>
    </row>
    <row r="3804" customFormat="false" ht="16.5" hidden="false" customHeight="true" outlineLevel="0" collapsed="false">
      <c r="A3804" s="747"/>
      <c r="B3804" s="798"/>
      <c r="D3804" s="798"/>
      <c r="E3804" s="798"/>
      <c r="F3804" s="798"/>
      <c r="G3804" s="798"/>
      <c r="J3804" s="778" t="str">
        <f aca="false">IF(I3804="","",H3804/I3804)</f>
        <v/>
      </c>
      <c r="K3804" s="798"/>
      <c r="P3804" s="798"/>
      <c r="Q3804" s="798"/>
      <c r="R3804" s="811"/>
    </row>
    <row r="3805" customFormat="false" ht="16.5" hidden="false" customHeight="true" outlineLevel="0" collapsed="false">
      <c r="A3805" s="747"/>
      <c r="B3805" s="798"/>
      <c r="D3805" s="798"/>
      <c r="E3805" s="798"/>
      <c r="F3805" s="798"/>
      <c r="G3805" s="798"/>
      <c r="J3805" s="778" t="str">
        <f aca="false">IF(I3805="","",H3805/I3805)</f>
        <v/>
      </c>
      <c r="K3805" s="798"/>
      <c r="P3805" s="798"/>
      <c r="Q3805" s="798"/>
      <c r="R3805" s="811"/>
    </row>
    <row r="3806" customFormat="false" ht="16.5" hidden="false" customHeight="true" outlineLevel="0" collapsed="false">
      <c r="A3806" s="747"/>
      <c r="B3806" s="798"/>
      <c r="D3806" s="798"/>
      <c r="E3806" s="798"/>
      <c r="F3806" s="798"/>
      <c r="G3806" s="798"/>
      <c r="J3806" s="778" t="str">
        <f aca="false">IF(I3806="","",H3806/I3806)</f>
        <v/>
      </c>
      <c r="K3806" s="798"/>
      <c r="P3806" s="798"/>
      <c r="Q3806" s="798"/>
      <c r="R3806" s="811"/>
    </row>
    <row r="3807" customFormat="false" ht="16.5" hidden="false" customHeight="true" outlineLevel="0" collapsed="false">
      <c r="A3807" s="747"/>
      <c r="B3807" s="798"/>
      <c r="D3807" s="798"/>
      <c r="E3807" s="798"/>
      <c r="F3807" s="798"/>
      <c r="G3807" s="798"/>
      <c r="J3807" s="778" t="str">
        <f aca="false">IF(I3807="","",H3807/I3807)</f>
        <v/>
      </c>
      <c r="K3807" s="798"/>
      <c r="P3807" s="798"/>
      <c r="Q3807" s="798"/>
      <c r="R3807" s="811"/>
    </row>
    <row r="3808" customFormat="false" ht="16.5" hidden="false" customHeight="true" outlineLevel="0" collapsed="false">
      <c r="A3808" s="747"/>
      <c r="B3808" s="798"/>
      <c r="D3808" s="798"/>
      <c r="E3808" s="798"/>
      <c r="F3808" s="798"/>
      <c r="G3808" s="798"/>
      <c r="J3808" s="778" t="str">
        <f aca="false">IF(I3808="","",H3808/I3808)</f>
        <v/>
      </c>
      <c r="K3808" s="798"/>
      <c r="P3808" s="798"/>
      <c r="Q3808" s="798"/>
      <c r="R3808" s="811"/>
    </row>
    <row r="3809" customFormat="false" ht="16.5" hidden="false" customHeight="true" outlineLevel="0" collapsed="false">
      <c r="A3809" s="747"/>
      <c r="B3809" s="798"/>
      <c r="D3809" s="798"/>
      <c r="E3809" s="798"/>
      <c r="F3809" s="798"/>
      <c r="G3809" s="798"/>
      <c r="J3809" s="778" t="str">
        <f aca="false">IF(I3809="","",H3809/I3809)</f>
        <v/>
      </c>
      <c r="K3809" s="798"/>
      <c r="P3809" s="798"/>
      <c r="Q3809" s="798"/>
      <c r="R3809" s="811"/>
    </row>
    <row r="3810" customFormat="false" ht="16.5" hidden="false" customHeight="true" outlineLevel="0" collapsed="false">
      <c r="A3810" s="747"/>
      <c r="B3810" s="798"/>
      <c r="D3810" s="798"/>
      <c r="E3810" s="798"/>
      <c r="F3810" s="798"/>
      <c r="G3810" s="798"/>
      <c r="J3810" s="778" t="str">
        <f aca="false">IF(I3810="","",H3810/I3810)</f>
        <v/>
      </c>
      <c r="K3810" s="798"/>
      <c r="P3810" s="798"/>
      <c r="Q3810" s="798"/>
      <c r="R3810" s="811"/>
    </row>
    <row r="3811" customFormat="false" ht="16.5" hidden="false" customHeight="true" outlineLevel="0" collapsed="false">
      <c r="A3811" s="747"/>
      <c r="B3811" s="798"/>
      <c r="D3811" s="798"/>
      <c r="E3811" s="798"/>
      <c r="F3811" s="798"/>
      <c r="G3811" s="798"/>
      <c r="J3811" s="778" t="str">
        <f aca="false">IF(I3811="","",H3811/I3811)</f>
        <v/>
      </c>
      <c r="K3811" s="798"/>
      <c r="P3811" s="798"/>
      <c r="Q3811" s="798"/>
      <c r="R3811" s="811"/>
    </row>
    <row r="3812" customFormat="false" ht="16.5" hidden="false" customHeight="true" outlineLevel="0" collapsed="false">
      <c r="A3812" s="747"/>
      <c r="B3812" s="798"/>
      <c r="D3812" s="798"/>
      <c r="E3812" s="798"/>
      <c r="F3812" s="798"/>
      <c r="G3812" s="798"/>
      <c r="J3812" s="778" t="str">
        <f aca="false">IF(I3812="","",H3812/I3812)</f>
        <v/>
      </c>
      <c r="K3812" s="798"/>
      <c r="P3812" s="798"/>
      <c r="Q3812" s="798"/>
      <c r="R3812" s="811"/>
    </row>
    <row r="3813" customFormat="false" ht="16.5" hidden="false" customHeight="true" outlineLevel="0" collapsed="false">
      <c r="A3813" s="747"/>
      <c r="B3813" s="798"/>
      <c r="D3813" s="798"/>
      <c r="E3813" s="798"/>
      <c r="F3813" s="798"/>
      <c r="G3813" s="798"/>
      <c r="J3813" s="778" t="str">
        <f aca="false">IF(I3813="","",H3813/I3813)</f>
        <v/>
      </c>
      <c r="K3813" s="798"/>
      <c r="P3813" s="798"/>
      <c r="Q3813" s="798"/>
      <c r="R3813" s="811"/>
    </row>
    <row r="3814" customFormat="false" ht="16.5" hidden="false" customHeight="true" outlineLevel="0" collapsed="false">
      <c r="A3814" s="747"/>
      <c r="B3814" s="798"/>
      <c r="D3814" s="798"/>
      <c r="E3814" s="798"/>
      <c r="F3814" s="798"/>
      <c r="G3814" s="798"/>
      <c r="J3814" s="778" t="str">
        <f aca="false">IF(I3814="","",H3814/I3814)</f>
        <v/>
      </c>
      <c r="K3814" s="798"/>
      <c r="P3814" s="798"/>
      <c r="Q3814" s="798"/>
      <c r="R3814" s="811"/>
    </row>
    <row r="3815" customFormat="false" ht="16.5" hidden="false" customHeight="true" outlineLevel="0" collapsed="false">
      <c r="A3815" s="747"/>
      <c r="B3815" s="798"/>
      <c r="D3815" s="798"/>
      <c r="E3815" s="798"/>
      <c r="F3815" s="798"/>
      <c r="G3815" s="798"/>
      <c r="J3815" s="778" t="str">
        <f aca="false">IF(I3815="","",H3815/I3815)</f>
        <v/>
      </c>
      <c r="K3815" s="798"/>
      <c r="P3815" s="798"/>
      <c r="Q3815" s="798"/>
      <c r="R3815" s="811"/>
    </row>
    <row r="3816" customFormat="false" ht="16.5" hidden="false" customHeight="true" outlineLevel="0" collapsed="false">
      <c r="A3816" s="747"/>
      <c r="B3816" s="798"/>
      <c r="D3816" s="798"/>
      <c r="E3816" s="798"/>
      <c r="F3816" s="798"/>
      <c r="G3816" s="798"/>
      <c r="J3816" s="778" t="str">
        <f aca="false">IF(I3816="","",H3816/I3816)</f>
        <v/>
      </c>
      <c r="K3816" s="798"/>
      <c r="P3816" s="798"/>
      <c r="Q3816" s="798"/>
      <c r="R3816" s="811"/>
    </row>
    <row r="3817" customFormat="false" ht="16.5" hidden="false" customHeight="true" outlineLevel="0" collapsed="false">
      <c r="A3817" s="747"/>
      <c r="B3817" s="798"/>
      <c r="D3817" s="798"/>
      <c r="E3817" s="798"/>
      <c r="F3817" s="798"/>
      <c r="G3817" s="798"/>
      <c r="J3817" s="778" t="str">
        <f aca="false">IF(I3817="","",H3817/I3817)</f>
        <v/>
      </c>
      <c r="K3817" s="798"/>
      <c r="P3817" s="798"/>
      <c r="Q3817" s="798"/>
      <c r="R3817" s="811"/>
    </row>
    <row r="3818" customFormat="false" ht="16.5" hidden="false" customHeight="true" outlineLevel="0" collapsed="false">
      <c r="A3818" s="747"/>
      <c r="B3818" s="798"/>
      <c r="D3818" s="798"/>
      <c r="E3818" s="798"/>
      <c r="F3818" s="798"/>
      <c r="G3818" s="798"/>
      <c r="J3818" s="778" t="str">
        <f aca="false">IF(I3818="","",H3818/I3818)</f>
        <v/>
      </c>
      <c r="K3818" s="798"/>
      <c r="P3818" s="798"/>
      <c r="Q3818" s="798"/>
      <c r="R3818" s="811"/>
    </row>
    <row r="3819" customFormat="false" ht="16.5" hidden="false" customHeight="true" outlineLevel="0" collapsed="false">
      <c r="A3819" s="747"/>
      <c r="B3819" s="798"/>
      <c r="D3819" s="798"/>
      <c r="E3819" s="798"/>
      <c r="F3819" s="798"/>
      <c r="G3819" s="798"/>
      <c r="J3819" s="778" t="str">
        <f aca="false">IF(I3819="","",H3819/I3819)</f>
        <v/>
      </c>
      <c r="K3819" s="798"/>
      <c r="P3819" s="798"/>
      <c r="Q3819" s="798"/>
      <c r="R3819" s="811"/>
    </row>
    <row r="3820" customFormat="false" ht="16.5" hidden="false" customHeight="true" outlineLevel="0" collapsed="false">
      <c r="A3820" s="747"/>
      <c r="B3820" s="798"/>
      <c r="D3820" s="798"/>
      <c r="E3820" s="798"/>
      <c r="F3820" s="798"/>
      <c r="G3820" s="798"/>
      <c r="J3820" s="778" t="str">
        <f aca="false">IF(I3820="","",H3820/I3820)</f>
        <v/>
      </c>
      <c r="K3820" s="798"/>
      <c r="P3820" s="798"/>
      <c r="Q3820" s="798"/>
      <c r="R3820" s="811"/>
    </row>
    <row r="3821" customFormat="false" ht="16.5" hidden="false" customHeight="true" outlineLevel="0" collapsed="false">
      <c r="A3821" s="747"/>
      <c r="B3821" s="798"/>
      <c r="D3821" s="798"/>
      <c r="E3821" s="798"/>
      <c r="F3821" s="798"/>
      <c r="G3821" s="798"/>
      <c r="J3821" s="778" t="str">
        <f aca="false">IF(I3821="","",H3821/I3821)</f>
        <v/>
      </c>
      <c r="K3821" s="798"/>
      <c r="P3821" s="798"/>
      <c r="Q3821" s="798"/>
      <c r="R3821" s="811"/>
    </row>
    <row r="3822" customFormat="false" ht="16.5" hidden="false" customHeight="true" outlineLevel="0" collapsed="false">
      <c r="A3822" s="747"/>
      <c r="B3822" s="798"/>
      <c r="D3822" s="798"/>
      <c r="E3822" s="798"/>
      <c r="F3822" s="798"/>
      <c r="G3822" s="798"/>
      <c r="J3822" s="778" t="str">
        <f aca="false">IF(I3822="","",H3822/I3822)</f>
        <v/>
      </c>
      <c r="K3822" s="798"/>
      <c r="P3822" s="798"/>
      <c r="Q3822" s="798"/>
      <c r="R3822" s="811"/>
    </row>
    <row r="3823" customFormat="false" ht="16.5" hidden="false" customHeight="true" outlineLevel="0" collapsed="false">
      <c r="A3823" s="747"/>
      <c r="B3823" s="798"/>
      <c r="D3823" s="798"/>
      <c r="E3823" s="798"/>
      <c r="F3823" s="798"/>
      <c r="G3823" s="798"/>
      <c r="J3823" s="778" t="str">
        <f aca="false">IF(I3823="","",H3823/I3823)</f>
        <v/>
      </c>
      <c r="K3823" s="798"/>
      <c r="P3823" s="798"/>
      <c r="Q3823" s="798"/>
      <c r="R3823" s="811"/>
    </row>
    <row r="3824" customFormat="false" ht="16.5" hidden="false" customHeight="true" outlineLevel="0" collapsed="false">
      <c r="A3824" s="747"/>
      <c r="B3824" s="798"/>
      <c r="D3824" s="798"/>
      <c r="E3824" s="798"/>
      <c r="F3824" s="798"/>
      <c r="G3824" s="798"/>
      <c r="J3824" s="778" t="str">
        <f aca="false">IF(I3824="","",H3824/I3824)</f>
        <v/>
      </c>
      <c r="K3824" s="798"/>
      <c r="P3824" s="798"/>
      <c r="Q3824" s="798"/>
      <c r="R3824" s="811"/>
    </row>
    <row r="3825" customFormat="false" ht="16.5" hidden="false" customHeight="true" outlineLevel="0" collapsed="false">
      <c r="A3825" s="747"/>
      <c r="B3825" s="798"/>
      <c r="D3825" s="798"/>
      <c r="E3825" s="798"/>
      <c r="F3825" s="798"/>
      <c r="G3825" s="798"/>
      <c r="J3825" s="778" t="str">
        <f aca="false">IF(I3825="","",H3825/I3825)</f>
        <v/>
      </c>
      <c r="K3825" s="798"/>
      <c r="P3825" s="798"/>
      <c r="Q3825" s="798"/>
      <c r="R3825" s="811"/>
    </row>
    <row r="3826" customFormat="false" ht="16.5" hidden="false" customHeight="true" outlineLevel="0" collapsed="false">
      <c r="A3826" s="747"/>
      <c r="B3826" s="798"/>
      <c r="D3826" s="798"/>
      <c r="E3826" s="798"/>
      <c r="F3826" s="798"/>
      <c r="G3826" s="798"/>
      <c r="J3826" s="778" t="str">
        <f aca="false">IF(I3826="","",H3826/I3826)</f>
        <v/>
      </c>
      <c r="K3826" s="798"/>
      <c r="P3826" s="798"/>
      <c r="Q3826" s="798"/>
      <c r="R3826" s="811"/>
    </row>
    <row r="3827" customFormat="false" ht="16.5" hidden="false" customHeight="true" outlineLevel="0" collapsed="false">
      <c r="A3827" s="747"/>
      <c r="B3827" s="798"/>
      <c r="D3827" s="798"/>
      <c r="E3827" s="798"/>
      <c r="F3827" s="798"/>
      <c r="G3827" s="798"/>
      <c r="J3827" s="778" t="str">
        <f aca="false">IF(I3827="","",H3827/I3827)</f>
        <v/>
      </c>
      <c r="K3827" s="798"/>
      <c r="P3827" s="798"/>
      <c r="Q3827" s="798"/>
      <c r="R3827" s="811"/>
    </row>
    <row r="3828" customFormat="false" ht="16.5" hidden="false" customHeight="true" outlineLevel="0" collapsed="false">
      <c r="A3828" s="747"/>
      <c r="B3828" s="798"/>
      <c r="D3828" s="798"/>
      <c r="E3828" s="798"/>
      <c r="F3828" s="798"/>
      <c r="G3828" s="798"/>
      <c r="J3828" s="778" t="str">
        <f aca="false">IF(I3828="","",H3828/I3828)</f>
        <v/>
      </c>
      <c r="K3828" s="798"/>
      <c r="P3828" s="798"/>
      <c r="Q3828" s="798"/>
      <c r="R3828" s="811"/>
    </row>
    <row r="3829" customFormat="false" ht="16.5" hidden="false" customHeight="true" outlineLevel="0" collapsed="false">
      <c r="A3829" s="747"/>
      <c r="B3829" s="798"/>
      <c r="D3829" s="798"/>
      <c r="E3829" s="798"/>
      <c r="F3829" s="798"/>
      <c r="G3829" s="798"/>
      <c r="J3829" s="778" t="str">
        <f aca="false">IF(I3829="","",H3829/I3829)</f>
        <v/>
      </c>
      <c r="K3829" s="798"/>
      <c r="P3829" s="798"/>
      <c r="Q3829" s="798"/>
      <c r="R3829" s="811"/>
    </row>
    <row r="3830" customFormat="false" ht="16.5" hidden="false" customHeight="true" outlineLevel="0" collapsed="false">
      <c r="A3830" s="747"/>
      <c r="B3830" s="798"/>
      <c r="D3830" s="798"/>
      <c r="E3830" s="798"/>
      <c r="F3830" s="798"/>
      <c r="G3830" s="798"/>
      <c r="J3830" s="778" t="str">
        <f aca="false">IF(I3830="","",H3830/I3830)</f>
        <v/>
      </c>
      <c r="K3830" s="798"/>
      <c r="P3830" s="798"/>
      <c r="Q3830" s="798"/>
      <c r="R3830" s="811"/>
    </row>
    <row r="3831" customFormat="false" ht="16.5" hidden="false" customHeight="true" outlineLevel="0" collapsed="false">
      <c r="A3831" s="747"/>
      <c r="B3831" s="798"/>
      <c r="D3831" s="798"/>
      <c r="E3831" s="798"/>
      <c r="F3831" s="798"/>
      <c r="G3831" s="798"/>
      <c r="J3831" s="778" t="str">
        <f aca="false">IF(I3831="","",H3831/I3831)</f>
        <v/>
      </c>
      <c r="K3831" s="798"/>
      <c r="P3831" s="798"/>
      <c r="Q3831" s="798"/>
      <c r="R3831" s="811"/>
    </row>
    <row r="3832" customFormat="false" ht="16.5" hidden="false" customHeight="true" outlineLevel="0" collapsed="false">
      <c r="A3832" s="747"/>
      <c r="B3832" s="798"/>
      <c r="D3832" s="798"/>
      <c r="E3832" s="798"/>
      <c r="F3832" s="798"/>
      <c r="G3832" s="798"/>
      <c r="J3832" s="778" t="str">
        <f aca="false">IF(I3832="","",H3832/I3832)</f>
        <v/>
      </c>
      <c r="K3832" s="798"/>
      <c r="P3832" s="798"/>
      <c r="Q3832" s="798"/>
      <c r="R3832" s="811"/>
    </row>
    <row r="3833" customFormat="false" ht="16.5" hidden="false" customHeight="true" outlineLevel="0" collapsed="false">
      <c r="A3833" s="747"/>
      <c r="B3833" s="798"/>
      <c r="D3833" s="798"/>
      <c r="E3833" s="798"/>
      <c r="F3833" s="798"/>
      <c r="G3833" s="798"/>
      <c r="J3833" s="778" t="str">
        <f aca="false">IF(I3833="","",H3833/I3833)</f>
        <v/>
      </c>
      <c r="K3833" s="798"/>
      <c r="P3833" s="798"/>
      <c r="Q3833" s="798"/>
      <c r="R3833" s="811"/>
    </row>
    <row r="3834" customFormat="false" ht="16.5" hidden="false" customHeight="true" outlineLevel="0" collapsed="false">
      <c r="A3834" s="747"/>
      <c r="B3834" s="798"/>
      <c r="D3834" s="798"/>
      <c r="E3834" s="798"/>
      <c r="F3834" s="798"/>
      <c r="G3834" s="798"/>
      <c r="J3834" s="778" t="str">
        <f aca="false">IF(I3834="","",H3834/I3834)</f>
        <v/>
      </c>
      <c r="K3834" s="798"/>
      <c r="P3834" s="798"/>
      <c r="Q3834" s="798"/>
      <c r="R3834" s="811"/>
    </row>
    <row r="3835" customFormat="false" ht="16.5" hidden="false" customHeight="true" outlineLevel="0" collapsed="false">
      <c r="A3835" s="747"/>
      <c r="B3835" s="798"/>
      <c r="D3835" s="798"/>
      <c r="E3835" s="798"/>
      <c r="F3835" s="798"/>
      <c r="G3835" s="798"/>
      <c r="J3835" s="778" t="str">
        <f aca="false">IF(I3835="","",H3835/I3835)</f>
        <v/>
      </c>
      <c r="K3835" s="798"/>
      <c r="P3835" s="798"/>
      <c r="Q3835" s="798"/>
      <c r="R3835" s="811"/>
    </row>
    <row r="3836" customFormat="false" ht="16.5" hidden="false" customHeight="true" outlineLevel="0" collapsed="false">
      <c r="A3836" s="747"/>
      <c r="B3836" s="798"/>
      <c r="D3836" s="798"/>
      <c r="E3836" s="798"/>
      <c r="F3836" s="798"/>
      <c r="G3836" s="798"/>
      <c r="J3836" s="778" t="str">
        <f aca="false">IF(I3836="","",H3836/I3836)</f>
        <v/>
      </c>
      <c r="K3836" s="798"/>
      <c r="P3836" s="798"/>
      <c r="Q3836" s="798"/>
      <c r="R3836" s="811"/>
    </row>
    <row r="3837" customFormat="false" ht="16.5" hidden="false" customHeight="true" outlineLevel="0" collapsed="false">
      <c r="A3837" s="747"/>
      <c r="B3837" s="798"/>
      <c r="D3837" s="798"/>
      <c r="E3837" s="798"/>
      <c r="F3837" s="798"/>
      <c r="G3837" s="798"/>
      <c r="J3837" s="778" t="str">
        <f aca="false">IF(I3837="","",H3837/I3837)</f>
        <v/>
      </c>
      <c r="K3837" s="798"/>
      <c r="P3837" s="798"/>
      <c r="Q3837" s="798"/>
      <c r="R3837" s="811"/>
    </row>
    <row r="3838" customFormat="false" ht="16.5" hidden="false" customHeight="true" outlineLevel="0" collapsed="false">
      <c r="A3838" s="747"/>
      <c r="B3838" s="798"/>
      <c r="D3838" s="798"/>
      <c r="E3838" s="798"/>
      <c r="F3838" s="798"/>
      <c r="G3838" s="798"/>
      <c r="J3838" s="778" t="str">
        <f aca="false">IF(I3838="","",H3838/I3838)</f>
        <v/>
      </c>
      <c r="K3838" s="798"/>
      <c r="P3838" s="798"/>
      <c r="Q3838" s="798"/>
      <c r="R3838" s="811"/>
    </row>
    <row r="3839" customFormat="false" ht="16.5" hidden="false" customHeight="true" outlineLevel="0" collapsed="false">
      <c r="A3839" s="747"/>
      <c r="B3839" s="798"/>
      <c r="D3839" s="798"/>
      <c r="E3839" s="798"/>
      <c r="F3839" s="798"/>
      <c r="G3839" s="798"/>
      <c r="J3839" s="778" t="str">
        <f aca="false">IF(I3839="","",H3839/I3839)</f>
        <v/>
      </c>
      <c r="K3839" s="798"/>
      <c r="P3839" s="798"/>
      <c r="Q3839" s="798"/>
      <c r="R3839" s="811"/>
    </row>
    <row r="3840" customFormat="false" ht="16.5" hidden="false" customHeight="true" outlineLevel="0" collapsed="false">
      <c r="A3840" s="747"/>
      <c r="B3840" s="798"/>
      <c r="D3840" s="798"/>
      <c r="E3840" s="798"/>
      <c r="F3840" s="798"/>
      <c r="G3840" s="798"/>
      <c r="J3840" s="778" t="str">
        <f aca="false">IF(I3840="","",H3840/I3840)</f>
        <v/>
      </c>
      <c r="K3840" s="798"/>
      <c r="P3840" s="798"/>
      <c r="Q3840" s="798"/>
      <c r="R3840" s="811"/>
    </row>
    <row r="3841" customFormat="false" ht="16.5" hidden="false" customHeight="true" outlineLevel="0" collapsed="false">
      <c r="A3841" s="747"/>
      <c r="B3841" s="798"/>
      <c r="D3841" s="798"/>
      <c r="E3841" s="798"/>
      <c r="F3841" s="798"/>
      <c r="G3841" s="798"/>
      <c r="J3841" s="778" t="str">
        <f aca="false">IF(I3841="","",H3841/I3841)</f>
        <v/>
      </c>
      <c r="K3841" s="798"/>
      <c r="P3841" s="798"/>
      <c r="Q3841" s="798"/>
      <c r="R3841" s="811"/>
    </row>
    <row r="3842" customFormat="false" ht="16.5" hidden="false" customHeight="true" outlineLevel="0" collapsed="false">
      <c r="A3842" s="747"/>
      <c r="B3842" s="798"/>
      <c r="D3842" s="798"/>
      <c r="E3842" s="798"/>
      <c r="F3842" s="798"/>
      <c r="G3842" s="798"/>
      <c r="J3842" s="778" t="str">
        <f aca="false">IF(I3842="","",H3842/I3842)</f>
        <v/>
      </c>
      <c r="K3842" s="798"/>
      <c r="P3842" s="798"/>
      <c r="Q3842" s="798"/>
      <c r="R3842" s="811"/>
    </row>
    <row r="3843" customFormat="false" ht="16.5" hidden="false" customHeight="true" outlineLevel="0" collapsed="false">
      <c r="A3843" s="747"/>
      <c r="B3843" s="798"/>
      <c r="D3843" s="798"/>
      <c r="E3843" s="798"/>
      <c r="F3843" s="798"/>
      <c r="G3843" s="798"/>
      <c r="J3843" s="778" t="str">
        <f aca="false">IF(I3843="","",H3843/I3843)</f>
        <v/>
      </c>
      <c r="K3843" s="798"/>
      <c r="P3843" s="798"/>
      <c r="Q3843" s="798"/>
      <c r="R3843" s="811"/>
    </row>
    <row r="3844" customFormat="false" ht="16.5" hidden="false" customHeight="true" outlineLevel="0" collapsed="false">
      <c r="A3844" s="747"/>
      <c r="B3844" s="798"/>
      <c r="D3844" s="798"/>
      <c r="E3844" s="798"/>
      <c r="F3844" s="798"/>
      <c r="G3844" s="798"/>
      <c r="J3844" s="778" t="str">
        <f aca="false">IF(I3844="","",H3844/I3844)</f>
        <v/>
      </c>
      <c r="K3844" s="798"/>
      <c r="P3844" s="798"/>
      <c r="Q3844" s="798"/>
      <c r="R3844" s="811"/>
    </row>
    <row r="3845" customFormat="false" ht="16.5" hidden="false" customHeight="true" outlineLevel="0" collapsed="false">
      <c r="A3845" s="747"/>
      <c r="B3845" s="798"/>
      <c r="D3845" s="798"/>
      <c r="E3845" s="798"/>
      <c r="F3845" s="798"/>
      <c r="G3845" s="798"/>
      <c r="J3845" s="778" t="str">
        <f aca="false">IF(I3845="","",H3845/I3845)</f>
        <v/>
      </c>
      <c r="K3845" s="798"/>
      <c r="P3845" s="798"/>
      <c r="Q3845" s="798"/>
      <c r="R3845" s="811"/>
    </row>
    <row r="3846" customFormat="false" ht="16.5" hidden="false" customHeight="true" outlineLevel="0" collapsed="false">
      <c r="A3846" s="747"/>
      <c r="B3846" s="798"/>
      <c r="D3846" s="798"/>
      <c r="E3846" s="798"/>
      <c r="F3846" s="798"/>
      <c r="G3846" s="798"/>
      <c r="J3846" s="778" t="str">
        <f aca="false">IF(I3846="","",H3846/I3846)</f>
        <v/>
      </c>
      <c r="K3846" s="798"/>
      <c r="P3846" s="798"/>
      <c r="Q3846" s="798"/>
      <c r="R3846" s="811"/>
    </row>
    <row r="3847" customFormat="false" ht="16.5" hidden="false" customHeight="true" outlineLevel="0" collapsed="false">
      <c r="A3847" s="747"/>
      <c r="B3847" s="798"/>
      <c r="D3847" s="798"/>
      <c r="E3847" s="798"/>
      <c r="F3847" s="798"/>
      <c r="G3847" s="798"/>
      <c r="J3847" s="778" t="str">
        <f aca="false">IF(I3847="","",H3847/I3847)</f>
        <v/>
      </c>
      <c r="K3847" s="798"/>
      <c r="P3847" s="798"/>
      <c r="Q3847" s="798"/>
      <c r="R3847" s="811"/>
    </row>
    <row r="3848" customFormat="false" ht="16.5" hidden="false" customHeight="true" outlineLevel="0" collapsed="false">
      <c r="A3848" s="747"/>
      <c r="B3848" s="798"/>
      <c r="D3848" s="798"/>
      <c r="E3848" s="798"/>
      <c r="F3848" s="798"/>
      <c r="G3848" s="798"/>
      <c r="J3848" s="778" t="str">
        <f aca="false">IF(I3848="","",H3848/I3848)</f>
        <v/>
      </c>
      <c r="K3848" s="798"/>
      <c r="P3848" s="798"/>
      <c r="Q3848" s="798"/>
      <c r="R3848" s="811"/>
    </row>
    <row r="3849" customFormat="false" ht="16.5" hidden="false" customHeight="true" outlineLevel="0" collapsed="false">
      <c r="A3849" s="747"/>
      <c r="B3849" s="798"/>
      <c r="D3849" s="798"/>
      <c r="E3849" s="798"/>
      <c r="F3849" s="798"/>
      <c r="G3849" s="798"/>
      <c r="J3849" s="778" t="str">
        <f aca="false">IF(I3849="","",H3849/I3849)</f>
        <v/>
      </c>
      <c r="K3849" s="798"/>
      <c r="P3849" s="798"/>
      <c r="Q3849" s="798"/>
      <c r="R3849" s="811"/>
    </row>
    <row r="3850" customFormat="false" ht="16.5" hidden="false" customHeight="true" outlineLevel="0" collapsed="false">
      <c r="A3850" s="747"/>
      <c r="B3850" s="798"/>
      <c r="D3850" s="798"/>
      <c r="E3850" s="798"/>
      <c r="F3850" s="798"/>
      <c r="G3850" s="798"/>
      <c r="J3850" s="778" t="str">
        <f aca="false">IF(I3850="","",H3850/I3850)</f>
        <v/>
      </c>
      <c r="K3850" s="798"/>
      <c r="P3850" s="798"/>
      <c r="Q3850" s="798"/>
      <c r="R3850" s="811"/>
    </row>
    <row r="3851" customFormat="false" ht="16.5" hidden="false" customHeight="true" outlineLevel="0" collapsed="false">
      <c r="A3851" s="747"/>
      <c r="B3851" s="798"/>
      <c r="D3851" s="798"/>
      <c r="E3851" s="798"/>
      <c r="F3851" s="798"/>
      <c r="G3851" s="798"/>
      <c r="J3851" s="778" t="str">
        <f aca="false">IF(I3851="","",H3851/I3851)</f>
        <v/>
      </c>
      <c r="K3851" s="798"/>
      <c r="P3851" s="798"/>
      <c r="Q3851" s="798"/>
      <c r="R3851" s="811"/>
    </row>
    <row r="3852" customFormat="false" ht="16.5" hidden="false" customHeight="true" outlineLevel="0" collapsed="false">
      <c r="A3852" s="747"/>
      <c r="B3852" s="798"/>
      <c r="D3852" s="798"/>
      <c r="E3852" s="798"/>
      <c r="F3852" s="798"/>
      <c r="G3852" s="798"/>
      <c r="J3852" s="778" t="str">
        <f aca="false">IF(I3852="","",H3852/I3852)</f>
        <v/>
      </c>
      <c r="K3852" s="798"/>
      <c r="P3852" s="798"/>
      <c r="Q3852" s="798"/>
      <c r="R3852" s="811"/>
    </row>
    <row r="3853" customFormat="false" ht="16.5" hidden="false" customHeight="true" outlineLevel="0" collapsed="false">
      <c r="A3853" s="747"/>
      <c r="B3853" s="798"/>
      <c r="D3853" s="798"/>
      <c r="E3853" s="798"/>
      <c r="F3853" s="798"/>
      <c r="G3853" s="798"/>
      <c r="J3853" s="778" t="str">
        <f aca="false">IF(I3853="","",H3853/I3853)</f>
        <v/>
      </c>
      <c r="K3853" s="798"/>
      <c r="P3853" s="798"/>
      <c r="Q3853" s="798"/>
      <c r="R3853" s="811"/>
    </row>
    <row r="3854" customFormat="false" ht="16.5" hidden="false" customHeight="true" outlineLevel="0" collapsed="false">
      <c r="A3854" s="747"/>
      <c r="B3854" s="798"/>
      <c r="D3854" s="798"/>
      <c r="E3854" s="798"/>
      <c r="F3854" s="798"/>
      <c r="G3854" s="798"/>
      <c r="J3854" s="778" t="str">
        <f aca="false">IF(I3854="","",H3854/I3854)</f>
        <v/>
      </c>
      <c r="K3854" s="798"/>
      <c r="P3854" s="798"/>
      <c r="Q3854" s="798"/>
      <c r="R3854" s="811"/>
    </row>
    <row r="3855" customFormat="false" ht="16.5" hidden="false" customHeight="true" outlineLevel="0" collapsed="false">
      <c r="A3855" s="747"/>
      <c r="B3855" s="798"/>
      <c r="D3855" s="798"/>
      <c r="E3855" s="798"/>
      <c r="F3855" s="798"/>
      <c r="G3855" s="798"/>
      <c r="J3855" s="778" t="str">
        <f aca="false">IF(I3855="","",H3855/I3855)</f>
        <v/>
      </c>
      <c r="K3855" s="798"/>
      <c r="P3855" s="798"/>
      <c r="Q3855" s="798"/>
      <c r="R3855" s="811"/>
    </row>
    <row r="3856" customFormat="false" ht="16.5" hidden="false" customHeight="true" outlineLevel="0" collapsed="false">
      <c r="A3856" s="747"/>
      <c r="B3856" s="798"/>
      <c r="D3856" s="798"/>
      <c r="E3856" s="798"/>
      <c r="F3856" s="798"/>
      <c r="G3856" s="798"/>
      <c r="J3856" s="778" t="str">
        <f aca="false">IF(I3856="","",H3856/I3856)</f>
        <v/>
      </c>
      <c r="K3856" s="798"/>
      <c r="P3856" s="798"/>
      <c r="Q3856" s="798"/>
      <c r="R3856" s="811"/>
    </row>
    <row r="3857" customFormat="false" ht="16.5" hidden="false" customHeight="true" outlineLevel="0" collapsed="false">
      <c r="A3857" s="747"/>
      <c r="B3857" s="798"/>
      <c r="D3857" s="798"/>
      <c r="E3857" s="798"/>
      <c r="F3857" s="798"/>
      <c r="G3857" s="798"/>
      <c r="J3857" s="778" t="str">
        <f aca="false">IF(I3857="","",H3857/I3857)</f>
        <v/>
      </c>
      <c r="K3857" s="798"/>
      <c r="P3857" s="798"/>
      <c r="Q3857" s="798"/>
      <c r="R3857" s="811"/>
    </row>
    <row r="3858" customFormat="false" ht="16.5" hidden="false" customHeight="true" outlineLevel="0" collapsed="false">
      <c r="A3858" s="747"/>
      <c r="B3858" s="798"/>
      <c r="D3858" s="798"/>
      <c r="E3858" s="798"/>
      <c r="F3858" s="798"/>
      <c r="G3858" s="798"/>
      <c r="J3858" s="778" t="str">
        <f aca="false">IF(I3858="","",H3858/I3858)</f>
        <v/>
      </c>
      <c r="K3858" s="798"/>
      <c r="P3858" s="798"/>
      <c r="Q3858" s="798"/>
      <c r="R3858" s="811"/>
    </row>
    <row r="3859" customFormat="false" ht="16.5" hidden="false" customHeight="true" outlineLevel="0" collapsed="false">
      <c r="A3859" s="747"/>
      <c r="B3859" s="798"/>
      <c r="D3859" s="798"/>
      <c r="E3859" s="798"/>
      <c r="F3859" s="798"/>
      <c r="G3859" s="798"/>
      <c r="J3859" s="778" t="str">
        <f aca="false">IF(I3859="","",H3859/I3859)</f>
        <v/>
      </c>
      <c r="K3859" s="798"/>
      <c r="P3859" s="798"/>
      <c r="Q3859" s="798"/>
      <c r="R3859" s="811"/>
    </row>
    <row r="3860" customFormat="false" ht="16.5" hidden="false" customHeight="true" outlineLevel="0" collapsed="false">
      <c r="A3860" s="747"/>
      <c r="B3860" s="798"/>
      <c r="D3860" s="798"/>
      <c r="E3860" s="798"/>
      <c r="F3860" s="798"/>
      <c r="G3860" s="798"/>
      <c r="J3860" s="778" t="str">
        <f aca="false">IF(I3860="","",H3860/I3860)</f>
        <v/>
      </c>
      <c r="K3860" s="798"/>
      <c r="P3860" s="798"/>
      <c r="Q3860" s="798"/>
      <c r="R3860" s="811"/>
    </row>
    <row r="3861" customFormat="false" ht="16.5" hidden="false" customHeight="true" outlineLevel="0" collapsed="false">
      <c r="A3861" s="747"/>
      <c r="B3861" s="798"/>
      <c r="D3861" s="798"/>
      <c r="E3861" s="798"/>
      <c r="F3861" s="798"/>
      <c r="G3861" s="798"/>
      <c r="J3861" s="778" t="str">
        <f aca="false">IF(I3861="","",H3861/I3861)</f>
        <v/>
      </c>
      <c r="K3861" s="798"/>
      <c r="P3861" s="798"/>
      <c r="Q3861" s="798"/>
      <c r="R3861" s="811"/>
    </row>
    <row r="3862" customFormat="false" ht="16.5" hidden="false" customHeight="true" outlineLevel="0" collapsed="false">
      <c r="A3862" s="747"/>
      <c r="B3862" s="798"/>
      <c r="D3862" s="798"/>
      <c r="E3862" s="798"/>
      <c r="F3862" s="798"/>
      <c r="G3862" s="798"/>
      <c r="J3862" s="778" t="str">
        <f aca="false">IF(I3862="","",H3862/I3862)</f>
        <v/>
      </c>
      <c r="K3862" s="798"/>
      <c r="P3862" s="798"/>
      <c r="Q3862" s="798"/>
      <c r="R3862" s="811"/>
    </row>
    <row r="3863" customFormat="false" ht="16.5" hidden="false" customHeight="true" outlineLevel="0" collapsed="false">
      <c r="A3863" s="747"/>
      <c r="B3863" s="798"/>
      <c r="D3863" s="798"/>
      <c r="E3863" s="798"/>
      <c r="F3863" s="798"/>
      <c r="G3863" s="798"/>
      <c r="J3863" s="778" t="str">
        <f aca="false">IF(I3863="","",H3863/I3863)</f>
        <v/>
      </c>
      <c r="K3863" s="798"/>
      <c r="P3863" s="798"/>
      <c r="Q3863" s="798"/>
      <c r="R3863" s="811"/>
    </row>
    <row r="3864" customFormat="false" ht="16.5" hidden="false" customHeight="true" outlineLevel="0" collapsed="false">
      <c r="A3864" s="747"/>
      <c r="B3864" s="798"/>
      <c r="D3864" s="798"/>
      <c r="E3864" s="798"/>
      <c r="F3864" s="798"/>
      <c r="G3864" s="798"/>
      <c r="J3864" s="778" t="str">
        <f aca="false">IF(I3864="","",H3864/I3864)</f>
        <v/>
      </c>
      <c r="K3864" s="798"/>
      <c r="P3864" s="798"/>
      <c r="Q3864" s="798"/>
      <c r="R3864" s="811"/>
    </row>
    <row r="3865" customFormat="false" ht="16.5" hidden="false" customHeight="true" outlineLevel="0" collapsed="false">
      <c r="A3865" s="747"/>
      <c r="B3865" s="798"/>
      <c r="D3865" s="798"/>
      <c r="E3865" s="798"/>
      <c r="F3865" s="798"/>
      <c r="G3865" s="798"/>
      <c r="J3865" s="778" t="str">
        <f aca="false">IF(I3865="","",H3865/I3865)</f>
        <v/>
      </c>
      <c r="K3865" s="798"/>
      <c r="P3865" s="798"/>
      <c r="Q3865" s="798"/>
      <c r="R3865" s="811"/>
    </row>
    <row r="3866" customFormat="false" ht="16.5" hidden="false" customHeight="true" outlineLevel="0" collapsed="false">
      <c r="A3866" s="747"/>
      <c r="B3866" s="798"/>
      <c r="D3866" s="798"/>
      <c r="E3866" s="798"/>
      <c r="F3866" s="798"/>
      <c r="G3866" s="798"/>
      <c r="J3866" s="778" t="str">
        <f aca="false">IF(I3866="","",H3866/I3866)</f>
        <v/>
      </c>
      <c r="K3866" s="798"/>
      <c r="P3866" s="798"/>
      <c r="Q3866" s="798"/>
      <c r="R3866" s="811"/>
    </row>
    <row r="3867" customFormat="false" ht="16.5" hidden="false" customHeight="true" outlineLevel="0" collapsed="false">
      <c r="A3867" s="747"/>
      <c r="B3867" s="798"/>
      <c r="D3867" s="798"/>
      <c r="E3867" s="798"/>
      <c r="F3867" s="798"/>
      <c r="G3867" s="798"/>
      <c r="J3867" s="778" t="str">
        <f aca="false">IF(I3867="","",H3867/I3867)</f>
        <v/>
      </c>
      <c r="K3867" s="798"/>
      <c r="P3867" s="798"/>
      <c r="Q3867" s="798"/>
      <c r="R3867" s="811"/>
    </row>
    <row r="3868" customFormat="false" ht="16.5" hidden="false" customHeight="true" outlineLevel="0" collapsed="false">
      <c r="A3868" s="747"/>
      <c r="B3868" s="798"/>
      <c r="D3868" s="798"/>
      <c r="E3868" s="798"/>
      <c r="F3868" s="798"/>
      <c r="G3868" s="798"/>
      <c r="J3868" s="778" t="str">
        <f aca="false">IF(I3868="","",H3868/I3868)</f>
        <v/>
      </c>
      <c r="K3868" s="798"/>
      <c r="P3868" s="798"/>
      <c r="Q3868" s="798"/>
      <c r="R3868" s="811"/>
    </row>
    <row r="3869" customFormat="false" ht="16.5" hidden="false" customHeight="true" outlineLevel="0" collapsed="false">
      <c r="A3869" s="747"/>
      <c r="B3869" s="798"/>
      <c r="D3869" s="798"/>
      <c r="E3869" s="798"/>
      <c r="F3869" s="798"/>
      <c r="G3869" s="798"/>
      <c r="J3869" s="778" t="str">
        <f aca="false">IF(I3869="","",H3869/I3869)</f>
        <v/>
      </c>
      <c r="K3869" s="798"/>
      <c r="P3869" s="798"/>
      <c r="Q3869" s="798"/>
      <c r="R3869" s="811"/>
    </row>
    <row r="3870" customFormat="false" ht="16.5" hidden="false" customHeight="true" outlineLevel="0" collapsed="false">
      <c r="A3870" s="747"/>
      <c r="B3870" s="798"/>
      <c r="D3870" s="798"/>
      <c r="E3870" s="798"/>
      <c r="F3870" s="798"/>
      <c r="G3870" s="798"/>
      <c r="J3870" s="778" t="str">
        <f aca="false">IF(I3870="","",H3870/I3870)</f>
        <v/>
      </c>
      <c r="K3870" s="798"/>
      <c r="P3870" s="798"/>
      <c r="Q3870" s="798"/>
      <c r="R3870" s="811"/>
    </row>
    <row r="3871" customFormat="false" ht="16.5" hidden="false" customHeight="true" outlineLevel="0" collapsed="false">
      <c r="A3871" s="747"/>
      <c r="B3871" s="798"/>
      <c r="D3871" s="798"/>
      <c r="E3871" s="798"/>
      <c r="F3871" s="798"/>
      <c r="G3871" s="798"/>
      <c r="J3871" s="778" t="str">
        <f aca="false">IF(I3871="","",H3871/I3871)</f>
        <v/>
      </c>
      <c r="K3871" s="798"/>
      <c r="P3871" s="798"/>
      <c r="Q3871" s="798"/>
      <c r="R3871" s="811"/>
    </row>
    <row r="3872" customFormat="false" ht="16.5" hidden="false" customHeight="true" outlineLevel="0" collapsed="false">
      <c r="A3872" s="747"/>
      <c r="B3872" s="798"/>
      <c r="D3872" s="798"/>
      <c r="E3872" s="798"/>
      <c r="F3872" s="798"/>
      <c r="G3872" s="798"/>
      <c r="J3872" s="778" t="str">
        <f aca="false">IF(I3872="","",H3872/I3872)</f>
        <v/>
      </c>
      <c r="K3872" s="798"/>
      <c r="P3872" s="798"/>
      <c r="Q3872" s="798"/>
      <c r="R3872" s="811"/>
    </row>
    <row r="3873" customFormat="false" ht="16.5" hidden="false" customHeight="true" outlineLevel="0" collapsed="false">
      <c r="A3873" s="747"/>
      <c r="B3873" s="798"/>
      <c r="D3873" s="798"/>
      <c r="E3873" s="798"/>
      <c r="F3873" s="798"/>
      <c r="G3873" s="798"/>
      <c r="J3873" s="778" t="str">
        <f aca="false">IF(I3873="","",H3873/I3873)</f>
        <v/>
      </c>
      <c r="K3873" s="798"/>
      <c r="P3873" s="798"/>
      <c r="Q3873" s="798"/>
      <c r="R3873" s="811"/>
    </row>
    <row r="3874" customFormat="false" ht="16.5" hidden="false" customHeight="true" outlineLevel="0" collapsed="false">
      <c r="A3874" s="747"/>
      <c r="B3874" s="798"/>
      <c r="D3874" s="798"/>
      <c r="E3874" s="798"/>
      <c r="F3874" s="798"/>
      <c r="G3874" s="798"/>
      <c r="J3874" s="778" t="str">
        <f aca="false">IF(I3874="","",H3874/I3874)</f>
        <v/>
      </c>
      <c r="K3874" s="798"/>
      <c r="P3874" s="798"/>
      <c r="Q3874" s="798"/>
      <c r="R3874" s="811"/>
    </row>
    <row r="3875" customFormat="false" ht="16.5" hidden="false" customHeight="true" outlineLevel="0" collapsed="false">
      <c r="A3875" s="747"/>
      <c r="B3875" s="798"/>
      <c r="D3875" s="798"/>
      <c r="E3875" s="798"/>
      <c r="F3875" s="798"/>
      <c r="G3875" s="798"/>
      <c r="J3875" s="778" t="str">
        <f aca="false">IF(I3875="","",H3875/I3875)</f>
        <v/>
      </c>
      <c r="K3875" s="798"/>
      <c r="P3875" s="798"/>
      <c r="Q3875" s="798"/>
      <c r="R3875" s="811"/>
    </row>
    <row r="3876" customFormat="false" ht="16.5" hidden="false" customHeight="true" outlineLevel="0" collapsed="false">
      <c r="A3876" s="747"/>
      <c r="B3876" s="798"/>
      <c r="D3876" s="798"/>
      <c r="E3876" s="798"/>
      <c r="F3876" s="798"/>
      <c r="G3876" s="798"/>
      <c r="J3876" s="778" t="str">
        <f aca="false">IF(I3876="","",H3876/I3876)</f>
        <v/>
      </c>
      <c r="K3876" s="798"/>
      <c r="P3876" s="798"/>
      <c r="Q3876" s="798"/>
      <c r="R3876" s="811"/>
    </row>
    <row r="3877" customFormat="false" ht="16.5" hidden="false" customHeight="true" outlineLevel="0" collapsed="false">
      <c r="A3877" s="747"/>
      <c r="B3877" s="798"/>
      <c r="D3877" s="798"/>
      <c r="E3877" s="798"/>
      <c r="F3877" s="798"/>
      <c r="G3877" s="798"/>
      <c r="J3877" s="778" t="str">
        <f aca="false">IF(I3877="","",H3877/I3877)</f>
        <v/>
      </c>
      <c r="K3877" s="798"/>
      <c r="P3877" s="798"/>
      <c r="Q3877" s="798"/>
      <c r="R3877" s="811"/>
    </row>
    <row r="3878" customFormat="false" ht="16.5" hidden="false" customHeight="true" outlineLevel="0" collapsed="false">
      <c r="A3878" s="747"/>
      <c r="B3878" s="798"/>
      <c r="D3878" s="798"/>
      <c r="E3878" s="798"/>
      <c r="F3878" s="798"/>
      <c r="G3878" s="798"/>
      <c r="J3878" s="778" t="str">
        <f aca="false">IF(I3878="","",H3878/I3878)</f>
        <v/>
      </c>
      <c r="K3878" s="798"/>
      <c r="P3878" s="798"/>
      <c r="Q3878" s="798"/>
      <c r="R3878" s="811"/>
    </row>
    <row r="3879" customFormat="false" ht="16.5" hidden="false" customHeight="true" outlineLevel="0" collapsed="false">
      <c r="A3879" s="747"/>
      <c r="B3879" s="798"/>
      <c r="D3879" s="798"/>
      <c r="E3879" s="798"/>
      <c r="F3879" s="798"/>
      <c r="G3879" s="798"/>
      <c r="J3879" s="778" t="str">
        <f aca="false">IF(I3879="","",H3879/I3879)</f>
        <v/>
      </c>
      <c r="K3879" s="798"/>
      <c r="P3879" s="798"/>
      <c r="Q3879" s="798"/>
      <c r="R3879" s="811"/>
    </row>
    <row r="3880" customFormat="false" ht="16.5" hidden="false" customHeight="true" outlineLevel="0" collapsed="false">
      <c r="A3880" s="747"/>
      <c r="B3880" s="798"/>
      <c r="D3880" s="798"/>
      <c r="E3880" s="798"/>
      <c r="F3880" s="798"/>
      <c r="G3880" s="798"/>
      <c r="J3880" s="778" t="str">
        <f aca="false">IF(I3880="","",H3880/I3880)</f>
        <v/>
      </c>
      <c r="K3880" s="798"/>
      <c r="P3880" s="798"/>
      <c r="Q3880" s="798"/>
      <c r="R3880" s="811"/>
    </row>
    <row r="3881" customFormat="false" ht="16.5" hidden="false" customHeight="true" outlineLevel="0" collapsed="false">
      <c r="A3881" s="747"/>
      <c r="B3881" s="798"/>
      <c r="D3881" s="798"/>
      <c r="E3881" s="798"/>
      <c r="F3881" s="798"/>
      <c r="G3881" s="798"/>
      <c r="J3881" s="778" t="str">
        <f aca="false">IF(I3881="","",H3881/I3881)</f>
        <v/>
      </c>
      <c r="K3881" s="798"/>
      <c r="P3881" s="798"/>
      <c r="Q3881" s="798"/>
      <c r="R3881" s="811"/>
    </row>
    <row r="3882" customFormat="false" ht="16.5" hidden="false" customHeight="true" outlineLevel="0" collapsed="false">
      <c r="A3882" s="747"/>
      <c r="B3882" s="798"/>
      <c r="D3882" s="798"/>
      <c r="E3882" s="798"/>
      <c r="F3882" s="798"/>
      <c r="G3882" s="798"/>
      <c r="J3882" s="778" t="str">
        <f aca="false">IF(I3882="","",H3882/I3882)</f>
        <v/>
      </c>
      <c r="K3882" s="798"/>
      <c r="P3882" s="798"/>
      <c r="Q3882" s="798"/>
      <c r="R3882" s="811"/>
    </row>
    <row r="3883" customFormat="false" ht="16.5" hidden="false" customHeight="true" outlineLevel="0" collapsed="false">
      <c r="A3883" s="747"/>
      <c r="B3883" s="798"/>
      <c r="D3883" s="798"/>
      <c r="E3883" s="798"/>
      <c r="F3883" s="798"/>
      <c r="G3883" s="798"/>
      <c r="J3883" s="778" t="str">
        <f aca="false">IF(I3883="","",H3883/I3883)</f>
        <v/>
      </c>
      <c r="K3883" s="798"/>
      <c r="P3883" s="798"/>
      <c r="Q3883" s="798"/>
      <c r="R3883" s="811"/>
    </row>
    <row r="3884" customFormat="false" ht="16.5" hidden="false" customHeight="true" outlineLevel="0" collapsed="false">
      <c r="A3884" s="747"/>
      <c r="B3884" s="798"/>
      <c r="D3884" s="798"/>
      <c r="E3884" s="798"/>
      <c r="F3884" s="798"/>
      <c r="G3884" s="798"/>
      <c r="J3884" s="778" t="str">
        <f aca="false">IF(I3884="","",H3884/I3884)</f>
        <v/>
      </c>
      <c r="K3884" s="798"/>
      <c r="P3884" s="798"/>
      <c r="Q3884" s="798"/>
      <c r="R3884" s="811"/>
    </row>
    <row r="3885" customFormat="false" ht="16.5" hidden="false" customHeight="true" outlineLevel="0" collapsed="false">
      <c r="A3885" s="747"/>
      <c r="B3885" s="798"/>
      <c r="D3885" s="798"/>
      <c r="E3885" s="798"/>
      <c r="F3885" s="798"/>
      <c r="G3885" s="798"/>
      <c r="J3885" s="778" t="str">
        <f aca="false">IF(I3885="","",H3885/I3885)</f>
        <v/>
      </c>
      <c r="K3885" s="798"/>
      <c r="P3885" s="798"/>
      <c r="Q3885" s="798"/>
      <c r="R3885" s="811"/>
    </row>
    <row r="3886" customFormat="false" ht="16.5" hidden="false" customHeight="true" outlineLevel="0" collapsed="false">
      <c r="A3886" s="747"/>
      <c r="B3886" s="798"/>
      <c r="D3886" s="798"/>
      <c r="E3886" s="798"/>
      <c r="F3886" s="798"/>
      <c r="G3886" s="798"/>
      <c r="J3886" s="778" t="str">
        <f aca="false">IF(I3886="","",H3886/I3886)</f>
        <v/>
      </c>
      <c r="K3886" s="798"/>
      <c r="P3886" s="798"/>
      <c r="Q3886" s="798"/>
      <c r="R3886" s="811"/>
    </row>
    <row r="3887" customFormat="false" ht="16.5" hidden="false" customHeight="true" outlineLevel="0" collapsed="false">
      <c r="A3887" s="747"/>
      <c r="B3887" s="798"/>
      <c r="D3887" s="798"/>
      <c r="E3887" s="798"/>
      <c r="F3887" s="798"/>
      <c r="G3887" s="798"/>
      <c r="J3887" s="778" t="str">
        <f aca="false">IF(I3887="","",H3887/I3887)</f>
        <v/>
      </c>
      <c r="K3887" s="798"/>
      <c r="P3887" s="798"/>
      <c r="Q3887" s="798"/>
      <c r="R3887" s="811"/>
    </row>
    <row r="3888" customFormat="false" ht="16.5" hidden="false" customHeight="true" outlineLevel="0" collapsed="false">
      <c r="A3888" s="747"/>
      <c r="B3888" s="798"/>
      <c r="D3888" s="798"/>
      <c r="E3888" s="798"/>
      <c r="F3888" s="798"/>
      <c r="G3888" s="798"/>
      <c r="J3888" s="778" t="str">
        <f aca="false">IF(I3888="","",H3888/I3888)</f>
        <v/>
      </c>
      <c r="K3888" s="798"/>
      <c r="P3888" s="798"/>
      <c r="Q3888" s="798"/>
      <c r="R3888" s="811"/>
    </row>
    <row r="3889" customFormat="false" ht="16.5" hidden="false" customHeight="true" outlineLevel="0" collapsed="false">
      <c r="A3889" s="747"/>
      <c r="B3889" s="798"/>
      <c r="D3889" s="798"/>
      <c r="E3889" s="798"/>
      <c r="F3889" s="798"/>
      <c r="G3889" s="798"/>
      <c r="J3889" s="778" t="str">
        <f aca="false">IF(I3889="","",H3889/I3889)</f>
        <v/>
      </c>
      <c r="K3889" s="798"/>
      <c r="P3889" s="798"/>
      <c r="Q3889" s="798"/>
      <c r="R3889" s="811"/>
    </row>
    <row r="3890" customFormat="false" ht="16.5" hidden="false" customHeight="true" outlineLevel="0" collapsed="false">
      <c r="A3890" s="747"/>
      <c r="B3890" s="798"/>
      <c r="D3890" s="798"/>
      <c r="E3890" s="798"/>
      <c r="F3890" s="798"/>
      <c r="G3890" s="798"/>
      <c r="J3890" s="778" t="str">
        <f aca="false">IF(I3890="","",H3890/I3890)</f>
        <v/>
      </c>
      <c r="K3890" s="798"/>
      <c r="P3890" s="798"/>
      <c r="Q3890" s="798"/>
      <c r="R3890" s="811"/>
    </row>
    <row r="3891" customFormat="false" ht="16.5" hidden="false" customHeight="true" outlineLevel="0" collapsed="false">
      <c r="A3891" s="747"/>
      <c r="B3891" s="798"/>
      <c r="D3891" s="798"/>
      <c r="E3891" s="798"/>
      <c r="F3891" s="798"/>
      <c r="G3891" s="798"/>
      <c r="J3891" s="778" t="str">
        <f aca="false">IF(I3891="","",H3891/I3891)</f>
        <v/>
      </c>
      <c r="K3891" s="798"/>
      <c r="P3891" s="798"/>
      <c r="Q3891" s="798"/>
      <c r="R3891" s="811"/>
    </row>
    <row r="3892" customFormat="false" ht="16.5" hidden="false" customHeight="true" outlineLevel="0" collapsed="false">
      <c r="A3892" s="747"/>
      <c r="B3892" s="798"/>
      <c r="D3892" s="798"/>
      <c r="E3892" s="798"/>
      <c r="F3892" s="798"/>
      <c r="G3892" s="798"/>
      <c r="J3892" s="778" t="str">
        <f aca="false">IF(I3892="","",H3892/I3892)</f>
        <v/>
      </c>
      <c r="K3892" s="798"/>
      <c r="P3892" s="798"/>
      <c r="Q3892" s="798"/>
      <c r="R3892" s="811"/>
    </row>
    <row r="3893" customFormat="false" ht="16.5" hidden="false" customHeight="true" outlineLevel="0" collapsed="false">
      <c r="A3893" s="747"/>
      <c r="B3893" s="798"/>
      <c r="D3893" s="798"/>
      <c r="E3893" s="798"/>
      <c r="F3893" s="798"/>
      <c r="G3893" s="798"/>
      <c r="J3893" s="778" t="str">
        <f aca="false">IF(I3893="","",H3893/I3893)</f>
        <v/>
      </c>
      <c r="K3893" s="798"/>
      <c r="P3893" s="798"/>
      <c r="Q3893" s="798"/>
      <c r="R3893" s="811"/>
    </row>
    <row r="3894" customFormat="false" ht="16.5" hidden="false" customHeight="true" outlineLevel="0" collapsed="false">
      <c r="A3894" s="747"/>
      <c r="B3894" s="798"/>
      <c r="D3894" s="798"/>
      <c r="E3894" s="798"/>
      <c r="F3894" s="798"/>
      <c r="G3894" s="798"/>
      <c r="J3894" s="778" t="str">
        <f aca="false">IF(I3894="","",H3894/I3894)</f>
        <v/>
      </c>
      <c r="K3894" s="798"/>
      <c r="P3894" s="798"/>
      <c r="Q3894" s="798"/>
      <c r="R3894" s="811"/>
    </row>
    <row r="3895" customFormat="false" ht="16.5" hidden="false" customHeight="true" outlineLevel="0" collapsed="false">
      <c r="A3895" s="747"/>
      <c r="B3895" s="798"/>
      <c r="D3895" s="798"/>
      <c r="E3895" s="798"/>
      <c r="F3895" s="798"/>
      <c r="G3895" s="798"/>
      <c r="J3895" s="778" t="str">
        <f aca="false">IF(I3895="","",H3895/I3895)</f>
        <v/>
      </c>
      <c r="K3895" s="798"/>
      <c r="P3895" s="798"/>
      <c r="Q3895" s="798"/>
      <c r="R3895" s="811"/>
    </row>
    <row r="3896" customFormat="false" ht="16.5" hidden="false" customHeight="true" outlineLevel="0" collapsed="false">
      <c r="A3896" s="747"/>
      <c r="B3896" s="798"/>
      <c r="D3896" s="798"/>
      <c r="E3896" s="798"/>
      <c r="F3896" s="798"/>
      <c r="G3896" s="798"/>
      <c r="J3896" s="778" t="str">
        <f aca="false">IF(I3896="","",H3896/I3896)</f>
        <v/>
      </c>
      <c r="K3896" s="798"/>
      <c r="P3896" s="798"/>
      <c r="Q3896" s="798"/>
      <c r="R3896" s="811"/>
    </row>
    <row r="3897" customFormat="false" ht="16.5" hidden="false" customHeight="true" outlineLevel="0" collapsed="false">
      <c r="A3897" s="747"/>
      <c r="B3897" s="798"/>
      <c r="D3897" s="798"/>
      <c r="E3897" s="798"/>
      <c r="F3897" s="798"/>
      <c r="G3897" s="798"/>
      <c r="J3897" s="778" t="str">
        <f aca="false">IF(I3897="","",H3897/I3897)</f>
        <v/>
      </c>
      <c r="K3897" s="798"/>
      <c r="P3897" s="798"/>
      <c r="Q3897" s="798"/>
      <c r="R3897" s="811"/>
    </row>
    <row r="3898" customFormat="false" ht="16.5" hidden="false" customHeight="true" outlineLevel="0" collapsed="false">
      <c r="A3898" s="747"/>
      <c r="B3898" s="798"/>
      <c r="D3898" s="798"/>
      <c r="E3898" s="798"/>
      <c r="F3898" s="798"/>
      <c r="G3898" s="798"/>
      <c r="J3898" s="778" t="str">
        <f aca="false">IF(I3898="","",H3898/I3898)</f>
        <v/>
      </c>
      <c r="K3898" s="798"/>
      <c r="P3898" s="798"/>
      <c r="Q3898" s="798"/>
      <c r="R3898" s="811"/>
    </row>
    <row r="3899" customFormat="false" ht="16.5" hidden="false" customHeight="true" outlineLevel="0" collapsed="false">
      <c r="A3899" s="747"/>
      <c r="B3899" s="798"/>
      <c r="D3899" s="798"/>
      <c r="E3899" s="798"/>
      <c r="F3899" s="798"/>
      <c r="G3899" s="798"/>
      <c r="J3899" s="778" t="str">
        <f aca="false">IF(I3899="","",H3899/I3899)</f>
        <v/>
      </c>
      <c r="K3899" s="798"/>
      <c r="P3899" s="798"/>
      <c r="Q3899" s="798"/>
      <c r="R3899" s="811"/>
    </row>
    <row r="3900" customFormat="false" ht="16.5" hidden="false" customHeight="true" outlineLevel="0" collapsed="false">
      <c r="A3900" s="747"/>
      <c r="B3900" s="798"/>
      <c r="D3900" s="798"/>
      <c r="E3900" s="798"/>
      <c r="F3900" s="798"/>
      <c r="G3900" s="798"/>
      <c r="J3900" s="778" t="str">
        <f aca="false">IF(I3900="","",H3900/I3900)</f>
        <v/>
      </c>
      <c r="K3900" s="798"/>
      <c r="P3900" s="798"/>
      <c r="Q3900" s="798"/>
      <c r="R3900" s="811"/>
    </row>
    <row r="3901" customFormat="false" ht="16.5" hidden="false" customHeight="true" outlineLevel="0" collapsed="false">
      <c r="A3901" s="747"/>
      <c r="B3901" s="798"/>
      <c r="D3901" s="798"/>
      <c r="E3901" s="798"/>
      <c r="F3901" s="798"/>
      <c r="G3901" s="798"/>
      <c r="J3901" s="778" t="str">
        <f aca="false">IF(I3901="","",H3901/I3901)</f>
        <v/>
      </c>
      <c r="K3901" s="798"/>
      <c r="P3901" s="798"/>
      <c r="Q3901" s="798"/>
      <c r="R3901" s="811"/>
    </row>
    <row r="3902" customFormat="false" ht="16.5" hidden="false" customHeight="true" outlineLevel="0" collapsed="false">
      <c r="A3902" s="747"/>
      <c r="B3902" s="798"/>
      <c r="D3902" s="798"/>
      <c r="E3902" s="798"/>
      <c r="F3902" s="798"/>
      <c r="G3902" s="798"/>
      <c r="J3902" s="778" t="str">
        <f aca="false">IF(I3902="","",H3902/I3902)</f>
        <v/>
      </c>
      <c r="K3902" s="798"/>
      <c r="P3902" s="798"/>
      <c r="Q3902" s="798"/>
      <c r="R3902" s="811"/>
    </row>
    <row r="3903" customFormat="false" ht="16.5" hidden="false" customHeight="true" outlineLevel="0" collapsed="false">
      <c r="A3903" s="747"/>
      <c r="B3903" s="798"/>
      <c r="D3903" s="798"/>
      <c r="E3903" s="798"/>
      <c r="F3903" s="798"/>
      <c r="G3903" s="798"/>
      <c r="J3903" s="778" t="str">
        <f aca="false">IF(I3903="","",H3903/I3903)</f>
        <v/>
      </c>
      <c r="K3903" s="798"/>
      <c r="P3903" s="798"/>
      <c r="Q3903" s="798"/>
      <c r="R3903" s="811"/>
    </row>
    <row r="3904" customFormat="false" ht="16.5" hidden="false" customHeight="true" outlineLevel="0" collapsed="false">
      <c r="A3904" s="747"/>
      <c r="B3904" s="798"/>
      <c r="D3904" s="798"/>
      <c r="E3904" s="798"/>
      <c r="F3904" s="798"/>
      <c r="G3904" s="798"/>
      <c r="J3904" s="778" t="str">
        <f aca="false">IF(I3904="","",H3904/I3904)</f>
        <v/>
      </c>
      <c r="K3904" s="798"/>
      <c r="P3904" s="798"/>
      <c r="Q3904" s="798"/>
      <c r="R3904" s="811"/>
    </row>
    <row r="3905" customFormat="false" ht="16.5" hidden="false" customHeight="true" outlineLevel="0" collapsed="false">
      <c r="A3905" s="747"/>
      <c r="B3905" s="798"/>
      <c r="D3905" s="798"/>
      <c r="E3905" s="798"/>
      <c r="F3905" s="798"/>
      <c r="G3905" s="798"/>
      <c r="J3905" s="778" t="str">
        <f aca="false">IF(I3905="","",H3905/I3905)</f>
        <v/>
      </c>
      <c r="K3905" s="798"/>
      <c r="P3905" s="798"/>
      <c r="Q3905" s="798"/>
      <c r="R3905" s="811"/>
    </row>
    <row r="3906" customFormat="false" ht="16.5" hidden="false" customHeight="true" outlineLevel="0" collapsed="false">
      <c r="A3906" s="747"/>
      <c r="B3906" s="798"/>
      <c r="D3906" s="798"/>
      <c r="E3906" s="798"/>
      <c r="F3906" s="798"/>
      <c r="G3906" s="798"/>
      <c r="J3906" s="778" t="str">
        <f aca="false">IF(I3906="","",H3906/I3906)</f>
        <v/>
      </c>
      <c r="K3906" s="798"/>
      <c r="P3906" s="798"/>
      <c r="Q3906" s="798"/>
      <c r="R3906" s="811"/>
    </row>
    <row r="3907" customFormat="false" ht="16.5" hidden="false" customHeight="true" outlineLevel="0" collapsed="false">
      <c r="A3907" s="747"/>
      <c r="B3907" s="798"/>
      <c r="D3907" s="798"/>
      <c r="E3907" s="798"/>
      <c r="F3907" s="798"/>
      <c r="G3907" s="798"/>
      <c r="J3907" s="778" t="str">
        <f aca="false">IF(I3907="","",H3907/I3907)</f>
        <v/>
      </c>
      <c r="K3907" s="798"/>
      <c r="P3907" s="798"/>
      <c r="Q3907" s="798"/>
      <c r="R3907" s="811"/>
    </row>
    <row r="3908" customFormat="false" ht="16.5" hidden="false" customHeight="true" outlineLevel="0" collapsed="false">
      <c r="A3908" s="747"/>
      <c r="B3908" s="798"/>
      <c r="D3908" s="798"/>
      <c r="E3908" s="798"/>
      <c r="F3908" s="798"/>
      <c r="G3908" s="798"/>
      <c r="J3908" s="778" t="str">
        <f aca="false">IF(I3908="","",H3908/I3908)</f>
        <v/>
      </c>
      <c r="K3908" s="798"/>
      <c r="P3908" s="798"/>
      <c r="Q3908" s="798"/>
      <c r="R3908" s="811"/>
    </row>
    <row r="3909" customFormat="false" ht="16.5" hidden="false" customHeight="true" outlineLevel="0" collapsed="false">
      <c r="A3909" s="747"/>
      <c r="B3909" s="798"/>
      <c r="D3909" s="798"/>
      <c r="E3909" s="798"/>
      <c r="F3909" s="798"/>
      <c r="G3909" s="798"/>
      <c r="J3909" s="778" t="str">
        <f aca="false">IF(I3909="","",H3909/I3909)</f>
        <v/>
      </c>
      <c r="K3909" s="798"/>
      <c r="P3909" s="798"/>
      <c r="Q3909" s="798"/>
      <c r="R3909" s="811"/>
    </row>
    <row r="3910" customFormat="false" ht="16.5" hidden="false" customHeight="true" outlineLevel="0" collapsed="false">
      <c r="A3910" s="747"/>
      <c r="B3910" s="798"/>
      <c r="D3910" s="798"/>
      <c r="E3910" s="798"/>
      <c r="F3910" s="798"/>
      <c r="G3910" s="798"/>
      <c r="J3910" s="778" t="str">
        <f aca="false">IF(I3910="","",H3910/I3910)</f>
        <v/>
      </c>
      <c r="K3910" s="798"/>
      <c r="P3910" s="798"/>
      <c r="Q3910" s="798"/>
      <c r="R3910" s="811"/>
    </row>
    <row r="3911" customFormat="false" ht="16.5" hidden="false" customHeight="true" outlineLevel="0" collapsed="false">
      <c r="A3911" s="747"/>
      <c r="B3911" s="798"/>
      <c r="D3911" s="798"/>
      <c r="E3911" s="798"/>
      <c r="F3911" s="798"/>
      <c r="G3911" s="798"/>
      <c r="J3911" s="778" t="str">
        <f aca="false">IF(I3911="","",H3911/I3911)</f>
        <v/>
      </c>
      <c r="K3911" s="798"/>
      <c r="P3911" s="798"/>
      <c r="Q3911" s="798"/>
      <c r="R3911" s="811"/>
    </row>
    <row r="3912" customFormat="false" ht="16.5" hidden="false" customHeight="true" outlineLevel="0" collapsed="false">
      <c r="A3912" s="747"/>
      <c r="B3912" s="798"/>
      <c r="D3912" s="798"/>
      <c r="E3912" s="798"/>
      <c r="F3912" s="798"/>
      <c r="G3912" s="798"/>
      <c r="J3912" s="778" t="str">
        <f aca="false">IF(I3912="","",H3912/I3912)</f>
        <v/>
      </c>
      <c r="K3912" s="798"/>
      <c r="P3912" s="798"/>
      <c r="Q3912" s="798"/>
      <c r="R3912" s="811"/>
    </row>
    <row r="3913" customFormat="false" ht="16.5" hidden="false" customHeight="true" outlineLevel="0" collapsed="false">
      <c r="A3913" s="747"/>
      <c r="B3913" s="798"/>
      <c r="D3913" s="798"/>
      <c r="E3913" s="798"/>
      <c r="F3913" s="798"/>
      <c r="G3913" s="798"/>
      <c r="J3913" s="778" t="str">
        <f aca="false">IF(I3913="","",H3913/I3913)</f>
        <v/>
      </c>
      <c r="K3913" s="798"/>
      <c r="P3913" s="798"/>
      <c r="Q3913" s="798"/>
      <c r="R3913" s="811"/>
    </row>
    <row r="3914" customFormat="false" ht="16.5" hidden="false" customHeight="true" outlineLevel="0" collapsed="false">
      <c r="A3914" s="747"/>
      <c r="B3914" s="798"/>
      <c r="D3914" s="798"/>
      <c r="E3914" s="798"/>
      <c r="F3914" s="798"/>
      <c r="G3914" s="798"/>
      <c r="J3914" s="778" t="str">
        <f aca="false">IF(I3914="","",H3914/I3914)</f>
        <v/>
      </c>
      <c r="K3914" s="798"/>
      <c r="P3914" s="798"/>
      <c r="Q3914" s="798"/>
      <c r="R3914" s="811"/>
    </row>
    <row r="3915" customFormat="false" ht="16.5" hidden="false" customHeight="true" outlineLevel="0" collapsed="false">
      <c r="A3915" s="747"/>
      <c r="B3915" s="798"/>
      <c r="D3915" s="798"/>
      <c r="E3915" s="798"/>
      <c r="F3915" s="798"/>
      <c r="G3915" s="798"/>
      <c r="J3915" s="778" t="str">
        <f aca="false">IF(I3915="","",H3915/I3915)</f>
        <v/>
      </c>
      <c r="K3915" s="798"/>
      <c r="P3915" s="798"/>
      <c r="Q3915" s="798"/>
      <c r="R3915" s="811"/>
    </row>
    <row r="3916" customFormat="false" ht="16.5" hidden="false" customHeight="true" outlineLevel="0" collapsed="false">
      <c r="A3916" s="747"/>
      <c r="B3916" s="798"/>
      <c r="D3916" s="798"/>
      <c r="E3916" s="798"/>
      <c r="F3916" s="798"/>
      <c r="G3916" s="798"/>
      <c r="J3916" s="778" t="str">
        <f aca="false">IF(I3916="","",H3916/I3916)</f>
        <v/>
      </c>
      <c r="K3916" s="798"/>
      <c r="P3916" s="798"/>
      <c r="Q3916" s="798"/>
      <c r="R3916" s="811"/>
    </row>
    <row r="3917" customFormat="false" ht="16.5" hidden="false" customHeight="true" outlineLevel="0" collapsed="false">
      <c r="A3917" s="747"/>
      <c r="B3917" s="798"/>
      <c r="D3917" s="798"/>
      <c r="E3917" s="798"/>
      <c r="F3917" s="798"/>
      <c r="G3917" s="798"/>
      <c r="J3917" s="778" t="str">
        <f aca="false">IF(I3917="","",H3917/I3917)</f>
        <v/>
      </c>
      <c r="K3917" s="798"/>
      <c r="P3917" s="798"/>
      <c r="Q3917" s="798"/>
      <c r="R3917" s="811"/>
    </row>
    <row r="3918" customFormat="false" ht="16.5" hidden="false" customHeight="true" outlineLevel="0" collapsed="false">
      <c r="A3918" s="747"/>
      <c r="B3918" s="798"/>
      <c r="D3918" s="798"/>
      <c r="E3918" s="798"/>
      <c r="F3918" s="798"/>
      <c r="G3918" s="798"/>
      <c r="J3918" s="778" t="str">
        <f aca="false">IF(I3918="","",H3918/I3918)</f>
        <v/>
      </c>
      <c r="K3918" s="798"/>
      <c r="P3918" s="798"/>
      <c r="Q3918" s="798"/>
      <c r="R3918" s="811"/>
    </row>
    <row r="3919" customFormat="false" ht="16.5" hidden="false" customHeight="true" outlineLevel="0" collapsed="false">
      <c r="A3919" s="747"/>
      <c r="B3919" s="798"/>
      <c r="D3919" s="798"/>
      <c r="E3919" s="798"/>
      <c r="F3919" s="798"/>
      <c r="G3919" s="798"/>
      <c r="J3919" s="778" t="str">
        <f aca="false">IF(I3919="","",H3919/I3919)</f>
        <v/>
      </c>
      <c r="K3919" s="798"/>
      <c r="P3919" s="798"/>
      <c r="Q3919" s="798"/>
      <c r="R3919" s="811"/>
    </row>
    <row r="3920" customFormat="false" ht="16.5" hidden="false" customHeight="true" outlineLevel="0" collapsed="false">
      <c r="A3920" s="747"/>
      <c r="B3920" s="798"/>
      <c r="D3920" s="798"/>
      <c r="E3920" s="798"/>
      <c r="F3920" s="798"/>
      <c r="G3920" s="798"/>
      <c r="J3920" s="778" t="str">
        <f aca="false">IF(I3920="","",H3920/I3920)</f>
        <v/>
      </c>
      <c r="K3920" s="798"/>
      <c r="P3920" s="798"/>
      <c r="Q3920" s="798"/>
      <c r="R3920" s="811"/>
    </row>
    <row r="3921" customFormat="false" ht="16.5" hidden="false" customHeight="true" outlineLevel="0" collapsed="false">
      <c r="A3921" s="747"/>
      <c r="B3921" s="798"/>
      <c r="D3921" s="798"/>
      <c r="E3921" s="798"/>
      <c r="F3921" s="798"/>
      <c r="G3921" s="798"/>
      <c r="J3921" s="778" t="str">
        <f aca="false">IF(I3921="","",H3921/I3921)</f>
        <v/>
      </c>
      <c r="K3921" s="798"/>
      <c r="P3921" s="798"/>
      <c r="Q3921" s="798"/>
      <c r="R3921" s="811"/>
    </row>
    <row r="3922" customFormat="false" ht="16.5" hidden="false" customHeight="true" outlineLevel="0" collapsed="false">
      <c r="A3922" s="747"/>
      <c r="B3922" s="798"/>
      <c r="D3922" s="798"/>
      <c r="E3922" s="798"/>
      <c r="F3922" s="798"/>
      <c r="G3922" s="798"/>
      <c r="J3922" s="778" t="str">
        <f aca="false">IF(I3922="","",H3922/I3922)</f>
        <v/>
      </c>
      <c r="K3922" s="798"/>
      <c r="P3922" s="798"/>
      <c r="Q3922" s="798"/>
      <c r="R3922" s="811"/>
    </row>
    <row r="3923" customFormat="false" ht="16.5" hidden="false" customHeight="true" outlineLevel="0" collapsed="false">
      <c r="A3923" s="747"/>
      <c r="B3923" s="798"/>
      <c r="D3923" s="798"/>
      <c r="E3923" s="798"/>
      <c r="F3923" s="798"/>
      <c r="G3923" s="798"/>
      <c r="J3923" s="778" t="str">
        <f aca="false">IF(I3923="","",H3923/I3923)</f>
        <v/>
      </c>
      <c r="K3923" s="798"/>
      <c r="P3923" s="798"/>
      <c r="Q3923" s="798"/>
      <c r="R3923" s="811"/>
    </row>
    <row r="3924" customFormat="false" ht="16.5" hidden="false" customHeight="true" outlineLevel="0" collapsed="false">
      <c r="A3924" s="747"/>
      <c r="B3924" s="798"/>
      <c r="D3924" s="798"/>
      <c r="E3924" s="798"/>
      <c r="F3924" s="798"/>
      <c r="G3924" s="798"/>
      <c r="J3924" s="778" t="str">
        <f aca="false">IF(I3924="","",H3924/I3924)</f>
        <v/>
      </c>
      <c r="K3924" s="798"/>
      <c r="P3924" s="798"/>
      <c r="Q3924" s="798"/>
      <c r="R3924" s="811"/>
    </row>
    <row r="3925" customFormat="false" ht="16.5" hidden="false" customHeight="true" outlineLevel="0" collapsed="false">
      <c r="A3925" s="747"/>
      <c r="B3925" s="798"/>
      <c r="D3925" s="798"/>
      <c r="E3925" s="798"/>
      <c r="F3925" s="798"/>
      <c r="G3925" s="798"/>
      <c r="J3925" s="778" t="str">
        <f aca="false">IF(I3925="","",H3925/I3925)</f>
        <v/>
      </c>
      <c r="K3925" s="798"/>
      <c r="P3925" s="798"/>
      <c r="Q3925" s="798"/>
      <c r="R3925" s="811"/>
    </row>
    <row r="3926" customFormat="false" ht="16.5" hidden="false" customHeight="true" outlineLevel="0" collapsed="false">
      <c r="A3926" s="747"/>
      <c r="B3926" s="798"/>
      <c r="D3926" s="798"/>
      <c r="E3926" s="798"/>
      <c r="F3926" s="798"/>
      <c r="G3926" s="798"/>
      <c r="J3926" s="778" t="str">
        <f aca="false">IF(I3926="","",H3926/I3926)</f>
        <v/>
      </c>
      <c r="K3926" s="798"/>
      <c r="P3926" s="798"/>
      <c r="Q3926" s="798"/>
      <c r="R3926" s="811"/>
    </row>
    <row r="3927" customFormat="false" ht="16.5" hidden="false" customHeight="true" outlineLevel="0" collapsed="false">
      <c r="A3927" s="747"/>
      <c r="B3927" s="798"/>
      <c r="D3927" s="798"/>
      <c r="E3927" s="798"/>
      <c r="F3927" s="798"/>
      <c r="G3927" s="798"/>
      <c r="J3927" s="778" t="str">
        <f aca="false">IF(I3927="","",H3927/I3927)</f>
        <v/>
      </c>
      <c r="K3927" s="798"/>
      <c r="P3927" s="798"/>
      <c r="Q3927" s="798"/>
      <c r="R3927" s="811"/>
    </row>
    <row r="3928" customFormat="false" ht="16.5" hidden="false" customHeight="true" outlineLevel="0" collapsed="false">
      <c r="A3928" s="747"/>
      <c r="B3928" s="798"/>
      <c r="D3928" s="798"/>
      <c r="E3928" s="798"/>
      <c r="F3928" s="798"/>
      <c r="G3928" s="798"/>
      <c r="J3928" s="778" t="str">
        <f aca="false">IF(I3928="","",H3928/I3928)</f>
        <v/>
      </c>
      <c r="K3928" s="798"/>
      <c r="P3928" s="798"/>
      <c r="Q3928" s="798"/>
      <c r="R3928" s="811"/>
    </row>
    <row r="3929" customFormat="false" ht="16.5" hidden="false" customHeight="true" outlineLevel="0" collapsed="false">
      <c r="A3929" s="747"/>
      <c r="B3929" s="798"/>
      <c r="D3929" s="798"/>
      <c r="E3929" s="798"/>
      <c r="F3929" s="798"/>
      <c r="G3929" s="798"/>
      <c r="J3929" s="778" t="str">
        <f aca="false">IF(I3929="","",H3929/I3929)</f>
        <v/>
      </c>
      <c r="K3929" s="798"/>
      <c r="P3929" s="798"/>
      <c r="Q3929" s="798"/>
      <c r="R3929" s="811"/>
    </row>
    <row r="3930" customFormat="false" ht="16.5" hidden="false" customHeight="true" outlineLevel="0" collapsed="false">
      <c r="A3930" s="747"/>
      <c r="B3930" s="798"/>
      <c r="D3930" s="798"/>
      <c r="E3930" s="798"/>
      <c r="F3930" s="798"/>
      <c r="G3930" s="798"/>
      <c r="J3930" s="778" t="str">
        <f aca="false">IF(I3930="","",H3930/I3930)</f>
        <v/>
      </c>
      <c r="K3930" s="798"/>
      <c r="P3930" s="798"/>
      <c r="Q3930" s="798"/>
      <c r="R3930" s="811"/>
    </row>
    <row r="3931" customFormat="false" ht="16.5" hidden="false" customHeight="true" outlineLevel="0" collapsed="false">
      <c r="A3931" s="747"/>
      <c r="B3931" s="798"/>
      <c r="D3931" s="798"/>
      <c r="E3931" s="798"/>
      <c r="F3931" s="798"/>
      <c r="G3931" s="798"/>
      <c r="J3931" s="778" t="str">
        <f aca="false">IF(I3931="","",H3931/I3931)</f>
        <v/>
      </c>
      <c r="K3931" s="798"/>
      <c r="P3931" s="798"/>
      <c r="Q3931" s="798"/>
      <c r="R3931" s="811"/>
    </row>
    <row r="3932" customFormat="false" ht="16.5" hidden="false" customHeight="true" outlineLevel="0" collapsed="false">
      <c r="A3932" s="747"/>
      <c r="B3932" s="798"/>
      <c r="D3932" s="798"/>
      <c r="E3932" s="798"/>
      <c r="F3932" s="798"/>
      <c r="G3932" s="798"/>
      <c r="J3932" s="778" t="str">
        <f aca="false">IF(I3932="","",H3932/I3932)</f>
        <v/>
      </c>
      <c r="K3932" s="798"/>
      <c r="P3932" s="798"/>
      <c r="Q3932" s="798"/>
      <c r="R3932" s="811"/>
    </row>
    <row r="3933" customFormat="false" ht="16.5" hidden="false" customHeight="true" outlineLevel="0" collapsed="false">
      <c r="A3933" s="747"/>
      <c r="B3933" s="798"/>
      <c r="D3933" s="798"/>
      <c r="E3933" s="798"/>
      <c r="F3933" s="798"/>
      <c r="G3933" s="798"/>
      <c r="J3933" s="778" t="str">
        <f aca="false">IF(I3933="","",H3933/I3933)</f>
        <v/>
      </c>
      <c r="K3933" s="798"/>
      <c r="P3933" s="798"/>
      <c r="Q3933" s="798"/>
      <c r="R3933" s="811"/>
    </row>
    <row r="3934" customFormat="false" ht="16.5" hidden="false" customHeight="true" outlineLevel="0" collapsed="false">
      <c r="A3934" s="747"/>
      <c r="B3934" s="798"/>
      <c r="D3934" s="798"/>
      <c r="E3934" s="798"/>
      <c r="F3934" s="798"/>
      <c r="G3934" s="798"/>
      <c r="J3934" s="778" t="str">
        <f aca="false">IF(I3934="","",H3934/I3934)</f>
        <v/>
      </c>
      <c r="K3934" s="798"/>
      <c r="P3934" s="798"/>
      <c r="Q3934" s="798"/>
      <c r="R3934" s="811"/>
    </row>
    <row r="3935" customFormat="false" ht="16.5" hidden="false" customHeight="true" outlineLevel="0" collapsed="false">
      <c r="A3935" s="747"/>
      <c r="B3935" s="798"/>
      <c r="D3935" s="798"/>
      <c r="E3935" s="798"/>
      <c r="F3935" s="798"/>
      <c r="G3935" s="798"/>
      <c r="J3935" s="778" t="str">
        <f aca="false">IF(I3935="","",H3935/I3935)</f>
        <v/>
      </c>
      <c r="K3935" s="798"/>
      <c r="P3935" s="798"/>
      <c r="Q3935" s="798"/>
      <c r="R3935" s="811"/>
    </row>
    <row r="3936" customFormat="false" ht="16.5" hidden="false" customHeight="true" outlineLevel="0" collapsed="false">
      <c r="A3936" s="747"/>
      <c r="B3936" s="798"/>
      <c r="D3936" s="798"/>
      <c r="E3936" s="798"/>
      <c r="F3936" s="798"/>
      <c r="G3936" s="798"/>
      <c r="J3936" s="778" t="str">
        <f aca="false">IF(I3936="","",H3936/I3936)</f>
        <v/>
      </c>
      <c r="K3936" s="798"/>
      <c r="P3936" s="798"/>
      <c r="Q3936" s="798"/>
      <c r="R3936" s="811"/>
    </row>
    <row r="3937" customFormat="false" ht="16.5" hidden="false" customHeight="true" outlineLevel="0" collapsed="false">
      <c r="A3937" s="747"/>
      <c r="B3937" s="798"/>
      <c r="D3937" s="798"/>
      <c r="E3937" s="798"/>
      <c r="F3937" s="798"/>
      <c r="G3937" s="798"/>
      <c r="J3937" s="778" t="str">
        <f aca="false">IF(I3937="","",H3937/I3937)</f>
        <v/>
      </c>
      <c r="K3937" s="798"/>
      <c r="P3937" s="798"/>
      <c r="Q3937" s="798"/>
      <c r="R3937" s="811"/>
    </row>
    <row r="3938" customFormat="false" ht="16.5" hidden="false" customHeight="true" outlineLevel="0" collapsed="false">
      <c r="A3938" s="747"/>
      <c r="B3938" s="798"/>
      <c r="D3938" s="798"/>
      <c r="E3938" s="798"/>
      <c r="F3938" s="798"/>
      <c r="G3938" s="798"/>
      <c r="J3938" s="778" t="str">
        <f aca="false">IF(I3938="","",H3938/I3938)</f>
        <v/>
      </c>
      <c r="K3938" s="798"/>
      <c r="P3938" s="798"/>
      <c r="Q3938" s="798"/>
      <c r="R3938" s="811"/>
    </row>
    <row r="3939" customFormat="false" ht="16.5" hidden="false" customHeight="true" outlineLevel="0" collapsed="false">
      <c r="A3939" s="747"/>
      <c r="B3939" s="798"/>
      <c r="D3939" s="798"/>
      <c r="E3939" s="798"/>
      <c r="F3939" s="798"/>
      <c r="G3939" s="798"/>
      <c r="J3939" s="778" t="str">
        <f aca="false">IF(I3939="","",H3939/I3939)</f>
        <v/>
      </c>
      <c r="K3939" s="798"/>
      <c r="P3939" s="798"/>
      <c r="Q3939" s="798"/>
      <c r="R3939" s="811"/>
    </row>
    <row r="3940" customFormat="false" ht="16.5" hidden="false" customHeight="true" outlineLevel="0" collapsed="false">
      <c r="A3940" s="747"/>
      <c r="B3940" s="798"/>
      <c r="D3940" s="798"/>
      <c r="E3940" s="798"/>
      <c r="F3940" s="798"/>
      <c r="G3940" s="798"/>
      <c r="J3940" s="778" t="str">
        <f aca="false">IF(I3940="","",H3940/I3940)</f>
        <v/>
      </c>
      <c r="K3940" s="798"/>
      <c r="P3940" s="798"/>
      <c r="Q3940" s="798"/>
      <c r="R3940" s="811"/>
    </row>
    <row r="3941" customFormat="false" ht="16.5" hidden="false" customHeight="true" outlineLevel="0" collapsed="false">
      <c r="A3941" s="747"/>
      <c r="B3941" s="798"/>
      <c r="D3941" s="798"/>
      <c r="E3941" s="798"/>
      <c r="F3941" s="798"/>
      <c r="G3941" s="798"/>
      <c r="J3941" s="778" t="str">
        <f aca="false">IF(I3941="","",H3941/I3941)</f>
        <v/>
      </c>
      <c r="K3941" s="798"/>
      <c r="P3941" s="798"/>
      <c r="Q3941" s="798"/>
      <c r="R3941" s="811"/>
    </row>
    <row r="3942" customFormat="false" ht="16.5" hidden="false" customHeight="true" outlineLevel="0" collapsed="false">
      <c r="A3942" s="747"/>
      <c r="B3942" s="798"/>
      <c r="D3942" s="798"/>
      <c r="E3942" s="798"/>
      <c r="F3942" s="798"/>
      <c r="G3942" s="798"/>
      <c r="J3942" s="778" t="str">
        <f aca="false">IF(I3942="","",H3942/I3942)</f>
        <v/>
      </c>
      <c r="K3942" s="798"/>
      <c r="P3942" s="798"/>
      <c r="Q3942" s="798"/>
      <c r="R3942" s="811"/>
    </row>
    <row r="3943" customFormat="false" ht="16.5" hidden="false" customHeight="true" outlineLevel="0" collapsed="false">
      <c r="A3943" s="747"/>
      <c r="B3943" s="798"/>
      <c r="D3943" s="798"/>
      <c r="E3943" s="798"/>
      <c r="F3943" s="798"/>
      <c r="G3943" s="798"/>
      <c r="J3943" s="778" t="str">
        <f aca="false">IF(I3943="","",H3943/I3943)</f>
        <v/>
      </c>
      <c r="K3943" s="798"/>
      <c r="P3943" s="798"/>
      <c r="Q3943" s="798"/>
      <c r="R3943" s="811"/>
    </row>
    <row r="3944" customFormat="false" ht="16.5" hidden="false" customHeight="true" outlineLevel="0" collapsed="false">
      <c r="A3944" s="747"/>
      <c r="B3944" s="798"/>
      <c r="D3944" s="798"/>
      <c r="E3944" s="798"/>
      <c r="F3944" s="798"/>
      <c r="G3944" s="798"/>
      <c r="J3944" s="778" t="str">
        <f aca="false">IF(I3944="","",H3944/I3944)</f>
        <v/>
      </c>
      <c r="K3944" s="798"/>
      <c r="P3944" s="798"/>
      <c r="Q3944" s="798"/>
      <c r="R3944" s="811"/>
    </row>
    <row r="3945" customFormat="false" ht="16.5" hidden="false" customHeight="true" outlineLevel="0" collapsed="false">
      <c r="A3945" s="747"/>
      <c r="B3945" s="798"/>
      <c r="D3945" s="798"/>
      <c r="E3945" s="798"/>
      <c r="F3945" s="798"/>
      <c r="G3945" s="798"/>
      <c r="J3945" s="778" t="str">
        <f aca="false">IF(I3945="","",H3945/I3945)</f>
        <v/>
      </c>
      <c r="K3945" s="798"/>
      <c r="P3945" s="798"/>
      <c r="Q3945" s="798"/>
      <c r="R3945" s="811"/>
    </row>
    <row r="3946" customFormat="false" ht="16.5" hidden="false" customHeight="true" outlineLevel="0" collapsed="false">
      <c r="A3946" s="747"/>
      <c r="B3946" s="798"/>
      <c r="D3946" s="798"/>
      <c r="E3946" s="798"/>
      <c r="F3946" s="798"/>
      <c r="G3946" s="798"/>
      <c r="J3946" s="778" t="str">
        <f aca="false">IF(I3946="","",H3946/I3946)</f>
        <v/>
      </c>
      <c r="K3946" s="798"/>
      <c r="P3946" s="798"/>
      <c r="Q3946" s="798"/>
      <c r="R3946" s="811"/>
    </row>
    <row r="3947" customFormat="false" ht="16.5" hidden="false" customHeight="true" outlineLevel="0" collapsed="false">
      <c r="A3947" s="747"/>
      <c r="B3947" s="798"/>
      <c r="D3947" s="798"/>
      <c r="E3947" s="798"/>
      <c r="F3947" s="798"/>
      <c r="G3947" s="798"/>
      <c r="J3947" s="778" t="str">
        <f aca="false">IF(I3947="","",H3947/I3947)</f>
        <v/>
      </c>
      <c r="K3947" s="798"/>
      <c r="P3947" s="798"/>
      <c r="Q3947" s="798"/>
      <c r="R3947" s="811"/>
    </row>
    <row r="3948" customFormat="false" ht="16.5" hidden="false" customHeight="true" outlineLevel="0" collapsed="false">
      <c r="A3948" s="747"/>
      <c r="B3948" s="798"/>
      <c r="D3948" s="798"/>
      <c r="E3948" s="798"/>
      <c r="F3948" s="798"/>
      <c r="G3948" s="798"/>
      <c r="J3948" s="778" t="str">
        <f aca="false">IF(I3948="","",H3948/I3948)</f>
        <v/>
      </c>
      <c r="K3948" s="798"/>
      <c r="P3948" s="798"/>
      <c r="Q3948" s="798"/>
      <c r="R3948" s="811"/>
    </row>
    <row r="3949" customFormat="false" ht="16.5" hidden="false" customHeight="true" outlineLevel="0" collapsed="false">
      <c r="A3949" s="747"/>
      <c r="B3949" s="798"/>
      <c r="D3949" s="798"/>
      <c r="E3949" s="798"/>
      <c r="F3949" s="798"/>
      <c r="G3949" s="798"/>
      <c r="J3949" s="778" t="str">
        <f aca="false">IF(I3949="","",H3949/I3949)</f>
        <v/>
      </c>
      <c r="K3949" s="798"/>
      <c r="P3949" s="798"/>
      <c r="Q3949" s="798"/>
      <c r="R3949" s="811"/>
    </row>
    <row r="3950" customFormat="false" ht="16.5" hidden="false" customHeight="true" outlineLevel="0" collapsed="false">
      <c r="A3950" s="747"/>
      <c r="B3950" s="798"/>
      <c r="D3950" s="798"/>
      <c r="E3950" s="798"/>
      <c r="F3950" s="798"/>
      <c r="G3950" s="798"/>
      <c r="J3950" s="778" t="str">
        <f aca="false">IF(I3950="","",H3950/I3950)</f>
        <v/>
      </c>
      <c r="K3950" s="798"/>
      <c r="P3950" s="798"/>
      <c r="Q3950" s="798"/>
      <c r="R3950" s="811"/>
    </row>
    <row r="3951" customFormat="false" ht="16.5" hidden="false" customHeight="true" outlineLevel="0" collapsed="false">
      <c r="A3951" s="747"/>
      <c r="B3951" s="798"/>
      <c r="D3951" s="798"/>
      <c r="E3951" s="798"/>
      <c r="F3951" s="798"/>
      <c r="G3951" s="798"/>
      <c r="J3951" s="778" t="str">
        <f aca="false">IF(I3951="","",H3951/I3951)</f>
        <v/>
      </c>
      <c r="K3951" s="798"/>
      <c r="P3951" s="798"/>
      <c r="Q3951" s="798"/>
      <c r="R3951" s="811"/>
    </row>
    <row r="3952" customFormat="false" ht="16.5" hidden="false" customHeight="true" outlineLevel="0" collapsed="false">
      <c r="A3952" s="747"/>
      <c r="B3952" s="798"/>
      <c r="D3952" s="798"/>
      <c r="E3952" s="798"/>
      <c r="F3952" s="798"/>
      <c r="G3952" s="798"/>
      <c r="J3952" s="778" t="str">
        <f aca="false">IF(I3952="","",H3952/I3952)</f>
        <v/>
      </c>
      <c r="K3952" s="798"/>
      <c r="P3952" s="798"/>
      <c r="Q3952" s="798"/>
      <c r="R3952" s="811"/>
    </row>
    <row r="3953" customFormat="false" ht="16.5" hidden="false" customHeight="true" outlineLevel="0" collapsed="false">
      <c r="A3953" s="747"/>
      <c r="B3953" s="798"/>
      <c r="D3953" s="798"/>
      <c r="E3953" s="798"/>
      <c r="F3953" s="798"/>
      <c r="G3953" s="798"/>
      <c r="J3953" s="778" t="str">
        <f aca="false">IF(I3953="","",H3953/I3953)</f>
        <v/>
      </c>
      <c r="K3953" s="798"/>
      <c r="P3953" s="798"/>
      <c r="Q3953" s="798"/>
      <c r="R3953" s="811"/>
    </row>
    <row r="3954" customFormat="false" ht="16.5" hidden="false" customHeight="true" outlineLevel="0" collapsed="false">
      <c r="A3954" s="747"/>
      <c r="B3954" s="798"/>
      <c r="D3954" s="798"/>
      <c r="E3954" s="798"/>
      <c r="F3954" s="798"/>
      <c r="G3954" s="798"/>
      <c r="J3954" s="778" t="str">
        <f aca="false">IF(I3954="","",H3954/I3954)</f>
        <v/>
      </c>
      <c r="K3954" s="798"/>
      <c r="P3954" s="798"/>
      <c r="Q3954" s="798"/>
      <c r="R3954" s="811"/>
    </row>
    <row r="3955" customFormat="false" ht="16.5" hidden="false" customHeight="true" outlineLevel="0" collapsed="false">
      <c r="A3955" s="747"/>
      <c r="B3955" s="798"/>
      <c r="D3955" s="798"/>
      <c r="E3955" s="798"/>
      <c r="F3955" s="798"/>
      <c r="G3955" s="798"/>
      <c r="J3955" s="778" t="str">
        <f aca="false">IF(I3955="","",H3955/I3955)</f>
        <v/>
      </c>
      <c r="K3955" s="798"/>
      <c r="P3955" s="798"/>
      <c r="Q3955" s="798"/>
      <c r="R3955" s="811"/>
    </row>
    <row r="3956" customFormat="false" ht="16.5" hidden="false" customHeight="true" outlineLevel="0" collapsed="false">
      <c r="A3956" s="747"/>
      <c r="B3956" s="798"/>
      <c r="D3956" s="798"/>
      <c r="E3956" s="798"/>
      <c r="F3956" s="798"/>
      <c r="G3956" s="798"/>
      <c r="J3956" s="778" t="str">
        <f aca="false">IF(I3956="","",H3956/I3956)</f>
        <v/>
      </c>
      <c r="K3956" s="798"/>
      <c r="P3956" s="798"/>
      <c r="Q3956" s="798"/>
      <c r="R3956" s="811"/>
    </row>
    <row r="3957" customFormat="false" ht="16.5" hidden="false" customHeight="true" outlineLevel="0" collapsed="false">
      <c r="A3957" s="747"/>
      <c r="B3957" s="798"/>
      <c r="D3957" s="798"/>
      <c r="E3957" s="798"/>
      <c r="F3957" s="798"/>
      <c r="G3957" s="798"/>
      <c r="J3957" s="778" t="str">
        <f aca="false">IF(I3957="","",H3957/I3957)</f>
        <v/>
      </c>
      <c r="K3957" s="798"/>
      <c r="P3957" s="798"/>
      <c r="Q3957" s="798"/>
      <c r="R3957" s="811"/>
    </row>
    <row r="3958" customFormat="false" ht="16.5" hidden="false" customHeight="true" outlineLevel="0" collapsed="false">
      <c r="A3958" s="747"/>
      <c r="B3958" s="798"/>
      <c r="D3958" s="798"/>
      <c r="E3958" s="798"/>
      <c r="F3958" s="798"/>
      <c r="G3958" s="798"/>
      <c r="J3958" s="778" t="str">
        <f aca="false">IF(I3958="","",H3958/I3958)</f>
        <v/>
      </c>
      <c r="K3958" s="798"/>
      <c r="P3958" s="798"/>
      <c r="Q3958" s="798"/>
      <c r="R3958" s="811"/>
    </row>
    <row r="3959" customFormat="false" ht="16.5" hidden="false" customHeight="true" outlineLevel="0" collapsed="false">
      <c r="A3959" s="747"/>
      <c r="B3959" s="798"/>
      <c r="D3959" s="798"/>
      <c r="E3959" s="798"/>
      <c r="F3959" s="798"/>
      <c r="G3959" s="798"/>
      <c r="J3959" s="778" t="str">
        <f aca="false">IF(I3959="","",H3959/I3959)</f>
        <v/>
      </c>
      <c r="K3959" s="798"/>
      <c r="P3959" s="798"/>
      <c r="Q3959" s="798"/>
      <c r="R3959" s="811"/>
    </row>
    <row r="3960" customFormat="false" ht="16.5" hidden="false" customHeight="true" outlineLevel="0" collapsed="false">
      <c r="A3960" s="747"/>
      <c r="B3960" s="798"/>
      <c r="D3960" s="798"/>
      <c r="E3960" s="798"/>
      <c r="F3960" s="798"/>
      <c r="G3960" s="798"/>
      <c r="J3960" s="778" t="str">
        <f aca="false">IF(I3960="","",H3960/I3960)</f>
        <v/>
      </c>
      <c r="K3960" s="798"/>
      <c r="P3960" s="798"/>
      <c r="Q3960" s="798"/>
      <c r="R3960" s="811"/>
    </row>
    <row r="3961" customFormat="false" ht="16.5" hidden="false" customHeight="true" outlineLevel="0" collapsed="false">
      <c r="A3961" s="747"/>
      <c r="B3961" s="798"/>
      <c r="D3961" s="798"/>
      <c r="E3961" s="798"/>
      <c r="F3961" s="798"/>
      <c r="G3961" s="798"/>
      <c r="J3961" s="778" t="str">
        <f aca="false">IF(I3961="","",H3961/I3961)</f>
        <v/>
      </c>
      <c r="K3961" s="798"/>
      <c r="P3961" s="798"/>
      <c r="Q3961" s="798"/>
      <c r="R3961" s="811"/>
    </row>
    <row r="3962" customFormat="false" ht="16.5" hidden="false" customHeight="true" outlineLevel="0" collapsed="false">
      <c r="A3962" s="747"/>
      <c r="B3962" s="798"/>
      <c r="D3962" s="798"/>
      <c r="E3962" s="798"/>
      <c r="F3962" s="798"/>
      <c r="G3962" s="798"/>
      <c r="J3962" s="778" t="str">
        <f aca="false">IF(I3962="","",H3962/I3962)</f>
        <v/>
      </c>
      <c r="K3962" s="798"/>
      <c r="P3962" s="798"/>
      <c r="Q3962" s="798"/>
      <c r="R3962" s="811"/>
    </row>
    <row r="3963" customFormat="false" ht="16.5" hidden="false" customHeight="true" outlineLevel="0" collapsed="false">
      <c r="A3963" s="747"/>
      <c r="B3963" s="798"/>
      <c r="D3963" s="798"/>
      <c r="E3963" s="798"/>
      <c r="F3963" s="798"/>
      <c r="G3963" s="798"/>
      <c r="J3963" s="778" t="str">
        <f aca="false">IF(I3963="","",H3963/I3963)</f>
        <v/>
      </c>
      <c r="K3963" s="798"/>
      <c r="P3963" s="798"/>
      <c r="Q3963" s="798"/>
      <c r="R3963" s="811"/>
    </row>
    <row r="3964" customFormat="false" ht="16.5" hidden="false" customHeight="true" outlineLevel="0" collapsed="false">
      <c r="A3964" s="747"/>
      <c r="B3964" s="798"/>
      <c r="D3964" s="798"/>
      <c r="E3964" s="798"/>
      <c r="F3964" s="798"/>
      <c r="G3964" s="798"/>
      <c r="J3964" s="778" t="str">
        <f aca="false">IF(I3964="","",H3964/I3964)</f>
        <v/>
      </c>
      <c r="K3964" s="798"/>
      <c r="P3964" s="798"/>
      <c r="Q3964" s="798"/>
      <c r="R3964" s="811"/>
    </row>
    <row r="3965" customFormat="false" ht="16.5" hidden="false" customHeight="true" outlineLevel="0" collapsed="false">
      <c r="A3965" s="747"/>
      <c r="B3965" s="798"/>
      <c r="D3965" s="798"/>
      <c r="E3965" s="798"/>
      <c r="F3965" s="798"/>
      <c r="G3965" s="798"/>
      <c r="J3965" s="778" t="str">
        <f aca="false">IF(I3965="","",H3965/I3965)</f>
        <v/>
      </c>
      <c r="K3965" s="798"/>
      <c r="P3965" s="798"/>
      <c r="Q3965" s="798"/>
      <c r="R3965" s="811"/>
    </row>
    <row r="3966" customFormat="false" ht="16.5" hidden="false" customHeight="true" outlineLevel="0" collapsed="false">
      <c r="A3966" s="747"/>
      <c r="B3966" s="798"/>
      <c r="D3966" s="798"/>
      <c r="E3966" s="798"/>
      <c r="F3966" s="798"/>
      <c r="G3966" s="798"/>
      <c r="J3966" s="778" t="str">
        <f aca="false">IF(I3966="","",H3966/I3966)</f>
        <v/>
      </c>
      <c r="K3966" s="798"/>
      <c r="P3966" s="798"/>
      <c r="Q3966" s="798"/>
      <c r="R3966" s="811"/>
    </row>
    <row r="3967" customFormat="false" ht="16.5" hidden="false" customHeight="true" outlineLevel="0" collapsed="false">
      <c r="A3967" s="747"/>
      <c r="B3967" s="798"/>
      <c r="D3967" s="798"/>
      <c r="E3967" s="798"/>
      <c r="F3967" s="798"/>
      <c r="G3967" s="798"/>
      <c r="J3967" s="778" t="str">
        <f aca="false">IF(I3967="","",H3967/I3967)</f>
        <v/>
      </c>
      <c r="K3967" s="798"/>
      <c r="P3967" s="798"/>
      <c r="Q3967" s="798"/>
      <c r="R3967" s="811"/>
    </row>
    <row r="3968" customFormat="false" ht="16.5" hidden="false" customHeight="true" outlineLevel="0" collapsed="false">
      <c r="A3968" s="747"/>
      <c r="B3968" s="798"/>
      <c r="D3968" s="798"/>
      <c r="E3968" s="798"/>
      <c r="F3968" s="798"/>
      <c r="G3968" s="798"/>
      <c r="J3968" s="778" t="str">
        <f aca="false">IF(I3968="","",H3968/I3968)</f>
        <v/>
      </c>
      <c r="K3968" s="798"/>
      <c r="P3968" s="798"/>
      <c r="Q3968" s="798"/>
      <c r="R3968" s="811"/>
    </row>
    <row r="3969" customFormat="false" ht="16.5" hidden="false" customHeight="true" outlineLevel="0" collapsed="false">
      <c r="A3969" s="747"/>
      <c r="B3969" s="798"/>
      <c r="D3969" s="798"/>
      <c r="E3969" s="798"/>
      <c r="F3969" s="798"/>
      <c r="G3969" s="798"/>
      <c r="J3969" s="778" t="str">
        <f aca="false">IF(I3969="","",H3969/I3969)</f>
        <v/>
      </c>
      <c r="K3969" s="798"/>
      <c r="P3969" s="798"/>
      <c r="Q3969" s="798"/>
      <c r="R3969" s="811"/>
    </row>
    <row r="3970" customFormat="false" ht="16.5" hidden="false" customHeight="true" outlineLevel="0" collapsed="false">
      <c r="A3970" s="747"/>
      <c r="B3970" s="798"/>
      <c r="D3970" s="798"/>
      <c r="E3970" s="798"/>
      <c r="F3970" s="798"/>
      <c r="G3970" s="798"/>
      <c r="J3970" s="778" t="str">
        <f aca="false">IF(I3970="","",H3970/I3970)</f>
        <v/>
      </c>
      <c r="K3970" s="798"/>
      <c r="P3970" s="798"/>
      <c r="Q3970" s="798"/>
      <c r="R3970" s="811"/>
    </row>
    <row r="3971" customFormat="false" ht="16.5" hidden="false" customHeight="true" outlineLevel="0" collapsed="false">
      <c r="A3971" s="747"/>
      <c r="B3971" s="798"/>
      <c r="D3971" s="798"/>
      <c r="E3971" s="798"/>
      <c r="F3971" s="798"/>
      <c r="G3971" s="798"/>
      <c r="J3971" s="778" t="str">
        <f aca="false">IF(I3971="","",H3971/I3971)</f>
        <v/>
      </c>
      <c r="K3971" s="798"/>
      <c r="P3971" s="798"/>
      <c r="Q3971" s="798"/>
      <c r="R3971" s="811"/>
    </row>
    <row r="3972" customFormat="false" ht="16.5" hidden="false" customHeight="true" outlineLevel="0" collapsed="false">
      <c r="A3972" s="747"/>
      <c r="B3972" s="798"/>
      <c r="D3972" s="798"/>
      <c r="E3972" s="798"/>
      <c r="F3972" s="798"/>
      <c r="G3972" s="798"/>
      <c r="J3972" s="778" t="str">
        <f aca="false">IF(I3972="","",H3972/I3972)</f>
        <v/>
      </c>
      <c r="K3972" s="798"/>
      <c r="P3972" s="798"/>
      <c r="Q3972" s="798"/>
      <c r="R3972" s="811"/>
    </row>
    <row r="3973" customFormat="false" ht="16.5" hidden="false" customHeight="true" outlineLevel="0" collapsed="false">
      <c r="A3973" s="747"/>
      <c r="B3973" s="798"/>
      <c r="D3973" s="798"/>
      <c r="E3973" s="798"/>
      <c r="F3973" s="798"/>
      <c r="G3973" s="798"/>
      <c r="J3973" s="778" t="str">
        <f aca="false">IF(I3973="","",H3973/I3973)</f>
        <v/>
      </c>
      <c r="K3973" s="798"/>
      <c r="P3973" s="798"/>
      <c r="Q3973" s="798"/>
      <c r="R3973" s="811"/>
    </row>
    <row r="3974" customFormat="false" ht="16.5" hidden="false" customHeight="true" outlineLevel="0" collapsed="false">
      <c r="A3974" s="747"/>
      <c r="B3974" s="798"/>
      <c r="D3974" s="798"/>
      <c r="E3974" s="798"/>
      <c r="F3974" s="798"/>
      <c r="G3974" s="798"/>
      <c r="J3974" s="778" t="str">
        <f aca="false">IF(I3974="","",H3974/I3974)</f>
        <v/>
      </c>
      <c r="K3974" s="798"/>
      <c r="P3974" s="798"/>
      <c r="Q3974" s="798"/>
      <c r="R3974" s="811"/>
    </row>
    <row r="3975" customFormat="false" ht="16.5" hidden="false" customHeight="true" outlineLevel="0" collapsed="false">
      <c r="A3975" s="747"/>
      <c r="B3975" s="798"/>
      <c r="D3975" s="798"/>
      <c r="E3975" s="798"/>
      <c r="F3975" s="798"/>
      <c r="G3975" s="798"/>
      <c r="J3975" s="778" t="str">
        <f aca="false">IF(I3975="","",H3975/I3975)</f>
        <v/>
      </c>
      <c r="K3975" s="798"/>
      <c r="P3975" s="798"/>
      <c r="Q3975" s="798"/>
      <c r="R3975" s="811"/>
    </row>
    <row r="3976" customFormat="false" ht="16.5" hidden="false" customHeight="true" outlineLevel="0" collapsed="false">
      <c r="A3976" s="747"/>
      <c r="B3976" s="798"/>
      <c r="D3976" s="798"/>
      <c r="E3976" s="798"/>
      <c r="F3976" s="798"/>
      <c r="G3976" s="798"/>
      <c r="J3976" s="778" t="str">
        <f aca="false">IF(I3976="","",H3976/I3976)</f>
        <v/>
      </c>
      <c r="K3976" s="798"/>
      <c r="P3976" s="798"/>
      <c r="Q3976" s="798"/>
      <c r="R3976" s="811"/>
    </row>
    <row r="3977" customFormat="false" ht="16.5" hidden="false" customHeight="true" outlineLevel="0" collapsed="false">
      <c r="A3977" s="747"/>
      <c r="B3977" s="798"/>
      <c r="D3977" s="798"/>
      <c r="E3977" s="798"/>
      <c r="F3977" s="798"/>
      <c r="G3977" s="798"/>
      <c r="J3977" s="778" t="str">
        <f aca="false">IF(I3977="","",H3977/I3977)</f>
        <v/>
      </c>
      <c r="K3977" s="798"/>
      <c r="P3977" s="798"/>
      <c r="Q3977" s="798"/>
      <c r="R3977" s="811"/>
    </row>
    <row r="3978" customFormat="false" ht="16.5" hidden="false" customHeight="true" outlineLevel="0" collapsed="false">
      <c r="A3978" s="747"/>
      <c r="B3978" s="798"/>
      <c r="D3978" s="798"/>
      <c r="E3978" s="798"/>
      <c r="F3978" s="798"/>
      <c r="G3978" s="798"/>
      <c r="J3978" s="778" t="str">
        <f aca="false">IF(I3978="","",H3978/I3978)</f>
        <v/>
      </c>
      <c r="K3978" s="798"/>
      <c r="P3978" s="798"/>
      <c r="Q3978" s="798"/>
      <c r="R3978" s="811"/>
    </row>
    <row r="3979" customFormat="false" ht="16.5" hidden="false" customHeight="true" outlineLevel="0" collapsed="false">
      <c r="A3979" s="747"/>
      <c r="B3979" s="798"/>
      <c r="D3979" s="798"/>
      <c r="E3979" s="798"/>
      <c r="F3979" s="798"/>
      <c r="G3979" s="798"/>
      <c r="J3979" s="778" t="str">
        <f aca="false">IF(I3979="","",H3979/I3979)</f>
        <v/>
      </c>
      <c r="K3979" s="798"/>
      <c r="P3979" s="798"/>
      <c r="Q3979" s="798"/>
      <c r="R3979" s="811"/>
    </row>
    <row r="3980" customFormat="false" ht="16.5" hidden="false" customHeight="true" outlineLevel="0" collapsed="false">
      <c r="A3980" s="747"/>
      <c r="B3980" s="798"/>
      <c r="D3980" s="798"/>
      <c r="E3980" s="798"/>
      <c r="F3980" s="798"/>
      <c r="G3980" s="798"/>
      <c r="J3980" s="778" t="str">
        <f aca="false">IF(I3980="","",H3980/I3980)</f>
        <v/>
      </c>
      <c r="K3980" s="798"/>
      <c r="P3980" s="798"/>
      <c r="Q3980" s="798"/>
      <c r="R3980" s="811"/>
    </row>
    <row r="3981" customFormat="false" ht="16.5" hidden="false" customHeight="true" outlineLevel="0" collapsed="false">
      <c r="A3981" s="747"/>
      <c r="B3981" s="798"/>
      <c r="D3981" s="798"/>
      <c r="E3981" s="798"/>
      <c r="F3981" s="798"/>
      <c r="G3981" s="798"/>
      <c r="J3981" s="778" t="str">
        <f aca="false">IF(I3981="","",H3981/I3981)</f>
        <v/>
      </c>
      <c r="K3981" s="798"/>
      <c r="P3981" s="798"/>
      <c r="Q3981" s="798"/>
      <c r="R3981" s="811"/>
    </row>
    <row r="3982" customFormat="false" ht="16.5" hidden="false" customHeight="true" outlineLevel="0" collapsed="false">
      <c r="A3982" s="747"/>
      <c r="B3982" s="798"/>
      <c r="D3982" s="798"/>
      <c r="E3982" s="798"/>
      <c r="F3982" s="798"/>
      <c r="G3982" s="798"/>
      <c r="J3982" s="778" t="str">
        <f aca="false">IF(I3982="","",H3982/I3982)</f>
        <v/>
      </c>
      <c r="K3982" s="798"/>
      <c r="P3982" s="798"/>
      <c r="Q3982" s="798"/>
      <c r="R3982" s="811"/>
    </row>
    <row r="3983" customFormat="false" ht="16.5" hidden="false" customHeight="true" outlineLevel="0" collapsed="false">
      <c r="A3983" s="747"/>
      <c r="B3983" s="798"/>
      <c r="D3983" s="798"/>
      <c r="E3983" s="798"/>
      <c r="F3983" s="798"/>
      <c r="G3983" s="798"/>
      <c r="J3983" s="778" t="str">
        <f aca="false">IF(I3983="","",H3983/I3983)</f>
        <v/>
      </c>
      <c r="K3983" s="798"/>
      <c r="P3983" s="798"/>
      <c r="Q3983" s="798"/>
      <c r="R3983" s="811"/>
    </row>
    <row r="3984" customFormat="false" ht="16.5" hidden="false" customHeight="true" outlineLevel="0" collapsed="false">
      <c r="A3984" s="747"/>
      <c r="B3984" s="798"/>
      <c r="D3984" s="798"/>
      <c r="E3984" s="798"/>
      <c r="F3984" s="798"/>
      <c r="G3984" s="798"/>
      <c r="J3984" s="778" t="str">
        <f aca="false">IF(I3984="","",H3984/I3984)</f>
        <v/>
      </c>
      <c r="K3984" s="798"/>
      <c r="P3984" s="798"/>
      <c r="Q3984" s="798"/>
      <c r="R3984" s="811"/>
    </row>
    <row r="3985" customFormat="false" ht="16.5" hidden="false" customHeight="true" outlineLevel="0" collapsed="false">
      <c r="A3985" s="747"/>
      <c r="B3985" s="798"/>
      <c r="D3985" s="798"/>
      <c r="E3985" s="798"/>
      <c r="F3985" s="798"/>
      <c r="G3985" s="798"/>
      <c r="J3985" s="778" t="str">
        <f aca="false">IF(I3985="","",H3985/I3985)</f>
        <v/>
      </c>
      <c r="K3985" s="798"/>
      <c r="P3985" s="798"/>
      <c r="Q3985" s="798"/>
      <c r="R3985" s="811"/>
    </row>
    <row r="3986" customFormat="false" ht="16.5" hidden="false" customHeight="true" outlineLevel="0" collapsed="false">
      <c r="A3986" s="747"/>
      <c r="B3986" s="798"/>
      <c r="D3986" s="798"/>
      <c r="E3986" s="798"/>
      <c r="F3986" s="798"/>
      <c r="G3986" s="798"/>
      <c r="J3986" s="778" t="str">
        <f aca="false">IF(I3986="","",H3986/I3986)</f>
        <v/>
      </c>
      <c r="K3986" s="798"/>
      <c r="P3986" s="798"/>
      <c r="Q3986" s="798"/>
      <c r="R3986" s="811"/>
    </row>
    <row r="3987" customFormat="false" ht="16.5" hidden="false" customHeight="true" outlineLevel="0" collapsed="false">
      <c r="A3987" s="747"/>
      <c r="B3987" s="798"/>
      <c r="D3987" s="798"/>
      <c r="E3987" s="798"/>
      <c r="F3987" s="798"/>
      <c r="G3987" s="798"/>
      <c r="J3987" s="778" t="str">
        <f aca="false">IF(I3987="","",H3987/I3987)</f>
        <v/>
      </c>
      <c r="K3987" s="798"/>
      <c r="P3987" s="798"/>
      <c r="Q3987" s="798"/>
      <c r="R3987" s="811"/>
    </row>
    <row r="3988" customFormat="false" ht="16.5" hidden="false" customHeight="true" outlineLevel="0" collapsed="false">
      <c r="A3988" s="747"/>
      <c r="B3988" s="798"/>
      <c r="D3988" s="798"/>
      <c r="E3988" s="798"/>
      <c r="F3988" s="798"/>
      <c r="G3988" s="798"/>
      <c r="J3988" s="778" t="str">
        <f aca="false">IF(I3988="","",H3988/I3988)</f>
        <v/>
      </c>
      <c r="K3988" s="798"/>
      <c r="P3988" s="798"/>
      <c r="Q3988" s="798"/>
      <c r="R3988" s="811"/>
    </row>
    <row r="3989" customFormat="false" ht="16.5" hidden="false" customHeight="true" outlineLevel="0" collapsed="false">
      <c r="A3989" s="747"/>
      <c r="B3989" s="798"/>
      <c r="D3989" s="798"/>
      <c r="E3989" s="798"/>
      <c r="F3989" s="798"/>
      <c r="G3989" s="798"/>
      <c r="J3989" s="778" t="str">
        <f aca="false">IF(I3989="","",H3989/I3989)</f>
        <v/>
      </c>
      <c r="K3989" s="798"/>
      <c r="P3989" s="798"/>
      <c r="Q3989" s="798"/>
      <c r="R3989" s="811"/>
    </row>
    <row r="3990" customFormat="false" ht="16.5" hidden="false" customHeight="true" outlineLevel="0" collapsed="false">
      <c r="A3990" s="747"/>
      <c r="B3990" s="798"/>
      <c r="D3990" s="798"/>
      <c r="E3990" s="798"/>
      <c r="F3990" s="798"/>
      <c r="G3990" s="798"/>
      <c r="J3990" s="778" t="str">
        <f aca="false">IF(I3990="","",H3990/I3990)</f>
        <v/>
      </c>
      <c r="K3990" s="798"/>
      <c r="P3990" s="798"/>
      <c r="Q3990" s="798"/>
      <c r="R3990" s="811"/>
    </row>
    <row r="3991" customFormat="false" ht="16.5" hidden="false" customHeight="true" outlineLevel="0" collapsed="false">
      <c r="A3991" s="747"/>
      <c r="B3991" s="798"/>
      <c r="D3991" s="798"/>
      <c r="E3991" s="798"/>
      <c r="F3991" s="798"/>
      <c r="G3991" s="798"/>
      <c r="J3991" s="778" t="str">
        <f aca="false">IF(I3991="","",H3991/I3991)</f>
        <v/>
      </c>
      <c r="K3991" s="798"/>
      <c r="P3991" s="798"/>
      <c r="Q3991" s="798"/>
      <c r="R3991" s="811"/>
    </row>
    <row r="3992" customFormat="false" ht="16.5" hidden="false" customHeight="true" outlineLevel="0" collapsed="false">
      <c r="A3992" s="747"/>
      <c r="B3992" s="798"/>
      <c r="D3992" s="798"/>
      <c r="E3992" s="798"/>
      <c r="F3992" s="798"/>
      <c r="G3992" s="798"/>
      <c r="J3992" s="778" t="str">
        <f aca="false">IF(I3992="","",H3992/I3992)</f>
        <v/>
      </c>
      <c r="K3992" s="798"/>
      <c r="P3992" s="798"/>
      <c r="Q3992" s="798"/>
      <c r="R3992" s="811"/>
    </row>
    <row r="3993" customFormat="false" ht="16.5" hidden="false" customHeight="true" outlineLevel="0" collapsed="false">
      <c r="A3993" s="747"/>
      <c r="B3993" s="798"/>
      <c r="D3993" s="798"/>
      <c r="E3993" s="798"/>
      <c r="F3993" s="798"/>
      <c r="G3993" s="798"/>
      <c r="J3993" s="778" t="str">
        <f aca="false">IF(I3993="","",H3993/I3993)</f>
        <v/>
      </c>
      <c r="K3993" s="798"/>
      <c r="P3993" s="798"/>
      <c r="Q3993" s="798"/>
      <c r="R3993" s="811"/>
    </row>
    <row r="3994" customFormat="false" ht="16.5" hidden="false" customHeight="true" outlineLevel="0" collapsed="false">
      <c r="A3994" s="747"/>
      <c r="B3994" s="798"/>
      <c r="D3994" s="798"/>
      <c r="E3994" s="798"/>
      <c r="F3994" s="798"/>
      <c r="G3994" s="798"/>
      <c r="J3994" s="778" t="str">
        <f aca="false">IF(I3994="","",H3994/I3994)</f>
        <v/>
      </c>
      <c r="K3994" s="798"/>
      <c r="P3994" s="798"/>
      <c r="Q3994" s="798"/>
      <c r="R3994" s="811"/>
    </row>
    <row r="3995" customFormat="false" ht="16.5" hidden="false" customHeight="true" outlineLevel="0" collapsed="false">
      <c r="A3995" s="747"/>
      <c r="B3995" s="798"/>
      <c r="D3995" s="798"/>
      <c r="E3995" s="798"/>
      <c r="F3995" s="798"/>
      <c r="G3995" s="798"/>
      <c r="J3995" s="778" t="str">
        <f aca="false">IF(I3995="","",H3995/I3995)</f>
        <v/>
      </c>
      <c r="K3995" s="798"/>
      <c r="P3995" s="798"/>
      <c r="Q3995" s="798"/>
      <c r="R3995" s="811"/>
    </row>
    <row r="3996" customFormat="false" ht="16.5" hidden="false" customHeight="true" outlineLevel="0" collapsed="false">
      <c r="A3996" s="747"/>
      <c r="B3996" s="798"/>
      <c r="D3996" s="798"/>
      <c r="E3996" s="798"/>
      <c r="F3996" s="798"/>
      <c r="G3996" s="798"/>
      <c r="J3996" s="778" t="str">
        <f aca="false">IF(I3996="","",H3996/I3996)</f>
        <v/>
      </c>
      <c r="K3996" s="798"/>
      <c r="P3996" s="798"/>
      <c r="Q3996" s="798"/>
      <c r="R3996" s="811"/>
    </row>
    <row r="3997" customFormat="false" ht="16.5" hidden="false" customHeight="true" outlineLevel="0" collapsed="false">
      <c r="A3997" s="747"/>
      <c r="B3997" s="798"/>
      <c r="D3997" s="798"/>
      <c r="E3997" s="798"/>
      <c r="F3997" s="798"/>
      <c r="G3997" s="798"/>
      <c r="J3997" s="778" t="str">
        <f aca="false">IF(I3997="","",H3997/I3997)</f>
        <v/>
      </c>
      <c r="K3997" s="798"/>
      <c r="P3997" s="798"/>
      <c r="Q3997" s="798"/>
      <c r="R3997" s="811"/>
    </row>
    <row r="3998" customFormat="false" ht="16.5" hidden="false" customHeight="true" outlineLevel="0" collapsed="false">
      <c r="A3998" s="747"/>
      <c r="B3998" s="798"/>
      <c r="D3998" s="798"/>
      <c r="E3998" s="798"/>
      <c r="F3998" s="798"/>
      <c r="G3998" s="798"/>
      <c r="J3998" s="778" t="str">
        <f aca="false">IF(I3998="","",H3998/I3998)</f>
        <v/>
      </c>
      <c r="K3998" s="798"/>
      <c r="P3998" s="798"/>
      <c r="Q3998" s="798"/>
      <c r="R3998" s="811"/>
    </row>
    <row r="3999" customFormat="false" ht="16.5" hidden="false" customHeight="true" outlineLevel="0" collapsed="false">
      <c r="A3999" s="747"/>
      <c r="B3999" s="798"/>
      <c r="D3999" s="798"/>
      <c r="E3999" s="798"/>
      <c r="F3999" s="798"/>
      <c r="G3999" s="798"/>
      <c r="J3999" s="778" t="str">
        <f aca="false">IF(I3999="","",H3999/I3999)</f>
        <v/>
      </c>
      <c r="K3999" s="798"/>
      <c r="P3999" s="798"/>
      <c r="Q3999" s="798"/>
      <c r="R3999" s="811"/>
    </row>
    <row r="4000" customFormat="false" ht="16.5" hidden="false" customHeight="true" outlineLevel="0" collapsed="false">
      <c r="A4000" s="747"/>
      <c r="B4000" s="798"/>
      <c r="D4000" s="798"/>
      <c r="E4000" s="798"/>
      <c r="F4000" s="798"/>
      <c r="G4000" s="798"/>
      <c r="J4000" s="778" t="str">
        <f aca="false">IF(I4000="","",H4000/I4000)</f>
        <v/>
      </c>
      <c r="K4000" s="798"/>
      <c r="P4000" s="798"/>
      <c r="Q4000" s="798"/>
      <c r="R4000" s="811"/>
    </row>
    <row r="4001" customFormat="false" ht="16.5" hidden="false" customHeight="true" outlineLevel="0" collapsed="false">
      <c r="A4001" s="747"/>
      <c r="B4001" s="798"/>
      <c r="D4001" s="798"/>
      <c r="E4001" s="798"/>
      <c r="F4001" s="798"/>
      <c r="G4001" s="798"/>
      <c r="J4001" s="778" t="str">
        <f aca="false">IF(I4001="","",H4001/I4001)</f>
        <v/>
      </c>
      <c r="K4001" s="798"/>
      <c r="P4001" s="798"/>
      <c r="Q4001" s="798"/>
      <c r="R4001" s="811"/>
    </row>
    <row r="4002" customFormat="false" ht="16.5" hidden="false" customHeight="true" outlineLevel="0" collapsed="false">
      <c r="A4002" s="747"/>
      <c r="B4002" s="798"/>
      <c r="D4002" s="798"/>
      <c r="E4002" s="798"/>
      <c r="F4002" s="798"/>
      <c r="G4002" s="798"/>
      <c r="J4002" s="778" t="str">
        <f aca="false">IF(I4002="","",H4002/I4002)</f>
        <v/>
      </c>
      <c r="K4002" s="798"/>
      <c r="P4002" s="798"/>
      <c r="Q4002" s="798"/>
      <c r="R4002" s="811"/>
    </row>
    <row r="4003" customFormat="false" ht="16.5" hidden="false" customHeight="true" outlineLevel="0" collapsed="false">
      <c r="A4003" s="747"/>
      <c r="B4003" s="798"/>
      <c r="D4003" s="798"/>
      <c r="E4003" s="798"/>
      <c r="F4003" s="798"/>
      <c r="G4003" s="798"/>
      <c r="J4003" s="778" t="str">
        <f aca="false">IF(I4003="","",H4003/I4003)</f>
        <v/>
      </c>
      <c r="K4003" s="798"/>
      <c r="P4003" s="798"/>
      <c r="Q4003" s="798"/>
      <c r="R4003" s="811"/>
    </row>
    <row r="4004" customFormat="false" ht="16.5" hidden="false" customHeight="true" outlineLevel="0" collapsed="false">
      <c r="A4004" s="747"/>
      <c r="B4004" s="798"/>
      <c r="D4004" s="798"/>
      <c r="E4004" s="798"/>
      <c r="F4004" s="798"/>
      <c r="G4004" s="798"/>
      <c r="J4004" s="778" t="str">
        <f aca="false">IF(I4004="","",H4004/I4004)</f>
        <v/>
      </c>
      <c r="K4004" s="798"/>
      <c r="P4004" s="798"/>
      <c r="Q4004" s="798"/>
      <c r="R4004" s="811"/>
    </row>
    <row r="4005" customFormat="false" ht="16.5" hidden="false" customHeight="true" outlineLevel="0" collapsed="false">
      <c r="A4005" s="747"/>
      <c r="B4005" s="798"/>
      <c r="D4005" s="798"/>
      <c r="E4005" s="798"/>
      <c r="F4005" s="798"/>
      <c r="G4005" s="798"/>
      <c r="J4005" s="778" t="str">
        <f aca="false">IF(I4005="","",H4005/I4005)</f>
        <v/>
      </c>
      <c r="K4005" s="798"/>
      <c r="P4005" s="798"/>
      <c r="Q4005" s="798"/>
      <c r="R4005" s="811"/>
    </row>
    <row r="4006" customFormat="false" ht="16.5" hidden="false" customHeight="true" outlineLevel="0" collapsed="false">
      <c r="A4006" s="747"/>
      <c r="B4006" s="798"/>
      <c r="D4006" s="798"/>
      <c r="E4006" s="798"/>
      <c r="F4006" s="798"/>
      <c r="G4006" s="798"/>
      <c r="J4006" s="778" t="str">
        <f aca="false">IF(I4006="","",H4006/I4006)</f>
        <v/>
      </c>
      <c r="K4006" s="798"/>
      <c r="P4006" s="798"/>
      <c r="Q4006" s="798"/>
      <c r="R4006" s="811"/>
    </row>
    <row r="4007" customFormat="false" ht="16.5" hidden="false" customHeight="true" outlineLevel="0" collapsed="false">
      <c r="A4007" s="747"/>
      <c r="B4007" s="798"/>
      <c r="D4007" s="798"/>
      <c r="E4007" s="798"/>
      <c r="F4007" s="798"/>
      <c r="G4007" s="798"/>
      <c r="J4007" s="778" t="str">
        <f aca="false">IF(I4007="","",H4007/I4007)</f>
        <v/>
      </c>
      <c r="K4007" s="798"/>
      <c r="P4007" s="798"/>
      <c r="Q4007" s="798"/>
      <c r="R4007" s="811"/>
    </row>
    <row r="4008" customFormat="false" ht="16.5" hidden="false" customHeight="true" outlineLevel="0" collapsed="false">
      <c r="A4008" s="747"/>
      <c r="B4008" s="798"/>
      <c r="D4008" s="798"/>
      <c r="E4008" s="798"/>
      <c r="F4008" s="798"/>
      <c r="G4008" s="798"/>
      <c r="J4008" s="778" t="str">
        <f aca="false">IF(I4008="","",H4008/I4008)</f>
        <v/>
      </c>
      <c r="K4008" s="798"/>
      <c r="P4008" s="798"/>
      <c r="Q4008" s="798"/>
      <c r="R4008" s="811"/>
    </row>
    <row r="4009" customFormat="false" ht="16.5" hidden="false" customHeight="true" outlineLevel="0" collapsed="false">
      <c r="A4009" s="747"/>
      <c r="B4009" s="798"/>
      <c r="D4009" s="798"/>
      <c r="E4009" s="798"/>
      <c r="F4009" s="798"/>
      <c r="G4009" s="798"/>
      <c r="J4009" s="778" t="str">
        <f aca="false">IF(I4009="","",H4009/I4009)</f>
        <v/>
      </c>
      <c r="K4009" s="798"/>
      <c r="P4009" s="798"/>
      <c r="Q4009" s="798"/>
      <c r="R4009" s="811"/>
    </row>
    <row r="4010" customFormat="false" ht="16.5" hidden="false" customHeight="true" outlineLevel="0" collapsed="false">
      <c r="A4010" s="747"/>
      <c r="B4010" s="798"/>
      <c r="D4010" s="798"/>
      <c r="E4010" s="798"/>
      <c r="F4010" s="798"/>
      <c r="G4010" s="798"/>
      <c r="J4010" s="778" t="str">
        <f aca="false">IF(I4010="","",H4010/I4010)</f>
        <v/>
      </c>
      <c r="K4010" s="798"/>
      <c r="P4010" s="798"/>
      <c r="Q4010" s="798"/>
      <c r="R4010" s="811"/>
    </row>
    <row r="4011" customFormat="false" ht="16.5" hidden="false" customHeight="true" outlineLevel="0" collapsed="false">
      <c r="A4011" s="747"/>
      <c r="B4011" s="798"/>
      <c r="D4011" s="798"/>
      <c r="E4011" s="798"/>
      <c r="F4011" s="798"/>
      <c r="G4011" s="798"/>
      <c r="J4011" s="778" t="str">
        <f aca="false">IF(I4011="","",H4011/I4011)</f>
        <v/>
      </c>
      <c r="K4011" s="798"/>
      <c r="P4011" s="798"/>
      <c r="Q4011" s="798"/>
      <c r="R4011" s="811"/>
    </row>
    <row r="4012" customFormat="false" ht="16.5" hidden="false" customHeight="true" outlineLevel="0" collapsed="false">
      <c r="A4012" s="747"/>
      <c r="B4012" s="798"/>
      <c r="D4012" s="798"/>
      <c r="E4012" s="798"/>
      <c r="F4012" s="798"/>
      <c r="G4012" s="798"/>
      <c r="J4012" s="778" t="str">
        <f aca="false">IF(I4012="","",H4012/I4012)</f>
        <v/>
      </c>
      <c r="K4012" s="798"/>
      <c r="P4012" s="798"/>
      <c r="Q4012" s="798"/>
      <c r="R4012" s="811"/>
    </row>
    <row r="4013" customFormat="false" ht="16.5" hidden="false" customHeight="true" outlineLevel="0" collapsed="false">
      <c r="A4013" s="747"/>
      <c r="B4013" s="798"/>
      <c r="D4013" s="798"/>
      <c r="E4013" s="798"/>
      <c r="F4013" s="798"/>
      <c r="G4013" s="798"/>
      <c r="J4013" s="778" t="str">
        <f aca="false">IF(I4013="","",H4013/I4013)</f>
        <v/>
      </c>
      <c r="K4013" s="798"/>
      <c r="P4013" s="798"/>
      <c r="Q4013" s="798"/>
      <c r="R4013" s="811"/>
    </row>
    <row r="4014" customFormat="false" ht="16.5" hidden="false" customHeight="true" outlineLevel="0" collapsed="false">
      <c r="A4014" s="747"/>
      <c r="B4014" s="798"/>
      <c r="D4014" s="798"/>
      <c r="E4014" s="798"/>
      <c r="F4014" s="798"/>
      <c r="G4014" s="798"/>
      <c r="J4014" s="778" t="str">
        <f aca="false">IF(I4014="","",H4014/I4014)</f>
        <v/>
      </c>
      <c r="K4014" s="798"/>
      <c r="P4014" s="798"/>
      <c r="Q4014" s="798"/>
      <c r="R4014" s="811"/>
    </row>
    <row r="4015" customFormat="false" ht="16.5" hidden="false" customHeight="true" outlineLevel="0" collapsed="false">
      <c r="A4015" s="747"/>
      <c r="B4015" s="798"/>
      <c r="D4015" s="798"/>
      <c r="E4015" s="798"/>
      <c r="F4015" s="798"/>
      <c r="G4015" s="798"/>
      <c r="J4015" s="778" t="str">
        <f aca="false">IF(I4015="","",H4015/I4015)</f>
        <v/>
      </c>
      <c r="K4015" s="798"/>
      <c r="P4015" s="798"/>
      <c r="Q4015" s="798"/>
      <c r="R4015" s="811"/>
    </row>
    <row r="4016" customFormat="false" ht="16.5" hidden="false" customHeight="true" outlineLevel="0" collapsed="false">
      <c r="A4016" s="747"/>
      <c r="B4016" s="798"/>
      <c r="D4016" s="798"/>
      <c r="E4016" s="798"/>
      <c r="F4016" s="798"/>
      <c r="G4016" s="798"/>
      <c r="J4016" s="778" t="str">
        <f aca="false">IF(I4016="","",H4016/I4016)</f>
        <v/>
      </c>
      <c r="K4016" s="798"/>
      <c r="P4016" s="798"/>
      <c r="Q4016" s="798"/>
      <c r="R4016" s="811"/>
    </row>
    <row r="4017" customFormat="false" ht="16.5" hidden="false" customHeight="true" outlineLevel="0" collapsed="false">
      <c r="A4017" s="747"/>
      <c r="B4017" s="798"/>
      <c r="D4017" s="798"/>
      <c r="E4017" s="798"/>
      <c r="F4017" s="798"/>
      <c r="G4017" s="798"/>
      <c r="J4017" s="778" t="str">
        <f aca="false">IF(I4017="","",H4017/I4017)</f>
        <v/>
      </c>
      <c r="K4017" s="798"/>
      <c r="P4017" s="798"/>
      <c r="Q4017" s="798"/>
      <c r="R4017" s="811"/>
    </row>
    <row r="4018" customFormat="false" ht="16.5" hidden="false" customHeight="true" outlineLevel="0" collapsed="false">
      <c r="A4018" s="747"/>
      <c r="B4018" s="798"/>
      <c r="D4018" s="798"/>
      <c r="E4018" s="798"/>
      <c r="F4018" s="798"/>
      <c r="G4018" s="798"/>
      <c r="J4018" s="778" t="str">
        <f aca="false">IF(I4018="","",H4018/I4018)</f>
        <v/>
      </c>
      <c r="K4018" s="798"/>
      <c r="P4018" s="798"/>
      <c r="Q4018" s="798"/>
      <c r="R4018" s="811"/>
    </row>
    <row r="4019" customFormat="false" ht="16.5" hidden="false" customHeight="true" outlineLevel="0" collapsed="false">
      <c r="A4019" s="747"/>
      <c r="B4019" s="798"/>
      <c r="D4019" s="798"/>
      <c r="E4019" s="798"/>
      <c r="F4019" s="798"/>
      <c r="G4019" s="798"/>
      <c r="J4019" s="778" t="str">
        <f aca="false">IF(I4019="","",H4019/I4019)</f>
        <v/>
      </c>
      <c r="K4019" s="798"/>
      <c r="P4019" s="798"/>
      <c r="Q4019" s="798"/>
      <c r="R4019" s="811"/>
    </row>
    <row r="4020" customFormat="false" ht="16.5" hidden="false" customHeight="true" outlineLevel="0" collapsed="false">
      <c r="A4020" s="747"/>
      <c r="B4020" s="798"/>
      <c r="D4020" s="798"/>
      <c r="E4020" s="798"/>
      <c r="F4020" s="798"/>
      <c r="G4020" s="798"/>
      <c r="J4020" s="778" t="str">
        <f aca="false">IF(I4020="","",H4020/I4020)</f>
        <v/>
      </c>
      <c r="K4020" s="798"/>
      <c r="P4020" s="798"/>
      <c r="Q4020" s="798"/>
      <c r="R4020" s="811"/>
    </row>
    <row r="4021" customFormat="false" ht="16.5" hidden="false" customHeight="true" outlineLevel="0" collapsed="false">
      <c r="A4021" s="747"/>
      <c r="B4021" s="798"/>
      <c r="D4021" s="798"/>
      <c r="E4021" s="798"/>
      <c r="F4021" s="798"/>
      <c r="G4021" s="798"/>
      <c r="J4021" s="778" t="str">
        <f aca="false">IF(I4021="","",H4021/I4021)</f>
        <v/>
      </c>
      <c r="K4021" s="798"/>
      <c r="P4021" s="798"/>
      <c r="Q4021" s="798"/>
      <c r="R4021" s="811"/>
    </row>
    <row r="4022" customFormat="false" ht="16.5" hidden="false" customHeight="true" outlineLevel="0" collapsed="false">
      <c r="A4022" s="747"/>
      <c r="B4022" s="798"/>
      <c r="D4022" s="798"/>
      <c r="E4022" s="798"/>
      <c r="F4022" s="798"/>
      <c r="G4022" s="798"/>
      <c r="J4022" s="778" t="str">
        <f aca="false">IF(I4022="","",H4022/I4022)</f>
        <v/>
      </c>
      <c r="K4022" s="798"/>
      <c r="P4022" s="798"/>
      <c r="Q4022" s="798"/>
      <c r="R4022" s="811"/>
    </row>
    <row r="4023" customFormat="false" ht="16.5" hidden="false" customHeight="true" outlineLevel="0" collapsed="false">
      <c r="A4023" s="747"/>
      <c r="B4023" s="798"/>
      <c r="D4023" s="798"/>
      <c r="E4023" s="798"/>
      <c r="F4023" s="798"/>
      <c r="G4023" s="798"/>
      <c r="J4023" s="778" t="str">
        <f aca="false">IF(I4023="","",H4023/I4023)</f>
        <v/>
      </c>
      <c r="K4023" s="798"/>
      <c r="P4023" s="798"/>
      <c r="Q4023" s="798"/>
      <c r="R4023" s="811"/>
    </row>
    <row r="4024" customFormat="false" ht="16.5" hidden="false" customHeight="true" outlineLevel="0" collapsed="false">
      <c r="A4024" s="747"/>
      <c r="B4024" s="798"/>
      <c r="D4024" s="798"/>
      <c r="E4024" s="798"/>
      <c r="F4024" s="798"/>
      <c r="G4024" s="798"/>
      <c r="J4024" s="778" t="str">
        <f aca="false">IF(I4024="","",H4024/I4024)</f>
        <v/>
      </c>
      <c r="K4024" s="798"/>
      <c r="P4024" s="798"/>
      <c r="Q4024" s="798"/>
      <c r="R4024" s="811"/>
    </row>
    <row r="4025" customFormat="false" ht="16.5" hidden="false" customHeight="true" outlineLevel="0" collapsed="false">
      <c r="A4025" s="747"/>
      <c r="B4025" s="798"/>
      <c r="D4025" s="798"/>
      <c r="E4025" s="798"/>
      <c r="F4025" s="798"/>
      <c r="G4025" s="798"/>
      <c r="J4025" s="778" t="str">
        <f aca="false">IF(I4025="","",H4025/I4025)</f>
        <v/>
      </c>
      <c r="K4025" s="798"/>
      <c r="P4025" s="798"/>
      <c r="Q4025" s="798"/>
      <c r="R4025" s="811"/>
    </row>
    <row r="4026" customFormat="false" ht="16.5" hidden="false" customHeight="true" outlineLevel="0" collapsed="false">
      <c r="A4026" s="747"/>
      <c r="B4026" s="798"/>
      <c r="D4026" s="798"/>
      <c r="E4026" s="798"/>
      <c r="F4026" s="798"/>
      <c r="G4026" s="798"/>
      <c r="J4026" s="778" t="str">
        <f aca="false">IF(I4026="","",H4026/I4026)</f>
        <v/>
      </c>
      <c r="K4026" s="798"/>
      <c r="P4026" s="798"/>
      <c r="Q4026" s="798"/>
      <c r="R4026" s="811"/>
    </row>
    <row r="4027" customFormat="false" ht="16.5" hidden="false" customHeight="true" outlineLevel="0" collapsed="false">
      <c r="A4027" s="747"/>
      <c r="B4027" s="798"/>
      <c r="D4027" s="798"/>
      <c r="E4027" s="798"/>
      <c r="F4027" s="798"/>
      <c r="G4027" s="798"/>
      <c r="J4027" s="778" t="str">
        <f aca="false">IF(I4027="","",H4027/I4027)</f>
        <v/>
      </c>
      <c r="K4027" s="798"/>
      <c r="P4027" s="798"/>
      <c r="Q4027" s="798"/>
      <c r="R4027" s="811"/>
    </row>
    <row r="4028" customFormat="false" ht="16.5" hidden="false" customHeight="true" outlineLevel="0" collapsed="false">
      <c r="A4028" s="747"/>
      <c r="B4028" s="798"/>
      <c r="D4028" s="798"/>
      <c r="E4028" s="798"/>
      <c r="F4028" s="798"/>
      <c r="G4028" s="798"/>
      <c r="J4028" s="778" t="str">
        <f aca="false">IF(I4028="","",H4028/I4028)</f>
        <v/>
      </c>
      <c r="K4028" s="798"/>
      <c r="P4028" s="798"/>
      <c r="Q4028" s="798"/>
      <c r="R4028" s="811"/>
    </row>
    <row r="4029" customFormat="false" ht="16.5" hidden="false" customHeight="true" outlineLevel="0" collapsed="false">
      <c r="A4029" s="747"/>
      <c r="B4029" s="798"/>
      <c r="D4029" s="798"/>
      <c r="E4029" s="798"/>
      <c r="F4029" s="798"/>
      <c r="G4029" s="798"/>
      <c r="J4029" s="778" t="str">
        <f aca="false">IF(I4029="","",H4029/I4029)</f>
        <v/>
      </c>
      <c r="K4029" s="798"/>
      <c r="P4029" s="798"/>
      <c r="Q4029" s="798"/>
      <c r="R4029" s="811"/>
    </row>
    <row r="4030" customFormat="false" ht="16.5" hidden="false" customHeight="true" outlineLevel="0" collapsed="false">
      <c r="A4030" s="747"/>
      <c r="B4030" s="798"/>
      <c r="D4030" s="798"/>
      <c r="E4030" s="798"/>
      <c r="F4030" s="798"/>
      <c r="G4030" s="798"/>
      <c r="J4030" s="778" t="str">
        <f aca="false">IF(I4030="","",H4030/I4030)</f>
        <v/>
      </c>
      <c r="K4030" s="798"/>
      <c r="P4030" s="798"/>
      <c r="Q4030" s="798"/>
      <c r="R4030" s="811"/>
    </row>
    <row r="4031" customFormat="false" ht="16.5" hidden="false" customHeight="true" outlineLevel="0" collapsed="false">
      <c r="A4031" s="747"/>
      <c r="B4031" s="798"/>
      <c r="D4031" s="798"/>
      <c r="E4031" s="798"/>
      <c r="F4031" s="798"/>
      <c r="G4031" s="798"/>
      <c r="J4031" s="778" t="str">
        <f aca="false">IF(I4031="","",H4031/I4031)</f>
        <v/>
      </c>
      <c r="K4031" s="798"/>
      <c r="P4031" s="798"/>
      <c r="Q4031" s="798"/>
      <c r="R4031" s="811"/>
    </row>
    <row r="4032" customFormat="false" ht="16.5" hidden="false" customHeight="true" outlineLevel="0" collapsed="false">
      <c r="A4032" s="747"/>
      <c r="B4032" s="798"/>
      <c r="D4032" s="798"/>
      <c r="E4032" s="798"/>
      <c r="F4032" s="798"/>
      <c r="G4032" s="798"/>
      <c r="J4032" s="778" t="str">
        <f aca="false">IF(I4032="","",H4032/I4032)</f>
        <v/>
      </c>
      <c r="K4032" s="798"/>
      <c r="P4032" s="798"/>
      <c r="Q4032" s="798"/>
      <c r="R4032" s="811"/>
    </row>
    <row r="4033" customFormat="false" ht="16.5" hidden="false" customHeight="true" outlineLevel="0" collapsed="false">
      <c r="A4033" s="747"/>
      <c r="B4033" s="798"/>
      <c r="D4033" s="798"/>
      <c r="E4033" s="798"/>
      <c r="F4033" s="798"/>
      <c r="G4033" s="798"/>
      <c r="J4033" s="778" t="str">
        <f aca="false">IF(I4033="","",H4033/I4033)</f>
        <v/>
      </c>
      <c r="K4033" s="798"/>
      <c r="P4033" s="798"/>
      <c r="Q4033" s="798"/>
      <c r="R4033" s="811"/>
    </row>
    <row r="4034" customFormat="false" ht="16.5" hidden="false" customHeight="true" outlineLevel="0" collapsed="false">
      <c r="A4034" s="747"/>
      <c r="B4034" s="798"/>
      <c r="D4034" s="798"/>
      <c r="E4034" s="798"/>
      <c r="F4034" s="798"/>
      <c r="G4034" s="798"/>
      <c r="J4034" s="778" t="str">
        <f aca="false">IF(I4034="","",H4034/I4034)</f>
        <v/>
      </c>
      <c r="K4034" s="798"/>
      <c r="P4034" s="798"/>
      <c r="Q4034" s="798"/>
      <c r="R4034" s="811"/>
    </row>
    <row r="4035" customFormat="false" ht="16.5" hidden="false" customHeight="true" outlineLevel="0" collapsed="false">
      <c r="A4035" s="747"/>
      <c r="B4035" s="798"/>
      <c r="D4035" s="798"/>
      <c r="E4035" s="798"/>
      <c r="F4035" s="798"/>
      <c r="G4035" s="798"/>
      <c r="J4035" s="778" t="str">
        <f aca="false">IF(I4035="","",H4035/I4035)</f>
        <v/>
      </c>
      <c r="K4035" s="798"/>
      <c r="P4035" s="798"/>
      <c r="Q4035" s="798"/>
      <c r="R4035" s="811"/>
    </row>
    <row r="4036" customFormat="false" ht="16.5" hidden="false" customHeight="true" outlineLevel="0" collapsed="false">
      <c r="A4036" s="747"/>
      <c r="B4036" s="798"/>
      <c r="D4036" s="798"/>
      <c r="E4036" s="798"/>
      <c r="F4036" s="798"/>
      <c r="G4036" s="798"/>
      <c r="J4036" s="778" t="str">
        <f aca="false">IF(I4036="","",H4036/I4036)</f>
        <v/>
      </c>
      <c r="K4036" s="798"/>
      <c r="P4036" s="798"/>
      <c r="Q4036" s="798"/>
      <c r="R4036" s="811"/>
    </row>
    <row r="4037" customFormat="false" ht="16.5" hidden="false" customHeight="true" outlineLevel="0" collapsed="false">
      <c r="A4037" s="747"/>
      <c r="B4037" s="798"/>
      <c r="D4037" s="798"/>
      <c r="E4037" s="798"/>
      <c r="F4037" s="798"/>
      <c r="G4037" s="798"/>
      <c r="J4037" s="778" t="str">
        <f aca="false">IF(I4037="","",H4037/I4037)</f>
        <v/>
      </c>
      <c r="K4037" s="798"/>
      <c r="P4037" s="798"/>
      <c r="Q4037" s="798"/>
      <c r="R4037" s="811"/>
    </row>
    <row r="4038" customFormat="false" ht="16.5" hidden="false" customHeight="true" outlineLevel="0" collapsed="false">
      <c r="A4038" s="747"/>
      <c r="B4038" s="798"/>
      <c r="D4038" s="798"/>
      <c r="E4038" s="798"/>
      <c r="F4038" s="798"/>
      <c r="G4038" s="798"/>
      <c r="J4038" s="778" t="str">
        <f aca="false">IF(I4038="","",H4038/I4038)</f>
        <v/>
      </c>
      <c r="K4038" s="798"/>
      <c r="P4038" s="798"/>
      <c r="Q4038" s="798"/>
      <c r="R4038" s="811"/>
    </row>
    <row r="4039" customFormat="false" ht="16.5" hidden="false" customHeight="true" outlineLevel="0" collapsed="false">
      <c r="A4039" s="747"/>
      <c r="B4039" s="798"/>
      <c r="D4039" s="798"/>
      <c r="E4039" s="798"/>
      <c r="F4039" s="798"/>
      <c r="G4039" s="798"/>
      <c r="J4039" s="778" t="str">
        <f aca="false">IF(I4039="","",H4039/I4039)</f>
        <v/>
      </c>
      <c r="K4039" s="798"/>
      <c r="P4039" s="798"/>
      <c r="Q4039" s="798"/>
      <c r="R4039" s="811"/>
    </row>
    <row r="4040" customFormat="false" ht="16.5" hidden="false" customHeight="true" outlineLevel="0" collapsed="false">
      <c r="A4040" s="747"/>
      <c r="B4040" s="798"/>
      <c r="D4040" s="798"/>
      <c r="E4040" s="798"/>
      <c r="F4040" s="798"/>
      <c r="G4040" s="798"/>
      <c r="J4040" s="778" t="str">
        <f aca="false">IF(I4040="","",H4040/I4040)</f>
        <v/>
      </c>
      <c r="K4040" s="798"/>
      <c r="P4040" s="798"/>
      <c r="Q4040" s="798"/>
      <c r="R4040" s="811"/>
    </row>
    <row r="4041" customFormat="false" ht="16.5" hidden="false" customHeight="true" outlineLevel="0" collapsed="false">
      <c r="A4041" s="747"/>
      <c r="B4041" s="798"/>
      <c r="D4041" s="798"/>
      <c r="E4041" s="798"/>
      <c r="F4041" s="798"/>
      <c r="G4041" s="798"/>
      <c r="J4041" s="778" t="str">
        <f aca="false">IF(I4041="","",H4041/I4041)</f>
        <v/>
      </c>
      <c r="K4041" s="798"/>
      <c r="P4041" s="798"/>
      <c r="Q4041" s="798"/>
      <c r="R4041" s="811"/>
    </row>
    <row r="4042" customFormat="false" ht="16.5" hidden="false" customHeight="true" outlineLevel="0" collapsed="false">
      <c r="A4042" s="747"/>
      <c r="B4042" s="798"/>
      <c r="D4042" s="798"/>
      <c r="E4042" s="798"/>
      <c r="F4042" s="798"/>
      <c r="G4042" s="798"/>
      <c r="J4042" s="778" t="str">
        <f aca="false">IF(I4042="","",H4042/I4042)</f>
        <v/>
      </c>
      <c r="K4042" s="798"/>
      <c r="P4042" s="798"/>
      <c r="Q4042" s="798"/>
      <c r="R4042" s="811"/>
    </row>
    <row r="4043" customFormat="false" ht="16.5" hidden="false" customHeight="true" outlineLevel="0" collapsed="false">
      <c r="A4043" s="747"/>
      <c r="B4043" s="798"/>
      <c r="D4043" s="798"/>
      <c r="E4043" s="798"/>
      <c r="F4043" s="798"/>
      <c r="G4043" s="798"/>
      <c r="J4043" s="778" t="str">
        <f aca="false">IF(I4043="","",H4043/I4043)</f>
        <v/>
      </c>
      <c r="K4043" s="798"/>
      <c r="P4043" s="798"/>
      <c r="Q4043" s="798"/>
      <c r="R4043" s="811"/>
    </row>
    <row r="4044" customFormat="false" ht="16.5" hidden="false" customHeight="true" outlineLevel="0" collapsed="false">
      <c r="A4044" s="747"/>
      <c r="B4044" s="798"/>
      <c r="D4044" s="798"/>
      <c r="E4044" s="798"/>
      <c r="F4044" s="798"/>
      <c r="G4044" s="798"/>
      <c r="J4044" s="778" t="str">
        <f aca="false">IF(I4044="","",H4044/I4044)</f>
        <v/>
      </c>
      <c r="K4044" s="798"/>
      <c r="P4044" s="798"/>
      <c r="Q4044" s="798"/>
      <c r="R4044" s="811"/>
    </row>
    <row r="4045" customFormat="false" ht="16.5" hidden="false" customHeight="true" outlineLevel="0" collapsed="false">
      <c r="A4045" s="747"/>
      <c r="B4045" s="798"/>
      <c r="D4045" s="798"/>
      <c r="E4045" s="798"/>
      <c r="F4045" s="798"/>
      <c r="G4045" s="798"/>
      <c r="J4045" s="778" t="str">
        <f aca="false">IF(I4045="","",H4045/I4045)</f>
        <v/>
      </c>
      <c r="K4045" s="798"/>
      <c r="P4045" s="798"/>
      <c r="Q4045" s="798"/>
      <c r="R4045" s="811"/>
    </row>
    <row r="4046" customFormat="false" ht="16.5" hidden="false" customHeight="true" outlineLevel="0" collapsed="false">
      <c r="A4046" s="747"/>
      <c r="B4046" s="798"/>
      <c r="D4046" s="798"/>
      <c r="E4046" s="798"/>
      <c r="F4046" s="798"/>
      <c r="G4046" s="798"/>
      <c r="J4046" s="778" t="str">
        <f aca="false">IF(I4046="","",H4046/I4046)</f>
        <v/>
      </c>
      <c r="K4046" s="798"/>
      <c r="P4046" s="798"/>
      <c r="Q4046" s="798"/>
      <c r="R4046" s="811"/>
    </row>
    <row r="4047" customFormat="false" ht="16.5" hidden="false" customHeight="true" outlineLevel="0" collapsed="false">
      <c r="A4047" s="747"/>
      <c r="B4047" s="798"/>
      <c r="D4047" s="798"/>
      <c r="E4047" s="798"/>
      <c r="F4047" s="798"/>
      <c r="G4047" s="798"/>
      <c r="J4047" s="778" t="str">
        <f aca="false">IF(I4047="","",H4047/I4047)</f>
        <v/>
      </c>
      <c r="K4047" s="798"/>
      <c r="P4047" s="798"/>
      <c r="Q4047" s="798"/>
      <c r="R4047" s="811"/>
    </row>
    <row r="4048" customFormat="false" ht="16.5" hidden="false" customHeight="true" outlineLevel="0" collapsed="false">
      <c r="A4048" s="747"/>
      <c r="B4048" s="798"/>
      <c r="D4048" s="798"/>
      <c r="E4048" s="798"/>
      <c r="F4048" s="798"/>
      <c r="G4048" s="798"/>
      <c r="J4048" s="778" t="str">
        <f aca="false">IF(I4048="","",H4048/I4048)</f>
        <v/>
      </c>
      <c r="K4048" s="798"/>
      <c r="P4048" s="798"/>
      <c r="Q4048" s="798"/>
      <c r="R4048" s="811"/>
    </row>
    <row r="4049" customFormat="false" ht="16.5" hidden="false" customHeight="true" outlineLevel="0" collapsed="false">
      <c r="A4049" s="747"/>
      <c r="B4049" s="798"/>
      <c r="D4049" s="798"/>
      <c r="E4049" s="798"/>
      <c r="F4049" s="798"/>
      <c r="G4049" s="798"/>
      <c r="J4049" s="778" t="str">
        <f aca="false">IF(I4049="","",H4049/I4049)</f>
        <v/>
      </c>
      <c r="K4049" s="798"/>
      <c r="P4049" s="798"/>
      <c r="Q4049" s="798"/>
      <c r="R4049" s="811"/>
    </row>
    <row r="4050" customFormat="false" ht="16.5" hidden="false" customHeight="true" outlineLevel="0" collapsed="false">
      <c r="A4050" s="747"/>
      <c r="B4050" s="798"/>
      <c r="D4050" s="798"/>
      <c r="E4050" s="798"/>
      <c r="F4050" s="798"/>
      <c r="G4050" s="798"/>
      <c r="J4050" s="778" t="str">
        <f aca="false">IF(I4050="","",H4050/I4050)</f>
        <v/>
      </c>
      <c r="K4050" s="798"/>
      <c r="P4050" s="798"/>
      <c r="Q4050" s="798"/>
      <c r="R4050" s="811"/>
    </row>
    <row r="4051" customFormat="false" ht="16.5" hidden="false" customHeight="true" outlineLevel="0" collapsed="false">
      <c r="A4051" s="747"/>
      <c r="B4051" s="798"/>
      <c r="D4051" s="798"/>
      <c r="E4051" s="798"/>
      <c r="F4051" s="798"/>
      <c r="G4051" s="798"/>
      <c r="J4051" s="778" t="str">
        <f aca="false">IF(I4051="","",H4051/I4051)</f>
        <v/>
      </c>
      <c r="K4051" s="798"/>
      <c r="P4051" s="798"/>
      <c r="Q4051" s="798"/>
      <c r="R4051" s="811"/>
    </row>
    <row r="4052" customFormat="false" ht="16.5" hidden="false" customHeight="true" outlineLevel="0" collapsed="false">
      <c r="A4052" s="747"/>
      <c r="B4052" s="798"/>
      <c r="D4052" s="798"/>
      <c r="E4052" s="798"/>
      <c r="F4052" s="798"/>
      <c r="G4052" s="798"/>
      <c r="J4052" s="778" t="str">
        <f aca="false">IF(I4052="","",H4052/I4052)</f>
        <v/>
      </c>
      <c r="K4052" s="798"/>
      <c r="P4052" s="798"/>
      <c r="Q4052" s="798"/>
      <c r="R4052" s="811"/>
    </row>
    <row r="4053" customFormat="false" ht="16.5" hidden="false" customHeight="true" outlineLevel="0" collapsed="false">
      <c r="A4053" s="747"/>
      <c r="B4053" s="798"/>
      <c r="D4053" s="798"/>
      <c r="E4053" s="798"/>
      <c r="F4053" s="798"/>
      <c r="G4053" s="798"/>
      <c r="J4053" s="778" t="str">
        <f aca="false">IF(I4053="","",H4053/I4053)</f>
        <v/>
      </c>
      <c r="K4053" s="798"/>
      <c r="P4053" s="798"/>
      <c r="Q4053" s="798"/>
      <c r="R4053" s="811"/>
    </row>
    <row r="4054" customFormat="false" ht="16.5" hidden="false" customHeight="true" outlineLevel="0" collapsed="false">
      <c r="A4054" s="747"/>
      <c r="B4054" s="798"/>
      <c r="D4054" s="798"/>
      <c r="E4054" s="798"/>
      <c r="F4054" s="798"/>
      <c r="G4054" s="798"/>
      <c r="J4054" s="778" t="str">
        <f aca="false">IF(I4054="","",H4054/I4054)</f>
        <v/>
      </c>
      <c r="K4054" s="798"/>
      <c r="P4054" s="798"/>
      <c r="Q4054" s="798"/>
      <c r="R4054" s="811"/>
    </row>
    <row r="4055" customFormat="false" ht="16.5" hidden="false" customHeight="true" outlineLevel="0" collapsed="false">
      <c r="A4055" s="747"/>
      <c r="B4055" s="798"/>
      <c r="D4055" s="798"/>
      <c r="E4055" s="798"/>
      <c r="F4055" s="798"/>
      <c r="G4055" s="798"/>
      <c r="J4055" s="778" t="str">
        <f aca="false">IF(I4055="","",H4055/I4055)</f>
        <v/>
      </c>
      <c r="K4055" s="798"/>
      <c r="P4055" s="798"/>
      <c r="Q4055" s="798"/>
      <c r="R4055" s="811"/>
    </row>
    <row r="4056" customFormat="false" ht="16.5" hidden="false" customHeight="true" outlineLevel="0" collapsed="false">
      <c r="A4056" s="747"/>
      <c r="B4056" s="798"/>
      <c r="D4056" s="798"/>
      <c r="E4056" s="798"/>
      <c r="F4056" s="798"/>
      <c r="G4056" s="798"/>
      <c r="J4056" s="778" t="str">
        <f aca="false">IF(I4056="","",H4056/I4056)</f>
        <v/>
      </c>
      <c r="K4056" s="798"/>
      <c r="P4056" s="798"/>
      <c r="Q4056" s="798"/>
      <c r="R4056" s="811"/>
    </row>
    <row r="4057" customFormat="false" ht="16.5" hidden="false" customHeight="true" outlineLevel="0" collapsed="false">
      <c r="A4057" s="747"/>
      <c r="B4057" s="798"/>
      <c r="D4057" s="798"/>
      <c r="E4057" s="798"/>
      <c r="F4057" s="798"/>
      <c r="G4057" s="798"/>
      <c r="J4057" s="778" t="str">
        <f aca="false">IF(I4057="","",H4057/I4057)</f>
        <v/>
      </c>
      <c r="K4057" s="798"/>
      <c r="P4057" s="798"/>
      <c r="Q4057" s="798"/>
      <c r="R4057" s="811"/>
    </row>
    <row r="4058" customFormat="false" ht="16.5" hidden="false" customHeight="true" outlineLevel="0" collapsed="false">
      <c r="A4058" s="747"/>
      <c r="B4058" s="798"/>
      <c r="D4058" s="798"/>
      <c r="E4058" s="798"/>
      <c r="F4058" s="798"/>
      <c r="G4058" s="798"/>
      <c r="J4058" s="778" t="str">
        <f aca="false">IF(I4058="","",H4058/I4058)</f>
        <v/>
      </c>
      <c r="K4058" s="798"/>
      <c r="P4058" s="798"/>
      <c r="Q4058" s="798"/>
      <c r="R4058" s="811"/>
    </row>
    <row r="4059" customFormat="false" ht="16.5" hidden="false" customHeight="true" outlineLevel="0" collapsed="false">
      <c r="A4059" s="747"/>
      <c r="B4059" s="798"/>
      <c r="D4059" s="798"/>
      <c r="E4059" s="798"/>
      <c r="F4059" s="798"/>
      <c r="G4059" s="798"/>
      <c r="J4059" s="778" t="str">
        <f aca="false">IF(I4059="","",H4059/I4059)</f>
        <v/>
      </c>
      <c r="K4059" s="798"/>
      <c r="P4059" s="798"/>
      <c r="Q4059" s="798"/>
      <c r="R4059" s="811"/>
    </row>
    <row r="4060" customFormat="false" ht="16.5" hidden="false" customHeight="true" outlineLevel="0" collapsed="false">
      <c r="A4060" s="747"/>
      <c r="B4060" s="798"/>
      <c r="D4060" s="798"/>
      <c r="E4060" s="798"/>
      <c r="F4060" s="798"/>
      <c r="G4060" s="798"/>
      <c r="J4060" s="778" t="str">
        <f aca="false">IF(I4060="","",H4060/I4060)</f>
        <v/>
      </c>
      <c r="K4060" s="798"/>
      <c r="P4060" s="798"/>
      <c r="Q4060" s="798"/>
      <c r="R4060" s="811"/>
    </row>
    <row r="4061" customFormat="false" ht="16.5" hidden="false" customHeight="true" outlineLevel="0" collapsed="false">
      <c r="A4061" s="747"/>
      <c r="B4061" s="798"/>
      <c r="D4061" s="798"/>
      <c r="E4061" s="798"/>
      <c r="F4061" s="798"/>
      <c r="G4061" s="798"/>
      <c r="J4061" s="778" t="str">
        <f aca="false">IF(I4061="","",H4061/I4061)</f>
        <v/>
      </c>
      <c r="K4061" s="798"/>
      <c r="P4061" s="798"/>
      <c r="Q4061" s="798"/>
      <c r="R4061" s="811"/>
    </row>
    <row r="4062" customFormat="false" ht="16.5" hidden="false" customHeight="true" outlineLevel="0" collapsed="false">
      <c r="A4062" s="747"/>
      <c r="B4062" s="798"/>
      <c r="D4062" s="798"/>
      <c r="E4062" s="798"/>
      <c r="F4062" s="798"/>
      <c r="G4062" s="798"/>
      <c r="J4062" s="778" t="str">
        <f aca="false">IF(I4062="","",H4062/I4062)</f>
        <v/>
      </c>
      <c r="K4062" s="798"/>
      <c r="P4062" s="798"/>
      <c r="Q4062" s="798"/>
      <c r="R4062" s="811"/>
    </row>
    <row r="4063" customFormat="false" ht="16.5" hidden="false" customHeight="true" outlineLevel="0" collapsed="false">
      <c r="A4063" s="747"/>
      <c r="B4063" s="798"/>
      <c r="D4063" s="798"/>
      <c r="E4063" s="798"/>
      <c r="F4063" s="798"/>
      <c r="G4063" s="798"/>
      <c r="J4063" s="778" t="str">
        <f aca="false">IF(I4063="","",H4063/I4063)</f>
        <v/>
      </c>
      <c r="K4063" s="798"/>
      <c r="P4063" s="798"/>
      <c r="Q4063" s="798"/>
      <c r="R4063" s="811"/>
    </row>
    <row r="4064" customFormat="false" ht="16.5" hidden="false" customHeight="true" outlineLevel="0" collapsed="false">
      <c r="A4064" s="747"/>
      <c r="B4064" s="798"/>
      <c r="D4064" s="798"/>
      <c r="E4064" s="798"/>
      <c r="F4064" s="798"/>
      <c r="G4064" s="798"/>
      <c r="J4064" s="778" t="str">
        <f aca="false">IF(I4064="","",H4064/I4064)</f>
        <v/>
      </c>
      <c r="K4064" s="798"/>
      <c r="P4064" s="798"/>
      <c r="Q4064" s="798"/>
      <c r="R4064" s="811"/>
    </row>
    <row r="4065" customFormat="false" ht="16.5" hidden="false" customHeight="true" outlineLevel="0" collapsed="false">
      <c r="A4065" s="747"/>
      <c r="B4065" s="798"/>
      <c r="D4065" s="798"/>
      <c r="E4065" s="798"/>
      <c r="F4065" s="798"/>
      <c r="G4065" s="798"/>
      <c r="J4065" s="778" t="str">
        <f aca="false">IF(I4065="","",H4065/I4065)</f>
        <v/>
      </c>
      <c r="K4065" s="798"/>
      <c r="P4065" s="798"/>
      <c r="Q4065" s="798"/>
      <c r="R4065" s="811"/>
    </row>
    <row r="4066" customFormat="false" ht="16.5" hidden="false" customHeight="true" outlineLevel="0" collapsed="false">
      <c r="A4066" s="747"/>
      <c r="B4066" s="798"/>
      <c r="D4066" s="798"/>
      <c r="E4066" s="798"/>
      <c r="F4066" s="798"/>
      <c r="G4066" s="798"/>
      <c r="J4066" s="778" t="str">
        <f aca="false">IF(I4066="","",H4066/I4066)</f>
        <v/>
      </c>
      <c r="K4066" s="798"/>
      <c r="P4066" s="798"/>
      <c r="Q4066" s="798"/>
      <c r="R4066" s="811"/>
    </row>
    <row r="4067" customFormat="false" ht="16.5" hidden="false" customHeight="true" outlineLevel="0" collapsed="false">
      <c r="A4067" s="747"/>
      <c r="B4067" s="798"/>
      <c r="D4067" s="798"/>
      <c r="E4067" s="798"/>
      <c r="F4067" s="798"/>
      <c r="G4067" s="798"/>
      <c r="J4067" s="778" t="str">
        <f aca="false">IF(I4067="","",H4067/I4067)</f>
        <v/>
      </c>
      <c r="K4067" s="798"/>
      <c r="P4067" s="798"/>
      <c r="Q4067" s="798"/>
      <c r="R4067" s="811"/>
    </row>
    <row r="4068" customFormat="false" ht="16.5" hidden="false" customHeight="true" outlineLevel="0" collapsed="false">
      <c r="A4068" s="747"/>
      <c r="B4068" s="798"/>
      <c r="D4068" s="798"/>
      <c r="E4068" s="798"/>
      <c r="F4068" s="798"/>
      <c r="G4068" s="798"/>
      <c r="J4068" s="778" t="str">
        <f aca="false">IF(I4068="","",H4068/I4068)</f>
        <v/>
      </c>
      <c r="K4068" s="798"/>
      <c r="P4068" s="798"/>
      <c r="Q4068" s="798"/>
      <c r="R4068" s="811"/>
    </row>
    <row r="4069" customFormat="false" ht="16.5" hidden="false" customHeight="true" outlineLevel="0" collapsed="false">
      <c r="A4069" s="747"/>
      <c r="B4069" s="798"/>
      <c r="D4069" s="798"/>
      <c r="E4069" s="798"/>
      <c r="F4069" s="798"/>
      <c r="G4069" s="798"/>
      <c r="J4069" s="778" t="str">
        <f aca="false">IF(I4069="","",H4069/I4069)</f>
        <v/>
      </c>
      <c r="K4069" s="798"/>
      <c r="P4069" s="798"/>
      <c r="Q4069" s="798"/>
      <c r="R4069" s="811"/>
    </row>
    <row r="4070" customFormat="false" ht="16.5" hidden="false" customHeight="true" outlineLevel="0" collapsed="false">
      <c r="A4070" s="747"/>
      <c r="B4070" s="798"/>
      <c r="D4070" s="798"/>
      <c r="E4070" s="798"/>
      <c r="F4070" s="798"/>
      <c r="G4070" s="798"/>
      <c r="J4070" s="778" t="str">
        <f aca="false">IF(I4070="","",H4070/I4070)</f>
        <v/>
      </c>
      <c r="K4070" s="798"/>
      <c r="P4070" s="798"/>
      <c r="Q4070" s="798"/>
      <c r="R4070" s="811"/>
    </row>
    <row r="4071" customFormat="false" ht="16.5" hidden="false" customHeight="true" outlineLevel="0" collapsed="false">
      <c r="A4071" s="747"/>
      <c r="B4071" s="798"/>
      <c r="D4071" s="798"/>
      <c r="E4071" s="798"/>
      <c r="F4071" s="798"/>
      <c r="G4071" s="798"/>
      <c r="J4071" s="778" t="str">
        <f aca="false">IF(I4071="","",H4071/I4071)</f>
        <v/>
      </c>
      <c r="K4071" s="798"/>
      <c r="P4071" s="798"/>
      <c r="Q4071" s="798"/>
      <c r="R4071" s="811"/>
    </row>
    <row r="4072" customFormat="false" ht="16.5" hidden="false" customHeight="true" outlineLevel="0" collapsed="false">
      <c r="A4072" s="747"/>
      <c r="B4072" s="798"/>
      <c r="D4072" s="798"/>
      <c r="E4072" s="798"/>
      <c r="F4072" s="798"/>
      <c r="G4072" s="798"/>
      <c r="J4072" s="778" t="str">
        <f aca="false">IF(I4072="","",H4072/I4072)</f>
        <v/>
      </c>
      <c r="K4072" s="798"/>
      <c r="P4072" s="798"/>
      <c r="Q4072" s="798"/>
      <c r="R4072" s="811"/>
    </row>
    <row r="4073" customFormat="false" ht="16.5" hidden="false" customHeight="true" outlineLevel="0" collapsed="false">
      <c r="A4073" s="747"/>
      <c r="B4073" s="798"/>
      <c r="D4073" s="798"/>
      <c r="E4073" s="798"/>
      <c r="F4073" s="798"/>
      <c r="G4073" s="798"/>
      <c r="J4073" s="778" t="str">
        <f aca="false">IF(I4073="","",H4073/I4073)</f>
        <v/>
      </c>
      <c r="K4073" s="798"/>
      <c r="P4073" s="798"/>
      <c r="Q4073" s="798"/>
      <c r="R4073" s="811"/>
    </row>
    <row r="4074" customFormat="false" ht="16.5" hidden="false" customHeight="true" outlineLevel="0" collapsed="false">
      <c r="A4074" s="747"/>
      <c r="B4074" s="798"/>
      <c r="D4074" s="798"/>
      <c r="E4074" s="798"/>
      <c r="F4074" s="798"/>
      <c r="G4074" s="798"/>
      <c r="J4074" s="778" t="str">
        <f aca="false">IF(I4074="","",H4074/I4074)</f>
        <v/>
      </c>
      <c r="K4074" s="798"/>
      <c r="P4074" s="798"/>
      <c r="Q4074" s="798"/>
      <c r="R4074" s="811"/>
    </row>
    <row r="4075" customFormat="false" ht="16.5" hidden="false" customHeight="true" outlineLevel="0" collapsed="false">
      <c r="A4075" s="747"/>
      <c r="B4075" s="798"/>
      <c r="D4075" s="798"/>
      <c r="E4075" s="798"/>
      <c r="F4075" s="798"/>
      <c r="G4075" s="798"/>
      <c r="J4075" s="778" t="str">
        <f aca="false">IF(I4075="","",H4075/I4075)</f>
        <v/>
      </c>
      <c r="K4075" s="798"/>
      <c r="P4075" s="798"/>
      <c r="Q4075" s="798"/>
      <c r="R4075" s="811"/>
    </row>
    <row r="4076" customFormat="false" ht="16.5" hidden="false" customHeight="true" outlineLevel="0" collapsed="false">
      <c r="A4076" s="747"/>
      <c r="B4076" s="798"/>
      <c r="D4076" s="798"/>
      <c r="E4076" s="798"/>
      <c r="F4076" s="798"/>
      <c r="G4076" s="798"/>
      <c r="J4076" s="778" t="str">
        <f aca="false">IF(I4076="","",H4076/I4076)</f>
        <v/>
      </c>
      <c r="K4076" s="798"/>
      <c r="P4076" s="798"/>
      <c r="Q4076" s="798"/>
      <c r="R4076" s="811"/>
    </row>
    <row r="4077" customFormat="false" ht="16.5" hidden="false" customHeight="true" outlineLevel="0" collapsed="false">
      <c r="A4077" s="747"/>
      <c r="B4077" s="798"/>
      <c r="D4077" s="798"/>
      <c r="E4077" s="798"/>
      <c r="F4077" s="798"/>
      <c r="G4077" s="798"/>
      <c r="J4077" s="778" t="str">
        <f aca="false">IF(I4077="","",H4077/I4077)</f>
        <v/>
      </c>
      <c r="K4077" s="798"/>
      <c r="P4077" s="798"/>
      <c r="Q4077" s="798"/>
      <c r="R4077" s="811"/>
    </row>
    <row r="4078" customFormat="false" ht="16.5" hidden="false" customHeight="true" outlineLevel="0" collapsed="false">
      <c r="A4078" s="747"/>
      <c r="B4078" s="798"/>
      <c r="D4078" s="798"/>
      <c r="E4078" s="798"/>
      <c r="F4078" s="798"/>
      <c r="G4078" s="798"/>
      <c r="J4078" s="778" t="str">
        <f aca="false">IF(I4078="","",H4078/I4078)</f>
        <v/>
      </c>
      <c r="K4078" s="798"/>
      <c r="P4078" s="798"/>
      <c r="Q4078" s="798"/>
      <c r="R4078" s="811"/>
    </row>
    <row r="4079" customFormat="false" ht="16.5" hidden="false" customHeight="true" outlineLevel="0" collapsed="false">
      <c r="A4079" s="747"/>
      <c r="B4079" s="798"/>
      <c r="D4079" s="798"/>
      <c r="E4079" s="798"/>
      <c r="F4079" s="798"/>
      <c r="G4079" s="798"/>
      <c r="J4079" s="778" t="str">
        <f aca="false">IF(I4079="","",H4079/I4079)</f>
        <v/>
      </c>
      <c r="K4079" s="798"/>
      <c r="P4079" s="798"/>
      <c r="Q4079" s="798"/>
      <c r="R4079" s="811"/>
    </row>
    <row r="4080" customFormat="false" ht="16.5" hidden="false" customHeight="true" outlineLevel="0" collapsed="false">
      <c r="A4080" s="747"/>
      <c r="B4080" s="798"/>
      <c r="D4080" s="798"/>
      <c r="E4080" s="798"/>
      <c r="F4080" s="798"/>
      <c r="G4080" s="798"/>
      <c r="J4080" s="778" t="str">
        <f aca="false">IF(I4080="","",H4080/I4080)</f>
        <v/>
      </c>
      <c r="K4080" s="798"/>
      <c r="P4080" s="798"/>
      <c r="Q4080" s="798"/>
      <c r="R4080" s="811"/>
    </row>
    <row r="4081" customFormat="false" ht="16.5" hidden="false" customHeight="true" outlineLevel="0" collapsed="false">
      <c r="A4081" s="747"/>
      <c r="B4081" s="798"/>
      <c r="D4081" s="798"/>
      <c r="E4081" s="798"/>
      <c r="F4081" s="798"/>
      <c r="G4081" s="798"/>
      <c r="J4081" s="778" t="str">
        <f aca="false">IF(I4081="","",H4081/I4081)</f>
        <v/>
      </c>
      <c r="K4081" s="798"/>
      <c r="P4081" s="798"/>
      <c r="Q4081" s="798"/>
      <c r="R4081" s="811"/>
    </row>
    <row r="4082" customFormat="false" ht="16.5" hidden="false" customHeight="true" outlineLevel="0" collapsed="false">
      <c r="A4082" s="747"/>
      <c r="B4082" s="798"/>
      <c r="D4082" s="798"/>
      <c r="E4082" s="798"/>
      <c r="F4082" s="798"/>
      <c r="G4082" s="798"/>
      <c r="J4082" s="778" t="str">
        <f aca="false">IF(I4082="","",H4082/I4082)</f>
        <v/>
      </c>
      <c r="K4082" s="798"/>
      <c r="P4082" s="798"/>
      <c r="Q4082" s="798"/>
      <c r="R4082" s="811"/>
    </row>
    <row r="4083" customFormat="false" ht="16.5" hidden="false" customHeight="true" outlineLevel="0" collapsed="false">
      <c r="A4083" s="747"/>
      <c r="B4083" s="798"/>
      <c r="D4083" s="798"/>
      <c r="E4083" s="798"/>
      <c r="F4083" s="798"/>
      <c r="G4083" s="798"/>
      <c r="J4083" s="778" t="str">
        <f aca="false">IF(I4083="","",H4083/I4083)</f>
        <v/>
      </c>
      <c r="K4083" s="798"/>
      <c r="P4083" s="798"/>
      <c r="Q4083" s="798"/>
      <c r="R4083" s="811"/>
    </row>
    <row r="4084" customFormat="false" ht="16.5" hidden="false" customHeight="true" outlineLevel="0" collapsed="false">
      <c r="A4084" s="747"/>
      <c r="B4084" s="798"/>
      <c r="D4084" s="798"/>
      <c r="E4084" s="798"/>
      <c r="F4084" s="798"/>
      <c r="G4084" s="798"/>
      <c r="J4084" s="778" t="str">
        <f aca="false">IF(I4084="","",H4084/I4084)</f>
        <v/>
      </c>
      <c r="K4084" s="798"/>
      <c r="P4084" s="798"/>
      <c r="Q4084" s="798"/>
      <c r="R4084" s="811"/>
    </row>
    <row r="4085" customFormat="false" ht="16.5" hidden="false" customHeight="true" outlineLevel="0" collapsed="false">
      <c r="A4085" s="747"/>
      <c r="B4085" s="798"/>
      <c r="D4085" s="798"/>
      <c r="E4085" s="798"/>
      <c r="F4085" s="798"/>
      <c r="G4085" s="798"/>
      <c r="J4085" s="778" t="str">
        <f aca="false">IF(I4085="","",H4085/I4085)</f>
        <v/>
      </c>
      <c r="K4085" s="798"/>
      <c r="P4085" s="798"/>
      <c r="Q4085" s="798"/>
      <c r="R4085" s="811"/>
    </row>
    <row r="4086" customFormat="false" ht="16.5" hidden="false" customHeight="true" outlineLevel="0" collapsed="false">
      <c r="A4086" s="747"/>
      <c r="B4086" s="798"/>
      <c r="D4086" s="798"/>
      <c r="E4086" s="798"/>
      <c r="F4086" s="798"/>
      <c r="G4086" s="798"/>
      <c r="J4086" s="778" t="str">
        <f aca="false">IF(I4086="","",H4086/I4086)</f>
        <v/>
      </c>
      <c r="K4086" s="798"/>
      <c r="P4086" s="798"/>
      <c r="Q4086" s="798"/>
      <c r="R4086" s="811"/>
    </row>
    <row r="4087" customFormat="false" ht="16.5" hidden="false" customHeight="true" outlineLevel="0" collapsed="false">
      <c r="A4087" s="747"/>
      <c r="B4087" s="798"/>
      <c r="D4087" s="798"/>
      <c r="E4087" s="798"/>
      <c r="F4087" s="798"/>
      <c r="G4087" s="798"/>
      <c r="J4087" s="778" t="str">
        <f aca="false">IF(I4087="","",H4087/I4087)</f>
        <v/>
      </c>
      <c r="K4087" s="798"/>
      <c r="P4087" s="798"/>
      <c r="Q4087" s="798"/>
      <c r="R4087" s="811"/>
    </row>
    <row r="4088" customFormat="false" ht="16.5" hidden="false" customHeight="true" outlineLevel="0" collapsed="false">
      <c r="A4088" s="747"/>
      <c r="B4088" s="798"/>
      <c r="D4088" s="798"/>
      <c r="E4088" s="798"/>
      <c r="F4088" s="798"/>
      <c r="G4088" s="798"/>
      <c r="J4088" s="778" t="str">
        <f aca="false">IF(I4088="","",H4088/I4088)</f>
        <v/>
      </c>
      <c r="K4088" s="798"/>
      <c r="P4088" s="798"/>
      <c r="Q4088" s="798"/>
      <c r="R4088" s="811"/>
    </row>
    <row r="4089" customFormat="false" ht="16.5" hidden="false" customHeight="true" outlineLevel="0" collapsed="false">
      <c r="A4089" s="747"/>
      <c r="B4089" s="798"/>
      <c r="D4089" s="798"/>
      <c r="E4089" s="798"/>
      <c r="F4089" s="798"/>
      <c r="G4089" s="798"/>
      <c r="J4089" s="778" t="str">
        <f aca="false">IF(I4089="","",H4089/I4089)</f>
        <v/>
      </c>
      <c r="K4089" s="798"/>
      <c r="P4089" s="798"/>
      <c r="Q4089" s="798"/>
      <c r="R4089" s="811"/>
    </row>
    <row r="4090" customFormat="false" ht="16.5" hidden="false" customHeight="true" outlineLevel="0" collapsed="false">
      <c r="A4090" s="747"/>
      <c r="B4090" s="798"/>
      <c r="D4090" s="798"/>
      <c r="E4090" s="798"/>
      <c r="F4090" s="798"/>
      <c r="G4090" s="798"/>
      <c r="J4090" s="778" t="str">
        <f aca="false">IF(I4090="","",H4090/I4090)</f>
        <v/>
      </c>
      <c r="K4090" s="798"/>
      <c r="P4090" s="798"/>
      <c r="Q4090" s="798"/>
      <c r="R4090" s="811"/>
    </row>
    <row r="4091" customFormat="false" ht="16.5" hidden="false" customHeight="true" outlineLevel="0" collapsed="false">
      <c r="A4091" s="747"/>
      <c r="B4091" s="798"/>
      <c r="D4091" s="798"/>
      <c r="E4091" s="798"/>
      <c r="F4091" s="798"/>
      <c r="G4091" s="798"/>
      <c r="J4091" s="778" t="str">
        <f aca="false">IF(I4091="","",H4091/I4091)</f>
        <v/>
      </c>
      <c r="K4091" s="798"/>
      <c r="P4091" s="798"/>
      <c r="Q4091" s="798"/>
      <c r="R4091" s="811"/>
    </row>
    <row r="4092" customFormat="false" ht="16.5" hidden="false" customHeight="true" outlineLevel="0" collapsed="false">
      <c r="A4092" s="747"/>
      <c r="B4092" s="798"/>
      <c r="D4092" s="798"/>
      <c r="E4092" s="798"/>
      <c r="F4092" s="798"/>
      <c r="G4092" s="798"/>
      <c r="J4092" s="778" t="str">
        <f aca="false">IF(I4092="","",H4092/I4092)</f>
        <v/>
      </c>
      <c r="K4092" s="798"/>
      <c r="P4092" s="798"/>
      <c r="Q4092" s="798"/>
      <c r="R4092" s="811"/>
    </row>
    <row r="4093" customFormat="false" ht="16.5" hidden="false" customHeight="true" outlineLevel="0" collapsed="false">
      <c r="A4093" s="747"/>
      <c r="B4093" s="798"/>
      <c r="D4093" s="798"/>
      <c r="E4093" s="798"/>
      <c r="F4093" s="798"/>
      <c r="G4093" s="798"/>
      <c r="J4093" s="778" t="str">
        <f aca="false">IF(I4093="","",H4093/I4093)</f>
        <v/>
      </c>
      <c r="K4093" s="798"/>
      <c r="P4093" s="798"/>
      <c r="Q4093" s="798"/>
      <c r="R4093" s="811"/>
    </row>
    <row r="4094" customFormat="false" ht="16.5" hidden="false" customHeight="true" outlineLevel="0" collapsed="false">
      <c r="A4094" s="747"/>
      <c r="B4094" s="798"/>
      <c r="D4094" s="798"/>
      <c r="E4094" s="798"/>
      <c r="F4094" s="798"/>
      <c r="G4094" s="798"/>
      <c r="J4094" s="778" t="str">
        <f aca="false">IF(I4094="","",H4094/I4094)</f>
        <v/>
      </c>
      <c r="K4094" s="798"/>
      <c r="P4094" s="798"/>
      <c r="Q4094" s="798"/>
      <c r="R4094" s="811"/>
    </row>
    <row r="4095" customFormat="false" ht="16.5" hidden="false" customHeight="true" outlineLevel="0" collapsed="false">
      <c r="A4095" s="747"/>
      <c r="B4095" s="798"/>
      <c r="D4095" s="798"/>
      <c r="E4095" s="798"/>
      <c r="F4095" s="798"/>
      <c r="G4095" s="798"/>
      <c r="J4095" s="778" t="str">
        <f aca="false">IF(I4095="","",H4095/I4095)</f>
        <v/>
      </c>
      <c r="K4095" s="798"/>
      <c r="P4095" s="798"/>
      <c r="Q4095" s="798"/>
      <c r="R4095" s="811"/>
    </row>
    <row r="4096" customFormat="false" ht="16.5" hidden="false" customHeight="true" outlineLevel="0" collapsed="false">
      <c r="A4096" s="747"/>
      <c r="B4096" s="798"/>
      <c r="D4096" s="798"/>
      <c r="E4096" s="798"/>
      <c r="F4096" s="798"/>
      <c r="G4096" s="798"/>
      <c r="J4096" s="778" t="str">
        <f aca="false">IF(I4096="","",H4096/I4096)</f>
        <v/>
      </c>
      <c r="K4096" s="798"/>
      <c r="P4096" s="798"/>
      <c r="Q4096" s="798"/>
      <c r="R4096" s="811"/>
    </row>
    <row r="4097" customFormat="false" ht="16.5" hidden="false" customHeight="true" outlineLevel="0" collapsed="false">
      <c r="A4097" s="747"/>
      <c r="B4097" s="798"/>
      <c r="D4097" s="798"/>
      <c r="E4097" s="798"/>
      <c r="F4097" s="798"/>
      <c r="G4097" s="798"/>
      <c r="J4097" s="778" t="str">
        <f aca="false">IF(I4097="","",H4097/I4097)</f>
        <v/>
      </c>
      <c r="K4097" s="798"/>
      <c r="P4097" s="798"/>
      <c r="Q4097" s="798"/>
      <c r="R4097" s="811"/>
    </row>
    <row r="4098" customFormat="false" ht="16.5" hidden="false" customHeight="true" outlineLevel="0" collapsed="false">
      <c r="A4098" s="747"/>
      <c r="B4098" s="798"/>
      <c r="D4098" s="798"/>
      <c r="E4098" s="798"/>
      <c r="F4098" s="798"/>
      <c r="G4098" s="798"/>
      <c r="J4098" s="778" t="str">
        <f aca="false">IF(I4098="","",H4098/I4098)</f>
        <v/>
      </c>
      <c r="K4098" s="798"/>
      <c r="P4098" s="798"/>
      <c r="Q4098" s="798"/>
      <c r="R4098" s="811"/>
    </row>
    <row r="4099" customFormat="false" ht="16.5" hidden="false" customHeight="true" outlineLevel="0" collapsed="false">
      <c r="A4099" s="747"/>
      <c r="B4099" s="798"/>
      <c r="D4099" s="798"/>
      <c r="E4099" s="798"/>
      <c r="F4099" s="798"/>
      <c r="G4099" s="798"/>
      <c r="J4099" s="778" t="str">
        <f aca="false">IF(I4099="","",H4099/I4099)</f>
        <v/>
      </c>
      <c r="K4099" s="798"/>
      <c r="P4099" s="798"/>
      <c r="Q4099" s="798"/>
      <c r="R4099" s="811"/>
    </row>
    <row r="4100" customFormat="false" ht="16.5" hidden="false" customHeight="true" outlineLevel="0" collapsed="false">
      <c r="A4100" s="747"/>
      <c r="B4100" s="798"/>
      <c r="D4100" s="798"/>
      <c r="E4100" s="798"/>
      <c r="F4100" s="798"/>
      <c r="G4100" s="798"/>
      <c r="J4100" s="778" t="str">
        <f aca="false">IF(I4100="","",H4100/I4100)</f>
        <v/>
      </c>
      <c r="K4100" s="798"/>
      <c r="P4100" s="798"/>
      <c r="Q4100" s="798"/>
      <c r="R4100" s="811"/>
    </row>
    <row r="4101" customFormat="false" ht="16.5" hidden="false" customHeight="true" outlineLevel="0" collapsed="false">
      <c r="A4101" s="747"/>
      <c r="B4101" s="798"/>
      <c r="D4101" s="798"/>
      <c r="E4101" s="798"/>
      <c r="F4101" s="798"/>
      <c r="G4101" s="798"/>
      <c r="J4101" s="778" t="str">
        <f aca="false">IF(I4101="","",H4101/I4101)</f>
        <v/>
      </c>
      <c r="K4101" s="798"/>
      <c r="P4101" s="798"/>
      <c r="Q4101" s="798"/>
      <c r="R4101" s="811"/>
    </row>
    <row r="4102" customFormat="false" ht="16.5" hidden="false" customHeight="true" outlineLevel="0" collapsed="false">
      <c r="A4102" s="747"/>
      <c r="B4102" s="798"/>
      <c r="D4102" s="798"/>
      <c r="E4102" s="798"/>
      <c r="F4102" s="798"/>
      <c r="G4102" s="798"/>
      <c r="J4102" s="778" t="str">
        <f aca="false">IF(I4102="","",H4102/I4102)</f>
        <v/>
      </c>
      <c r="K4102" s="798"/>
      <c r="P4102" s="798"/>
      <c r="Q4102" s="798"/>
      <c r="R4102" s="811"/>
    </row>
    <row r="4103" customFormat="false" ht="16.5" hidden="false" customHeight="true" outlineLevel="0" collapsed="false">
      <c r="A4103" s="747"/>
      <c r="B4103" s="798"/>
      <c r="D4103" s="798"/>
      <c r="E4103" s="798"/>
      <c r="F4103" s="798"/>
      <c r="G4103" s="798"/>
      <c r="J4103" s="778" t="str">
        <f aca="false">IF(I4103="","",H4103/I4103)</f>
        <v/>
      </c>
      <c r="K4103" s="798"/>
      <c r="P4103" s="798"/>
      <c r="Q4103" s="798"/>
      <c r="R4103" s="811"/>
    </row>
    <row r="4104" customFormat="false" ht="16.5" hidden="false" customHeight="true" outlineLevel="0" collapsed="false">
      <c r="A4104" s="747"/>
      <c r="B4104" s="798"/>
      <c r="D4104" s="798"/>
      <c r="E4104" s="798"/>
      <c r="F4104" s="798"/>
      <c r="G4104" s="798"/>
      <c r="J4104" s="778" t="str">
        <f aca="false">IF(I4104="","",H4104/I4104)</f>
        <v/>
      </c>
      <c r="K4104" s="798"/>
      <c r="P4104" s="798"/>
      <c r="Q4104" s="798"/>
      <c r="R4104" s="811"/>
    </row>
    <row r="4105" customFormat="false" ht="16.5" hidden="false" customHeight="true" outlineLevel="0" collapsed="false">
      <c r="A4105" s="747"/>
      <c r="B4105" s="798"/>
      <c r="D4105" s="798"/>
      <c r="E4105" s="798"/>
      <c r="F4105" s="798"/>
      <c r="G4105" s="798"/>
      <c r="J4105" s="778" t="str">
        <f aca="false">IF(I4105="","",H4105/I4105)</f>
        <v/>
      </c>
      <c r="K4105" s="798"/>
      <c r="P4105" s="798"/>
      <c r="Q4105" s="798"/>
      <c r="R4105" s="811"/>
    </row>
    <row r="4106" customFormat="false" ht="16.5" hidden="false" customHeight="true" outlineLevel="0" collapsed="false">
      <c r="A4106" s="747"/>
      <c r="B4106" s="798"/>
      <c r="D4106" s="798"/>
      <c r="E4106" s="798"/>
      <c r="F4106" s="798"/>
      <c r="G4106" s="798"/>
      <c r="J4106" s="778" t="str">
        <f aca="false">IF(I4106="","",H4106/I4106)</f>
        <v/>
      </c>
      <c r="K4106" s="798"/>
      <c r="P4106" s="798"/>
      <c r="Q4106" s="798"/>
      <c r="R4106" s="811"/>
    </row>
    <row r="4107" customFormat="false" ht="16.5" hidden="false" customHeight="true" outlineLevel="0" collapsed="false">
      <c r="A4107" s="747"/>
      <c r="B4107" s="798"/>
      <c r="D4107" s="798"/>
      <c r="E4107" s="798"/>
      <c r="F4107" s="798"/>
      <c r="G4107" s="798"/>
      <c r="J4107" s="778" t="str">
        <f aca="false">IF(I4107="","",H4107/I4107)</f>
        <v/>
      </c>
      <c r="K4107" s="798"/>
      <c r="P4107" s="798"/>
      <c r="Q4107" s="798"/>
      <c r="R4107" s="811"/>
    </row>
    <row r="4108" customFormat="false" ht="16.5" hidden="false" customHeight="true" outlineLevel="0" collapsed="false">
      <c r="A4108" s="747"/>
      <c r="B4108" s="798"/>
      <c r="D4108" s="798"/>
      <c r="E4108" s="798"/>
      <c r="F4108" s="798"/>
      <c r="G4108" s="798"/>
      <c r="J4108" s="778" t="str">
        <f aca="false">IF(I4108="","",H4108/I4108)</f>
        <v/>
      </c>
      <c r="K4108" s="798"/>
      <c r="P4108" s="798"/>
      <c r="Q4108" s="798"/>
      <c r="R4108" s="811"/>
    </row>
    <row r="4109" customFormat="false" ht="16.5" hidden="false" customHeight="true" outlineLevel="0" collapsed="false">
      <c r="A4109" s="747"/>
      <c r="B4109" s="798"/>
      <c r="D4109" s="798"/>
      <c r="E4109" s="798"/>
      <c r="F4109" s="798"/>
      <c r="G4109" s="798"/>
      <c r="J4109" s="778" t="str">
        <f aca="false">IF(I4109="","",H4109/I4109)</f>
        <v/>
      </c>
      <c r="K4109" s="798"/>
      <c r="P4109" s="798"/>
      <c r="Q4109" s="798"/>
      <c r="R4109" s="811"/>
    </row>
    <row r="4110" customFormat="false" ht="16.5" hidden="false" customHeight="true" outlineLevel="0" collapsed="false">
      <c r="A4110" s="747"/>
      <c r="B4110" s="798"/>
      <c r="D4110" s="798"/>
      <c r="E4110" s="798"/>
      <c r="F4110" s="798"/>
      <c r="G4110" s="798"/>
      <c r="J4110" s="778" t="str">
        <f aca="false">IF(I4110="","",H4110/I4110)</f>
        <v/>
      </c>
      <c r="K4110" s="798"/>
      <c r="P4110" s="798"/>
      <c r="Q4110" s="798"/>
      <c r="R4110" s="811"/>
    </row>
    <row r="4111" customFormat="false" ht="16.5" hidden="false" customHeight="true" outlineLevel="0" collapsed="false">
      <c r="A4111" s="747"/>
      <c r="B4111" s="798"/>
      <c r="D4111" s="798"/>
      <c r="E4111" s="798"/>
      <c r="F4111" s="798"/>
      <c r="G4111" s="798"/>
      <c r="J4111" s="778" t="str">
        <f aca="false">IF(I4111="","",H4111/I4111)</f>
        <v/>
      </c>
      <c r="K4111" s="798"/>
      <c r="P4111" s="798"/>
      <c r="Q4111" s="798"/>
      <c r="R4111" s="811"/>
    </row>
    <row r="4112" customFormat="false" ht="16.5" hidden="false" customHeight="true" outlineLevel="0" collapsed="false">
      <c r="A4112" s="747"/>
      <c r="B4112" s="798"/>
      <c r="D4112" s="798"/>
      <c r="E4112" s="798"/>
      <c r="F4112" s="798"/>
      <c r="G4112" s="798"/>
      <c r="J4112" s="778" t="str">
        <f aca="false">IF(I4112="","",H4112/I4112)</f>
        <v/>
      </c>
      <c r="K4112" s="798"/>
      <c r="P4112" s="798"/>
      <c r="Q4112" s="798"/>
      <c r="R4112" s="811"/>
    </row>
    <row r="4113" customFormat="false" ht="16.5" hidden="false" customHeight="true" outlineLevel="0" collapsed="false">
      <c r="A4113" s="747"/>
      <c r="B4113" s="798"/>
      <c r="D4113" s="798"/>
      <c r="E4113" s="798"/>
      <c r="F4113" s="798"/>
      <c r="G4113" s="798"/>
      <c r="J4113" s="778" t="str">
        <f aca="false">IF(I4113="","",H4113/I4113)</f>
        <v/>
      </c>
      <c r="K4113" s="798"/>
      <c r="P4113" s="798"/>
      <c r="Q4113" s="798"/>
      <c r="R4113" s="811"/>
    </row>
    <row r="4114" customFormat="false" ht="16.5" hidden="false" customHeight="true" outlineLevel="0" collapsed="false">
      <c r="A4114" s="747"/>
      <c r="B4114" s="798"/>
      <c r="D4114" s="798"/>
      <c r="E4114" s="798"/>
      <c r="F4114" s="798"/>
      <c r="G4114" s="798"/>
      <c r="J4114" s="778" t="str">
        <f aca="false">IF(I4114="","",H4114/I4114)</f>
        <v/>
      </c>
      <c r="K4114" s="798"/>
      <c r="P4114" s="798"/>
      <c r="Q4114" s="798"/>
      <c r="R4114" s="811"/>
    </row>
    <row r="4115" customFormat="false" ht="16.5" hidden="false" customHeight="true" outlineLevel="0" collapsed="false">
      <c r="A4115" s="747"/>
      <c r="B4115" s="798"/>
      <c r="D4115" s="798"/>
      <c r="E4115" s="798"/>
      <c r="F4115" s="798"/>
      <c r="G4115" s="798"/>
      <c r="J4115" s="778" t="str">
        <f aca="false">IF(I4115="","",H4115/I4115)</f>
        <v/>
      </c>
      <c r="K4115" s="798"/>
      <c r="P4115" s="798"/>
      <c r="Q4115" s="798"/>
      <c r="R4115" s="811"/>
    </row>
    <row r="4116" customFormat="false" ht="16.5" hidden="false" customHeight="true" outlineLevel="0" collapsed="false">
      <c r="A4116" s="747"/>
      <c r="B4116" s="798"/>
      <c r="D4116" s="798"/>
      <c r="E4116" s="798"/>
      <c r="F4116" s="798"/>
      <c r="G4116" s="798"/>
      <c r="J4116" s="778" t="str">
        <f aca="false">IF(I4116="","",H4116/I4116)</f>
        <v/>
      </c>
      <c r="K4116" s="798"/>
      <c r="P4116" s="798"/>
      <c r="Q4116" s="798"/>
      <c r="R4116" s="811"/>
    </row>
    <row r="4117" customFormat="false" ht="16.5" hidden="false" customHeight="true" outlineLevel="0" collapsed="false">
      <c r="A4117" s="747"/>
      <c r="B4117" s="798"/>
      <c r="D4117" s="798"/>
      <c r="E4117" s="798"/>
      <c r="F4117" s="798"/>
      <c r="G4117" s="798"/>
      <c r="J4117" s="778" t="str">
        <f aca="false">IF(I4117="","",H4117/I4117)</f>
        <v/>
      </c>
      <c r="K4117" s="798"/>
      <c r="P4117" s="798"/>
      <c r="Q4117" s="798"/>
      <c r="R4117" s="811"/>
    </row>
    <row r="4118" customFormat="false" ht="16.5" hidden="false" customHeight="true" outlineLevel="0" collapsed="false">
      <c r="A4118" s="747"/>
      <c r="B4118" s="798"/>
      <c r="D4118" s="798"/>
      <c r="E4118" s="798"/>
      <c r="F4118" s="798"/>
      <c r="G4118" s="798"/>
      <c r="J4118" s="778" t="str">
        <f aca="false">IF(I4118="","",H4118/I4118)</f>
        <v/>
      </c>
      <c r="K4118" s="798"/>
      <c r="P4118" s="798"/>
      <c r="Q4118" s="798"/>
      <c r="R4118" s="811"/>
    </row>
    <row r="4119" customFormat="false" ht="16.5" hidden="false" customHeight="true" outlineLevel="0" collapsed="false">
      <c r="A4119" s="747"/>
      <c r="B4119" s="798"/>
      <c r="D4119" s="798"/>
      <c r="E4119" s="798"/>
      <c r="F4119" s="798"/>
      <c r="G4119" s="798"/>
      <c r="J4119" s="778" t="str">
        <f aca="false">IF(I4119="","",H4119/I4119)</f>
        <v/>
      </c>
      <c r="K4119" s="798"/>
      <c r="P4119" s="798"/>
      <c r="Q4119" s="798"/>
      <c r="R4119" s="811"/>
    </row>
    <row r="4120" customFormat="false" ht="16.5" hidden="false" customHeight="true" outlineLevel="0" collapsed="false">
      <c r="A4120" s="747"/>
      <c r="B4120" s="798"/>
      <c r="D4120" s="798"/>
      <c r="E4120" s="798"/>
      <c r="F4120" s="798"/>
      <c r="G4120" s="798"/>
      <c r="J4120" s="778" t="str">
        <f aca="false">IF(I4120="","",H4120/I4120)</f>
        <v/>
      </c>
      <c r="K4120" s="798"/>
      <c r="P4120" s="798"/>
      <c r="Q4120" s="798"/>
      <c r="R4120" s="811"/>
    </row>
    <row r="4121" customFormat="false" ht="16.5" hidden="false" customHeight="true" outlineLevel="0" collapsed="false">
      <c r="A4121" s="747"/>
      <c r="B4121" s="798"/>
      <c r="D4121" s="798"/>
      <c r="E4121" s="798"/>
      <c r="F4121" s="798"/>
      <c r="G4121" s="798"/>
      <c r="J4121" s="778" t="str">
        <f aca="false">IF(I4121="","",H4121/I4121)</f>
        <v/>
      </c>
      <c r="K4121" s="798"/>
      <c r="P4121" s="798"/>
      <c r="Q4121" s="798"/>
      <c r="R4121" s="811"/>
    </row>
    <row r="4122" customFormat="false" ht="16.5" hidden="false" customHeight="true" outlineLevel="0" collapsed="false">
      <c r="A4122" s="747"/>
      <c r="B4122" s="798"/>
      <c r="D4122" s="798"/>
      <c r="E4122" s="798"/>
      <c r="F4122" s="798"/>
      <c r="G4122" s="798"/>
      <c r="J4122" s="778" t="str">
        <f aca="false">IF(I4122="","",H4122/I4122)</f>
        <v/>
      </c>
      <c r="K4122" s="798"/>
      <c r="P4122" s="798"/>
      <c r="Q4122" s="798"/>
      <c r="R4122" s="811"/>
    </row>
    <row r="4123" customFormat="false" ht="16.5" hidden="false" customHeight="true" outlineLevel="0" collapsed="false">
      <c r="A4123" s="747"/>
      <c r="B4123" s="798"/>
      <c r="D4123" s="798"/>
      <c r="E4123" s="798"/>
      <c r="F4123" s="798"/>
      <c r="G4123" s="798"/>
      <c r="J4123" s="778" t="str">
        <f aca="false">IF(I4123="","",H4123/I4123)</f>
        <v/>
      </c>
      <c r="K4123" s="798"/>
      <c r="P4123" s="798"/>
      <c r="Q4123" s="798"/>
      <c r="R4123" s="811"/>
    </row>
    <row r="4124" customFormat="false" ht="16.5" hidden="false" customHeight="true" outlineLevel="0" collapsed="false">
      <c r="A4124" s="747"/>
      <c r="B4124" s="798"/>
      <c r="D4124" s="798"/>
      <c r="E4124" s="798"/>
      <c r="F4124" s="798"/>
      <c r="G4124" s="798"/>
      <c r="J4124" s="778" t="str">
        <f aca="false">IF(I4124="","",H4124/I4124)</f>
        <v/>
      </c>
      <c r="K4124" s="798"/>
      <c r="P4124" s="798"/>
      <c r="Q4124" s="798"/>
      <c r="R4124" s="811"/>
    </row>
    <row r="4125" customFormat="false" ht="16.5" hidden="false" customHeight="true" outlineLevel="0" collapsed="false">
      <c r="A4125" s="747"/>
      <c r="B4125" s="798"/>
      <c r="D4125" s="798"/>
      <c r="E4125" s="798"/>
      <c r="F4125" s="798"/>
      <c r="G4125" s="798"/>
      <c r="J4125" s="778" t="str">
        <f aca="false">IF(I4125="","",H4125/I4125)</f>
        <v/>
      </c>
      <c r="K4125" s="798"/>
      <c r="P4125" s="798"/>
      <c r="Q4125" s="798"/>
      <c r="R4125" s="811"/>
    </row>
    <row r="4126" customFormat="false" ht="16.5" hidden="false" customHeight="true" outlineLevel="0" collapsed="false">
      <c r="A4126" s="747"/>
      <c r="B4126" s="798"/>
      <c r="D4126" s="798"/>
      <c r="E4126" s="798"/>
      <c r="F4126" s="798"/>
      <c r="G4126" s="798"/>
      <c r="J4126" s="778" t="str">
        <f aca="false">IF(I4126="","",H4126/I4126)</f>
        <v/>
      </c>
      <c r="K4126" s="798"/>
      <c r="P4126" s="798"/>
      <c r="Q4126" s="798"/>
      <c r="R4126" s="811"/>
    </row>
    <row r="4127" customFormat="false" ht="16.5" hidden="false" customHeight="true" outlineLevel="0" collapsed="false">
      <c r="A4127" s="747"/>
      <c r="B4127" s="798"/>
      <c r="D4127" s="798"/>
      <c r="E4127" s="798"/>
      <c r="F4127" s="798"/>
      <c r="G4127" s="798"/>
      <c r="J4127" s="778" t="str">
        <f aca="false">IF(I4127="","",H4127/I4127)</f>
        <v/>
      </c>
      <c r="K4127" s="798"/>
      <c r="P4127" s="798"/>
      <c r="Q4127" s="798"/>
      <c r="R4127" s="811"/>
    </row>
    <row r="4128" customFormat="false" ht="16.5" hidden="false" customHeight="true" outlineLevel="0" collapsed="false">
      <c r="A4128" s="747"/>
      <c r="B4128" s="798"/>
      <c r="D4128" s="798"/>
      <c r="E4128" s="798"/>
      <c r="F4128" s="798"/>
      <c r="G4128" s="798"/>
      <c r="J4128" s="778" t="str">
        <f aca="false">IF(I4128="","",H4128/I4128)</f>
        <v/>
      </c>
      <c r="K4128" s="798"/>
      <c r="P4128" s="798"/>
      <c r="Q4128" s="798"/>
      <c r="R4128" s="811"/>
    </row>
    <row r="4129" customFormat="false" ht="16.5" hidden="false" customHeight="true" outlineLevel="0" collapsed="false">
      <c r="A4129" s="747"/>
      <c r="B4129" s="798"/>
      <c r="D4129" s="798"/>
      <c r="E4129" s="798"/>
      <c r="F4129" s="798"/>
      <c r="G4129" s="798"/>
      <c r="J4129" s="778" t="str">
        <f aca="false">IF(I4129="","",H4129/I4129)</f>
        <v/>
      </c>
      <c r="K4129" s="798"/>
      <c r="P4129" s="798"/>
      <c r="Q4129" s="798"/>
      <c r="R4129" s="811"/>
    </row>
    <row r="4130" customFormat="false" ht="16.5" hidden="false" customHeight="true" outlineLevel="0" collapsed="false">
      <c r="A4130" s="747"/>
      <c r="B4130" s="798"/>
      <c r="D4130" s="798"/>
      <c r="E4130" s="798"/>
      <c r="F4130" s="798"/>
      <c r="G4130" s="798"/>
      <c r="J4130" s="778" t="str">
        <f aca="false">IF(I4130="","",H4130/I4130)</f>
        <v/>
      </c>
      <c r="K4130" s="798"/>
      <c r="P4130" s="798"/>
      <c r="Q4130" s="798"/>
      <c r="R4130" s="811"/>
    </row>
    <row r="4131" customFormat="false" ht="16.5" hidden="false" customHeight="true" outlineLevel="0" collapsed="false">
      <c r="A4131" s="747"/>
      <c r="B4131" s="798"/>
      <c r="D4131" s="798"/>
      <c r="E4131" s="798"/>
      <c r="F4131" s="798"/>
      <c r="G4131" s="798"/>
      <c r="J4131" s="778" t="str">
        <f aca="false">IF(I4131="","",H4131/I4131)</f>
        <v/>
      </c>
      <c r="K4131" s="798"/>
      <c r="P4131" s="798"/>
      <c r="Q4131" s="798"/>
      <c r="R4131" s="811"/>
    </row>
    <row r="4132" customFormat="false" ht="16.5" hidden="false" customHeight="true" outlineLevel="0" collapsed="false">
      <c r="A4132" s="747"/>
      <c r="B4132" s="798"/>
      <c r="D4132" s="798"/>
      <c r="E4132" s="798"/>
      <c r="F4132" s="798"/>
      <c r="G4132" s="798"/>
      <c r="J4132" s="778" t="str">
        <f aca="false">IF(I4132="","",H4132/I4132)</f>
        <v/>
      </c>
      <c r="K4132" s="798"/>
      <c r="P4132" s="798"/>
      <c r="Q4132" s="798"/>
      <c r="R4132" s="811"/>
    </row>
    <row r="4133" customFormat="false" ht="16.5" hidden="false" customHeight="true" outlineLevel="0" collapsed="false">
      <c r="A4133" s="747"/>
      <c r="B4133" s="798"/>
      <c r="D4133" s="798"/>
      <c r="E4133" s="798"/>
      <c r="F4133" s="798"/>
      <c r="G4133" s="798"/>
      <c r="J4133" s="778" t="str">
        <f aca="false">IF(I4133="","",H4133/I4133)</f>
        <v/>
      </c>
      <c r="K4133" s="798"/>
      <c r="P4133" s="798"/>
      <c r="Q4133" s="798"/>
      <c r="R4133" s="811"/>
    </row>
    <row r="4134" customFormat="false" ht="16.5" hidden="false" customHeight="true" outlineLevel="0" collapsed="false">
      <c r="A4134" s="747"/>
      <c r="B4134" s="798"/>
      <c r="D4134" s="798"/>
      <c r="E4134" s="798"/>
      <c r="F4134" s="798"/>
      <c r="G4134" s="798"/>
      <c r="J4134" s="778" t="str">
        <f aca="false">IF(I4134="","",H4134/I4134)</f>
        <v/>
      </c>
      <c r="K4134" s="798"/>
      <c r="P4134" s="798"/>
      <c r="Q4134" s="798"/>
      <c r="R4134" s="811"/>
    </row>
    <row r="4135" customFormat="false" ht="16.5" hidden="false" customHeight="true" outlineLevel="0" collapsed="false">
      <c r="A4135" s="747"/>
      <c r="B4135" s="798"/>
      <c r="D4135" s="798"/>
      <c r="E4135" s="798"/>
      <c r="F4135" s="798"/>
      <c r="G4135" s="798"/>
      <c r="J4135" s="778" t="str">
        <f aca="false">IF(I4135="","",H4135/I4135)</f>
        <v/>
      </c>
      <c r="K4135" s="798"/>
      <c r="P4135" s="798"/>
      <c r="Q4135" s="798"/>
      <c r="R4135" s="811"/>
    </row>
    <row r="4136" customFormat="false" ht="16.5" hidden="false" customHeight="true" outlineLevel="0" collapsed="false">
      <c r="A4136" s="747"/>
      <c r="B4136" s="798"/>
      <c r="D4136" s="798"/>
      <c r="E4136" s="798"/>
      <c r="F4136" s="798"/>
      <c r="G4136" s="798"/>
      <c r="J4136" s="778" t="str">
        <f aca="false">IF(I4136="","",H4136/I4136)</f>
        <v/>
      </c>
      <c r="K4136" s="798"/>
      <c r="P4136" s="798"/>
      <c r="Q4136" s="798"/>
      <c r="R4136" s="811"/>
    </row>
    <row r="4137" customFormat="false" ht="16.5" hidden="false" customHeight="true" outlineLevel="0" collapsed="false">
      <c r="A4137" s="747"/>
      <c r="B4137" s="798"/>
      <c r="D4137" s="798"/>
      <c r="E4137" s="798"/>
      <c r="F4137" s="798"/>
      <c r="G4137" s="798"/>
      <c r="J4137" s="778" t="str">
        <f aca="false">IF(I4137="","",H4137/I4137)</f>
        <v/>
      </c>
      <c r="K4137" s="798"/>
      <c r="P4137" s="798"/>
      <c r="Q4137" s="798"/>
      <c r="R4137" s="811"/>
    </row>
    <row r="4138" customFormat="false" ht="16.5" hidden="false" customHeight="true" outlineLevel="0" collapsed="false">
      <c r="A4138" s="747"/>
      <c r="B4138" s="798"/>
      <c r="D4138" s="798"/>
      <c r="E4138" s="798"/>
      <c r="F4138" s="798"/>
      <c r="G4138" s="798"/>
      <c r="J4138" s="778" t="str">
        <f aca="false">IF(I4138="","",H4138/I4138)</f>
        <v/>
      </c>
      <c r="K4138" s="798"/>
      <c r="P4138" s="798"/>
      <c r="Q4138" s="798"/>
      <c r="R4138" s="811"/>
    </row>
    <row r="4139" customFormat="false" ht="16.5" hidden="false" customHeight="true" outlineLevel="0" collapsed="false">
      <c r="A4139" s="747"/>
      <c r="B4139" s="798"/>
      <c r="D4139" s="798"/>
      <c r="E4139" s="798"/>
      <c r="F4139" s="798"/>
      <c r="G4139" s="798"/>
      <c r="J4139" s="778" t="str">
        <f aca="false">IF(I4139="","",H4139/I4139)</f>
        <v/>
      </c>
      <c r="K4139" s="798"/>
      <c r="P4139" s="798"/>
      <c r="Q4139" s="798"/>
      <c r="R4139" s="811"/>
    </row>
    <row r="4140" customFormat="false" ht="16.5" hidden="false" customHeight="true" outlineLevel="0" collapsed="false">
      <c r="A4140" s="747"/>
      <c r="B4140" s="798"/>
      <c r="D4140" s="798"/>
      <c r="E4140" s="798"/>
      <c r="F4140" s="798"/>
      <c r="G4140" s="798"/>
      <c r="J4140" s="778" t="str">
        <f aca="false">IF(I4140="","",H4140/I4140)</f>
        <v/>
      </c>
      <c r="K4140" s="798"/>
      <c r="P4140" s="798"/>
      <c r="Q4140" s="798"/>
      <c r="R4140" s="811"/>
    </row>
    <row r="4141" customFormat="false" ht="16.5" hidden="false" customHeight="true" outlineLevel="0" collapsed="false">
      <c r="A4141" s="747"/>
      <c r="B4141" s="798"/>
      <c r="D4141" s="798"/>
      <c r="E4141" s="798"/>
      <c r="F4141" s="798"/>
      <c r="G4141" s="798"/>
      <c r="J4141" s="778" t="str">
        <f aca="false">IF(I4141="","",H4141/I4141)</f>
        <v/>
      </c>
      <c r="K4141" s="798"/>
      <c r="P4141" s="798"/>
      <c r="Q4141" s="798"/>
      <c r="R4141" s="811"/>
    </row>
    <row r="4142" customFormat="false" ht="16.5" hidden="false" customHeight="true" outlineLevel="0" collapsed="false">
      <c r="A4142" s="747"/>
      <c r="B4142" s="798"/>
      <c r="D4142" s="798"/>
      <c r="E4142" s="798"/>
      <c r="F4142" s="798"/>
      <c r="G4142" s="798"/>
      <c r="J4142" s="778" t="str">
        <f aca="false">IF(I4142="","",H4142/I4142)</f>
        <v/>
      </c>
      <c r="K4142" s="798"/>
      <c r="P4142" s="798"/>
      <c r="Q4142" s="798"/>
      <c r="R4142" s="811"/>
    </row>
    <row r="4143" customFormat="false" ht="16.5" hidden="false" customHeight="true" outlineLevel="0" collapsed="false">
      <c r="A4143" s="747"/>
      <c r="B4143" s="798"/>
      <c r="D4143" s="798"/>
      <c r="E4143" s="798"/>
      <c r="F4143" s="798"/>
      <c r="G4143" s="798"/>
      <c r="J4143" s="778" t="str">
        <f aca="false">IF(I4143="","",H4143/I4143)</f>
        <v/>
      </c>
      <c r="K4143" s="798"/>
      <c r="P4143" s="798"/>
      <c r="Q4143" s="798"/>
      <c r="R4143" s="811"/>
    </row>
    <row r="4144" customFormat="false" ht="16.5" hidden="false" customHeight="true" outlineLevel="0" collapsed="false">
      <c r="A4144" s="747"/>
      <c r="B4144" s="798"/>
      <c r="D4144" s="798"/>
      <c r="E4144" s="798"/>
      <c r="F4144" s="798"/>
      <c r="G4144" s="798"/>
      <c r="J4144" s="778" t="str">
        <f aca="false">IF(I4144="","",H4144/I4144)</f>
        <v/>
      </c>
      <c r="K4144" s="798"/>
      <c r="P4144" s="798"/>
      <c r="Q4144" s="798"/>
      <c r="R4144" s="811"/>
    </row>
    <row r="4145" customFormat="false" ht="16.5" hidden="false" customHeight="true" outlineLevel="0" collapsed="false">
      <c r="A4145" s="747"/>
      <c r="B4145" s="798"/>
      <c r="D4145" s="798"/>
      <c r="E4145" s="798"/>
      <c r="F4145" s="798"/>
      <c r="G4145" s="798"/>
      <c r="J4145" s="778" t="str">
        <f aca="false">IF(I4145="","",H4145/I4145)</f>
        <v/>
      </c>
      <c r="K4145" s="798"/>
      <c r="P4145" s="798"/>
      <c r="Q4145" s="798"/>
      <c r="R4145" s="811"/>
    </row>
    <row r="4146" customFormat="false" ht="16.5" hidden="false" customHeight="true" outlineLevel="0" collapsed="false">
      <c r="A4146" s="747"/>
      <c r="B4146" s="798"/>
      <c r="D4146" s="798"/>
      <c r="E4146" s="798"/>
      <c r="F4146" s="798"/>
      <c r="G4146" s="798"/>
      <c r="J4146" s="778" t="str">
        <f aca="false">IF(I4146="","",H4146/I4146)</f>
        <v/>
      </c>
      <c r="K4146" s="798"/>
      <c r="P4146" s="798"/>
      <c r="Q4146" s="798"/>
      <c r="R4146" s="811"/>
    </row>
    <row r="4147" customFormat="false" ht="16.5" hidden="false" customHeight="true" outlineLevel="0" collapsed="false">
      <c r="A4147" s="747"/>
      <c r="B4147" s="798"/>
      <c r="D4147" s="798"/>
      <c r="E4147" s="798"/>
      <c r="F4147" s="798"/>
      <c r="G4147" s="798"/>
      <c r="J4147" s="778" t="str">
        <f aca="false">IF(I4147="","",H4147/I4147)</f>
        <v/>
      </c>
      <c r="K4147" s="798"/>
      <c r="P4147" s="798"/>
      <c r="Q4147" s="798"/>
      <c r="R4147" s="811"/>
    </row>
    <row r="4148" customFormat="false" ht="16.5" hidden="false" customHeight="true" outlineLevel="0" collapsed="false">
      <c r="A4148" s="747"/>
      <c r="B4148" s="798"/>
      <c r="D4148" s="798"/>
      <c r="E4148" s="798"/>
      <c r="F4148" s="798"/>
      <c r="G4148" s="798"/>
      <c r="J4148" s="778" t="str">
        <f aca="false">IF(I4148="","",H4148/I4148)</f>
        <v/>
      </c>
      <c r="K4148" s="798"/>
      <c r="P4148" s="798"/>
      <c r="Q4148" s="798"/>
      <c r="R4148" s="811"/>
    </row>
    <row r="4149" customFormat="false" ht="16.5" hidden="false" customHeight="true" outlineLevel="0" collapsed="false">
      <c r="A4149" s="747"/>
      <c r="B4149" s="798"/>
      <c r="D4149" s="798"/>
      <c r="E4149" s="798"/>
      <c r="F4149" s="798"/>
      <c r="G4149" s="798"/>
      <c r="J4149" s="778" t="str">
        <f aca="false">IF(I4149="","",H4149/I4149)</f>
        <v/>
      </c>
      <c r="K4149" s="798"/>
      <c r="P4149" s="798"/>
      <c r="Q4149" s="798"/>
      <c r="R4149" s="811"/>
    </row>
    <row r="4150" customFormat="false" ht="16.5" hidden="false" customHeight="true" outlineLevel="0" collapsed="false">
      <c r="A4150" s="747"/>
      <c r="B4150" s="798"/>
      <c r="D4150" s="798"/>
      <c r="E4150" s="798"/>
      <c r="F4150" s="798"/>
      <c r="G4150" s="798"/>
      <c r="J4150" s="778" t="str">
        <f aca="false">IF(I4150="","",H4150/I4150)</f>
        <v/>
      </c>
      <c r="K4150" s="798"/>
      <c r="P4150" s="798"/>
      <c r="Q4150" s="798"/>
      <c r="R4150" s="811"/>
    </row>
    <row r="4151" customFormat="false" ht="16.5" hidden="false" customHeight="true" outlineLevel="0" collapsed="false">
      <c r="A4151" s="747"/>
      <c r="B4151" s="798"/>
      <c r="D4151" s="798"/>
      <c r="E4151" s="798"/>
      <c r="F4151" s="798"/>
      <c r="G4151" s="798"/>
      <c r="J4151" s="778" t="str">
        <f aca="false">IF(I4151="","",H4151/I4151)</f>
        <v/>
      </c>
      <c r="K4151" s="798"/>
      <c r="P4151" s="798"/>
      <c r="Q4151" s="798"/>
      <c r="R4151" s="811"/>
    </row>
    <row r="4152" customFormat="false" ht="16.5" hidden="false" customHeight="true" outlineLevel="0" collapsed="false">
      <c r="A4152" s="747"/>
      <c r="B4152" s="798"/>
      <c r="D4152" s="798"/>
      <c r="E4152" s="798"/>
      <c r="F4152" s="798"/>
      <c r="G4152" s="798"/>
      <c r="J4152" s="778" t="str">
        <f aca="false">IF(I4152="","",H4152/I4152)</f>
        <v/>
      </c>
      <c r="K4152" s="798"/>
      <c r="P4152" s="798"/>
      <c r="Q4152" s="798"/>
      <c r="R4152" s="811"/>
    </row>
    <row r="4153" customFormat="false" ht="16.5" hidden="false" customHeight="true" outlineLevel="0" collapsed="false">
      <c r="A4153" s="747"/>
      <c r="B4153" s="798"/>
      <c r="D4153" s="798"/>
      <c r="E4153" s="798"/>
      <c r="F4153" s="798"/>
      <c r="G4153" s="798"/>
      <c r="J4153" s="778" t="str">
        <f aca="false">IF(I4153="","",H4153/I4153)</f>
        <v/>
      </c>
      <c r="K4153" s="798"/>
      <c r="P4153" s="798"/>
      <c r="Q4153" s="798"/>
      <c r="R4153" s="811"/>
    </row>
    <row r="4154" customFormat="false" ht="16.5" hidden="false" customHeight="true" outlineLevel="0" collapsed="false">
      <c r="A4154" s="747"/>
      <c r="B4154" s="798"/>
      <c r="D4154" s="798"/>
      <c r="E4154" s="798"/>
      <c r="F4154" s="798"/>
      <c r="G4154" s="798"/>
      <c r="J4154" s="778" t="str">
        <f aca="false">IF(I4154="","",H4154/I4154)</f>
        <v/>
      </c>
      <c r="K4154" s="798"/>
      <c r="P4154" s="798"/>
      <c r="Q4154" s="798"/>
      <c r="R4154" s="811"/>
    </row>
    <row r="4155" customFormat="false" ht="16.5" hidden="false" customHeight="true" outlineLevel="0" collapsed="false">
      <c r="A4155" s="747"/>
      <c r="B4155" s="798"/>
      <c r="D4155" s="798"/>
      <c r="E4155" s="798"/>
      <c r="F4155" s="798"/>
      <c r="G4155" s="798"/>
      <c r="J4155" s="778" t="str">
        <f aca="false">IF(I4155="","",H4155/I4155)</f>
        <v/>
      </c>
      <c r="K4155" s="798"/>
      <c r="P4155" s="798"/>
      <c r="Q4155" s="798"/>
      <c r="R4155" s="811"/>
    </row>
    <row r="4156" customFormat="false" ht="16.5" hidden="false" customHeight="true" outlineLevel="0" collapsed="false">
      <c r="A4156" s="747"/>
      <c r="B4156" s="798"/>
      <c r="D4156" s="798"/>
      <c r="E4156" s="798"/>
      <c r="F4156" s="798"/>
      <c r="G4156" s="798"/>
      <c r="J4156" s="778" t="str">
        <f aca="false">IF(I4156="","",H4156/I4156)</f>
        <v/>
      </c>
      <c r="K4156" s="798"/>
      <c r="P4156" s="798"/>
      <c r="Q4156" s="798"/>
      <c r="R4156" s="811"/>
    </row>
    <row r="4157" customFormat="false" ht="16.5" hidden="false" customHeight="true" outlineLevel="0" collapsed="false">
      <c r="A4157" s="747"/>
      <c r="B4157" s="798"/>
      <c r="D4157" s="798"/>
      <c r="E4157" s="798"/>
      <c r="F4157" s="798"/>
      <c r="G4157" s="798"/>
      <c r="J4157" s="778" t="str">
        <f aca="false">IF(I4157="","",H4157/I4157)</f>
        <v/>
      </c>
      <c r="K4157" s="798"/>
      <c r="P4157" s="798"/>
      <c r="Q4157" s="798"/>
      <c r="R4157" s="811"/>
    </row>
    <row r="4158" customFormat="false" ht="16.5" hidden="false" customHeight="true" outlineLevel="0" collapsed="false">
      <c r="A4158" s="747"/>
      <c r="B4158" s="798"/>
      <c r="D4158" s="798"/>
      <c r="E4158" s="798"/>
      <c r="F4158" s="798"/>
      <c r="G4158" s="798"/>
      <c r="J4158" s="778" t="str">
        <f aca="false">IF(I4158="","",H4158/I4158)</f>
        <v/>
      </c>
      <c r="K4158" s="798"/>
      <c r="P4158" s="798"/>
      <c r="Q4158" s="798"/>
      <c r="R4158" s="811"/>
    </row>
    <row r="4159" customFormat="false" ht="16.5" hidden="false" customHeight="true" outlineLevel="0" collapsed="false">
      <c r="A4159" s="747"/>
      <c r="B4159" s="798"/>
      <c r="D4159" s="798"/>
      <c r="E4159" s="798"/>
      <c r="F4159" s="798"/>
      <c r="G4159" s="798"/>
      <c r="J4159" s="778" t="str">
        <f aca="false">IF(I4159="","",H4159/I4159)</f>
        <v/>
      </c>
      <c r="K4159" s="798"/>
      <c r="P4159" s="798"/>
      <c r="Q4159" s="798"/>
      <c r="R4159" s="811"/>
    </row>
    <row r="4160" customFormat="false" ht="16.5" hidden="false" customHeight="true" outlineLevel="0" collapsed="false">
      <c r="A4160" s="747"/>
      <c r="B4160" s="798"/>
      <c r="D4160" s="798"/>
      <c r="E4160" s="798"/>
      <c r="F4160" s="798"/>
      <c r="G4160" s="798"/>
      <c r="J4160" s="778" t="str">
        <f aca="false">IF(I4160="","",H4160/I4160)</f>
        <v/>
      </c>
      <c r="K4160" s="798"/>
      <c r="P4160" s="798"/>
      <c r="Q4160" s="798"/>
      <c r="R4160" s="811"/>
    </row>
    <row r="4161" customFormat="false" ht="16.5" hidden="false" customHeight="true" outlineLevel="0" collapsed="false">
      <c r="A4161" s="747"/>
      <c r="B4161" s="798"/>
      <c r="D4161" s="798"/>
      <c r="E4161" s="798"/>
      <c r="F4161" s="798"/>
      <c r="G4161" s="798"/>
      <c r="J4161" s="778" t="str">
        <f aca="false">IF(I4161="","",H4161/I4161)</f>
        <v/>
      </c>
      <c r="K4161" s="798"/>
      <c r="P4161" s="798"/>
      <c r="Q4161" s="798"/>
      <c r="R4161" s="811"/>
    </row>
    <row r="4162" customFormat="false" ht="16.5" hidden="false" customHeight="true" outlineLevel="0" collapsed="false">
      <c r="A4162" s="747"/>
      <c r="B4162" s="798"/>
      <c r="D4162" s="798"/>
      <c r="E4162" s="798"/>
      <c r="F4162" s="798"/>
      <c r="G4162" s="798"/>
      <c r="J4162" s="778" t="str">
        <f aca="false">IF(I4162="","",H4162/I4162)</f>
        <v/>
      </c>
      <c r="K4162" s="798"/>
      <c r="P4162" s="798"/>
      <c r="Q4162" s="798"/>
      <c r="R4162" s="811"/>
    </row>
    <row r="4163" customFormat="false" ht="16.5" hidden="false" customHeight="true" outlineLevel="0" collapsed="false">
      <c r="A4163" s="747"/>
      <c r="B4163" s="798"/>
      <c r="D4163" s="798"/>
      <c r="E4163" s="798"/>
      <c r="F4163" s="798"/>
      <c r="G4163" s="798"/>
      <c r="J4163" s="778" t="str">
        <f aca="false">IF(I4163="","",H4163/I4163)</f>
        <v/>
      </c>
      <c r="K4163" s="798"/>
      <c r="P4163" s="798"/>
      <c r="Q4163" s="798"/>
      <c r="R4163" s="811"/>
    </row>
    <row r="4164" customFormat="false" ht="16.5" hidden="false" customHeight="true" outlineLevel="0" collapsed="false">
      <c r="A4164" s="747"/>
      <c r="B4164" s="798"/>
      <c r="D4164" s="798"/>
      <c r="E4164" s="798"/>
      <c r="F4164" s="798"/>
      <c r="G4164" s="798"/>
      <c r="J4164" s="778" t="str">
        <f aca="false">IF(I4164="","",H4164/I4164)</f>
        <v/>
      </c>
      <c r="K4164" s="798"/>
      <c r="P4164" s="798"/>
      <c r="Q4164" s="798"/>
      <c r="R4164" s="811"/>
    </row>
    <row r="4165" customFormat="false" ht="16.5" hidden="false" customHeight="true" outlineLevel="0" collapsed="false">
      <c r="A4165" s="747"/>
      <c r="B4165" s="798"/>
      <c r="D4165" s="798"/>
      <c r="E4165" s="798"/>
      <c r="F4165" s="798"/>
      <c r="G4165" s="798"/>
      <c r="J4165" s="778" t="str">
        <f aca="false">IF(I4165="","",H4165/I4165)</f>
        <v/>
      </c>
      <c r="K4165" s="798"/>
      <c r="P4165" s="798"/>
      <c r="Q4165" s="798"/>
      <c r="R4165" s="811"/>
    </row>
    <row r="4166" customFormat="false" ht="16.5" hidden="false" customHeight="true" outlineLevel="0" collapsed="false">
      <c r="A4166" s="747"/>
      <c r="B4166" s="798"/>
      <c r="D4166" s="798"/>
      <c r="E4166" s="798"/>
      <c r="F4166" s="798"/>
      <c r="G4166" s="798"/>
      <c r="J4166" s="778" t="str">
        <f aca="false">IF(I4166="","",H4166/I4166)</f>
        <v/>
      </c>
      <c r="K4166" s="798"/>
      <c r="P4166" s="798"/>
      <c r="Q4166" s="798"/>
      <c r="R4166" s="811"/>
    </row>
    <row r="4167" customFormat="false" ht="16.5" hidden="false" customHeight="true" outlineLevel="0" collapsed="false">
      <c r="A4167" s="747"/>
      <c r="B4167" s="798"/>
      <c r="D4167" s="798"/>
      <c r="E4167" s="798"/>
      <c r="F4167" s="798"/>
      <c r="G4167" s="798"/>
      <c r="J4167" s="778" t="str">
        <f aca="false">IF(I4167="","",H4167/I4167)</f>
        <v/>
      </c>
      <c r="K4167" s="798"/>
      <c r="P4167" s="798"/>
      <c r="Q4167" s="798"/>
      <c r="R4167" s="811"/>
    </row>
    <row r="4168" customFormat="false" ht="16.5" hidden="false" customHeight="true" outlineLevel="0" collapsed="false">
      <c r="A4168" s="747"/>
      <c r="B4168" s="798"/>
      <c r="D4168" s="798"/>
      <c r="E4168" s="798"/>
      <c r="F4168" s="798"/>
      <c r="G4168" s="798"/>
      <c r="J4168" s="778" t="str">
        <f aca="false">IF(I4168="","",H4168/I4168)</f>
        <v/>
      </c>
      <c r="K4168" s="798"/>
      <c r="P4168" s="798"/>
      <c r="Q4168" s="798"/>
      <c r="R4168" s="811"/>
    </row>
    <row r="4169" customFormat="false" ht="16.5" hidden="false" customHeight="true" outlineLevel="0" collapsed="false">
      <c r="A4169" s="747"/>
      <c r="B4169" s="798"/>
      <c r="D4169" s="798"/>
      <c r="E4169" s="798"/>
      <c r="F4169" s="798"/>
      <c r="G4169" s="798"/>
      <c r="J4169" s="778" t="str">
        <f aca="false">IF(I4169="","",H4169/I4169)</f>
        <v/>
      </c>
      <c r="K4169" s="798"/>
      <c r="P4169" s="798"/>
      <c r="Q4169" s="798"/>
      <c r="R4169" s="811"/>
    </row>
    <row r="4170" customFormat="false" ht="16.5" hidden="false" customHeight="true" outlineLevel="0" collapsed="false">
      <c r="A4170" s="747"/>
      <c r="B4170" s="798"/>
      <c r="D4170" s="798"/>
      <c r="E4170" s="798"/>
      <c r="F4170" s="798"/>
      <c r="G4170" s="798"/>
      <c r="J4170" s="778" t="str">
        <f aca="false">IF(I4170="","",H4170/I4170)</f>
        <v/>
      </c>
      <c r="K4170" s="798"/>
      <c r="P4170" s="798"/>
      <c r="Q4170" s="798"/>
      <c r="R4170" s="811"/>
    </row>
    <row r="4171" customFormat="false" ht="16.5" hidden="false" customHeight="true" outlineLevel="0" collapsed="false">
      <c r="A4171" s="747"/>
      <c r="B4171" s="798"/>
      <c r="D4171" s="798"/>
      <c r="E4171" s="798"/>
      <c r="F4171" s="798"/>
      <c r="G4171" s="798"/>
      <c r="J4171" s="778" t="str">
        <f aca="false">IF(I4171="","",H4171/I4171)</f>
        <v/>
      </c>
      <c r="K4171" s="798"/>
      <c r="P4171" s="798"/>
      <c r="Q4171" s="798"/>
      <c r="R4171" s="811"/>
    </row>
    <row r="4172" customFormat="false" ht="16.5" hidden="false" customHeight="true" outlineLevel="0" collapsed="false">
      <c r="A4172" s="747"/>
      <c r="B4172" s="798"/>
      <c r="D4172" s="798"/>
      <c r="E4172" s="798"/>
      <c r="F4172" s="798"/>
      <c r="G4172" s="798"/>
      <c r="J4172" s="778" t="str">
        <f aca="false">IF(I4172="","",H4172/I4172)</f>
        <v/>
      </c>
      <c r="K4172" s="798"/>
      <c r="P4172" s="798"/>
      <c r="Q4172" s="798"/>
      <c r="R4172" s="811"/>
    </row>
    <row r="4173" customFormat="false" ht="16.5" hidden="false" customHeight="true" outlineLevel="0" collapsed="false">
      <c r="A4173" s="747"/>
      <c r="B4173" s="798"/>
      <c r="D4173" s="798"/>
      <c r="E4173" s="798"/>
      <c r="F4173" s="798"/>
      <c r="G4173" s="798"/>
      <c r="J4173" s="778" t="str">
        <f aca="false">IF(I4173="","",H4173/I4173)</f>
        <v/>
      </c>
      <c r="K4173" s="798"/>
      <c r="P4173" s="798"/>
      <c r="Q4173" s="798"/>
      <c r="R4173" s="811"/>
    </row>
    <row r="4174" customFormat="false" ht="16.5" hidden="false" customHeight="true" outlineLevel="0" collapsed="false">
      <c r="A4174" s="747"/>
      <c r="B4174" s="798"/>
      <c r="D4174" s="798"/>
      <c r="E4174" s="798"/>
      <c r="F4174" s="798"/>
      <c r="G4174" s="798"/>
      <c r="J4174" s="778" t="str">
        <f aca="false">IF(I4174="","",H4174/I4174)</f>
        <v/>
      </c>
      <c r="K4174" s="798"/>
      <c r="P4174" s="798"/>
      <c r="Q4174" s="798"/>
      <c r="R4174" s="811"/>
    </row>
    <row r="4175" customFormat="false" ht="16.5" hidden="false" customHeight="true" outlineLevel="0" collapsed="false">
      <c r="A4175" s="747"/>
      <c r="B4175" s="798"/>
      <c r="D4175" s="798"/>
      <c r="E4175" s="798"/>
      <c r="F4175" s="798"/>
      <c r="G4175" s="798"/>
      <c r="J4175" s="778" t="str">
        <f aca="false">IF(I4175="","",H4175/I4175)</f>
        <v/>
      </c>
      <c r="K4175" s="798"/>
      <c r="P4175" s="798"/>
      <c r="Q4175" s="798"/>
      <c r="R4175" s="811"/>
    </row>
    <row r="4176" customFormat="false" ht="16.5" hidden="false" customHeight="true" outlineLevel="0" collapsed="false">
      <c r="A4176" s="747"/>
      <c r="B4176" s="798"/>
      <c r="D4176" s="798"/>
      <c r="E4176" s="798"/>
      <c r="F4176" s="798"/>
      <c r="G4176" s="798"/>
      <c r="J4176" s="778" t="str">
        <f aca="false">IF(I4176="","",H4176/I4176)</f>
        <v/>
      </c>
      <c r="K4176" s="798"/>
      <c r="P4176" s="798"/>
      <c r="Q4176" s="798"/>
      <c r="R4176" s="811"/>
    </row>
    <row r="4177" customFormat="false" ht="16.5" hidden="false" customHeight="true" outlineLevel="0" collapsed="false">
      <c r="A4177" s="747"/>
      <c r="B4177" s="798"/>
      <c r="D4177" s="798"/>
      <c r="E4177" s="798"/>
      <c r="F4177" s="798"/>
      <c r="G4177" s="798"/>
      <c r="J4177" s="778" t="str">
        <f aca="false">IF(I4177="","",H4177/I4177)</f>
        <v/>
      </c>
      <c r="K4177" s="798"/>
      <c r="P4177" s="798"/>
      <c r="Q4177" s="798"/>
      <c r="R4177" s="811"/>
    </row>
    <row r="4178" customFormat="false" ht="16.5" hidden="false" customHeight="true" outlineLevel="0" collapsed="false">
      <c r="A4178" s="747"/>
      <c r="B4178" s="798"/>
      <c r="D4178" s="798"/>
      <c r="E4178" s="798"/>
      <c r="F4178" s="798"/>
      <c r="G4178" s="798"/>
      <c r="J4178" s="778" t="str">
        <f aca="false">IF(I4178="","",H4178/I4178)</f>
        <v/>
      </c>
      <c r="K4178" s="798"/>
      <c r="P4178" s="798"/>
      <c r="Q4178" s="798"/>
      <c r="R4178" s="811"/>
    </row>
    <row r="4179" customFormat="false" ht="16.5" hidden="false" customHeight="true" outlineLevel="0" collapsed="false">
      <c r="A4179" s="747"/>
      <c r="B4179" s="798"/>
      <c r="D4179" s="798"/>
      <c r="E4179" s="798"/>
      <c r="F4179" s="798"/>
      <c r="G4179" s="798"/>
      <c r="J4179" s="778" t="str">
        <f aca="false">IF(I4179="","",H4179/I4179)</f>
        <v/>
      </c>
      <c r="K4179" s="798"/>
      <c r="P4179" s="798"/>
      <c r="Q4179" s="798"/>
      <c r="R4179" s="811"/>
    </row>
    <row r="4180" customFormat="false" ht="16.5" hidden="false" customHeight="true" outlineLevel="0" collapsed="false">
      <c r="A4180" s="747"/>
      <c r="B4180" s="798"/>
      <c r="D4180" s="798"/>
      <c r="E4180" s="798"/>
      <c r="F4180" s="798"/>
      <c r="G4180" s="798"/>
      <c r="J4180" s="778" t="str">
        <f aca="false">IF(I4180="","",H4180/I4180)</f>
        <v/>
      </c>
      <c r="K4180" s="798"/>
      <c r="P4180" s="798"/>
      <c r="Q4180" s="798"/>
      <c r="R4180" s="811"/>
    </row>
    <row r="4181" customFormat="false" ht="16.5" hidden="false" customHeight="true" outlineLevel="0" collapsed="false">
      <c r="A4181" s="747"/>
      <c r="B4181" s="798"/>
      <c r="D4181" s="798"/>
      <c r="E4181" s="798"/>
      <c r="F4181" s="798"/>
      <c r="G4181" s="798"/>
      <c r="J4181" s="778" t="str">
        <f aca="false">IF(I4181="","",H4181/I4181)</f>
        <v/>
      </c>
      <c r="K4181" s="798"/>
      <c r="P4181" s="798"/>
      <c r="Q4181" s="798"/>
      <c r="R4181" s="811"/>
    </row>
    <row r="4182" customFormat="false" ht="16.5" hidden="false" customHeight="true" outlineLevel="0" collapsed="false">
      <c r="A4182" s="747"/>
      <c r="B4182" s="798"/>
      <c r="D4182" s="798"/>
      <c r="E4182" s="798"/>
      <c r="F4182" s="798"/>
      <c r="G4182" s="798"/>
      <c r="J4182" s="778" t="str">
        <f aca="false">IF(I4182="","",H4182/I4182)</f>
        <v/>
      </c>
      <c r="K4182" s="798"/>
      <c r="P4182" s="798"/>
      <c r="Q4182" s="798"/>
      <c r="R4182" s="811"/>
    </row>
    <row r="4183" customFormat="false" ht="16.5" hidden="false" customHeight="true" outlineLevel="0" collapsed="false">
      <c r="A4183" s="747"/>
      <c r="B4183" s="798"/>
      <c r="D4183" s="798"/>
      <c r="E4183" s="798"/>
      <c r="F4183" s="798"/>
      <c r="G4183" s="798"/>
      <c r="J4183" s="778" t="str">
        <f aca="false">IF(I4183="","",H4183/I4183)</f>
        <v/>
      </c>
      <c r="K4183" s="798"/>
      <c r="P4183" s="798"/>
      <c r="Q4183" s="798"/>
      <c r="R4183" s="811"/>
    </row>
    <row r="4184" customFormat="false" ht="16.5" hidden="false" customHeight="true" outlineLevel="0" collapsed="false">
      <c r="A4184" s="747"/>
      <c r="B4184" s="798"/>
      <c r="D4184" s="798"/>
      <c r="E4184" s="798"/>
      <c r="F4184" s="798"/>
      <c r="G4184" s="798"/>
      <c r="J4184" s="778" t="str">
        <f aca="false">IF(I4184="","",H4184/I4184)</f>
        <v/>
      </c>
      <c r="K4184" s="798"/>
      <c r="P4184" s="798"/>
      <c r="Q4184" s="798"/>
      <c r="R4184" s="811"/>
    </row>
    <row r="4185" customFormat="false" ht="16.5" hidden="false" customHeight="true" outlineLevel="0" collapsed="false">
      <c r="A4185" s="747"/>
      <c r="B4185" s="798"/>
      <c r="D4185" s="798"/>
      <c r="E4185" s="798"/>
      <c r="F4185" s="798"/>
      <c r="G4185" s="798"/>
      <c r="J4185" s="778" t="str">
        <f aca="false">IF(I4185="","",H4185/I4185)</f>
        <v/>
      </c>
      <c r="K4185" s="798"/>
      <c r="P4185" s="798"/>
      <c r="Q4185" s="798"/>
      <c r="R4185" s="811"/>
    </row>
    <row r="4186" customFormat="false" ht="16.5" hidden="false" customHeight="true" outlineLevel="0" collapsed="false">
      <c r="A4186" s="747"/>
      <c r="B4186" s="798"/>
      <c r="D4186" s="798"/>
      <c r="E4186" s="798"/>
      <c r="F4186" s="798"/>
      <c r="G4186" s="798"/>
      <c r="J4186" s="778" t="str">
        <f aca="false">IF(I4186="","",H4186/I4186)</f>
        <v/>
      </c>
      <c r="K4186" s="798"/>
      <c r="P4186" s="798"/>
      <c r="Q4186" s="798"/>
      <c r="R4186" s="811"/>
    </row>
    <row r="4187" customFormat="false" ht="16.5" hidden="false" customHeight="true" outlineLevel="0" collapsed="false">
      <c r="A4187" s="747"/>
      <c r="B4187" s="798"/>
      <c r="D4187" s="798"/>
      <c r="E4187" s="798"/>
      <c r="F4187" s="798"/>
      <c r="G4187" s="798"/>
      <c r="J4187" s="778" t="str">
        <f aca="false">IF(I4187="","",H4187/I4187)</f>
        <v/>
      </c>
      <c r="K4187" s="798"/>
      <c r="P4187" s="798"/>
      <c r="Q4187" s="798"/>
      <c r="R4187" s="811"/>
    </row>
    <row r="4188" customFormat="false" ht="16.5" hidden="false" customHeight="true" outlineLevel="0" collapsed="false">
      <c r="A4188" s="747"/>
      <c r="B4188" s="798"/>
      <c r="D4188" s="798"/>
      <c r="E4188" s="798"/>
      <c r="F4188" s="798"/>
      <c r="G4188" s="798"/>
      <c r="J4188" s="778" t="str">
        <f aca="false">IF(I4188="","",H4188/I4188)</f>
        <v/>
      </c>
      <c r="K4188" s="798"/>
      <c r="P4188" s="798"/>
      <c r="Q4188" s="798"/>
      <c r="R4188" s="811"/>
    </row>
    <row r="4189" customFormat="false" ht="16.5" hidden="false" customHeight="true" outlineLevel="0" collapsed="false">
      <c r="A4189" s="747"/>
      <c r="B4189" s="798"/>
      <c r="D4189" s="798"/>
      <c r="E4189" s="798"/>
      <c r="F4189" s="798"/>
      <c r="G4189" s="798"/>
      <c r="J4189" s="778" t="str">
        <f aca="false">IF(I4189="","",H4189/I4189)</f>
        <v/>
      </c>
      <c r="K4189" s="798"/>
      <c r="P4189" s="798"/>
      <c r="Q4189" s="798"/>
      <c r="R4189" s="811"/>
    </row>
    <row r="4190" customFormat="false" ht="16.5" hidden="false" customHeight="true" outlineLevel="0" collapsed="false">
      <c r="A4190" s="747"/>
      <c r="B4190" s="798"/>
      <c r="D4190" s="798"/>
      <c r="E4190" s="798"/>
      <c r="F4190" s="798"/>
      <c r="G4190" s="798"/>
      <c r="J4190" s="778" t="str">
        <f aca="false">IF(I4190="","",H4190/I4190)</f>
        <v/>
      </c>
      <c r="K4190" s="798"/>
      <c r="P4190" s="798"/>
      <c r="Q4190" s="798"/>
      <c r="R4190" s="811"/>
    </row>
    <row r="4191" customFormat="false" ht="16.5" hidden="false" customHeight="true" outlineLevel="0" collapsed="false">
      <c r="A4191" s="747"/>
      <c r="B4191" s="798"/>
      <c r="D4191" s="798"/>
      <c r="E4191" s="798"/>
      <c r="F4191" s="798"/>
      <c r="G4191" s="798"/>
      <c r="J4191" s="778" t="str">
        <f aca="false">IF(I4191="","",H4191/I4191)</f>
        <v/>
      </c>
      <c r="K4191" s="798"/>
      <c r="P4191" s="798"/>
      <c r="Q4191" s="798"/>
      <c r="R4191" s="811"/>
    </row>
    <row r="4192" customFormat="false" ht="16.5" hidden="false" customHeight="true" outlineLevel="0" collapsed="false">
      <c r="A4192" s="747"/>
      <c r="B4192" s="798"/>
      <c r="D4192" s="798"/>
      <c r="E4192" s="798"/>
      <c r="F4192" s="798"/>
      <c r="G4192" s="798"/>
      <c r="J4192" s="778" t="str">
        <f aca="false">IF(I4192="","",H4192/I4192)</f>
        <v/>
      </c>
      <c r="K4192" s="798"/>
      <c r="P4192" s="798"/>
      <c r="Q4192" s="798"/>
      <c r="R4192" s="811"/>
    </row>
    <row r="4193" customFormat="false" ht="16.5" hidden="false" customHeight="true" outlineLevel="0" collapsed="false">
      <c r="A4193" s="747"/>
      <c r="B4193" s="798"/>
      <c r="D4193" s="798"/>
      <c r="E4193" s="798"/>
      <c r="F4193" s="798"/>
      <c r="G4193" s="798"/>
      <c r="J4193" s="778" t="str">
        <f aca="false">IF(I4193="","",H4193/I4193)</f>
        <v/>
      </c>
      <c r="K4193" s="798"/>
      <c r="P4193" s="798"/>
      <c r="Q4193" s="798"/>
      <c r="R4193" s="811"/>
    </row>
    <row r="4194" customFormat="false" ht="16.5" hidden="false" customHeight="true" outlineLevel="0" collapsed="false">
      <c r="A4194" s="747"/>
      <c r="B4194" s="798"/>
      <c r="D4194" s="798"/>
      <c r="E4194" s="798"/>
      <c r="F4194" s="798"/>
      <c r="G4194" s="798"/>
      <c r="J4194" s="778" t="str">
        <f aca="false">IF(I4194="","",H4194/I4194)</f>
        <v/>
      </c>
      <c r="K4194" s="798"/>
      <c r="P4194" s="798"/>
      <c r="Q4194" s="798"/>
      <c r="R4194" s="811"/>
    </row>
    <row r="4195" customFormat="false" ht="16.5" hidden="false" customHeight="true" outlineLevel="0" collapsed="false">
      <c r="A4195" s="747"/>
      <c r="B4195" s="798"/>
      <c r="D4195" s="798"/>
      <c r="E4195" s="798"/>
      <c r="F4195" s="798"/>
      <c r="G4195" s="798"/>
      <c r="J4195" s="778" t="str">
        <f aca="false">IF(I4195="","",H4195/I4195)</f>
        <v/>
      </c>
      <c r="K4195" s="798"/>
      <c r="P4195" s="798"/>
      <c r="Q4195" s="798"/>
      <c r="R4195" s="811"/>
    </row>
    <row r="4196" customFormat="false" ht="16.5" hidden="false" customHeight="true" outlineLevel="0" collapsed="false">
      <c r="A4196" s="747"/>
      <c r="B4196" s="798"/>
      <c r="D4196" s="798"/>
      <c r="E4196" s="798"/>
      <c r="F4196" s="798"/>
      <c r="G4196" s="798"/>
      <c r="J4196" s="778" t="str">
        <f aca="false">IF(I4196="","",H4196/I4196)</f>
        <v/>
      </c>
      <c r="K4196" s="798"/>
      <c r="P4196" s="798"/>
      <c r="Q4196" s="798"/>
      <c r="R4196" s="811"/>
    </row>
    <row r="4197" customFormat="false" ht="16.5" hidden="false" customHeight="true" outlineLevel="0" collapsed="false">
      <c r="A4197" s="747"/>
      <c r="B4197" s="798"/>
      <c r="D4197" s="798"/>
      <c r="E4197" s="798"/>
      <c r="F4197" s="798"/>
      <c r="G4197" s="798"/>
      <c r="J4197" s="778" t="str">
        <f aca="false">IF(I4197="","",H4197/I4197)</f>
        <v/>
      </c>
      <c r="K4197" s="798"/>
      <c r="P4197" s="798"/>
      <c r="Q4197" s="798"/>
      <c r="R4197" s="811"/>
    </row>
    <row r="4198" customFormat="false" ht="16.5" hidden="false" customHeight="true" outlineLevel="0" collapsed="false">
      <c r="A4198" s="747"/>
      <c r="B4198" s="798"/>
      <c r="D4198" s="798"/>
      <c r="E4198" s="798"/>
      <c r="F4198" s="798"/>
      <c r="G4198" s="798"/>
      <c r="J4198" s="778" t="str">
        <f aca="false">IF(I4198="","",H4198/I4198)</f>
        <v/>
      </c>
      <c r="K4198" s="798"/>
      <c r="P4198" s="798"/>
      <c r="Q4198" s="798"/>
      <c r="R4198" s="811"/>
    </row>
    <row r="4199" customFormat="false" ht="16.5" hidden="false" customHeight="true" outlineLevel="0" collapsed="false">
      <c r="A4199" s="747"/>
      <c r="B4199" s="798"/>
      <c r="D4199" s="798"/>
      <c r="E4199" s="798"/>
      <c r="F4199" s="798"/>
      <c r="G4199" s="798"/>
      <c r="J4199" s="778" t="str">
        <f aca="false">IF(I4199="","",H4199/I4199)</f>
        <v/>
      </c>
      <c r="K4199" s="798"/>
      <c r="P4199" s="798"/>
      <c r="Q4199" s="798"/>
      <c r="R4199" s="811"/>
    </row>
    <row r="4200" customFormat="false" ht="16.5" hidden="false" customHeight="true" outlineLevel="0" collapsed="false">
      <c r="A4200" s="747"/>
      <c r="B4200" s="798"/>
      <c r="D4200" s="798"/>
      <c r="E4200" s="798"/>
      <c r="F4200" s="798"/>
      <c r="G4200" s="798"/>
      <c r="J4200" s="778" t="str">
        <f aca="false">IF(I4200="","",H4200/I4200)</f>
        <v/>
      </c>
      <c r="K4200" s="798"/>
      <c r="P4200" s="798"/>
      <c r="Q4200" s="798"/>
      <c r="R4200" s="811"/>
    </row>
    <row r="4201" customFormat="false" ht="16.5" hidden="false" customHeight="true" outlineLevel="0" collapsed="false">
      <c r="A4201" s="747"/>
      <c r="B4201" s="798"/>
      <c r="D4201" s="798"/>
      <c r="E4201" s="798"/>
      <c r="F4201" s="798"/>
      <c r="G4201" s="798"/>
      <c r="J4201" s="778" t="str">
        <f aca="false">IF(I4201="","",H4201/I4201)</f>
        <v/>
      </c>
      <c r="K4201" s="798"/>
      <c r="P4201" s="798"/>
      <c r="Q4201" s="798"/>
      <c r="R4201" s="811"/>
    </row>
    <row r="4202" customFormat="false" ht="16.5" hidden="false" customHeight="true" outlineLevel="0" collapsed="false">
      <c r="A4202" s="747"/>
      <c r="B4202" s="798"/>
      <c r="D4202" s="798"/>
      <c r="E4202" s="798"/>
      <c r="F4202" s="798"/>
      <c r="G4202" s="798"/>
      <c r="J4202" s="778" t="str">
        <f aca="false">IF(I4202="","",H4202/I4202)</f>
        <v/>
      </c>
      <c r="K4202" s="798"/>
      <c r="P4202" s="798"/>
      <c r="Q4202" s="798"/>
      <c r="R4202" s="811"/>
    </row>
    <row r="4203" customFormat="false" ht="16.5" hidden="false" customHeight="true" outlineLevel="0" collapsed="false">
      <c r="A4203" s="747"/>
      <c r="B4203" s="798"/>
      <c r="D4203" s="798"/>
      <c r="E4203" s="798"/>
      <c r="F4203" s="798"/>
      <c r="G4203" s="798"/>
      <c r="J4203" s="778" t="str">
        <f aca="false">IF(I4203="","",H4203/I4203)</f>
        <v/>
      </c>
      <c r="K4203" s="798"/>
      <c r="P4203" s="798"/>
      <c r="Q4203" s="798"/>
      <c r="R4203" s="811"/>
    </row>
    <row r="4204" customFormat="false" ht="16.5" hidden="false" customHeight="true" outlineLevel="0" collapsed="false">
      <c r="A4204" s="747"/>
      <c r="B4204" s="798"/>
      <c r="D4204" s="798"/>
      <c r="E4204" s="798"/>
      <c r="F4204" s="798"/>
      <c r="G4204" s="798"/>
      <c r="J4204" s="778" t="str">
        <f aca="false">IF(I4204="","",H4204/I4204)</f>
        <v/>
      </c>
      <c r="K4204" s="798"/>
      <c r="P4204" s="798"/>
      <c r="Q4204" s="798"/>
      <c r="R4204" s="811"/>
    </row>
    <row r="4205" customFormat="false" ht="16.5" hidden="false" customHeight="true" outlineLevel="0" collapsed="false">
      <c r="A4205" s="747"/>
      <c r="B4205" s="798"/>
      <c r="D4205" s="798"/>
      <c r="E4205" s="798"/>
      <c r="F4205" s="798"/>
      <c r="G4205" s="798"/>
      <c r="J4205" s="778" t="str">
        <f aca="false">IF(I4205="","",H4205/I4205)</f>
        <v/>
      </c>
      <c r="K4205" s="798"/>
      <c r="P4205" s="798"/>
      <c r="Q4205" s="798"/>
      <c r="R4205" s="811"/>
    </row>
    <row r="4206" customFormat="false" ht="16.5" hidden="false" customHeight="true" outlineLevel="0" collapsed="false">
      <c r="A4206" s="747"/>
      <c r="B4206" s="798"/>
      <c r="D4206" s="798"/>
      <c r="E4206" s="798"/>
      <c r="F4206" s="798"/>
      <c r="G4206" s="798"/>
      <c r="J4206" s="778" t="str">
        <f aca="false">IF(I4206="","",H4206/I4206)</f>
        <v/>
      </c>
      <c r="K4206" s="798"/>
      <c r="P4206" s="798"/>
      <c r="Q4206" s="798"/>
      <c r="R4206" s="811"/>
    </row>
    <row r="4207" customFormat="false" ht="16.5" hidden="false" customHeight="true" outlineLevel="0" collapsed="false">
      <c r="A4207" s="747"/>
      <c r="B4207" s="798"/>
      <c r="D4207" s="798"/>
      <c r="E4207" s="798"/>
      <c r="F4207" s="798"/>
      <c r="G4207" s="798"/>
      <c r="J4207" s="778" t="str">
        <f aca="false">IF(I4207="","",H4207/I4207)</f>
        <v/>
      </c>
      <c r="K4207" s="798"/>
      <c r="P4207" s="798"/>
      <c r="Q4207" s="798"/>
      <c r="R4207" s="811"/>
    </row>
    <row r="4208" customFormat="false" ht="16.5" hidden="false" customHeight="true" outlineLevel="0" collapsed="false">
      <c r="A4208" s="747"/>
      <c r="B4208" s="798"/>
      <c r="D4208" s="798"/>
      <c r="E4208" s="798"/>
      <c r="F4208" s="798"/>
      <c r="G4208" s="798"/>
      <c r="J4208" s="778" t="str">
        <f aca="false">IF(I4208="","",H4208/I4208)</f>
        <v/>
      </c>
      <c r="K4208" s="798"/>
      <c r="P4208" s="798"/>
      <c r="Q4208" s="798"/>
      <c r="R4208" s="811"/>
    </row>
    <row r="4209" customFormat="false" ht="16.5" hidden="false" customHeight="true" outlineLevel="0" collapsed="false">
      <c r="A4209" s="747"/>
      <c r="B4209" s="798"/>
      <c r="D4209" s="798"/>
      <c r="E4209" s="798"/>
      <c r="F4209" s="798"/>
      <c r="G4209" s="798"/>
      <c r="J4209" s="778" t="str">
        <f aca="false">IF(I4209="","",H4209/I4209)</f>
        <v/>
      </c>
      <c r="K4209" s="798"/>
      <c r="P4209" s="798"/>
      <c r="Q4209" s="798"/>
      <c r="R4209" s="811"/>
    </row>
    <row r="4210" customFormat="false" ht="16.5" hidden="false" customHeight="true" outlineLevel="0" collapsed="false">
      <c r="A4210" s="747"/>
      <c r="B4210" s="798"/>
      <c r="D4210" s="798"/>
      <c r="E4210" s="798"/>
      <c r="F4210" s="798"/>
      <c r="G4210" s="798"/>
      <c r="J4210" s="778" t="str">
        <f aca="false">IF(I4210="","",H4210/I4210)</f>
        <v/>
      </c>
      <c r="K4210" s="798"/>
      <c r="P4210" s="798"/>
      <c r="Q4210" s="798"/>
      <c r="R4210" s="811"/>
    </row>
    <row r="4211" customFormat="false" ht="16.5" hidden="false" customHeight="true" outlineLevel="0" collapsed="false">
      <c r="A4211" s="747"/>
      <c r="B4211" s="798"/>
      <c r="D4211" s="798"/>
      <c r="E4211" s="798"/>
      <c r="F4211" s="798"/>
      <c r="G4211" s="798"/>
      <c r="J4211" s="778" t="str">
        <f aca="false">IF(I4211="","",H4211/I4211)</f>
        <v/>
      </c>
      <c r="K4211" s="798"/>
      <c r="P4211" s="798"/>
      <c r="Q4211" s="798"/>
      <c r="R4211" s="811"/>
    </row>
    <row r="4212" customFormat="false" ht="16.5" hidden="false" customHeight="true" outlineLevel="0" collapsed="false">
      <c r="A4212" s="747"/>
      <c r="B4212" s="798"/>
      <c r="D4212" s="798"/>
      <c r="E4212" s="798"/>
      <c r="F4212" s="798"/>
      <c r="G4212" s="798"/>
      <c r="J4212" s="778" t="str">
        <f aca="false">IF(I4212="","",H4212/I4212)</f>
        <v/>
      </c>
      <c r="K4212" s="798"/>
      <c r="P4212" s="798"/>
      <c r="Q4212" s="798"/>
      <c r="R4212" s="811"/>
    </row>
    <row r="4213" customFormat="false" ht="16.5" hidden="false" customHeight="true" outlineLevel="0" collapsed="false">
      <c r="A4213" s="747"/>
      <c r="B4213" s="798"/>
      <c r="D4213" s="798"/>
      <c r="E4213" s="798"/>
      <c r="F4213" s="798"/>
      <c r="G4213" s="798"/>
      <c r="J4213" s="778" t="str">
        <f aca="false">IF(I4213="","",H4213/I4213)</f>
        <v/>
      </c>
      <c r="K4213" s="798"/>
      <c r="P4213" s="798"/>
      <c r="Q4213" s="798"/>
      <c r="R4213" s="811"/>
    </row>
    <row r="4214" customFormat="false" ht="16.5" hidden="false" customHeight="true" outlineLevel="0" collapsed="false">
      <c r="A4214" s="747"/>
      <c r="B4214" s="798"/>
      <c r="D4214" s="798"/>
      <c r="E4214" s="798"/>
      <c r="F4214" s="798"/>
      <c r="G4214" s="798"/>
      <c r="J4214" s="778" t="str">
        <f aca="false">IF(I4214="","",H4214/I4214)</f>
        <v/>
      </c>
      <c r="K4214" s="798"/>
      <c r="P4214" s="798"/>
      <c r="Q4214" s="798"/>
      <c r="R4214" s="811"/>
    </row>
    <row r="4215" customFormat="false" ht="16.5" hidden="false" customHeight="true" outlineLevel="0" collapsed="false">
      <c r="A4215" s="747"/>
      <c r="B4215" s="798"/>
      <c r="D4215" s="798"/>
      <c r="E4215" s="798"/>
      <c r="F4215" s="798"/>
      <c r="G4215" s="798"/>
      <c r="J4215" s="778" t="str">
        <f aca="false">IF(I4215="","",H4215/I4215)</f>
        <v/>
      </c>
      <c r="K4215" s="798"/>
      <c r="P4215" s="798"/>
      <c r="Q4215" s="798"/>
      <c r="R4215" s="811"/>
    </row>
    <row r="4216" customFormat="false" ht="16.5" hidden="false" customHeight="true" outlineLevel="0" collapsed="false">
      <c r="A4216" s="747"/>
      <c r="B4216" s="798"/>
      <c r="D4216" s="798"/>
      <c r="E4216" s="798"/>
      <c r="F4216" s="798"/>
      <c r="G4216" s="798"/>
      <c r="J4216" s="778" t="str">
        <f aca="false">IF(I4216="","",H4216/I4216)</f>
        <v/>
      </c>
      <c r="K4216" s="798"/>
      <c r="P4216" s="798"/>
      <c r="Q4216" s="798"/>
      <c r="R4216" s="811"/>
    </row>
    <row r="4217" customFormat="false" ht="16.5" hidden="false" customHeight="true" outlineLevel="0" collapsed="false">
      <c r="A4217" s="747"/>
      <c r="B4217" s="798"/>
      <c r="D4217" s="798"/>
      <c r="E4217" s="798"/>
      <c r="F4217" s="798"/>
      <c r="G4217" s="798"/>
      <c r="J4217" s="778" t="str">
        <f aca="false">IF(I4217="","",H4217/I4217)</f>
        <v/>
      </c>
      <c r="K4217" s="798"/>
      <c r="P4217" s="798"/>
      <c r="Q4217" s="798"/>
      <c r="R4217" s="811"/>
    </row>
    <row r="4218" customFormat="false" ht="16.5" hidden="false" customHeight="true" outlineLevel="0" collapsed="false">
      <c r="A4218" s="747"/>
      <c r="B4218" s="798"/>
      <c r="D4218" s="798"/>
      <c r="E4218" s="798"/>
      <c r="F4218" s="798"/>
      <c r="G4218" s="798"/>
      <c r="J4218" s="778" t="str">
        <f aca="false">IF(I4218="","",H4218/I4218)</f>
        <v/>
      </c>
      <c r="K4218" s="798"/>
      <c r="P4218" s="798"/>
      <c r="Q4218" s="798"/>
      <c r="R4218" s="811"/>
    </row>
    <row r="4219" customFormat="false" ht="16.5" hidden="false" customHeight="true" outlineLevel="0" collapsed="false">
      <c r="A4219" s="747"/>
      <c r="B4219" s="798"/>
      <c r="D4219" s="798"/>
      <c r="E4219" s="798"/>
      <c r="F4219" s="798"/>
      <c r="G4219" s="798"/>
      <c r="J4219" s="778" t="str">
        <f aca="false">IF(I4219="","",H4219/I4219)</f>
        <v/>
      </c>
      <c r="K4219" s="798"/>
      <c r="P4219" s="798"/>
      <c r="Q4219" s="798"/>
      <c r="R4219" s="811"/>
    </row>
    <row r="4220" customFormat="false" ht="16.5" hidden="false" customHeight="true" outlineLevel="0" collapsed="false">
      <c r="A4220" s="747"/>
      <c r="B4220" s="798"/>
      <c r="D4220" s="798"/>
      <c r="E4220" s="798"/>
      <c r="F4220" s="798"/>
      <c r="G4220" s="798"/>
      <c r="J4220" s="778" t="str">
        <f aca="false">IF(I4220="","",H4220/I4220)</f>
        <v/>
      </c>
      <c r="K4220" s="798"/>
      <c r="P4220" s="798"/>
      <c r="Q4220" s="798"/>
      <c r="R4220" s="811"/>
    </row>
    <row r="4221" customFormat="false" ht="16.5" hidden="false" customHeight="true" outlineLevel="0" collapsed="false">
      <c r="A4221" s="747"/>
      <c r="B4221" s="798"/>
      <c r="D4221" s="798"/>
      <c r="E4221" s="798"/>
      <c r="F4221" s="798"/>
      <c r="G4221" s="798"/>
      <c r="J4221" s="778" t="str">
        <f aca="false">IF(I4221="","",H4221/I4221)</f>
        <v/>
      </c>
      <c r="K4221" s="798"/>
      <c r="P4221" s="798"/>
      <c r="Q4221" s="798"/>
      <c r="R4221" s="811"/>
    </row>
    <row r="4222" customFormat="false" ht="16.5" hidden="false" customHeight="true" outlineLevel="0" collapsed="false">
      <c r="A4222" s="747"/>
      <c r="B4222" s="798"/>
      <c r="D4222" s="798"/>
      <c r="E4222" s="798"/>
      <c r="F4222" s="798"/>
      <c r="G4222" s="798"/>
      <c r="J4222" s="778" t="str">
        <f aca="false">IF(I4222="","",H4222/I4222)</f>
        <v/>
      </c>
      <c r="K4222" s="798"/>
      <c r="P4222" s="798"/>
      <c r="Q4222" s="798"/>
      <c r="R4222" s="811"/>
    </row>
    <row r="4223" customFormat="false" ht="16.5" hidden="false" customHeight="true" outlineLevel="0" collapsed="false">
      <c r="A4223" s="747"/>
      <c r="B4223" s="798"/>
      <c r="D4223" s="798"/>
      <c r="E4223" s="798"/>
      <c r="F4223" s="798"/>
      <c r="G4223" s="798"/>
      <c r="J4223" s="778" t="str">
        <f aca="false">IF(I4223="","",H4223/I4223)</f>
        <v/>
      </c>
      <c r="K4223" s="798"/>
      <c r="P4223" s="798"/>
      <c r="Q4223" s="798"/>
      <c r="R4223" s="811"/>
    </row>
    <row r="4224" customFormat="false" ht="16.5" hidden="false" customHeight="true" outlineLevel="0" collapsed="false">
      <c r="A4224" s="747"/>
      <c r="B4224" s="798"/>
      <c r="D4224" s="798"/>
      <c r="E4224" s="798"/>
      <c r="F4224" s="798"/>
      <c r="G4224" s="798"/>
      <c r="J4224" s="778" t="str">
        <f aca="false">IF(I4224="","",H4224/I4224)</f>
        <v/>
      </c>
      <c r="K4224" s="798"/>
      <c r="P4224" s="798"/>
      <c r="Q4224" s="798"/>
      <c r="R4224" s="811"/>
    </row>
    <row r="4225" customFormat="false" ht="16.5" hidden="false" customHeight="true" outlineLevel="0" collapsed="false">
      <c r="A4225" s="747"/>
      <c r="B4225" s="798"/>
      <c r="D4225" s="798"/>
      <c r="E4225" s="798"/>
      <c r="F4225" s="798"/>
      <c r="G4225" s="798"/>
      <c r="J4225" s="778" t="str">
        <f aca="false">IF(I4225="","",H4225/I4225)</f>
        <v/>
      </c>
      <c r="K4225" s="798"/>
      <c r="P4225" s="798"/>
      <c r="Q4225" s="798"/>
      <c r="R4225" s="811"/>
    </row>
    <row r="4226" customFormat="false" ht="16.5" hidden="false" customHeight="true" outlineLevel="0" collapsed="false">
      <c r="A4226" s="747"/>
      <c r="B4226" s="798"/>
      <c r="D4226" s="798"/>
      <c r="E4226" s="798"/>
      <c r="F4226" s="798"/>
      <c r="G4226" s="798"/>
      <c r="J4226" s="778" t="str">
        <f aca="false">IF(I4226="","",H4226/I4226)</f>
        <v/>
      </c>
      <c r="K4226" s="798"/>
      <c r="P4226" s="798"/>
      <c r="Q4226" s="798"/>
      <c r="R4226" s="811"/>
    </row>
    <row r="4227" customFormat="false" ht="16.5" hidden="false" customHeight="true" outlineLevel="0" collapsed="false">
      <c r="A4227" s="747"/>
      <c r="B4227" s="798"/>
      <c r="D4227" s="798"/>
      <c r="E4227" s="798"/>
      <c r="F4227" s="798"/>
      <c r="G4227" s="798"/>
      <c r="J4227" s="778" t="str">
        <f aca="false">IF(I4227="","",H4227/I4227)</f>
        <v/>
      </c>
      <c r="K4227" s="798"/>
      <c r="P4227" s="798"/>
      <c r="Q4227" s="798"/>
      <c r="R4227" s="811"/>
    </row>
    <row r="4228" customFormat="false" ht="16.5" hidden="false" customHeight="true" outlineLevel="0" collapsed="false">
      <c r="A4228" s="747"/>
      <c r="B4228" s="798"/>
      <c r="D4228" s="798"/>
      <c r="E4228" s="798"/>
      <c r="F4228" s="798"/>
      <c r="G4228" s="798"/>
      <c r="J4228" s="778" t="str">
        <f aca="false">IF(I4228="","",H4228/I4228)</f>
        <v/>
      </c>
      <c r="K4228" s="798"/>
      <c r="P4228" s="798"/>
      <c r="Q4228" s="798"/>
      <c r="R4228" s="811"/>
    </row>
    <row r="4229" customFormat="false" ht="16.5" hidden="false" customHeight="true" outlineLevel="0" collapsed="false">
      <c r="A4229" s="747"/>
      <c r="B4229" s="798"/>
      <c r="D4229" s="798"/>
      <c r="E4229" s="798"/>
      <c r="F4229" s="798"/>
      <c r="G4229" s="798"/>
      <c r="J4229" s="778" t="str">
        <f aca="false">IF(I4229="","",H4229/I4229)</f>
        <v/>
      </c>
      <c r="K4229" s="798"/>
      <c r="P4229" s="798"/>
      <c r="Q4229" s="798"/>
      <c r="R4229" s="811"/>
    </row>
    <row r="4230" customFormat="false" ht="16.5" hidden="false" customHeight="true" outlineLevel="0" collapsed="false">
      <c r="A4230" s="747"/>
      <c r="B4230" s="798"/>
      <c r="D4230" s="798"/>
      <c r="E4230" s="798"/>
      <c r="F4230" s="798"/>
      <c r="G4230" s="798"/>
      <c r="J4230" s="778" t="str">
        <f aca="false">IF(I4230="","",H4230/I4230)</f>
        <v/>
      </c>
      <c r="K4230" s="798"/>
      <c r="P4230" s="798"/>
      <c r="Q4230" s="798"/>
      <c r="R4230" s="811"/>
    </row>
    <row r="4231" customFormat="false" ht="16.5" hidden="false" customHeight="true" outlineLevel="0" collapsed="false">
      <c r="A4231" s="747"/>
      <c r="B4231" s="798"/>
      <c r="D4231" s="798"/>
      <c r="E4231" s="798"/>
      <c r="F4231" s="798"/>
      <c r="G4231" s="798"/>
      <c r="J4231" s="778" t="str">
        <f aca="false">IF(I4231="","",H4231/I4231)</f>
        <v/>
      </c>
      <c r="K4231" s="798"/>
      <c r="P4231" s="798"/>
      <c r="Q4231" s="798"/>
      <c r="R4231" s="811"/>
    </row>
    <row r="4232" customFormat="false" ht="16.5" hidden="false" customHeight="true" outlineLevel="0" collapsed="false">
      <c r="A4232" s="747"/>
      <c r="B4232" s="798"/>
      <c r="D4232" s="798"/>
      <c r="E4232" s="798"/>
      <c r="F4232" s="798"/>
      <c r="G4232" s="798"/>
      <c r="J4232" s="778" t="str">
        <f aca="false">IF(I4232="","",H4232/I4232)</f>
        <v/>
      </c>
      <c r="K4232" s="798"/>
      <c r="P4232" s="798"/>
      <c r="Q4232" s="798"/>
      <c r="R4232" s="811"/>
    </row>
    <row r="4233" customFormat="false" ht="16.5" hidden="false" customHeight="true" outlineLevel="0" collapsed="false">
      <c r="A4233" s="747"/>
      <c r="B4233" s="798"/>
      <c r="D4233" s="798"/>
      <c r="E4233" s="798"/>
      <c r="F4233" s="798"/>
      <c r="G4233" s="798"/>
      <c r="J4233" s="778" t="str">
        <f aca="false">IF(I4233="","",H4233/I4233)</f>
        <v/>
      </c>
      <c r="K4233" s="798"/>
      <c r="P4233" s="798"/>
      <c r="Q4233" s="798"/>
      <c r="R4233" s="811"/>
    </row>
    <row r="4234" customFormat="false" ht="16.5" hidden="false" customHeight="true" outlineLevel="0" collapsed="false">
      <c r="A4234" s="747"/>
      <c r="B4234" s="798"/>
      <c r="D4234" s="798"/>
      <c r="E4234" s="798"/>
      <c r="F4234" s="798"/>
      <c r="G4234" s="798"/>
      <c r="J4234" s="778" t="str">
        <f aca="false">IF(I4234="","",H4234/I4234)</f>
        <v/>
      </c>
      <c r="K4234" s="798"/>
      <c r="P4234" s="798"/>
      <c r="Q4234" s="798"/>
      <c r="R4234" s="811"/>
    </row>
    <row r="4235" customFormat="false" ht="16.5" hidden="false" customHeight="true" outlineLevel="0" collapsed="false">
      <c r="A4235" s="747"/>
      <c r="B4235" s="798"/>
      <c r="D4235" s="798"/>
      <c r="E4235" s="798"/>
      <c r="F4235" s="798"/>
      <c r="G4235" s="798"/>
      <c r="J4235" s="778" t="str">
        <f aca="false">IF(I4235="","",H4235/I4235)</f>
        <v/>
      </c>
      <c r="K4235" s="798"/>
      <c r="P4235" s="798"/>
      <c r="Q4235" s="798"/>
      <c r="R4235" s="811"/>
    </row>
    <row r="4236" customFormat="false" ht="16.5" hidden="false" customHeight="true" outlineLevel="0" collapsed="false">
      <c r="A4236" s="747"/>
      <c r="B4236" s="798"/>
      <c r="D4236" s="798"/>
      <c r="E4236" s="798"/>
      <c r="F4236" s="798"/>
      <c r="G4236" s="798"/>
      <c r="J4236" s="778" t="str">
        <f aca="false">IF(I4236="","",H4236/I4236)</f>
        <v/>
      </c>
      <c r="K4236" s="798"/>
      <c r="P4236" s="798"/>
      <c r="Q4236" s="798"/>
      <c r="R4236" s="811"/>
    </row>
    <row r="4237" customFormat="false" ht="16.5" hidden="false" customHeight="true" outlineLevel="0" collapsed="false">
      <c r="A4237" s="747"/>
      <c r="B4237" s="798"/>
      <c r="D4237" s="798"/>
      <c r="E4237" s="798"/>
      <c r="F4237" s="798"/>
      <c r="G4237" s="798"/>
      <c r="J4237" s="778" t="str">
        <f aca="false">IF(I4237="","",H4237/I4237)</f>
        <v/>
      </c>
      <c r="K4237" s="798"/>
      <c r="P4237" s="798"/>
      <c r="Q4237" s="798"/>
      <c r="R4237" s="811"/>
    </row>
    <row r="4238" customFormat="false" ht="16.5" hidden="false" customHeight="true" outlineLevel="0" collapsed="false">
      <c r="A4238" s="747"/>
      <c r="B4238" s="798"/>
      <c r="D4238" s="798"/>
      <c r="E4238" s="798"/>
      <c r="F4238" s="798"/>
      <c r="G4238" s="798"/>
      <c r="J4238" s="778" t="str">
        <f aca="false">IF(I4238="","",H4238/I4238)</f>
        <v/>
      </c>
      <c r="K4238" s="798"/>
      <c r="P4238" s="798"/>
      <c r="Q4238" s="798"/>
      <c r="R4238" s="811"/>
    </row>
    <row r="4239" customFormat="false" ht="16.5" hidden="false" customHeight="true" outlineLevel="0" collapsed="false">
      <c r="A4239" s="747"/>
      <c r="B4239" s="798"/>
      <c r="D4239" s="798"/>
      <c r="E4239" s="798"/>
      <c r="F4239" s="798"/>
      <c r="G4239" s="798"/>
      <c r="J4239" s="778" t="str">
        <f aca="false">IF(I4239="","",H4239/I4239)</f>
        <v/>
      </c>
      <c r="K4239" s="798"/>
      <c r="P4239" s="798"/>
      <c r="Q4239" s="798"/>
      <c r="R4239" s="811"/>
    </row>
    <row r="4240" customFormat="false" ht="16.5" hidden="false" customHeight="true" outlineLevel="0" collapsed="false">
      <c r="A4240" s="747"/>
      <c r="B4240" s="798"/>
      <c r="D4240" s="798"/>
      <c r="E4240" s="798"/>
      <c r="F4240" s="798"/>
      <c r="G4240" s="798"/>
      <c r="J4240" s="778" t="str">
        <f aca="false">IF(I4240="","",H4240/I4240)</f>
        <v/>
      </c>
      <c r="K4240" s="798"/>
      <c r="P4240" s="798"/>
      <c r="Q4240" s="798"/>
      <c r="R4240" s="811"/>
    </row>
    <row r="4241" customFormat="false" ht="16.5" hidden="false" customHeight="true" outlineLevel="0" collapsed="false">
      <c r="A4241" s="747"/>
      <c r="B4241" s="798"/>
      <c r="D4241" s="798"/>
      <c r="E4241" s="798"/>
      <c r="F4241" s="798"/>
      <c r="G4241" s="798"/>
      <c r="J4241" s="778" t="str">
        <f aca="false">IF(I4241="","",H4241/I4241)</f>
        <v/>
      </c>
      <c r="K4241" s="798"/>
      <c r="P4241" s="798"/>
      <c r="Q4241" s="798"/>
      <c r="R4241" s="811"/>
    </row>
    <row r="4242" customFormat="false" ht="16.5" hidden="false" customHeight="true" outlineLevel="0" collapsed="false">
      <c r="A4242" s="747"/>
      <c r="B4242" s="798"/>
      <c r="D4242" s="798"/>
      <c r="E4242" s="798"/>
      <c r="F4242" s="798"/>
      <c r="G4242" s="798"/>
      <c r="J4242" s="778" t="str">
        <f aca="false">IF(I4242="","",H4242/I4242)</f>
        <v/>
      </c>
      <c r="K4242" s="798"/>
      <c r="P4242" s="798"/>
      <c r="Q4242" s="798"/>
      <c r="R4242" s="811"/>
    </row>
    <row r="4243" customFormat="false" ht="16.5" hidden="false" customHeight="true" outlineLevel="0" collapsed="false">
      <c r="A4243" s="747"/>
      <c r="B4243" s="798"/>
      <c r="D4243" s="798"/>
      <c r="E4243" s="798"/>
      <c r="F4243" s="798"/>
      <c r="G4243" s="798"/>
      <c r="J4243" s="778" t="str">
        <f aca="false">IF(I4243="","",H4243/I4243)</f>
        <v/>
      </c>
      <c r="K4243" s="798"/>
      <c r="P4243" s="798"/>
      <c r="Q4243" s="798"/>
      <c r="R4243" s="811"/>
    </row>
    <row r="4244" customFormat="false" ht="16.5" hidden="false" customHeight="true" outlineLevel="0" collapsed="false">
      <c r="A4244" s="747"/>
      <c r="B4244" s="798"/>
      <c r="D4244" s="798"/>
      <c r="E4244" s="798"/>
      <c r="F4244" s="798"/>
      <c r="G4244" s="798"/>
      <c r="J4244" s="778" t="str">
        <f aca="false">IF(I4244="","",H4244/I4244)</f>
        <v/>
      </c>
      <c r="K4244" s="798"/>
      <c r="P4244" s="798"/>
      <c r="Q4244" s="798"/>
      <c r="R4244" s="811"/>
    </row>
    <row r="4245" customFormat="false" ht="16.5" hidden="false" customHeight="true" outlineLevel="0" collapsed="false">
      <c r="A4245" s="747"/>
      <c r="B4245" s="798"/>
      <c r="D4245" s="798"/>
      <c r="E4245" s="798"/>
      <c r="F4245" s="798"/>
      <c r="G4245" s="798"/>
      <c r="J4245" s="778" t="str">
        <f aca="false">IF(I4245="","",H4245/I4245)</f>
        <v/>
      </c>
      <c r="K4245" s="798"/>
      <c r="P4245" s="798"/>
      <c r="Q4245" s="798"/>
      <c r="R4245" s="811"/>
    </row>
    <row r="4246" customFormat="false" ht="16.5" hidden="false" customHeight="true" outlineLevel="0" collapsed="false">
      <c r="A4246" s="747"/>
      <c r="B4246" s="798"/>
      <c r="D4246" s="798"/>
      <c r="E4246" s="798"/>
      <c r="F4246" s="798"/>
      <c r="G4246" s="798"/>
      <c r="J4246" s="778" t="str">
        <f aca="false">IF(I4246="","",H4246/I4246)</f>
        <v/>
      </c>
      <c r="K4246" s="798"/>
      <c r="P4246" s="798"/>
      <c r="Q4246" s="798"/>
      <c r="R4246" s="811"/>
    </row>
    <row r="4247" customFormat="false" ht="16.5" hidden="false" customHeight="true" outlineLevel="0" collapsed="false">
      <c r="A4247" s="747"/>
      <c r="B4247" s="798"/>
      <c r="D4247" s="798"/>
      <c r="E4247" s="798"/>
      <c r="F4247" s="798"/>
      <c r="G4247" s="798"/>
      <c r="J4247" s="778" t="str">
        <f aca="false">IF(I4247="","",H4247/I4247)</f>
        <v/>
      </c>
      <c r="K4247" s="798"/>
      <c r="P4247" s="798"/>
      <c r="Q4247" s="798"/>
      <c r="R4247" s="811"/>
    </row>
    <row r="4248" customFormat="false" ht="16.5" hidden="false" customHeight="true" outlineLevel="0" collapsed="false">
      <c r="A4248" s="747"/>
      <c r="B4248" s="798"/>
      <c r="D4248" s="798"/>
      <c r="E4248" s="798"/>
      <c r="F4248" s="798"/>
      <c r="G4248" s="798"/>
      <c r="J4248" s="778" t="str">
        <f aca="false">IF(I4248="","",H4248/I4248)</f>
        <v/>
      </c>
      <c r="K4248" s="798"/>
      <c r="P4248" s="798"/>
      <c r="Q4248" s="798"/>
      <c r="R4248" s="811"/>
    </row>
    <row r="4249" customFormat="false" ht="16.5" hidden="false" customHeight="true" outlineLevel="0" collapsed="false">
      <c r="A4249" s="747"/>
      <c r="B4249" s="798"/>
      <c r="D4249" s="798"/>
      <c r="E4249" s="798"/>
      <c r="F4249" s="798"/>
      <c r="G4249" s="798"/>
      <c r="J4249" s="778" t="str">
        <f aca="false">IF(I4249="","",H4249/I4249)</f>
        <v/>
      </c>
      <c r="K4249" s="798"/>
      <c r="P4249" s="798"/>
      <c r="Q4249" s="798"/>
      <c r="R4249" s="811"/>
    </row>
    <row r="4250" customFormat="false" ht="16.5" hidden="false" customHeight="true" outlineLevel="0" collapsed="false">
      <c r="A4250" s="747"/>
      <c r="B4250" s="798"/>
      <c r="D4250" s="798"/>
      <c r="E4250" s="798"/>
      <c r="F4250" s="798"/>
      <c r="G4250" s="798"/>
      <c r="J4250" s="778" t="str">
        <f aca="false">IF(I4250="","",H4250/I4250)</f>
        <v/>
      </c>
      <c r="K4250" s="798"/>
      <c r="P4250" s="798"/>
      <c r="Q4250" s="798"/>
      <c r="R4250" s="811"/>
    </row>
    <row r="4251" customFormat="false" ht="16.5" hidden="false" customHeight="true" outlineLevel="0" collapsed="false">
      <c r="A4251" s="747"/>
      <c r="B4251" s="798"/>
      <c r="D4251" s="798"/>
      <c r="E4251" s="798"/>
      <c r="F4251" s="798"/>
      <c r="G4251" s="798"/>
      <c r="J4251" s="778" t="str">
        <f aca="false">IF(I4251="","",H4251/I4251)</f>
        <v/>
      </c>
      <c r="K4251" s="798"/>
      <c r="P4251" s="798"/>
      <c r="Q4251" s="798"/>
      <c r="R4251" s="811"/>
    </row>
    <row r="4252" customFormat="false" ht="16.5" hidden="false" customHeight="true" outlineLevel="0" collapsed="false">
      <c r="A4252" s="747"/>
      <c r="B4252" s="798"/>
      <c r="D4252" s="798"/>
      <c r="E4252" s="798"/>
      <c r="F4252" s="798"/>
      <c r="G4252" s="798"/>
      <c r="J4252" s="778" t="str">
        <f aca="false">IF(I4252="","",H4252/I4252)</f>
        <v/>
      </c>
      <c r="K4252" s="798"/>
      <c r="P4252" s="798"/>
      <c r="Q4252" s="798"/>
      <c r="R4252" s="811"/>
    </row>
    <row r="4253" customFormat="false" ht="16.5" hidden="false" customHeight="true" outlineLevel="0" collapsed="false">
      <c r="A4253" s="747"/>
      <c r="B4253" s="798"/>
      <c r="D4253" s="798"/>
      <c r="E4253" s="798"/>
      <c r="F4253" s="798"/>
      <c r="G4253" s="798"/>
      <c r="J4253" s="778" t="str">
        <f aca="false">IF(I4253="","",H4253/I4253)</f>
        <v/>
      </c>
      <c r="K4253" s="798"/>
      <c r="P4253" s="798"/>
      <c r="Q4253" s="798"/>
      <c r="R4253" s="811"/>
    </row>
    <row r="4254" customFormat="false" ht="16.5" hidden="false" customHeight="true" outlineLevel="0" collapsed="false">
      <c r="A4254" s="747"/>
      <c r="B4254" s="798"/>
      <c r="D4254" s="798"/>
      <c r="E4254" s="798"/>
      <c r="F4254" s="798"/>
      <c r="G4254" s="798"/>
      <c r="J4254" s="778" t="str">
        <f aca="false">IF(I4254="","",H4254/I4254)</f>
        <v/>
      </c>
      <c r="K4254" s="798"/>
      <c r="P4254" s="798"/>
      <c r="Q4254" s="798"/>
      <c r="R4254" s="811"/>
    </row>
    <row r="4255" customFormat="false" ht="16.5" hidden="false" customHeight="true" outlineLevel="0" collapsed="false">
      <c r="A4255" s="747"/>
      <c r="B4255" s="798"/>
      <c r="D4255" s="798"/>
      <c r="E4255" s="798"/>
      <c r="F4255" s="798"/>
      <c r="G4255" s="798"/>
      <c r="J4255" s="778" t="str">
        <f aca="false">IF(I4255="","",H4255/I4255)</f>
        <v/>
      </c>
      <c r="K4255" s="798"/>
      <c r="P4255" s="798"/>
      <c r="Q4255" s="798"/>
      <c r="R4255" s="811"/>
    </row>
    <row r="4256" customFormat="false" ht="16.5" hidden="false" customHeight="true" outlineLevel="0" collapsed="false">
      <c r="A4256" s="747"/>
      <c r="B4256" s="798"/>
      <c r="D4256" s="798"/>
      <c r="E4256" s="798"/>
      <c r="F4256" s="798"/>
      <c r="G4256" s="798"/>
      <c r="J4256" s="778" t="str">
        <f aca="false">IF(I4256="","",H4256/I4256)</f>
        <v/>
      </c>
      <c r="K4256" s="798"/>
      <c r="P4256" s="798"/>
      <c r="Q4256" s="798"/>
      <c r="R4256" s="811"/>
    </row>
    <row r="4257" customFormat="false" ht="16.5" hidden="false" customHeight="true" outlineLevel="0" collapsed="false">
      <c r="A4257" s="747"/>
      <c r="B4257" s="798"/>
      <c r="D4257" s="798"/>
      <c r="E4257" s="798"/>
      <c r="F4257" s="798"/>
      <c r="G4257" s="798"/>
      <c r="J4257" s="778" t="str">
        <f aca="false">IF(I4257="","",H4257/I4257)</f>
        <v/>
      </c>
      <c r="K4257" s="798"/>
      <c r="P4257" s="798"/>
      <c r="Q4257" s="798"/>
      <c r="R4257" s="811"/>
    </row>
    <row r="4258" customFormat="false" ht="16.5" hidden="false" customHeight="true" outlineLevel="0" collapsed="false">
      <c r="A4258" s="747"/>
      <c r="B4258" s="798"/>
      <c r="D4258" s="798"/>
      <c r="E4258" s="798"/>
      <c r="F4258" s="798"/>
      <c r="G4258" s="798"/>
      <c r="J4258" s="778" t="str">
        <f aca="false">IF(I4258="","",H4258/I4258)</f>
        <v/>
      </c>
      <c r="K4258" s="798"/>
      <c r="P4258" s="798"/>
      <c r="Q4258" s="798"/>
      <c r="R4258" s="811"/>
    </row>
    <row r="4259" customFormat="false" ht="16.5" hidden="false" customHeight="true" outlineLevel="0" collapsed="false">
      <c r="A4259" s="747"/>
      <c r="B4259" s="798"/>
      <c r="D4259" s="798"/>
      <c r="E4259" s="798"/>
      <c r="F4259" s="798"/>
      <c r="G4259" s="798"/>
      <c r="J4259" s="778" t="str">
        <f aca="false">IF(I4259="","",H4259/I4259)</f>
        <v/>
      </c>
      <c r="K4259" s="798"/>
      <c r="P4259" s="798"/>
      <c r="Q4259" s="798"/>
      <c r="R4259" s="811"/>
    </row>
    <row r="4260" customFormat="false" ht="16.5" hidden="false" customHeight="true" outlineLevel="0" collapsed="false">
      <c r="A4260" s="747"/>
      <c r="B4260" s="798"/>
      <c r="D4260" s="798"/>
      <c r="E4260" s="798"/>
      <c r="F4260" s="798"/>
      <c r="G4260" s="798"/>
      <c r="J4260" s="778" t="str">
        <f aca="false">IF(I4260="","",H4260/I4260)</f>
        <v/>
      </c>
      <c r="K4260" s="798"/>
      <c r="P4260" s="798"/>
      <c r="Q4260" s="798"/>
      <c r="R4260" s="811"/>
    </row>
    <row r="4261" customFormat="false" ht="16.5" hidden="false" customHeight="true" outlineLevel="0" collapsed="false">
      <c r="A4261" s="747"/>
      <c r="B4261" s="798"/>
      <c r="D4261" s="798"/>
      <c r="E4261" s="798"/>
      <c r="F4261" s="798"/>
      <c r="G4261" s="798"/>
      <c r="J4261" s="778" t="str">
        <f aca="false">IF(I4261="","",H4261/I4261)</f>
        <v/>
      </c>
      <c r="K4261" s="798"/>
      <c r="P4261" s="798"/>
      <c r="Q4261" s="798"/>
      <c r="R4261" s="811"/>
    </row>
    <row r="4262" customFormat="false" ht="16.5" hidden="false" customHeight="true" outlineLevel="0" collapsed="false">
      <c r="A4262" s="747"/>
      <c r="B4262" s="798"/>
      <c r="D4262" s="798"/>
      <c r="E4262" s="798"/>
      <c r="F4262" s="798"/>
      <c r="G4262" s="798"/>
      <c r="J4262" s="778" t="str">
        <f aca="false">IF(I4262="","",H4262/I4262)</f>
        <v/>
      </c>
      <c r="K4262" s="798"/>
      <c r="P4262" s="798"/>
      <c r="Q4262" s="798"/>
      <c r="R4262" s="811"/>
    </row>
    <row r="4263" customFormat="false" ht="16.5" hidden="false" customHeight="true" outlineLevel="0" collapsed="false">
      <c r="A4263" s="747"/>
      <c r="B4263" s="798"/>
      <c r="D4263" s="798"/>
      <c r="E4263" s="798"/>
      <c r="F4263" s="798"/>
      <c r="G4263" s="798"/>
      <c r="J4263" s="778" t="str">
        <f aca="false">IF(I4263="","",H4263/I4263)</f>
        <v/>
      </c>
      <c r="K4263" s="798"/>
      <c r="P4263" s="798"/>
      <c r="Q4263" s="798"/>
      <c r="R4263" s="811"/>
    </row>
    <row r="4264" customFormat="false" ht="16.5" hidden="false" customHeight="true" outlineLevel="0" collapsed="false">
      <c r="A4264" s="747"/>
      <c r="B4264" s="798"/>
      <c r="D4264" s="798"/>
      <c r="E4264" s="798"/>
      <c r="F4264" s="798"/>
      <c r="G4264" s="798"/>
      <c r="J4264" s="778" t="str">
        <f aca="false">IF(I4264="","",H4264/I4264)</f>
        <v/>
      </c>
      <c r="K4264" s="798"/>
      <c r="P4264" s="798"/>
      <c r="Q4264" s="798"/>
      <c r="R4264" s="811"/>
    </row>
    <row r="4265" customFormat="false" ht="16.5" hidden="false" customHeight="true" outlineLevel="0" collapsed="false">
      <c r="A4265" s="747"/>
      <c r="B4265" s="798"/>
      <c r="D4265" s="798"/>
      <c r="E4265" s="798"/>
      <c r="F4265" s="798"/>
      <c r="G4265" s="798"/>
      <c r="J4265" s="778" t="str">
        <f aca="false">IF(I4265="","",H4265/I4265)</f>
        <v/>
      </c>
      <c r="K4265" s="798"/>
      <c r="P4265" s="798"/>
      <c r="Q4265" s="798"/>
      <c r="R4265" s="811"/>
    </row>
    <row r="4266" customFormat="false" ht="16.5" hidden="false" customHeight="true" outlineLevel="0" collapsed="false">
      <c r="A4266" s="747"/>
      <c r="B4266" s="798"/>
      <c r="D4266" s="798"/>
      <c r="E4266" s="798"/>
      <c r="F4266" s="798"/>
      <c r="G4266" s="798"/>
      <c r="J4266" s="778" t="str">
        <f aca="false">IF(I4266="","",H4266/I4266)</f>
        <v/>
      </c>
      <c r="K4266" s="798"/>
      <c r="P4266" s="798"/>
      <c r="Q4266" s="798"/>
      <c r="R4266" s="811"/>
    </row>
    <row r="4267" customFormat="false" ht="16.5" hidden="false" customHeight="true" outlineLevel="0" collapsed="false">
      <c r="A4267" s="747"/>
      <c r="B4267" s="798"/>
      <c r="D4267" s="798"/>
      <c r="E4267" s="798"/>
      <c r="F4267" s="798"/>
      <c r="G4267" s="798"/>
      <c r="J4267" s="778" t="str">
        <f aca="false">IF(I4267="","",H4267/I4267)</f>
        <v/>
      </c>
      <c r="K4267" s="798"/>
      <c r="P4267" s="798"/>
      <c r="Q4267" s="798"/>
      <c r="R4267" s="811"/>
    </row>
    <row r="4268" customFormat="false" ht="16.5" hidden="false" customHeight="true" outlineLevel="0" collapsed="false">
      <c r="A4268" s="747"/>
      <c r="B4268" s="798"/>
      <c r="D4268" s="798"/>
      <c r="E4268" s="798"/>
      <c r="F4268" s="798"/>
      <c r="G4268" s="798"/>
      <c r="J4268" s="778" t="str">
        <f aca="false">IF(I4268="","",H4268/I4268)</f>
        <v/>
      </c>
      <c r="K4268" s="798"/>
      <c r="P4268" s="798"/>
      <c r="Q4268" s="798"/>
      <c r="R4268" s="811"/>
    </row>
    <row r="4269" customFormat="false" ht="16.5" hidden="false" customHeight="true" outlineLevel="0" collapsed="false">
      <c r="A4269" s="747"/>
      <c r="B4269" s="798"/>
      <c r="D4269" s="798"/>
      <c r="E4269" s="798"/>
      <c r="F4269" s="798"/>
      <c r="G4269" s="798"/>
      <c r="J4269" s="778" t="str">
        <f aca="false">IF(I4269="","",H4269/I4269)</f>
        <v/>
      </c>
      <c r="K4269" s="798"/>
      <c r="P4269" s="798"/>
      <c r="Q4269" s="798"/>
      <c r="R4269" s="811"/>
    </row>
    <row r="4270" customFormat="false" ht="16.5" hidden="false" customHeight="true" outlineLevel="0" collapsed="false">
      <c r="A4270" s="747"/>
      <c r="B4270" s="798"/>
      <c r="D4270" s="798"/>
      <c r="E4270" s="798"/>
      <c r="F4270" s="798"/>
      <c r="G4270" s="798"/>
      <c r="J4270" s="778" t="str">
        <f aca="false">IF(I4270="","",H4270/I4270)</f>
        <v/>
      </c>
      <c r="K4270" s="798"/>
      <c r="P4270" s="798"/>
      <c r="Q4270" s="798"/>
      <c r="R4270" s="811"/>
    </row>
    <row r="4271" customFormat="false" ht="16.5" hidden="false" customHeight="true" outlineLevel="0" collapsed="false">
      <c r="A4271" s="747"/>
      <c r="B4271" s="798"/>
      <c r="D4271" s="798"/>
      <c r="E4271" s="798"/>
      <c r="F4271" s="798"/>
      <c r="G4271" s="798"/>
      <c r="J4271" s="778" t="str">
        <f aca="false">IF(I4271="","",H4271/I4271)</f>
        <v/>
      </c>
      <c r="K4271" s="798"/>
      <c r="P4271" s="798"/>
      <c r="Q4271" s="798"/>
      <c r="R4271" s="811"/>
    </row>
    <row r="4272" customFormat="false" ht="16.5" hidden="false" customHeight="true" outlineLevel="0" collapsed="false">
      <c r="A4272" s="747"/>
      <c r="B4272" s="798"/>
      <c r="D4272" s="798"/>
      <c r="E4272" s="798"/>
      <c r="F4272" s="798"/>
      <c r="G4272" s="798"/>
      <c r="K4272" s="798"/>
      <c r="P4272" s="798"/>
      <c r="Q4272" s="798"/>
      <c r="R4272" s="811"/>
    </row>
    <row r="4273" customFormat="false" ht="16.5" hidden="false" customHeight="true" outlineLevel="0" collapsed="false">
      <c r="A4273" s="747"/>
      <c r="B4273" s="798"/>
      <c r="D4273" s="798"/>
      <c r="E4273" s="798"/>
      <c r="F4273" s="798"/>
      <c r="G4273" s="798"/>
      <c r="K4273" s="798"/>
      <c r="P4273" s="798"/>
      <c r="Q4273" s="798"/>
      <c r="R4273" s="811"/>
    </row>
    <row r="4274" customFormat="false" ht="16.5" hidden="false" customHeight="true" outlineLevel="0" collapsed="false">
      <c r="A4274" s="747"/>
      <c r="B4274" s="798"/>
      <c r="D4274" s="798"/>
      <c r="E4274" s="798"/>
      <c r="F4274" s="798"/>
      <c r="G4274" s="798"/>
      <c r="K4274" s="798"/>
      <c r="P4274" s="798"/>
      <c r="Q4274" s="798"/>
      <c r="R4274" s="811"/>
    </row>
    <row r="4275" customFormat="false" ht="16.5" hidden="false" customHeight="true" outlineLevel="0" collapsed="false">
      <c r="A4275" s="747"/>
      <c r="B4275" s="798"/>
      <c r="D4275" s="798"/>
      <c r="E4275" s="798"/>
      <c r="F4275" s="798"/>
      <c r="G4275" s="798"/>
      <c r="K4275" s="798"/>
      <c r="P4275" s="798"/>
      <c r="Q4275" s="798"/>
      <c r="R4275" s="811"/>
    </row>
    <row r="4276" customFormat="false" ht="16.5" hidden="false" customHeight="true" outlineLevel="0" collapsed="false">
      <c r="A4276" s="747"/>
      <c r="B4276" s="798"/>
      <c r="D4276" s="798"/>
      <c r="E4276" s="798"/>
      <c r="F4276" s="798"/>
      <c r="G4276" s="798"/>
      <c r="K4276" s="798"/>
      <c r="P4276" s="798"/>
      <c r="Q4276" s="798"/>
      <c r="R4276" s="811"/>
    </row>
    <row r="4277" customFormat="false" ht="16.5" hidden="false" customHeight="true" outlineLevel="0" collapsed="false">
      <c r="A4277" s="747"/>
      <c r="B4277" s="798"/>
      <c r="D4277" s="798"/>
      <c r="E4277" s="798"/>
      <c r="F4277" s="798"/>
      <c r="G4277" s="798"/>
      <c r="K4277" s="798"/>
      <c r="P4277" s="798"/>
      <c r="Q4277" s="798"/>
      <c r="R4277" s="811"/>
    </row>
    <row r="4278" customFormat="false" ht="16.5" hidden="false" customHeight="true" outlineLevel="0" collapsed="false">
      <c r="A4278" s="747"/>
      <c r="B4278" s="798"/>
      <c r="D4278" s="798"/>
      <c r="E4278" s="798"/>
      <c r="F4278" s="798"/>
      <c r="G4278" s="798"/>
      <c r="K4278" s="798"/>
      <c r="P4278" s="798"/>
      <c r="Q4278" s="798"/>
      <c r="R4278" s="811"/>
    </row>
    <row r="4279" customFormat="false" ht="16.5" hidden="false" customHeight="true" outlineLevel="0" collapsed="false">
      <c r="A4279" s="747"/>
      <c r="B4279" s="798"/>
      <c r="D4279" s="798"/>
      <c r="E4279" s="798"/>
      <c r="F4279" s="798"/>
      <c r="G4279" s="798"/>
      <c r="K4279" s="798"/>
      <c r="P4279" s="798"/>
      <c r="Q4279" s="798"/>
      <c r="R4279" s="811"/>
    </row>
    <row r="4280" customFormat="false" ht="16.5" hidden="false" customHeight="true" outlineLevel="0" collapsed="false">
      <c r="A4280" s="747"/>
      <c r="B4280" s="798"/>
      <c r="D4280" s="798"/>
      <c r="E4280" s="798"/>
      <c r="F4280" s="798"/>
      <c r="G4280" s="798"/>
      <c r="K4280" s="798"/>
      <c r="P4280" s="798"/>
      <c r="Q4280" s="798"/>
      <c r="R4280" s="811"/>
    </row>
    <row r="4281" customFormat="false" ht="16.5" hidden="false" customHeight="true" outlineLevel="0" collapsed="false">
      <c r="A4281" s="747"/>
      <c r="B4281" s="798"/>
      <c r="D4281" s="798"/>
      <c r="E4281" s="798"/>
      <c r="F4281" s="798"/>
      <c r="G4281" s="798"/>
      <c r="K4281" s="798"/>
      <c r="P4281" s="798"/>
      <c r="Q4281" s="798"/>
      <c r="R4281" s="811"/>
    </row>
    <row r="4282" customFormat="false" ht="16.5" hidden="false" customHeight="true" outlineLevel="0" collapsed="false">
      <c r="A4282" s="747"/>
      <c r="B4282" s="798"/>
      <c r="D4282" s="798"/>
      <c r="E4282" s="798"/>
      <c r="F4282" s="798"/>
      <c r="G4282" s="798"/>
      <c r="K4282" s="798"/>
      <c r="P4282" s="798"/>
      <c r="Q4282" s="798"/>
      <c r="R4282" s="811"/>
    </row>
    <row r="4283" customFormat="false" ht="16.5" hidden="false" customHeight="true" outlineLevel="0" collapsed="false">
      <c r="A4283" s="747"/>
      <c r="B4283" s="798"/>
      <c r="D4283" s="798"/>
      <c r="E4283" s="798"/>
      <c r="F4283" s="798"/>
      <c r="G4283" s="798"/>
      <c r="K4283" s="798"/>
      <c r="P4283" s="798"/>
      <c r="Q4283" s="798"/>
      <c r="R4283" s="811"/>
    </row>
    <row r="4284" customFormat="false" ht="16.5" hidden="false" customHeight="true" outlineLevel="0" collapsed="false">
      <c r="A4284" s="747"/>
      <c r="B4284" s="798"/>
      <c r="D4284" s="798"/>
      <c r="E4284" s="798"/>
      <c r="F4284" s="798"/>
      <c r="G4284" s="798"/>
      <c r="K4284" s="798"/>
      <c r="P4284" s="798"/>
      <c r="Q4284" s="798"/>
      <c r="R4284" s="811"/>
    </row>
    <row r="4285" customFormat="false" ht="16.5" hidden="false" customHeight="true" outlineLevel="0" collapsed="false">
      <c r="A4285" s="747"/>
      <c r="B4285" s="798"/>
      <c r="D4285" s="798"/>
      <c r="E4285" s="798"/>
      <c r="F4285" s="798"/>
      <c r="G4285" s="798"/>
      <c r="K4285" s="798"/>
      <c r="P4285" s="798"/>
      <c r="Q4285" s="798"/>
      <c r="R4285" s="811"/>
    </row>
    <row r="4286" customFormat="false" ht="16.5" hidden="false" customHeight="true" outlineLevel="0" collapsed="false">
      <c r="A4286" s="747"/>
      <c r="B4286" s="798"/>
      <c r="D4286" s="798"/>
      <c r="E4286" s="798"/>
      <c r="F4286" s="798"/>
      <c r="G4286" s="798"/>
      <c r="K4286" s="798"/>
      <c r="P4286" s="798"/>
      <c r="Q4286" s="798"/>
      <c r="R4286" s="811"/>
    </row>
    <row r="4287" customFormat="false" ht="16.5" hidden="false" customHeight="true" outlineLevel="0" collapsed="false">
      <c r="A4287" s="747"/>
      <c r="B4287" s="798"/>
      <c r="D4287" s="798"/>
      <c r="E4287" s="798"/>
      <c r="F4287" s="798"/>
      <c r="G4287" s="798"/>
      <c r="K4287" s="798"/>
      <c r="P4287" s="798"/>
      <c r="Q4287" s="798"/>
      <c r="R4287" s="811"/>
    </row>
    <row r="4288" customFormat="false" ht="16.5" hidden="false" customHeight="true" outlineLevel="0" collapsed="false">
      <c r="A4288" s="747"/>
      <c r="B4288" s="798"/>
      <c r="D4288" s="798"/>
      <c r="E4288" s="798"/>
      <c r="F4288" s="798"/>
      <c r="G4288" s="798"/>
      <c r="K4288" s="798"/>
      <c r="P4288" s="798"/>
      <c r="Q4288" s="798"/>
      <c r="R4288" s="811"/>
    </row>
    <row r="4289" customFormat="false" ht="16.5" hidden="false" customHeight="true" outlineLevel="0" collapsed="false">
      <c r="A4289" s="747"/>
      <c r="B4289" s="798"/>
      <c r="D4289" s="798"/>
      <c r="E4289" s="798"/>
      <c r="F4289" s="798"/>
      <c r="G4289" s="798"/>
      <c r="K4289" s="798"/>
      <c r="P4289" s="798"/>
      <c r="Q4289" s="798"/>
      <c r="R4289" s="811"/>
    </row>
    <row r="4290" customFormat="false" ht="16.5" hidden="false" customHeight="true" outlineLevel="0" collapsed="false">
      <c r="A4290" s="747"/>
      <c r="B4290" s="798"/>
      <c r="D4290" s="798"/>
      <c r="E4290" s="798"/>
      <c r="F4290" s="798"/>
      <c r="G4290" s="798"/>
      <c r="K4290" s="798"/>
      <c r="P4290" s="798"/>
      <c r="Q4290" s="798"/>
      <c r="R4290" s="811"/>
    </row>
    <row r="4291" customFormat="false" ht="16.5" hidden="false" customHeight="true" outlineLevel="0" collapsed="false">
      <c r="A4291" s="747"/>
      <c r="B4291" s="798"/>
      <c r="D4291" s="798"/>
      <c r="E4291" s="798"/>
      <c r="F4291" s="798"/>
      <c r="G4291" s="798"/>
      <c r="K4291" s="798"/>
      <c r="P4291" s="798"/>
      <c r="Q4291" s="798"/>
      <c r="R4291" s="811"/>
    </row>
    <row r="4292" customFormat="false" ht="16.5" hidden="false" customHeight="true" outlineLevel="0" collapsed="false">
      <c r="A4292" s="747"/>
      <c r="B4292" s="798"/>
      <c r="D4292" s="798"/>
      <c r="E4292" s="798"/>
      <c r="F4292" s="798"/>
      <c r="G4292" s="798"/>
      <c r="K4292" s="798"/>
      <c r="P4292" s="798"/>
      <c r="Q4292" s="798"/>
      <c r="R4292" s="811"/>
    </row>
    <row r="4293" customFormat="false" ht="16.5" hidden="false" customHeight="true" outlineLevel="0" collapsed="false">
      <c r="A4293" s="747"/>
      <c r="B4293" s="798"/>
      <c r="D4293" s="798"/>
      <c r="E4293" s="798"/>
      <c r="F4293" s="798"/>
      <c r="G4293" s="798"/>
      <c r="K4293" s="798"/>
      <c r="P4293" s="798"/>
      <c r="Q4293" s="798"/>
      <c r="R4293" s="811"/>
    </row>
    <row r="4294" customFormat="false" ht="16.5" hidden="false" customHeight="true" outlineLevel="0" collapsed="false">
      <c r="A4294" s="747"/>
      <c r="B4294" s="798"/>
      <c r="D4294" s="798"/>
      <c r="E4294" s="798"/>
      <c r="F4294" s="798"/>
      <c r="G4294" s="798"/>
      <c r="K4294" s="798"/>
      <c r="P4294" s="798"/>
      <c r="Q4294" s="798"/>
      <c r="R4294" s="811"/>
    </row>
    <row r="4295" customFormat="false" ht="16.5" hidden="false" customHeight="true" outlineLevel="0" collapsed="false">
      <c r="A4295" s="747"/>
      <c r="B4295" s="798"/>
      <c r="D4295" s="798"/>
      <c r="E4295" s="798"/>
      <c r="F4295" s="798"/>
      <c r="G4295" s="798"/>
      <c r="K4295" s="798"/>
      <c r="P4295" s="798"/>
      <c r="Q4295" s="798"/>
      <c r="R4295" s="811"/>
    </row>
    <row r="4296" customFormat="false" ht="16.5" hidden="false" customHeight="true" outlineLevel="0" collapsed="false">
      <c r="A4296" s="747"/>
      <c r="B4296" s="798"/>
      <c r="D4296" s="798"/>
      <c r="E4296" s="798"/>
      <c r="F4296" s="798"/>
      <c r="G4296" s="798"/>
      <c r="K4296" s="798"/>
      <c r="P4296" s="798"/>
      <c r="Q4296" s="798"/>
      <c r="R4296" s="811"/>
    </row>
    <row r="4297" customFormat="false" ht="16.5" hidden="false" customHeight="true" outlineLevel="0" collapsed="false">
      <c r="A4297" s="747"/>
      <c r="B4297" s="798"/>
      <c r="D4297" s="798"/>
      <c r="E4297" s="798"/>
      <c r="F4297" s="798"/>
      <c r="G4297" s="798"/>
      <c r="K4297" s="798"/>
      <c r="P4297" s="798"/>
      <c r="Q4297" s="798"/>
      <c r="R4297" s="811"/>
    </row>
    <row r="4298" customFormat="false" ht="16.5" hidden="false" customHeight="true" outlineLevel="0" collapsed="false">
      <c r="A4298" s="747"/>
      <c r="B4298" s="798"/>
      <c r="D4298" s="798"/>
      <c r="E4298" s="798"/>
      <c r="F4298" s="798"/>
      <c r="G4298" s="798"/>
      <c r="K4298" s="798"/>
      <c r="P4298" s="798"/>
      <c r="Q4298" s="798"/>
      <c r="R4298" s="811"/>
    </row>
    <row r="4299" customFormat="false" ht="16.5" hidden="false" customHeight="true" outlineLevel="0" collapsed="false">
      <c r="A4299" s="747"/>
      <c r="B4299" s="798"/>
      <c r="D4299" s="798"/>
      <c r="E4299" s="798"/>
      <c r="F4299" s="798"/>
      <c r="G4299" s="798"/>
      <c r="K4299" s="798"/>
      <c r="P4299" s="798"/>
      <c r="Q4299" s="798"/>
      <c r="R4299" s="811"/>
    </row>
    <row r="4300" customFormat="false" ht="16.5" hidden="false" customHeight="true" outlineLevel="0" collapsed="false">
      <c r="A4300" s="747"/>
      <c r="B4300" s="798"/>
      <c r="D4300" s="798"/>
      <c r="E4300" s="798"/>
      <c r="F4300" s="798"/>
      <c r="G4300" s="798"/>
      <c r="K4300" s="798"/>
      <c r="P4300" s="798"/>
      <c r="Q4300" s="798"/>
      <c r="R4300" s="811"/>
    </row>
    <row r="4301" customFormat="false" ht="16.5" hidden="false" customHeight="true" outlineLevel="0" collapsed="false">
      <c r="A4301" s="747"/>
      <c r="B4301" s="798"/>
      <c r="D4301" s="798"/>
      <c r="E4301" s="798"/>
      <c r="F4301" s="798"/>
      <c r="G4301" s="798"/>
      <c r="K4301" s="798"/>
      <c r="P4301" s="798"/>
      <c r="Q4301" s="798"/>
      <c r="R4301" s="811"/>
    </row>
    <row r="4302" customFormat="false" ht="16.5" hidden="false" customHeight="true" outlineLevel="0" collapsed="false">
      <c r="A4302" s="747"/>
      <c r="B4302" s="798"/>
      <c r="D4302" s="798"/>
      <c r="E4302" s="798"/>
      <c r="F4302" s="798"/>
      <c r="G4302" s="798"/>
      <c r="K4302" s="798"/>
      <c r="P4302" s="798"/>
      <c r="Q4302" s="798"/>
      <c r="R4302" s="811"/>
    </row>
    <row r="4303" customFormat="false" ht="16.5" hidden="false" customHeight="true" outlineLevel="0" collapsed="false">
      <c r="A4303" s="747"/>
      <c r="B4303" s="798"/>
      <c r="D4303" s="798"/>
      <c r="E4303" s="798"/>
      <c r="F4303" s="798"/>
      <c r="G4303" s="798"/>
      <c r="K4303" s="798"/>
      <c r="P4303" s="798"/>
      <c r="Q4303" s="798"/>
      <c r="R4303" s="811"/>
    </row>
    <row r="4304" customFormat="false" ht="16.5" hidden="false" customHeight="true" outlineLevel="0" collapsed="false">
      <c r="A4304" s="747"/>
      <c r="B4304" s="798"/>
      <c r="D4304" s="798"/>
      <c r="E4304" s="798"/>
      <c r="F4304" s="798"/>
      <c r="G4304" s="798"/>
      <c r="K4304" s="798"/>
      <c r="P4304" s="798"/>
      <c r="Q4304" s="798"/>
      <c r="R4304" s="811"/>
    </row>
    <row r="4305" customFormat="false" ht="16.5" hidden="false" customHeight="true" outlineLevel="0" collapsed="false">
      <c r="A4305" s="747"/>
      <c r="B4305" s="798"/>
      <c r="D4305" s="798"/>
      <c r="E4305" s="798"/>
      <c r="F4305" s="798"/>
      <c r="G4305" s="798"/>
      <c r="K4305" s="798"/>
      <c r="P4305" s="798"/>
      <c r="Q4305" s="798"/>
      <c r="R4305" s="811"/>
    </row>
    <row r="4306" customFormat="false" ht="16.5" hidden="false" customHeight="true" outlineLevel="0" collapsed="false">
      <c r="A4306" s="747"/>
      <c r="B4306" s="798"/>
      <c r="D4306" s="798"/>
      <c r="E4306" s="798"/>
      <c r="F4306" s="798"/>
      <c r="G4306" s="798"/>
      <c r="K4306" s="798"/>
      <c r="P4306" s="798"/>
      <c r="Q4306" s="798"/>
      <c r="R4306" s="811"/>
    </row>
    <row r="4307" customFormat="false" ht="16.5" hidden="false" customHeight="true" outlineLevel="0" collapsed="false">
      <c r="A4307" s="747"/>
      <c r="B4307" s="798"/>
      <c r="D4307" s="798"/>
      <c r="E4307" s="798"/>
      <c r="F4307" s="798"/>
      <c r="G4307" s="798"/>
      <c r="K4307" s="798"/>
      <c r="P4307" s="798"/>
      <c r="Q4307" s="798"/>
      <c r="R4307" s="811"/>
    </row>
    <row r="4308" customFormat="false" ht="16.5" hidden="false" customHeight="true" outlineLevel="0" collapsed="false">
      <c r="A4308" s="747"/>
      <c r="B4308" s="798"/>
      <c r="D4308" s="798"/>
      <c r="E4308" s="798"/>
      <c r="F4308" s="798"/>
      <c r="G4308" s="798"/>
      <c r="K4308" s="798"/>
      <c r="P4308" s="798"/>
      <c r="Q4308" s="798"/>
      <c r="R4308" s="811"/>
    </row>
    <row r="4309" customFormat="false" ht="16.5" hidden="false" customHeight="true" outlineLevel="0" collapsed="false">
      <c r="A4309" s="747"/>
      <c r="B4309" s="798"/>
      <c r="D4309" s="798"/>
      <c r="E4309" s="798"/>
      <c r="F4309" s="798"/>
      <c r="G4309" s="798"/>
      <c r="K4309" s="798"/>
      <c r="P4309" s="798"/>
      <c r="Q4309" s="798"/>
      <c r="R4309" s="811"/>
    </row>
    <row r="4310" customFormat="false" ht="16.5" hidden="false" customHeight="true" outlineLevel="0" collapsed="false">
      <c r="A4310" s="747"/>
      <c r="B4310" s="798"/>
      <c r="D4310" s="798"/>
      <c r="E4310" s="798"/>
      <c r="F4310" s="798"/>
      <c r="G4310" s="798"/>
      <c r="K4310" s="798"/>
      <c r="P4310" s="798"/>
      <c r="Q4310" s="798"/>
      <c r="R4310" s="811"/>
    </row>
    <row r="4311" customFormat="false" ht="16.5" hidden="false" customHeight="true" outlineLevel="0" collapsed="false">
      <c r="A4311" s="747"/>
      <c r="B4311" s="798"/>
      <c r="D4311" s="798"/>
      <c r="E4311" s="798"/>
      <c r="F4311" s="798"/>
      <c r="G4311" s="798"/>
      <c r="K4311" s="798"/>
      <c r="P4311" s="798"/>
      <c r="Q4311" s="798"/>
      <c r="R4311" s="811"/>
    </row>
    <row r="4312" customFormat="false" ht="16.5" hidden="false" customHeight="true" outlineLevel="0" collapsed="false">
      <c r="A4312" s="747"/>
      <c r="B4312" s="798"/>
      <c r="D4312" s="798"/>
      <c r="E4312" s="798"/>
      <c r="F4312" s="798"/>
      <c r="G4312" s="798"/>
      <c r="K4312" s="798"/>
      <c r="P4312" s="798"/>
      <c r="Q4312" s="798"/>
      <c r="R4312" s="811"/>
    </row>
    <row r="4313" customFormat="false" ht="16.5" hidden="false" customHeight="true" outlineLevel="0" collapsed="false">
      <c r="A4313" s="747"/>
      <c r="B4313" s="798"/>
      <c r="D4313" s="798"/>
      <c r="E4313" s="798"/>
      <c r="F4313" s="798"/>
      <c r="G4313" s="798"/>
      <c r="K4313" s="798"/>
      <c r="P4313" s="798"/>
      <c r="Q4313" s="798"/>
      <c r="R4313" s="811"/>
    </row>
    <row r="4314" customFormat="false" ht="16.5" hidden="false" customHeight="true" outlineLevel="0" collapsed="false">
      <c r="A4314" s="747"/>
      <c r="B4314" s="798"/>
      <c r="D4314" s="798"/>
      <c r="E4314" s="798"/>
      <c r="F4314" s="798"/>
      <c r="G4314" s="798"/>
      <c r="K4314" s="798"/>
      <c r="P4314" s="798"/>
      <c r="Q4314" s="798"/>
      <c r="R4314" s="811"/>
    </row>
    <row r="4315" customFormat="false" ht="16.5" hidden="false" customHeight="true" outlineLevel="0" collapsed="false">
      <c r="A4315" s="747"/>
      <c r="B4315" s="798"/>
      <c r="D4315" s="798"/>
      <c r="E4315" s="798"/>
      <c r="F4315" s="798"/>
      <c r="G4315" s="798"/>
      <c r="K4315" s="798"/>
      <c r="P4315" s="798"/>
      <c r="Q4315" s="798"/>
      <c r="R4315" s="811"/>
    </row>
    <row r="4316" customFormat="false" ht="16.5" hidden="false" customHeight="true" outlineLevel="0" collapsed="false">
      <c r="A4316" s="747"/>
      <c r="B4316" s="798"/>
      <c r="D4316" s="798"/>
      <c r="E4316" s="798"/>
      <c r="F4316" s="798"/>
      <c r="G4316" s="798"/>
      <c r="K4316" s="798"/>
      <c r="P4316" s="798"/>
      <c r="Q4316" s="798"/>
      <c r="R4316" s="811"/>
    </row>
    <row r="4317" customFormat="false" ht="16.5" hidden="false" customHeight="true" outlineLevel="0" collapsed="false">
      <c r="A4317" s="747"/>
      <c r="B4317" s="798"/>
      <c r="D4317" s="798"/>
      <c r="E4317" s="798"/>
      <c r="F4317" s="798"/>
      <c r="G4317" s="798"/>
      <c r="K4317" s="798"/>
      <c r="P4317" s="798"/>
      <c r="Q4317" s="798"/>
      <c r="R4317" s="811"/>
    </row>
    <row r="4318" customFormat="false" ht="16.5" hidden="false" customHeight="true" outlineLevel="0" collapsed="false">
      <c r="A4318" s="747"/>
      <c r="B4318" s="798"/>
      <c r="D4318" s="798"/>
      <c r="E4318" s="798"/>
      <c r="F4318" s="798"/>
      <c r="G4318" s="798"/>
      <c r="K4318" s="798"/>
      <c r="P4318" s="798"/>
      <c r="Q4318" s="798"/>
      <c r="R4318" s="811"/>
    </row>
    <row r="4319" customFormat="false" ht="16.5" hidden="false" customHeight="true" outlineLevel="0" collapsed="false">
      <c r="A4319" s="747"/>
      <c r="B4319" s="798"/>
      <c r="D4319" s="798"/>
      <c r="E4319" s="798"/>
      <c r="F4319" s="798"/>
      <c r="G4319" s="798"/>
      <c r="K4319" s="798"/>
      <c r="P4319" s="798"/>
      <c r="Q4319" s="798"/>
      <c r="R4319" s="811"/>
    </row>
    <row r="4320" customFormat="false" ht="16.5" hidden="false" customHeight="true" outlineLevel="0" collapsed="false">
      <c r="A4320" s="747"/>
      <c r="B4320" s="798"/>
      <c r="D4320" s="798"/>
      <c r="E4320" s="798"/>
      <c r="F4320" s="798"/>
      <c r="G4320" s="798"/>
      <c r="K4320" s="798"/>
      <c r="P4320" s="798"/>
      <c r="Q4320" s="798"/>
      <c r="R4320" s="811"/>
    </row>
    <row r="4321" customFormat="false" ht="16.5" hidden="false" customHeight="true" outlineLevel="0" collapsed="false">
      <c r="A4321" s="747"/>
      <c r="B4321" s="798"/>
      <c r="D4321" s="798"/>
      <c r="E4321" s="798"/>
      <c r="F4321" s="798"/>
      <c r="G4321" s="798"/>
      <c r="K4321" s="798"/>
      <c r="P4321" s="798"/>
      <c r="Q4321" s="798"/>
      <c r="R4321" s="811"/>
    </row>
    <row r="4322" customFormat="false" ht="16.5" hidden="false" customHeight="true" outlineLevel="0" collapsed="false">
      <c r="A4322" s="747"/>
      <c r="B4322" s="798"/>
      <c r="D4322" s="798"/>
      <c r="E4322" s="798"/>
      <c r="F4322" s="798"/>
      <c r="G4322" s="798"/>
      <c r="K4322" s="798"/>
      <c r="P4322" s="798"/>
      <c r="Q4322" s="798"/>
      <c r="R4322" s="811"/>
    </row>
    <row r="4323" customFormat="false" ht="16.5" hidden="false" customHeight="true" outlineLevel="0" collapsed="false">
      <c r="A4323" s="747"/>
      <c r="B4323" s="798"/>
      <c r="D4323" s="798"/>
      <c r="E4323" s="798"/>
      <c r="F4323" s="798"/>
      <c r="G4323" s="798"/>
      <c r="K4323" s="798"/>
      <c r="P4323" s="798"/>
      <c r="Q4323" s="798"/>
      <c r="R4323" s="811"/>
    </row>
    <row r="4324" customFormat="false" ht="16.5" hidden="false" customHeight="true" outlineLevel="0" collapsed="false">
      <c r="A4324" s="747"/>
      <c r="B4324" s="798"/>
      <c r="D4324" s="798"/>
      <c r="E4324" s="798"/>
      <c r="F4324" s="798"/>
      <c r="G4324" s="798"/>
      <c r="K4324" s="798"/>
      <c r="P4324" s="798"/>
      <c r="Q4324" s="798"/>
      <c r="R4324" s="811"/>
    </row>
    <row r="4325" customFormat="false" ht="16.5" hidden="false" customHeight="true" outlineLevel="0" collapsed="false">
      <c r="A4325" s="747"/>
      <c r="B4325" s="798"/>
      <c r="D4325" s="798"/>
      <c r="E4325" s="798"/>
      <c r="F4325" s="798"/>
      <c r="G4325" s="798"/>
      <c r="K4325" s="798"/>
      <c r="P4325" s="798"/>
      <c r="Q4325" s="798"/>
      <c r="R4325" s="811"/>
    </row>
    <row r="4326" customFormat="false" ht="16.5" hidden="false" customHeight="true" outlineLevel="0" collapsed="false">
      <c r="A4326" s="747"/>
      <c r="B4326" s="798"/>
      <c r="D4326" s="798"/>
      <c r="E4326" s="798"/>
      <c r="F4326" s="798"/>
      <c r="G4326" s="798"/>
      <c r="K4326" s="798"/>
      <c r="P4326" s="798"/>
      <c r="Q4326" s="798"/>
      <c r="R4326" s="811"/>
    </row>
    <row r="4327" customFormat="false" ht="16.5" hidden="false" customHeight="true" outlineLevel="0" collapsed="false">
      <c r="A4327" s="747"/>
      <c r="B4327" s="798"/>
      <c r="D4327" s="798"/>
      <c r="E4327" s="798"/>
      <c r="F4327" s="798"/>
      <c r="G4327" s="798"/>
      <c r="K4327" s="798"/>
      <c r="P4327" s="798"/>
      <c r="Q4327" s="798"/>
      <c r="R4327" s="811"/>
    </row>
    <row r="4328" customFormat="false" ht="16.5" hidden="false" customHeight="true" outlineLevel="0" collapsed="false">
      <c r="A4328" s="747"/>
      <c r="B4328" s="798"/>
      <c r="D4328" s="798"/>
      <c r="E4328" s="798"/>
      <c r="F4328" s="798"/>
      <c r="G4328" s="798"/>
      <c r="K4328" s="798"/>
      <c r="P4328" s="798"/>
      <c r="Q4328" s="798"/>
      <c r="R4328" s="811"/>
    </row>
    <row r="4329" customFormat="false" ht="16.5" hidden="false" customHeight="true" outlineLevel="0" collapsed="false">
      <c r="A4329" s="747"/>
      <c r="B4329" s="798"/>
      <c r="D4329" s="798"/>
      <c r="E4329" s="798"/>
      <c r="F4329" s="798"/>
      <c r="G4329" s="798"/>
      <c r="K4329" s="798"/>
      <c r="P4329" s="798"/>
      <c r="Q4329" s="798"/>
      <c r="R4329" s="811"/>
    </row>
    <row r="4330" customFormat="false" ht="16.5" hidden="false" customHeight="true" outlineLevel="0" collapsed="false">
      <c r="A4330" s="747"/>
      <c r="B4330" s="798"/>
      <c r="D4330" s="798"/>
      <c r="E4330" s="798"/>
      <c r="F4330" s="798"/>
      <c r="G4330" s="798"/>
      <c r="K4330" s="798"/>
      <c r="P4330" s="798"/>
      <c r="Q4330" s="798"/>
      <c r="R4330" s="811"/>
    </row>
    <row r="4331" customFormat="false" ht="16.5" hidden="false" customHeight="true" outlineLevel="0" collapsed="false">
      <c r="A4331" s="747"/>
      <c r="B4331" s="798"/>
      <c r="D4331" s="798"/>
      <c r="E4331" s="798"/>
      <c r="F4331" s="798"/>
      <c r="G4331" s="798"/>
      <c r="K4331" s="798"/>
      <c r="P4331" s="798"/>
      <c r="Q4331" s="798"/>
      <c r="R4331" s="811"/>
    </row>
    <row r="4332" customFormat="false" ht="16.5" hidden="false" customHeight="true" outlineLevel="0" collapsed="false">
      <c r="A4332" s="747"/>
      <c r="B4332" s="798"/>
      <c r="D4332" s="798"/>
      <c r="E4332" s="798"/>
      <c r="F4332" s="798"/>
      <c r="G4332" s="798"/>
      <c r="K4332" s="798"/>
      <c r="P4332" s="798"/>
      <c r="Q4332" s="798"/>
      <c r="R4332" s="811"/>
    </row>
    <row r="4333" customFormat="false" ht="16.5" hidden="false" customHeight="true" outlineLevel="0" collapsed="false">
      <c r="A4333" s="747"/>
      <c r="B4333" s="798"/>
      <c r="D4333" s="798"/>
      <c r="E4333" s="798"/>
      <c r="F4333" s="798"/>
      <c r="G4333" s="798"/>
      <c r="K4333" s="798"/>
      <c r="P4333" s="798"/>
      <c r="Q4333" s="798"/>
      <c r="R4333" s="811"/>
    </row>
    <row r="4334" customFormat="false" ht="16.5" hidden="false" customHeight="true" outlineLevel="0" collapsed="false">
      <c r="A4334" s="747"/>
      <c r="B4334" s="798"/>
      <c r="D4334" s="798"/>
      <c r="E4334" s="798"/>
      <c r="F4334" s="798"/>
      <c r="G4334" s="798"/>
      <c r="K4334" s="798"/>
      <c r="P4334" s="798"/>
      <c r="Q4334" s="798"/>
      <c r="R4334" s="811"/>
    </row>
    <row r="4335" customFormat="false" ht="16.5" hidden="false" customHeight="true" outlineLevel="0" collapsed="false">
      <c r="A4335" s="747"/>
      <c r="B4335" s="798"/>
      <c r="D4335" s="798"/>
      <c r="E4335" s="798"/>
      <c r="F4335" s="798"/>
      <c r="G4335" s="798"/>
      <c r="K4335" s="798"/>
      <c r="P4335" s="798"/>
      <c r="Q4335" s="798"/>
      <c r="R4335" s="811"/>
    </row>
    <row r="4336" customFormat="false" ht="16.5" hidden="false" customHeight="true" outlineLevel="0" collapsed="false">
      <c r="A4336" s="747"/>
      <c r="B4336" s="798"/>
      <c r="D4336" s="798"/>
      <c r="E4336" s="798"/>
      <c r="F4336" s="798"/>
      <c r="G4336" s="798"/>
      <c r="K4336" s="798"/>
      <c r="P4336" s="798"/>
      <c r="Q4336" s="798"/>
      <c r="R4336" s="811"/>
    </row>
    <row r="4337" customFormat="false" ht="16.5" hidden="false" customHeight="true" outlineLevel="0" collapsed="false">
      <c r="A4337" s="747"/>
      <c r="B4337" s="798"/>
      <c r="D4337" s="798"/>
      <c r="E4337" s="798"/>
      <c r="F4337" s="798"/>
      <c r="G4337" s="798"/>
      <c r="K4337" s="798"/>
      <c r="P4337" s="798"/>
      <c r="Q4337" s="798"/>
      <c r="R4337" s="811"/>
    </row>
    <row r="4338" customFormat="false" ht="16.5" hidden="false" customHeight="true" outlineLevel="0" collapsed="false">
      <c r="A4338" s="747"/>
      <c r="B4338" s="798"/>
      <c r="D4338" s="798"/>
      <c r="E4338" s="798"/>
      <c r="F4338" s="798"/>
      <c r="G4338" s="798"/>
      <c r="K4338" s="798"/>
      <c r="P4338" s="798"/>
      <c r="Q4338" s="798"/>
      <c r="R4338" s="811"/>
    </row>
    <row r="4339" customFormat="false" ht="16.5" hidden="false" customHeight="true" outlineLevel="0" collapsed="false">
      <c r="A4339" s="747"/>
      <c r="B4339" s="798"/>
      <c r="D4339" s="798"/>
      <c r="E4339" s="798"/>
      <c r="F4339" s="798"/>
      <c r="G4339" s="798"/>
      <c r="K4339" s="798"/>
      <c r="P4339" s="798"/>
      <c r="Q4339" s="798"/>
      <c r="R4339" s="811"/>
    </row>
    <row r="4340" customFormat="false" ht="16.5" hidden="false" customHeight="true" outlineLevel="0" collapsed="false">
      <c r="A4340" s="747"/>
      <c r="B4340" s="798"/>
      <c r="D4340" s="798"/>
      <c r="E4340" s="798"/>
      <c r="F4340" s="798"/>
      <c r="G4340" s="798"/>
      <c r="K4340" s="798"/>
      <c r="P4340" s="798"/>
      <c r="Q4340" s="798"/>
      <c r="R4340" s="811"/>
    </row>
    <row r="4341" customFormat="false" ht="16.5" hidden="false" customHeight="true" outlineLevel="0" collapsed="false">
      <c r="A4341" s="747"/>
      <c r="B4341" s="798"/>
      <c r="D4341" s="798"/>
      <c r="E4341" s="798"/>
      <c r="F4341" s="798"/>
      <c r="G4341" s="798"/>
      <c r="K4341" s="798"/>
      <c r="P4341" s="798"/>
      <c r="Q4341" s="798"/>
      <c r="R4341" s="811"/>
    </row>
    <row r="4342" customFormat="false" ht="16.5" hidden="false" customHeight="true" outlineLevel="0" collapsed="false">
      <c r="A4342" s="747"/>
      <c r="B4342" s="798"/>
      <c r="D4342" s="798"/>
      <c r="E4342" s="798"/>
      <c r="F4342" s="798"/>
      <c r="G4342" s="798"/>
      <c r="K4342" s="798"/>
      <c r="P4342" s="798"/>
      <c r="Q4342" s="798"/>
      <c r="R4342" s="811"/>
    </row>
    <row r="4343" customFormat="false" ht="16.5" hidden="false" customHeight="true" outlineLevel="0" collapsed="false">
      <c r="A4343" s="747"/>
      <c r="B4343" s="798"/>
      <c r="D4343" s="798"/>
      <c r="E4343" s="798"/>
      <c r="F4343" s="798"/>
      <c r="G4343" s="798"/>
      <c r="K4343" s="798"/>
      <c r="P4343" s="798"/>
      <c r="Q4343" s="798"/>
      <c r="R4343" s="811"/>
    </row>
    <row r="4344" customFormat="false" ht="16.5" hidden="false" customHeight="true" outlineLevel="0" collapsed="false">
      <c r="A4344" s="747"/>
      <c r="B4344" s="798"/>
      <c r="D4344" s="798"/>
      <c r="E4344" s="798"/>
      <c r="F4344" s="798"/>
      <c r="G4344" s="798"/>
      <c r="K4344" s="798"/>
      <c r="P4344" s="798"/>
      <c r="Q4344" s="798"/>
      <c r="R4344" s="811"/>
    </row>
    <row r="4345" customFormat="false" ht="16.5" hidden="false" customHeight="true" outlineLevel="0" collapsed="false">
      <c r="A4345" s="747"/>
      <c r="B4345" s="798"/>
      <c r="D4345" s="798"/>
      <c r="E4345" s="798"/>
      <c r="F4345" s="798"/>
      <c r="G4345" s="798"/>
      <c r="K4345" s="798"/>
      <c r="P4345" s="798"/>
      <c r="Q4345" s="798"/>
      <c r="R4345" s="811"/>
    </row>
    <row r="4346" customFormat="false" ht="16.5" hidden="false" customHeight="true" outlineLevel="0" collapsed="false">
      <c r="A4346" s="747"/>
      <c r="B4346" s="798"/>
      <c r="D4346" s="798"/>
      <c r="E4346" s="798"/>
      <c r="F4346" s="798"/>
      <c r="G4346" s="798"/>
      <c r="K4346" s="798"/>
      <c r="P4346" s="798"/>
      <c r="Q4346" s="798"/>
      <c r="R4346" s="811"/>
    </row>
    <row r="4347" customFormat="false" ht="16.5" hidden="false" customHeight="true" outlineLevel="0" collapsed="false">
      <c r="A4347" s="747"/>
      <c r="B4347" s="798"/>
      <c r="D4347" s="798"/>
      <c r="E4347" s="798"/>
      <c r="F4347" s="798"/>
      <c r="G4347" s="798"/>
      <c r="K4347" s="798"/>
      <c r="P4347" s="798"/>
      <c r="Q4347" s="798"/>
      <c r="R4347" s="811"/>
    </row>
    <row r="4348" customFormat="false" ht="16.5" hidden="false" customHeight="true" outlineLevel="0" collapsed="false">
      <c r="A4348" s="747"/>
      <c r="B4348" s="798"/>
      <c r="D4348" s="798"/>
      <c r="E4348" s="798"/>
      <c r="F4348" s="798"/>
      <c r="G4348" s="798"/>
      <c r="K4348" s="798"/>
      <c r="P4348" s="798"/>
      <c r="Q4348" s="798"/>
      <c r="R4348" s="811"/>
    </row>
    <row r="4349" customFormat="false" ht="16.5" hidden="false" customHeight="true" outlineLevel="0" collapsed="false">
      <c r="A4349" s="747"/>
      <c r="B4349" s="798"/>
      <c r="D4349" s="798"/>
      <c r="E4349" s="798"/>
      <c r="F4349" s="798"/>
      <c r="G4349" s="798"/>
      <c r="K4349" s="798"/>
      <c r="P4349" s="798"/>
      <c r="Q4349" s="798"/>
      <c r="R4349" s="811"/>
    </row>
    <row r="4350" customFormat="false" ht="16.5" hidden="false" customHeight="true" outlineLevel="0" collapsed="false">
      <c r="A4350" s="747"/>
      <c r="B4350" s="798"/>
      <c r="D4350" s="798"/>
      <c r="E4350" s="798"/>
      <c r="F4350" s="798"/>
      <c r="G4350" s="798"/>
      <c r="K4350" s="798"/>
      <c r="P4350" s="798"/>
      <c r="Q4350" s="798"/>
      <c r="R4350" s="811"/>
    </row>
    <row r="4351" customFormat="false" ht="16.5" hidden="false" customHeight="true" outlineLevel="0" collapsed="false">
      <c r="A4351" s="747"/>
      <c r="B4351" s="798"/>
      <c r="D4351" s="798"/>
      <c r="E4351" s="798"/>
      <c r="F4351" s="798"/>
      <c r="G4351" s="798"/>
      <c r="K4351" s="798"/>
      <c r="P4351" s="798"/>
      <c r="Q4351" s="798"/>
      <c r="R4351" s="811"/>
    </row>
    <row r="4352" customFormat="false" ht="16.5" hidden="false" customHeight="true" outlineLevel="0" collapsed="false">
      <c r="A4352" s="747"/>
      <c r="B4352" s="798"/>
      <c r="D4352" s="798"/>
      <c r="E4352" s="798"/>
      <c r="F4352" s="798"/>
      <c r="G4352" s="798"/>
      <c r="K4352" s="798"/>
      <c r="P4352" s="798"/>
      <c r="Q4352" s="798"/>
      <c r="R4352" s="811"/>
    </row>
    <row r="4353" customFormat="false" ht="16.5" hidden="false" customHeight="true" outlineLevel="0" collapsed="false">
      <c r="A4353" s="747"/>
      <c r="B4353" s="798"/>
      <c r="D4353" s="798"/>
      <c r="E4353" s="798"/>
      <c r="F4353" s="798"/>
      <c r="G4353" s="798"/>
      <c r="K4353" s="798"/>
      <c r="P4353" s="798"/>
      <c r="Q4353" s="798"/>
      <c r="R4353" s="811"/>
    </row>
    <row r="4354" customFormat="false" ht="16.5" hidden="false" customHeight="true" outlineLevel="0" collapsed="false">
      <c r="A4354" s="747"/>
      <c r="B4354" s="798"/>
      <c r="D4354" s="798"/>
      <c r="E4354" s="798"/>
      <c r="F4354" s="798"/>
      <c r="G4354" s="798"/>
      <c r="K4354" s="798"/>
      <c r="P4354" s="798"/>
      <c r="Q4354" s="798"/>
      <c r="R4354" s="811"/>
    </row>
    <row r="4355" customFormat="false" ht="16.5" hidden="false" customHeight="true" outlineLevel="0" collapsed="false">
      <c r="A4355" s="747"/>
      <c r="B4355" s="798"/>
      <c r="D4355" s="798"/>
      <c r="E4355" s="798"/>
      <c r="F4355" s="798"/>
      <c r="G4355" s="798"/>
      <c r="K4355" s="798"/>
      <c r="P4355" s="798"/>
      <c r="Q4355" s="798"/>
      <c r="R4355" s="811"/>
    </row>
    <row r="4356" customFormat="false" ht="16.5" hidden="false" customHeight="true" outlineLevel="0" collapsed="false">
      <c r="A4356" s="747"/>
      <c r="B4356" s="798"/>
      <c r="D4356" s="798"/>
      <c r="E4356" s="798"/>
      <c r="F4356" s="798"/>
      <c r="G4356" s="798"/>
      <c r="K4356" s="798"/>
      <c r="P4356" s="798"/>
      <c r="Q4356" s="798"/>
      <c r="R4356" s="811"/>
    </row>
    <row r="4357" customFormat="false" ht="16.5" hidden="false" customHeight="true" outlineLevel="0" collapsed="false">
      <c r="A4357" s="747"/>
      <c r="B4357" s="798"/>
      <c r="D4357" s="798"/>
      <c r="E4357" s="798"/>
      <c r="F4357" s="798"/>
      <c r="G4357" s="798"/>
      <c r="K4357" s="798"/>
      <c r="P4357" s="798"/>
      <c r="Q4357" s="798"/>
      <c r="R4357" s="811"/>
    </row>
    <row r="4358" customFormat="false" ht="16.5" hidden="false" customHeight="true" outlineLevel="0" collapsed="false">
      <c r="A4358" s="747"/>
      <c r="B4358" s="798"/>
      <c r="D4358" s="798"/>
      <c r="E4358" s="798"/>
      <c r="F4358" s="798"/>
      <c r="G4358" s="798"/>
      <c r="K4358" s="798"/>
      <c r="P4358" s="798"/>
      <c r="Q4358" s="798"/>
      <c r="R4358" s="811"/>
    </row>
    <row r="4359" customFormat="false" ht="16.5" hidden="false" customHeight="true" outlineLevel="0" collapsed="false">
      <c r="A4359" s="747"/>
      <c r="B4359" s="798"/>
      <c r="D4359" s="798"/>
      <c r="E4359" s="798"/>
      <c r="F4359" s="798"/>
      <c r="G4359" s="798"/>
      <c r="K4359" s="798"/>
      <c r="P4359" s="798"/>
      <c r="Q4359" s="798"/>
      <c r="R4359" s="811"/>
    </row>
    <row r="4360" customFormat="false" ht="16.5" hidden="false" customHeight="true" outlineLevel="0" collapsed="false">
      <c r="A4360" s="747"/>
      <c r="B4360" s="798"/>
      <c r="D4360" s="798"/>
      <c r="E4360" s="798"/>
      <c r="F4360" s="798"/>
      <c r="G4360" s="798"/>
      <c r="K4360" s="798"/>
      <c r="P4360" s="798"/>
      <c r="Q4360" s="798"/>
      <c r="R4360" s="811"/>
    </row>
    <row r="4361" customFormat="false" ht="16.5" hidden="false" customHeight="true" outlineLevel="0" collapsed="false">
      <c r="A4361" s="747"/>
      <c r="B4361" s="798"/>
      <c r="D4361" s="798"/>
      <c r="E4361" s="798"/>
      <c r="F4361" s="798"/>
      <c r="G4361" s="798"/>
      <c r="K4361" s="798"/>
      <c r="P4361" s="798"/>
      <c r="Q4361" s="798"/>
      <c r="R4361" s="811"/>
    </row>
    <row r="4362" customFormat="false" ht="16.5" hidden="false" customHeight="true" outlineLevel="0" collapsed="false">
      <c r="A4362" s="747"/>
      <c r="B4362" s="798"/>
      <c r="D4362" s="798"/>
      <c r="E4362" s="798"/>
      <c r="F4362" s="798"/>
      <c r="G4362" s="798"/>
      <c r="K4362" s="798"/>
      <c r="P4362" s="798"/>
      <c r="Q4362" s="798"/>
      <c r="R4362" s="811"/>
    </row>
    <row r="4363" customFormat="false" ht="16.5" hidden="false" customHeight="true" outlineLevel="0" collapsed="false">
      <c r="A4363" s="747"/>
      <c r="B4363" s="798"/>
      <c r="D4363" s="798"/>
      <c r="E4363" s="798"/>
      <c r="F4363" s="798"/>
      <c r="G4363" s="798"/>
      <c r="K4363" s="798"/>
      <c r="P4363" s="798"/>
      <c r="Q4363" s="798"/>
      <c r="R4363" s="811"/>
    </row>
    <row r="4364" customFormat="false" ht="16.5" hidden="false" customHeight="true" outlineLevel="0" collapsed="false">
      <c r="A4364" s="747"/>
      <c r="B4364" s="798"/>
      <c r="D4364" s="798"/>
      <c r="E4364" s="798"/>
      <c r="F4364" s="798"/>
      <c r="G4364" s="798"/>
      <c r="K4364" s="798"/>
      <c r="P4364" s="798"/>
      <c r="Q4364" s="798"/>
      <c r="R4364" s="811"/>
    </row>
    <row r="4365" customFormat="false" ht="16.5" hidden="false" customHeight="true" outlineLevel="0" collapsed="false">
      <c r="A4365" s="747"/>
      <c r="B4365" s="798"/>
      <c r="D4365" s="798"/>
      <c r="E4365" s="798"/>
      <c r="F4365" s="798"/>
      <c r="G4365" s="798"/>
      <c r="K4365" s="798"/>
      <c r="P4365" s="798"/>
      <c r="Q4365" s="798"/>
      <c r="R4365" s="811"/>
    </row>
    <row r="4366" customFormat="false" ht="16.5" hidden="false" customHeight="true" outlineLevel="0" collapsed="false">
      <c r="A4366" s="747"/>
      <c r="B4366" s="798"/>
      <c r="D4366" s="798"/>
      <c r="E4366" s="798"/>
      <c r="F4366" s="798"/>
      <c r="G4366" s="798"/>
      <c r="K4366" s="798"/>
      <c r="P4366" s="798"/>
      <c r="Q4366" s="798"/>
      <c r="R4366" s="811"/>
    </row>
    <row r="4367" customFormat="false" ht="16.5" hidden="false" customHeight="true" outlineLevel="0" collapsed="false">
      <c r="A4367" s="747"/>
      <c r="B4367" s="798"/>
      <c r="D4367" s="798"/>
      <c r="E4367" s="798"/>
      <c r="F4367" s="798"/>
      <c r="G4367" s="798"/>
      <c r="K4367" s="798"/>
      <c r="P4367" s="798"/>
      <c r="Q4367" s="798"/>
      <c r="R4367" s="811"/>
    </row>
    <row r="4368" customFormat="false" ht="16.5" hidden="false" customHeight="true" outlineLevel="0" collapsed="false">
      <c r="A4368" s="747"/>
      <c r="B4368" s="798"/>
      <c r="D4368" s="798"/>
      <c r="E4368" s="798"/>
      <c r="F4368" s="798"/>
      <c r="G4368" s="798"/>
      <c r="K4368" s="798"/>
      <c r="P4368" s="798"/>
      <c r="Q4368" s="798"/>
      <c r="R4368" s="811"/>
    </row>
    <row r="4369" customFormat="false" ht="16.5" hidden="false" customHeight="true" outlineLevel="0" collapsed="false">
      <c r="A4369" s="747"/>
      <c r="B4369" s="798"/>
      <c r="D4369" s="798"/>
      <c r="E4369" s="798"/>
      <c r="F4369" s="798"/>
      <c r="G4369" s="798"/>
      <c r="K4369" s="798"/>
      <c r="P4369" s="798"/>
      <c r="Q4369" s="798"/>
      <c r="R4369" s="811"/>
    </row>
    <row r="4370" customFormat="false" ht="16.5" hidden="false" customHeight="true" outlineLevel="0" collapsed="false">
      <c r="A4370" s="747"/>
      <c r="B4370" s="798"/>
      <c r="D4370" s="798"/>
      <c r="E4370" s="798"/>
      <c r="F4370" s="798"/>
      <c r="G4370" s="798"/>
      <c r="K4370" s="798"/>
      <c r="P4370" s="798"/>
      <c r="Q4370" s="798"/>
      <c r="R4370" s="811"/>
    </row>
    <row r="4371" customFormat="false" ht="16.5" hidden="false" customHeight="true" outlineLevel="0" collapsed="false">
      <c r="A4371" s="747"/>
      <c r="B4371" s="798"/>
      <c r="D4371" s="798"/>
      <c r="E4371" s="798"/>
      <c r="F4371" s="798"/>
      <c r="G4371" s="798"/>
      <c r="K4371" s="798"/>
      <c r="P4371" s="798"/>
      <c r="Q4371" s="798"/>
      <c r="R4371" s="811"/>
    </row>
    <row r="4372" customFormat="false" ht="16.5" hidden="false" customHeight="true" outlineLevel="0" collapsed="false">
      <c r="A4372" s="747"/>
      <c r="B4372" s="798"/>
      <c r="D4372" s="798"/>
      <c r="E4372" s="798"/>
      <c r="F4372" s="798"/>
      <c r="G4372" s="798"/>
      <c r="K4372" s="798"/>
      <c r="P4372" s="798"/>
      <c r="Q4372" s="798"/>
      <c r="R4372" s="811"/>
    </row>
    <row r="4373" customFormat="false" ht="16.5" hidden="false" customHeight="true" outlineLevel="0" collapsed="false">
      <c r="A4373" s="747"/>
      <c r="B4373" s="798"/>
      <c r="D4373" s="798"/>
      <c r="E4373" s="798"/>
      <c r="F4373" s="798"/>
      <c r="G4373" s="798"/>
      <c r="K4373" s="798"/>
      <c r="P4373" s="798"/>
      <c r="Q4373" s="798"/>
      <c r="R4373" s="811"/>
    </row>
    <row r="4374" customFormat="false" ht="16.5" hidden="false" customHeight="true" outlineLevel="0" collapsed="false">
      <c r="A4374" s="747"/>
      <c r="B4374" s="798"/>
      <c r="D4374" s="798"/>
      <c r="E4374" s="798"/>
      <c r="F4374" s="798"/>
      <c r="G4374" s="798"/>
      <c r="K4374" s="798"/>
      <c r="P4374" s="798"/>
      <c r="Q4374" s="798"/>
      <c r="R4374" s="811"/>
    </row>
    <row r="4375" customFormat="false" ht="16.5" hidden="false" customHeight="true" outlineLevel="0" collapsed="false">
      <c r="A4375" s="747"/>
      <c r="B4375" s="798"/>
      <c r="D4375" s="798"/>
      <c r="E4375" s="798"/>
      <c r="F4375" s="798"/>
      <c r="G4375" s="798"/>
      <c r="K4375" s="798"/>
      <c r="P4375" s="798"/>
      <c r="Q4375" s="798"/>
      <c r="R4375" s="811"/>
    </row>
    <row r="4376" customFormat="false" ht="16.5" hidden="false" customHeight="true" outlineLevel="0" collapsed="false">
      <c r="A4376" s="747"/>
      <c r="B4376" s="798"/>
      <c r="D4376" s="798"/>
      <c r="E4376" s="798"/>
      <c r="F4376" s="798"/>
      <c r="G4376" s="798"/>
      <c r="K4376" s="798"/>
      <c r="P4376" s="798"/>
      <c r="Q4376" s="798"/>
      <c r="R4376" s="811"/>
    </row>
    <row r="4377" customFormat="false" ht="16.5" hidden="false" customHeight="true" outlineLevel="0" collapsed="false">
      <c r="A4377" s="747"/>
      <c r="B4377" s="798"/>
      <c r="D4377" s="798"/>
      <c r="E4377" s="798"/>
      <c r="F4377" s="798"/>
      <c r="G4377" s="798"/>
      <c r="K4377" s="798"/>
      <c r="P4377" s="798"/>
      <c r="Q4377" s="798"/>
      <c r="R4377" s="811"/>
    </row>
    <row r="4378" customFormat="false" ht="16.5" hidden="false" customHeight="true" outlineLevel="0" collapsed="false">
      <c r="A4378" s="747"/>
      <c r="B4378" s="798"/>
      <c r="D4378" s="798"/>
      <c r="E4378" s="798"/>
      <c r="F4378" s="798"/>
      <c r="G4378" s="798"/>
      <c r="K4378" s="798"/>
      <c r="P4378" s="798"/>
      <c r="Q4378" s="798"/>
      <c r="R4378" s="811"/>
    </row>
    <row r="4379" customFormat="false" ht="16.5" hidden="false" customHeight="true" outlineLevel="0" collapsed="false">
      <c r="A4379" s="747"/>
      <c r="B4379" s="798"/>
      <c r="D4379" s="798"/>
      <c r="E4379" s="798"/>
      <c r="F4379" s="798"/>
      <c r="G4379" s="798"/>
      <c r="K4379" s="798"/>
      <c r="P4379" s="798"/>
      <c r="Q4379" s="798"/>
      <c r="R4379" s="811"/>
    </row>
    <row r="4380" customFormat="false" ht="16.5" hidden="false" customHeight="true" outlineLevel="0" collapsed="false">
      <c r="A4380" s="747"/>
      <c r="B4380" s="798"/>
      <c r="D4380" s="798"/>
      <c r="E4380" s="798"/>
      <c r="F4380" s="798"/>
      <c r="G4380" s="798"/>
      <c r="K4380" s="798"/>
      <c r="P4380" s="798"/>
      <c r="Q4380" s="798"/>
      <c r="R4380" s="811"/>
    </row>
    <row r="4381" customFormat="false" ht="16.5" hidden="false" customHeight="true" outlineLevel="0" collapsed="false">
      <c r="A4381" s="747"/>
      <c r="B4381" s="798"/>
      <c r="D4381" s="798"/>
      <c r="E4381" s="798"/>
      <c r="F4381" s="798"/>
      <c r="G4381" s="798"/>
      <c r="K4381" s="798"/>
      <c r="P4381" s="798"/>
      <c r="Q4381" s="798"/>
      <c r="R4381" s="811"/>
    </row>
    <row r="4382" customFormat="false" ht="16.5" hidden="false" customHeight="true" outlineLevel="0" collapsed="false">
      <c r="A4382" s="747"/>
      <c r="B4382" s="798"/>
      <c r="D4382" s="798"/>
      <c r="E4382" s="798"/>
      <c r="F4382" s="798"/>
      <c r="G4382" s="798"/>
      <c r="K4382" s="798"/>
      <c r="P4382" s="798"/>
      <c r="Q4382" s="798"/>
      <c r="R4382" s="811"/>
    </row>
    <row r="4383" customFormat="false" ht="16.5" hidden="false" customHeight="true" outlineLevel="0" collapsed="false">
      <c r="A4383" s="747"/>
      <c r="B4383" s="798"/>
      <c r="D4383" s="798"/>
      <c r="E4383" s="798"/>
      <c r="F4383" s="798"/>
      <c r="G4383" s="798"/>
      <c r="K4383" s="798"/>
      <c r="P4383" s="798"/>
      <c r="Q4383" s="798"/>
      <c r="R4383" s="811"/>
    </row>
    <row r="4384" customFormat="false" ht="16.5" hidden="false" customHeight="true" outlineLevel="0" collapsed="false">
      <c r="A4384" s="747"/>
      <c r="B4384" s="798"/>
      <c r="D4384" s="798"/>
      <c r="E4384" s="798"/>
      <c r="F4384" s="798"/>
      <c r="G4384" s="798"/>
      <c r="K4384" s="798"/>
      <c r="P4384" s="798"/>
      <c r="Q4384" s="798"/>
      <c r="R4384" s="811"/>
    </row>
    <row r="4385" customFormat="false" ht="16.5" hidden="false" customHeight="true" outlineLevel="0" collapsed="false">
      <c r="A4385" s="747"/>
      <c r="B4385" s="798"/>
      <c r="D4385" s="798"/>
      <c r="E4385" s="798"/>
      <c r="F4385" s="798"/>
      <c r="G4385" s="798"/>
      <c r="K4385" s="798"/>
      <c r="P4385" s="798"/>
      <c r="Q4385" s="798"/>
      <c r="R4385" s="811"/>
    </row>
    <row r="4386" customFormat="false" ht="16.5" hidden="false" customHeight="true" outlineLevel="0" collapsed="false">
      <c r="A4386" s="747"/>
      <c r="B4386" s="798"/>
      <c r="D4386" s="798"/>
      <c r="E4386" s="798"/>
      <c r="F4386" s="798"/>
      <c r="G4386" s="798"/>
      <c r="K4386" s="798"/>
      <c r="P4386" s="798"/>
      <c r="Q4386" s="798"/>
      <c r="R4386" s="811"/>
    </row>
    <row r="4387" customFormat="false" ht="16.5" hidden="false" customHeight="true" outlineLevel="0" collapsed="false">
      <c r="A4387" s="747"/>
      <c r="B4387" s="798"/>
      <c r="D4387" s="798"/>
      <c r="E4387" s="798"/>
      <c r="F4387" s="798"/>
      <c r="G4387" s="798"/>
      <c r="K4387" s="798"/>
      <c r="P4387" s="798"/>
      <c r="Q4387" s="798"/>
      <c r="R4387" s="811"/>
    </row>
    <row r="4388" customFormat="false" ht="16.5" hidden="false" customHeight="true" outlineLevel="0" collapsed="false">
      <c r="A4388" s="747"/>
      <c r="B4388" s="798"/>
      <c r="D4388" s="798"/>
      <c r="E4388" s="798"/>
      <c r="F4388" s="798"/>
      <c r="G4388" s="798"/>
      <c r="K4388" s="798"/>
      <c r="P4388" s="798"/>
      <c r="Q4388" s="798"/>
      <c r="R4388" s="811"/>
    </row>
    <row r="4389" customFormat="false" ht="16.5" hidden="false" customHeight="true" outlineLevel="0" collapsed="false">
      <c r="A4389" s="747"/>
      <c r="B4389" s="798"/>
      <c r="D4389" s="798"/>
      <c r="E4389" s="798"/>
      <c r="F4389" s="798"/>
      <c r="G4389" s="798"/>
      <c r="K4389" s="798"/>
      <c r="P4389" s="798"/>
      <c r="Q4389" s="798"/>
      <c r="R4389" s="811"/>
    </row>
    <row r="4390" customFormat="false" ht="16.5" hidden="false" customHeight="true" outlineLevel="0" collapsed="false">
      <c r="A4390" s="747"/>
      <c r="B4390" s="798"/>
      <c r="D4390" s="798"/>
      <c r="E4390" s="798"/>
      <c r="F4390" s="798"/>
      <c r="G4390" s="798"/>
      <c r="K4390" s="798"/>
      <c r="P4390" s="798"/>
      <c r="Q4390" s="798"/>
      <c r="R4390" s="811"/>
    </row>
    <row r="4391" customFormat="false" ht="16.5" hidden="false" customHeight="true" outlineLevel="0" collapsed="false">
      <c r="A4391" s="747"/>
      <c r="B4391" s="798"/>
      <c r="D4391" s="798"/>
      <c r="E4391" s="798"/>
      <c r="F4391" s="798"/>
      <c r="G4391" s="798"/>
      <c r="K4391" s="798"/>
      <c r="P4391" s="798"/>
      <c r="Q4391" s="798"/>
      <c r="R4391" s="811"/>
    </row>
    <row r="4392" customFormat="false" ht="16.5" hidden="false" customHeight="true" outlineLevel="0" collapsed="false">
      <c r="A4392" s="747"/>
      <c r="B4392" s="798"/>
      <c r="D4392" s="798"/>
      <c r="E4392" s="798"/>
      <c r="F4392" s="798"/>
      <c r="G4392" s="798"/>
      <c r="K4392" s="798"/>
      <c r="P4392" s="798"/>
      <c r="Q4392" s="798"/>
      <c r="R4392" s="811"/>
    </row>
    <row r="4393" customFormat="false" ht="16.5" hidden="false" customHeight="true" outlineLevel="0" collapsed="false">
      <c r="A4393" s="747"/>
      <c r="B4393" s="798"/>
      <c r="D4393" s="798"/>
      <c r="E4393" s="798"/>
      <c r="F4393" s="798"/>
      <c r="G4393" s="798"/>
      <c r="K4393" s="798"/>
      <c r="P4393" s="798"/>
      <c r="Q4393" s="798"/>
      <c r="R4393" s="811"/>
    </row>
    <row r="4394" customFormat="false" ht="16.5" hidden="false" customHeight="true" outlineLevel="0" collapsed="false">
      <c r="A4394" s="747"/>
      <c r="B4394" s="798"/>
      <c r="D4394" s="798"/>
      <c r="E4394" s="798"/>
      <c r="F4394" s="798"/>
      <c r="G4394" s="798"/>
      <c r="K4394" s="798"/>
      <c r="P4394" s="798"/>
      <c r="Q4394" s="798"/>
      <c r="R4394" s="811"/>
    </row>
    <row r="4395" customFormat="false" ht="16.5" hidden="false" customHeight="true" outlineLevel="0" collapsed="false">
      <c r="A4395" s="747"/>
      <c r="B4395" s="798"/>
      <c r="D4395" s="798"/>
      <c r="E4395" s="798"/>
      <c r="F4395" s="798"/>
      <c r="G4395" s="798"/>
      <c r="K4395" s="798"/>
      <c r="P4395" s="798"/>
      <c r="Q4395" s="798"/>
      <c r="R4395" s="811"/>
    </row>
    <row r="4396" customFormat="false" ht="16.5" hidden="false" customHeight="true" outlineLevel="0" collapsed="false">
      <c r="A4396" s="747"/>
      <c r="B4396" s="798"/>
      <c r="D4396" s="798"/>
      <c r="E4396" s="798"/>
      <c r="F4396" s="798"/>
      <c r="G4396" s="798"/>
      <c r="K4396" s="798"/>
      <c r="P4396" s="798"/>
      <c r="Q4396" s="798"/>
      <c r="R4396" s="811"/>
    </row>
    <row r="4397" customFormat="false" ht="16.5" hidden="false" customHeight="true" outlineLevel="0" collapsed="false">
      <c r="A4397" s="747"/>
      <c r="B4397" s="798"/>
      <c r="D4397" s="798"/>
      <c r="E4397" s="798"/>
      <c r="F4397" s="798"/>
      <c r="G4397" s="798"/>
      <c r="K4397" s="798"/>
      <c r="P4397" s="798"/>
      <c r="Q4397" s="798"/>
      <c r="R4397" s="811"/>
    </row>
    <row r="4398" customFormat="false" ht="16.5" hidden="false" customHeight="true" outlineLevel="0" collapsed="false">
      <c r="A4398" s="747"/>
      <c r="B4398" s="798"/>
      <c r="D4398" s="798"/>
      <c r="E4398" s="798"/>
      <c r="F4398" s="798"/>
      <c r="G4398" s="798"/>
      <c r="K4398" s="798"/>
      <c r="P4398" s="798"/>
      <c r="Q4398" s="798"/>
      <c r="R4398" s="811"/>
    </row>
    <row r="4399" customFormat="false" ht="16.5" hidden="false" customHeight="true" outlineLevel="0" collapsed="false">
      <c r="A4399" s="747"/>
      <c r="B4399" s="798"/>
      <c r="D4399" s="798"/>
      <c r="E4399" s="798"/>
      <c r="F4399" s="798"/>
      <c r="G4399" s="798"/>
      <c r="K4399" s="798"/>
      <c r="P4399" s="798"/>
      <c r="Q4399" s="798"/>
      <c r="R4399" s="811"/>
    </row>
    <row r="4400" customFormat="false" ht="16.5" hidden="false" customHeight="true" outlineLevel="0" collapsed="false">
      <c r="A4400" s="747"/>
      <c r="B4400" s="798"/>
      <c r="D4400" s="798"/>
      <c r="E4400" s="798"/>
      <c r="F4400" s="798"/>
      <c r="G4400" s="798"/>
      <c r="K4400" s="798"/>
      <c r="P4400" s="798"/>
      <c r="Q4400" s="798"/>
      <c r="R4400" s="811"/>
    </row>
    <row r="4401" customFormat="false" ht="16.5" hidden="false" customHeight="true" outlineLevel="0" collapsed="false">
      <c r="A4401" s="747"/>
      <c r="B4401" s="798"/>
      <c r="D4401" s="798"/>
      <c r="E4401" s="798"/>
      <c r="F4401" s="798"/>
      <c r="G4401" s="798"/>
      <c r="K4401" s="798"/>
      <c r="P4401" s="798"/>
      <c r="Q4401" s="798"/>
      <c r="R4401" s="811"/>
    </row>
    <row r="4402" customFormat="false" ht="16.5" hidden="false" customHeight="true" outlineLevel="0" collapsed="false">
      <c r="A4402" s="747"/>
      <c r="B4402" s="798"/>
      <c r="D4402" s="798"/>
      <c r="E4402" s="798"/>
      <c r="F4402" s="798"/>
      <c r="G4402" s="798"/>
      <c r="K4402" s="798"/>
      <c r="P4402" s="798"/>
      <c r="Q4402" s="798"/>
      <c r="R4402" s="811"/>
    </row>
    <row r="4403" customFormat="false" ht="16.5" hidden="false" customHeight="true" outlineLevel="0" collapsed="false">
      <c r="A4403" s="747"/>
      <c r="B4403" s="798"/>
      <c r="D4403" s="798"/>
      <c r="E4403" s="798"/>
      <c r="F4403" s="798"/>
      <c r="G4403" s="798"/>
      <c r="K4403" s="798"/>
      <c r="P4403" s="798"/>
      <c r="Q4403" s="798"/>
      <c r="R4403" s="811"/>
    </row>
    <row r="4404" customFormat="false" ht="16.5" hidden="false" customHeight="true" outlineLevel="0" collapsed="false">
      <c r="A4404" s="747"/>
      <c r="B4404" s="798"/>
      <c r="D4404" s="798"/>
      <c r="E4404" s="798"/>
      <c r="F4404" s="798"/>
      <c r="G4404" s="798"/>
      <c r="K4404" s="798"/>
      <c r="P4404" s="798"/>
      <c r="Q4404" s="798"/>
      <c r="R4404" s="811"/>
    </row>
    <row r="4405" customFormat="false" ht="16.5" hidden="false" customHeight="true" outlineLevel="0" collapsed="false">
      <c r="A4405" s="747"/>
      <c r="B4405" s="798"/>
      <c r="D4405" s="798"/>
      <c r="E4405" s="798"/>
      <c r="F4405" s="798"/>
      <c r="G4405" s="798"/>
      <c r="K4405" s="798"/>
      <c r="P4405" s="798"/>
      <c r="Q4405" s="798"/>
      <c r="R4405" s="811"/>
    </row>
    <row r="4406" customFormat="false" ht="16.5" hidden="false" customHeight="true" outlineLevel="0" collapsed="false">
      <c r="A4406" s="747"/>
      <c r="B4406" s="798"/>
      <c r="D4406" s="798"/>
      <c r="E4406" s="798"/>
      <c r="F4406" s="798"/>
      <c r="G4406" s="798"/>
      <c r="K4406" s="798"/>
      <c r="P4406" s="798"/>
      <c r="Q4406" s="798"/>
      <c r="R4406" s="811"/>
    </row>
    <row r="4407" customFormat="false" ht="16.5" hidden="false" customHeight="true" outlineLevel="0" collapsed="false">
      <c r="A4407" s="747"/>
      <c r="B4407" s="798"/>
      <c r="D4407" s="798"/>
      <c r="E4407" s="798"/>
      <c r="F4407" s="798"/>
      <c r="G4407" s="798"/>
      <c r="K4407" s="798"/>
      <c r="P4407" s="798"/>
      <c r="Q4407" s="798"/>
      <c r="R4407" s="811"/>
    </row>
    <row r="4408" customFormat="false" ht="16.5" hidden="false" customHeight="true" outlineLevel="0" collapsed="false">
      <c r="A4408" s="747"/>
      <c r="B4408" s="798"/>
      <c r="D4408" s="798"/>
      <c r="E4408" s="798"/>
      <c r="F4408" s="798"/>
      <c r="G4408" s="798"/>
      <c r="K4408" s="798"/>
      <c r="P4408" s="798"/>
      <c r="Q4408" s="798"/>
      <c r="R4408" s="811"/>
    </row>
    <row r="4409" customFormat="false" ht="16.5" hidden="false" customHeight="true" outlineLevel="0" collapsed="false">
      <c r="A4409" s="747"/>
      <c r="B4409" s="798"/>
      <c r="D4409" s="798"/>
      <c r="E4409" s="798"/>
      <c r="F4409" s="798"/>
      <c r="G4409" s="798"/>
      <c r="K4409" s="798"/>
      <c r="P4409" s="798"/>
      <c r="Q4409" s="798"/>
      <c r="R4409" s="811"/>
    </row>
    <row r="4410" customFormat="false" ht="16.5" hidden="false" customHeight="true" outlineLevel="0" collapsed="false">
      <c r="A4410" s="747"/>
      <c r="B4410" s="798"/>
      <c r="D4410" s="798"/>
      <c r="E4410" s="798"/>
      <c r="F4410" s="798"/>
      <c r="G4410" s="798"/>
      <c r="K4410" s="798"/>
      <c r="P4410" s="798"/>
      <c r="Q4410" s="798"/>
      <c r="R4410" s="811"/>
    </row>
    <row r="4411" customFormat="false" ht="16.5" hidden="false" customHeight="true" outlineLevel="0" collapsed="false">
      <c r="A4411" s="747"/>
      <c r="B4411" s="798"/>
      <c r="D4411" s="798"/>
      <c r="E4411" s="798"/>
      <c r="F4411" s="798"/>
      <c r="G4411" s="798"/>
      <c r="K4411" s="798"/>
      <c r="P4411" s="798"/>
      <c r="Q4411" s="798"/>
      <c r="R4411" s="811"/>
    </row>
    <row r="4412" customFormat="false" ht="16.5" hidden="false" customHeight="true" outlineLevel="0" collapsed="false">
      <c r="A4412" s="747"/>
      <c r="B4412" s="798"/>
      <c r="D4412" s="798"/>
      <c r="E4412" s="798"/>
      <c r="F4412" s="798"/>
      <c r="G4412" s="798"/>
      <c r="K4412" s="798"/>
      <c r="P4412" s="798"/>
      <c r="Q4412" s="798"/>
      <c r="R4412" s="811"/>
    </row>
    <row r="4413" customFormat="false" ht="16.5" hidden="false" customHeight="true" outlineLevel="0" collapsed="false">
      <c r="A4413" s="747"/>
      <c r="B4413" s="798"/>
      <c r="D4413" s="798"/>
      <c r="E4413" s="798"/>
      <c r="F4413" s="798"/>
      <c r="G4413" s="798"/>
      <c r="K4413" s="798"/>
      <c r="P4413" s="798"/>
      <c r="Q4413" s="798"/>
      <c r="R4413" s="811"/>
    </row>
    <row r="4414" customFormat="false" ht="16.5" hidden="false" customHeight="true" outlineLevel="0" collapsed="false">
      <c r="A4414" s="747"/>
      <c r="B4414" s="798"/>
      <c r="D4414" s="798"/>
      <c r="E4414" s="798"/>
      <c r="F4414" s="798"/>
      <c r="G4414" s="798"/>
      <c r="K4414" s="798"/>
      <c r="P4414" s="798"/>
      <c r="Q4414" s="798"/>
      <c r="R4414" s="811"/>
    </row>
    <row r="4415" customFormat="false" ht="16.5" hidden="false" customHeight="true" outlineLevel="0" collapsed="false">
      <c r="A4415" s="747"/>
      <c r="B4415" s="798"/>
      <c r="D4415" s="798"/>
      <c r="E4415" s="798"/>
      <c r="F4415" s="798"/>
      <c r="G4415" s="798"/>
      <c r="K4415" s="798"/>
      <c r="P4415" s="798"/>
      <c r="Q4415" s="798"/>
      <c r="R4415" s="811"/>
    </row>
    <row r="4416" customFormat="false" ht="16.5" hidden="false" customHeight="true" outlineLevel="0" collapsed="false">
      <c r="A4416" s="747"/>
      <c r="B4416" s="798"/>
      <c r="D4416" s="798"/>
      <c r="E4416" s="798"/>
      <c r="F4416" s="798"/>
      <c r="G4416" s="798"/>
      <c r="K4416" s="798"/>
      <c r="P4416" s="798"/>
      <c r="Q4416" s="798"/>
      <c r="R4416" s="811"/>
    </row>
    <row r="4417" customFormat="false" ht="16.5" hidden="false" customHeight="true" outlineLevel="0" collapsed="false">
      <c r="A4417" s="747"/>
      <c r="B4417" s="798"/>
      <c r="D4417" s="798"/>
      <c r="E4417" s="798"/>
      <c r="F4417" s="798"/>
      <c r="G4417" s="798"/>
      <c r="K4417" s="798"/>
      <c r="P4417" s="798"/>
      <c r="Q4417" s="798"/>
      <c r="R4417" s="811"/>
    </row>
    <row r="4418" customFormat="false" ht="16.5" hidden="false" customHeight="true" outlineLevel="0" collapsed="false">
      <c r="A4418" s="747"/>
      <c r="B4418" s="798"/>
      <c r="D4418" s="798"/>
      <c r="E4418" s="798"/>
      <c r="F4418" s="798"/>
      <c r="G4418" s="798"/>
      <c r="K4418" s="798"/>
      <c r="P4418" s="798"/>
      <c r="Q4418" s="798"/>
      <c r="R4418" s="811"/>
    </row>
    <row r="4419" customFormat="false" ht="16.5" hidden="false" customHeight="true" outlineLevel="0" collapsed="false">
      <c r="A4419" s="747"/>
      <c r="B4419" s="798"/>
      <c r="D4419" s="798"/>
      <c r="E4419" s="798"/>
      <c r="F4419" s="798"/>
      <c r="G4419" s="798"/>
      <c r="K4419" s="798"/>
      <c r="P4419" s="798"/>
      <c r="Q4419" s="798"/>
      <c r="R4419" s="811"/>
    </row>
    <row r="4420" customFormat="false" ht="16.5" hidden="false" customHeight="true" outlineLevel="0" collapsed="false">
      <c r="A4420" s="747"/>
      <c r="B4420" s="798"/>
      <c r="D4420" s="798"/>
      <c r="E4420" s="798"/>
      <c r="F4420" s="798"/>
      <c r="G4420" s="798"/>
      <c r="K4420" s="798"/>
      <c r="P4420" s="798"/>
      <c r="Q4420" s="798"/>
      <c r="R4420" s="811"/>
    </row>
    <row r="4421" customFormat="false" ht="16.5" hidden="false" customHeight="true" outlineLevel="0" collapsed="false">
      <c r="A4421" s="747"/>
      <c r="B4421" s="798"/>
      <c r="D4421" s="798"/>
      <c r="E4421" s="798"/>
      <c r="F4421" s="798"/>
      <c r="G4421" s="798"/>
      <c r="K4421" s="798"/>
      <c r="P4421" s="798"/>
      <c r="Q4421" s="798"/>
      <c r="R4421" s="811"/>
    </row>
    <row r="4422" customFormat="false" ht="16.5" hidden="false" customHeight="true" outlineLevel="0" collapsed="false">
      <c r="A4422" s="747"/>
      <c r="B4422" s="798"/>
      <c r="D4422" s="798"/>
      <c r="E4422" s="798"/>
      <c r="F4422" s="798"/>
      <c r="G4422" s="798"/>
      <c r="K4422" s="798"/>
      <c r="P4422" s="798"/>
      <c r="Q4422" s="798"/>
      <c r="R4422" s="811"/>
    </row>
    <row r="4423" customFormat="false" ht="16.5" hidden="false" customHeight="true" outlineLevel="0" collapsed="false">
      <c r="A4423" s="747"/>
      <c r="B4423" s="798"/>
      <c r="D4423" s="798"/>
      <c r="E4423" s="798"/>
      <c r="F4423" s="798"/>
      <c r="G4423" s="798"/>
      <c r="K4423" s="798"/>
      <c r="P4423" s="798"/>
      <c r="Q4423" s="798"/>
      <c r="R4423" s="811"/>
    </row>
    <row r="4424" customFormat="false" ht="16.5" hidden="false" customHeight="true" outlineLevel="0" collapsed="false">
      <c r="A4424" s="747"/>
      <c r="B4424" s="798"/>
      <c r="D4424" s="798"/>
      <c r="E4424" s="798"/>
      <c r="F4424" s="798"/>
      <c r="G4424" s="798"/>
      <c r="K4424" s="798"/>
      <c r="P4424" s="798"/>
      <c r="Q4424" s="798"/>
      <c r="R4424" s="811"/>
    </row>
    <row r="4425" customFormat="false" ht="16.5" hidden="false" customHeight="true" outlineLevel="0" collapsed="false">
      <c r="A4425" s="747"/>
      <c r="B4425" s="798"/>
      <c r="D4425" s="798"/>
      <c r="E4425" s="798"/>
      <c r="F4425" s="798"/>
      <c r="G4425" s="798"/>
      <c r="K4425" s="798"/>
      <c r="P4425" s="798"/>
      <c r="Q4425" s="798"/>
      <c r="R4425" s="811"/>
    </row>
    <row r="4426" customFormat="false" ht="16.5" hidden="false" customHeight="true" outlineLevel="0" collapsed="false">
      <c r="A4426" s="747"/>
      <c r="B4426" s="798"/>
      <c r="D4426" s="798"/>
      <c r="E4426" s="798"/>
      <c r="F4426" s="798"/>
      <c r="G4426" s="798"/>
      <c r="K4426" s="798"/>
      <c r="P4426" s="798"/>
      <c r="Q4426" s="798"/>
      <c r="R4426" s="811"/>
    </row>
    <row r="4427" customFormat="false" ht="16.5" hidden="false" customHeight="true" outlineLevel="0" collapsed="false">
      <c r="A4427" s="747"/>
      <c r="B4427" s="798"/>
      <c r="D4427" s="798"/>
      <c r="E4427" s="798"/>
      <c r="F4427" s="798"/>
      <c r="G4427" s="798"/>
      <c r="K4427" s="798"/>
      <c r="P4427" s="798"/>
      <c r="Q4427" s="798"/>
      <c r="R4427" s="811"/>
    </row>
    <row r="4428" customFormat="false" ht="16.5" hidden="false" customHeight="true" outlineLevel="0" collapsed="false">
      <c r="A4428" s="747"/>
      <c r="B4428" s="798"/>
      <c r="D4428" s="798"/>
      <c r="E4428" s="798"/>
      <c r="F4428" s="798"/>
      <c r="G4428" s="798"/>
      <c r="K4428" s="798"/>
      <c r="P4428" s="798"/>
      <c r="Q4428" s="798"/>
      <c r="R4428" s="811"/>
    </row>
    <row r="4429" customFormat="false" ht="16.5" hidden="false" customHeight="true" outlineLevel="0" collapsed="false">
      <c r="A4429" s="747"/>
      <c r="B4429" s="798"/>
      <c r="D4429" s="798"/>
      <c r="E4429" s="798"/>
      <c r="F4429" s="798"/>
      <c r="G4429" s="798"/>
      <c r="K4429" s="798"/>
      <c r="P4429" s="798"/>
      <c r="Q4429" s="798"/>
      <c r="R4429" s="811"/>
    </row>
    <row r="4430" customFormat="false" ht="16.5" hidden="false" customHeight="true" outlineLevel="0" collapsed="false">
      <c r="A4430" s="747"/>
      <c r="B4430" s="798"/>
      <c r="D4430" s="798"/>
      <c r="E4430" s="798"/>
      <c r="F4430" s="798"/>
      <c r="G4430" s="798"/>
      <c r="K4430" s="798"/>
      <c r="P4430" s="798"/>
      <c r="Q4430" s="798"/>
      <c r="R4430" s="811"/>
    </row>
    <row r="4431" customFormat="false" ht="16.5" hidden="false" customHeight="true" outlineLevel="0" collapsed="false">
      <c r="A4431" s="747"/>
      <c r="B4431" s="798"/>
      <c r="D4431" s="798"/>
      <c r="E4431" s="798"/>
      <c r="F4431" s="798"/>
      <c r="G4431" s="798"/>
      <c r="K4431" s="798"/>
      <c r="P4431" s="798"/>
      <c r="Q4431" s="798"/>
      <c r="R4431" s="811"/>
    </row>
    <row r="4432" customFormat="false" ht="16.5" hidden="false" customHeight="true" outlineLevel="0" collapsed="false">
      <c r="A4432" s="747"/>
      <c r="B4432" s="798"/>
      <c r="D4432" s="798"/>
      <c r="E4432" s="798"/>
      <c r="F4432" s="798"/>
      <c r="G4432" s="798"/>
      <c r="K4432" s="798"/>
      <c r="P4432" s="798"/>
      <c r="Q4432" s="798"/>
      <c r="R4432" s="811"/>
    </row>
    <row r="4433" customFormat="false" ht="16.5" hidden="false" customHeight="true" outlineLevel="0" collapsed="false">
      <c r="A4433" s="747"/>
      <c r="B4433" s="798"/>
      <c r="D4433" s="798"/>
      <c r="E4433" s="798"/>
      <c r="F4433" s="798"/>
      <c r="G4433" s="798"/>
      <c r="K4433" s="798"/>
      <c r="P4433" s="798"/>
      <c r="Q4433" s="798"/>
      <c r="R4433" s="811"/>
    </row>
    <row r="4434" customFormat="false" ht="16.5" hidden="false" customHeight="true" outlineLevel="0" collapsed="false">
      <c r="A4434" s="747"/>
      <c r="B4434" s="798"/>
      <c r="D4434" s="798"/>
      <c r="E4434" s="798"/>
      <c r="F4434" s="798"/>
      <c r="G4434" s="798"/>
      <c r="K4434" s="798"/>
      <c r="P4434" s="798"/>
      <c r="Q4434" s="798"/>
      <c r="R4434" s="811"/>
    </row>
    <row r="4435" customFormat="false" ht="16.5" hidden="false" customHeight="true" outlineLevel="0" collapsed="false">
      <c r="A4435" s="747"/>
      <c r="B4435" s="798"/>
      <c r="D4435" s="798"/>
      <c r="E4435" s="798"/>
      <c r="F4435" s="798"/>
      <c r="G4435" s="798"/>
      <c r="K4435" s="798"/>
      <c r="P4435" s="798"/>
      <c r="Q4435" s="798"/>
      <c r="R4435" s="811"/>
    </row>
    <row r="4436" customFormat="false" ht="16.5" hidden="false" customHeight="true" outlineLevel="0" collapsed="false">
      <c r="A4436" s="747"/>
      <c r="B4436" s="798"/>
      <c r="D4436" s="798"/>
      <c r="E4436" s="798"/>
      <c r="F4436" s="798"/>
      <c r="G4436" s="798"/>
      <c r="K4436" s="798"/>
      <c r="P4436" s="798"/>
      <c r="Q4436" s="798"/>
      <c r="R4436" s="811"/>
    </row>
    <row r="4437" customFormat="false" ht="16.5" hidden="false" customHeight="true" outlineLevel="0" collapsed="false">
      <c r="A4437" s="747"/>
      <c r="B4437" s="798"/>
      <c r="D4437" s="798"/>
      <c r="E4437" s="798"/>
      <c r="F4437" s="798"/>
      <c r="G4437" s="798"/>
      <c r="K4437" s="798"/>
      <c r="P4437" s="798"/>
      <c r="Q4437" s="798"/>
      <c r="R4437" s="811"/>
    </row>
    <row r="4438" customFormat="false" ht="16.5" hidden="false" customHeight="true" outlineLevel="0" collapsed="false">
      <c r="A4438" s="747"/>
      <c r="B4438" s="798"/>
      <c r="D4438" s="798"/>
      <c r="E4438" s="798"/>
      <c r="F4438" s="798"/>
      <c r="G4438" s="798"/>
      <c r="K4438" s="798"/>
      <c r="P4438" s="798"/>
      <c r="Q4438" s="798"/>
      <c r="R4438" s="811"/>
    </row>
    <row r="4439" customFormat="false" ht="16.5" hidden="false" customHeight="true" outlineLevel="0" collapsed="false">
      <c r="A4439" s="747"/>
      <c r="B4439" s="798"/>
      <c r="D4439" s="798"/>
      <c r="E4439" s="798"/>
      <c r="F4439" s="798"/>
      <c r="G4439" s="798"/>
      <c r="K4439" s="798"/>
      <c r="P4439" s="798"/>
      <c r="Q4439" s="798"/>
      <c r="R4439" s="811"/>
    </row>
    <row r="4440" customFormat="false" ht="16.5" hidden="false" customHeight="true" outlineLevel="0" collapsed="false">
      <c r="A4440" s="747"/>
      <c r="B4440" s="798"/>
      <c r="D4440" s="798"/>
      <c r="E4440" s="798"/>
      <c r="F4440" s="798"/>
      <c r="G4440" s="798"/>
      <c r="K4440" s="798"/>
      <c r="P4440" s="798"/>
      <c r="Q4440" s="798"/>
      <c r="R4440" s="811"/>
    </row>
    <row r="4441" customFormat="false" ht="16.5" hidden="false" customHeight="true" outlineLevel="0" collapsed="false">
      <c r="A4441" s="747"/>
      <c r="B4441" s="798"/>
      <c r="D4441" s="798"/>
      <c r="E4441" s="798"/>
      <c r="F4441" s="798"/>
      <c r="G4441" s="798"/>
      <c r="K4441" s="798"/>
      <c r="P4441" s="798"/>
      <c r="Q4441" s="798"/>
      <c r="R4441" s="811"/>
    </row>
    <row r="4442" customFormat="false" ht="16.5" hidden="false" customHeight="true" outlineLevel="0" collapsed="false">
      <c r="A4442" s="747"/>
      <c r="B4442" s="798"/>
      <c r="D4442" s="798"/>
      <c r="E4442" s="798"/>
      <c r="F4442" s="798"/>
      <c r="G4442" s="798"/>
      <c r="K4442" s="798"/>
      <c r="P4442" s="798"/>
      <c r="Q4442" s="798"/>
      <c r="R4442" s="811"/>
    </row>
    <row r="4443" customFormat="false" ht="16.5" hidden="false" customHeight="true" outlineLevel="0" collapsed="false">
      <c r="A4443" s="747"/>
      <c r="B4443" s="798"/>
      <c r="D4443" s="798"/>
      <c r="E4443" s="798"/>
      <c r="F4443" s="798"/>
      <c r="G4443" s="798"/>
      <c r="K4443" s="798"/>
      <c r="P4443" s="798"/>
      <c r="Q4443" s="798"/>
      <c r="R4443" s="811"/>
    </row>
    <row r="4444" customFormat="false" ht="16.5" hidden="false" customHeight="true" outlineLevel="0" collapsed="false">
      <c r="A4444" s="747"/>
      <c r="B4444" s="798"/>
      <c r="D4444" s="798"/>
      <c r="E4444" s="798"/>
      <c r="F4444" s="798"/>
      <c r="G4444" s="798"/>
      <c r="K4444" s="798"/>
      <c r="P4444" s="798"/>
      <c r="Q4444" s="798"/>
      <c r="R4444" s="811"/>
    </row>
    <row r="4445" customFormat="false" ht="16.5" hidden="false" customHeight="true" outlineLevel="0" collapsed="false">
      <c r="A4445" s="747"/>
      <c r="B4445" s="798"/>
      <c r="D4445" s="798"/>
      <c r="E4445" s="798"/>
      <c r="F4445" s="798"/>
      <c r="G4445" s="798"/>
      <c r="K4445" s="798"/>
      <c r="P4445" s="798"/>
      <c r="Q4445" s="798"/>
      <c r="R4445" s="811"/>
    </row>
    <row r="4446" customFormat="false" ht="16.5" hidden="false" customHeight="true" outlineLevel="0" collapsed="false">
      <c r="A4446" s="747"/>
      <c r="B4446" s="798"/>
      <c r="D4446" s="798"/>
      <c r="E4446" s="798"/>
      <c r="F4446" s="798"/>
      <c r="G4446" s="798"/>
      <c r="K4446" s="798"/>
      <c r="P4446" s="798"/>
      <c r="Q4446" s="798"/>
      <c r="R4446" s="811"/>
    </row>
    <row r="4447" customFormat="false" ht="16.5" hidden="false" customHeight="true" outlineLevel="0" collapsed="false">
      <c r="A4447" s="747"/>
      <c r="B4447" s="798"/>
      <c r="D4447" s="798"/>
      <c r="E4447" s="798"/>
      <c r="F4447" s="798"/>
      <c r="G4447" s="798"/>
      <c r="K4447" s="798"/>
      <c r="P4447" s="798"/>
      <c r="Q4447" s="798"/>
      <c r="R4447" s="811"/>
    </row>
    <row r="4448" customFormat="false" ht="16.5" hidden="false" customHeight="true" outlineLevel="0" collapsed="false">
      <c r="A4448" s="747"/>
      <c r="B4448" s="798"/>
      <c r="D4448" s="798"/>
      <c r="E4448" s="798"/>
      <c r="F4448" s="798"/>
      <c r="G4448" s="798"/>
      <c r="K4448" s="798"/>
      <c r="P4448" s="798"/>
      <c r="Q4448" s="798"/>
      <c r="R4448" s="811"/>
    </row>
    <row r="4449" customFormat="false" ht="16.5" hidden="false" customHeight="true" outlineLevel="0" collapsed="false">
      <c r="A4449" s="747"/>
      <c r="B4449" s="798"/>
      <c r="D4449" s="798"/>
      <c r="E4449" s="798"/>
      <c r="F4449" s="798"/>
      <c r="G4449" s="798"/>
      <c r="K4449" s="798"/>
      <c r="P4449" s="798"/>
      <c r="Q4449" s="798"/>
      <c r="R4449" s="811"/>
    </row>
    <row r="4450" customFormat="false" ht="16.5" hidden="false" customHeight="true" outlineLevel="0" collapsed="false">
      <c r="A4450" s="747"/>
      <c r="B4450" s="798"/>
      <c r="D4450" s="798"/>
      <c r="E4450" s="798"/>
      <c r="F4450" s="798"/>
      <c r="G4450" s="798"/>
      <c r="K4450" s="798"/>
      <c r="P4450" s="798"/>
      <c r="Q4450" s="798"/>
      <c r="R4450" s="811"/>
    </row>
    <row r="4451" customFormat="false" ht="16.5" hidden="false" customHeight="true" outlineLevel="0" collapsed="false">
      <c r="A4451" s="747"/>
      <c r="B4451" s="798"/>
      <c r="D4451" s="798"/>
      <c r="E4451" s="798"/>
      <c r="F4451" s="798"/>
      <c r="G4451" s="798"/>
      <c r="K4451" s="798"/>
      <c r="P4451" s="798"/>
      <c r="Q4451" s="798"/>
      <c r="R4451" s="811"/>
    </row>
    <row r="4452" customFormat="false" ht="16.5" hidden="false" customHeight="true" outlineLevel="0" collapsed="false">
      <c r="A4452" s="747"/>
      <c r="B4452" s="798"/>
      <c r="D4452" s="798"/>
      <c r="E4452" s="798"/>
      <c r="F4452" s="798"/>
      <c r="G4452" s="798"/>
      <c r="K4452" s="798"/>
      <c r="P4452" s="798"/>
      <c r="Q4452" s="798"/>
      <c r="R4452" s="811"/>
    </row>
    <row r="4453" customFormat="false" ht="16.5" hidden="false" customHeight="true" outlineLevel="0" collapsed="false">
      <c r="A4453" s="747"/>
      <c r="B4453" s="798"/>
      <c r="D4453" s="798"/>
      <c r="E4453" s="798"/>
      <c r="F4453" s="798"/>
      <c r="G4453" s="798"/>
      <c r="K4453" s="798"/>
      <c r="P4453" s="798"/>
      <c r="Q4453" s="798"/>
      <c r="R4453" s="811"/>
    </row>
    <row r="4454" customFormat="false" ht="16.5" hidden="false" customHeight="true" outlineLevel="0" collapsed="false">
      <c r="A4454" s="747"/>
      <c r="B4454" s="798"/>
      <c r="D4454" s="798"/>
      <c r="E4454" s="798"/>
      <c r="F4454" s="798"/>
      <c r="G4454" s="798"/>
      <c r="K4454" s="798"/>
      <c r="P4454" s="798"/>
      <c r="Q4454" s="798"/>
      <c r="R4454" s="811"/>
    </row>
    <row r="4455" customFormat="false" ht="16.5" hidden="false" customHeight="true" outlineLevel="0" collapsed="false">
      <c r="A4455" s="747"/>
      <c r="B4455" s="798"/>
      <c r="D4455" s="798"/>
      <c r="E4455" s="798"/>
      <c r="F4455" s="798"/>
      <c r="G4455" s="798"/>
      <c r="K4455" s="798"/>
      <c r="P4455" s="798"/>
      <c r="Q4455" s="798"/>
      <c r="R4455" s="811"/>
    </row>
    <row r="4456" customFormat="false" ht="16.5" hidden="false" customHeight="true" outlineLevel="0" collapsed="false">
      <c r="A4456" s="747"/>
      <c r="B4456" s="798"/>
      <c r="D4456" s="798"/>
      <c r="E4456" s="798"/>
      <c r="F4456" s="798"/>
      <c r="G4456" s="798"/>
      <c r="K4456" s="798"/>
      <c r="P4456" s="798"/>
      <c r="Q4456" s="798"/>
      <c r="R4456" s="811"/>
    </row>
    <row r="4457" customFormat="false" ht="16.5" hidden="false" customHeight="true" outlineLevel="0" collapsed="false">
      <c r="A4457" s="747"/>
      <c r="B4457" s="798"/>
      <c r="D4457" s="798"/>
      <c r="E4457" s="798"/>
      <c r="F4457" s="798"/>
      <c r="G4457" s="798"/>
      <c r="K4457" s="798"/>
      <c r="P4457" s="798"/>
      <c r="Q4457" s="798"/>
      <c r="R4457" s="811"/>
    </row>
    <row r="4458" customFormat="false" ht="16.5" hidden="false" customHeight="true" outlineLevel="0" collapsed="false">
      <c r="A4458" s="747"/>
      <c r="B4458" s="798"/>
      <c r="D4458" s="798"/>
      <c r="E4458" s="798"/>
      <c r="F4458" s="798"/>
      <c r="G4458" s="798"/>
      <c r="K4458" s="798"/>
      <c r="P4458" s="798"/>
      <c r="Q4458" s="798"/>
      <c r="R4458" s="811"/>
    </row>
    <row r="4459" customFormat="false" ht="16.5" hidden="false" customHeight="true" outlineLevel="0" collapsed="false">
      <c r="A4459" s="747"/>
      <c r="B4459" s="798"/>
      <c r="D4459" s="798"/>
      <c r="E4459" s="798"/>
      <c r="F4459" s="798"/>
      <c r="G4459" s="798"/>
      <c r="K4459" s="798"/>
      <c r="P4459" s="798"/>
      <c r="Q4459" s="798"/>
      <c r="R4459" s="811"/>
    </row>
    <row r="4460" customFormat="false" ht="16.5" hidden="false" customHeight="true" outlineLevel="0" collapsed="false">
      <c r="A4460" s="747"/>
      <c r="B4460" s="798"/>
      <c r="D4460" s="798"/>
      <c r="E4460" s="798"/>
      <c r="F4460" s="798"/>
      <c r="G4460" s="798"/>
      <c r="K4460" s="798"/>
      <c r="P4460" s="798"/>
      <c r="Q4460" s="798"/>
      <c r="R4460" s="811"/>
    </row>
    <row r="4461" customFormat="false" ht="16.5" hidden="false" customHeight="true" outlineLevel="0" collapsed="false">
      <c r="A4461" s="747"/>
      <c r="B4461" s="798"/>
      <c r="D4461" s="798"/>
      <c r="E4461" s="798"/>
      <c r="F4461" s="798"/>
      <c r="G4461" s="798"/>
      <c r="K4461" s="798"/>
      <c r="P4461" s="798"/>
      <c r="Q4461" s="798"/>
      <c r="R4461" s="811"/>
    </row>
    <row r="4462" customFormat="false" ht="16.5" hidden="false" customHeight="true" outlineLevel="0" collapsed="false">
      <c r="A4462" s="747"/>
      <c r="B4462" s="798"/>
      <c r="D4462" s="798"/>
      <c r="E4462" s="798"/>
      <c r="F4462" s="798"/>
      <c r="G4462" s="798"/>
      <c r="K4462" s="798"/>
      <c r="P4462" s="798"/>
      <c r="Q4462" s="798"/>
      <c r="R4462" s="811"/>
    </row>
    <row r="4463" customFormat="false" ht="16.5" hidden="false" customHeight="true" outlineLevel="0" collapsed="false">
      <c r="A4463" s="747"/>
      <c r="B4463" s="798"/>
      <c r="D4463" s="798"/>
      <c r="E4463" s="798"/>
      <c r="F4463" s="798"/>
      <c r="G4463" s="798"/>
      <c r="K4463" s="798"/>
      <c r="P4463" s="798"/>
      <c r="Q4463" s="798"/>
      <c r="R4463" s="811"/>
    </row>
    <row r="4464" customFormat="false" ht="16.5" hidden="false" customHeight="true" outlineLevel="0" collapsed="false">
      <c r="A4464" s="747"/>
      <c r="B4464" s="798"/>
      <c r="D4464" s="798"/>
      <c r="E4464" s="798"/>
      <c r="F4464" s="798"/>
      <c r="G4464" s="798"/>
      <c r="K4464" s="798"/>
      <c r="P4464" s="798"/>
      <c r="Q4464" s="798"/>
      <c r="R4464" s="811"/>
    </row>
    <row r="4465" customFormat="false" ht="16.5" hidden="false" customHeight="true" outlineLevel="0" collapsed="false">
      <c r="A4465" s="747"/>
      <c r="B4465" s="798"/>
      <c r="D4465" s="798"/>
      <c r="E4465" s="798"/>
      <c r="F4465" s="798"/>
      <c r="G4465" s="798"/>
      <c r="K4465" s="798"/>
      <c r="P4465" s="798"/>
      <c r="Q4465" s="798"/>
      <c r="R4465" s="811"/>
    </row>
    <row r="4466" customFormat="false" ht="16.5" hidden="false" customHeight="true" outlineLevel="0" collapsed="false">
      <c r="A4466" s="747"/>
      <c r="B4466" s="798"/>
      <c r="D4466" s="798"/>
      <c r="E4466" s="798"/>
      <c r="F4466" s="798"/>
      <c r="G4466" s="798"/>
      <c r="K4466" s="798"/>
      <c r="P4466" s="798"/>
      <c r="Q4466" s="798"/>
      <c r="R4466" s="811"/>
    </row>
    <row r="4467" customFormat="false" ht="16.5" hidden="false" customHeight="true" outlineLevel="0" collapsed="false">
      <c r="A4467" s="747"/>
      <c r="B4467" s="798"/>
      <c r="D4467" s="798"/>
      <c r="E4467" s="798"/>
      <c r="F4467" s="798"/>
      <c r="G4467" s="798"/>
      <c r="K4467" s="798"/>
      <c r="P4467" s="798"/>
      <c r="Q4467" s="798"/>
      <c r="R4467" s="811"/>
    </row>
    <row r="4468" customFormat="false" ht="16.5" hidden="false" customHeight="true" outlineLevel="0" collapsed="false">
      <c r="A4468" s="747"/>
      <c r="B4468" s="798"/>
      <c r="D4468" s="798"/>
      <c r="E4468" s="798"/>
      <c r="F4468" s="798"/>
      <c r="G4468" s="798"/>
      <c r="K4468" s="798"/>
      <c r="P4468" s="798"/>
      <c r="Q4468" s="798"/>
      <c r="R4468" s="811"/>
    </row>
    <row r="4469" customFormat="false" ht="16.5" hidden="false" customHeight="true" outlineLevel="0" collapsed="false">
      <c r="A4469" s="747"/>
      <c r="B4469" s="798"/>
      <c r="D4469" s="798"/>
      <c r="E4469" s="798"/>
      <c r="F4469" s="798"/>
      <c r="G4469" s="798"/>
      <c r="K4469" s="798"/>
      <c r="P4469" s="798"/>
      <c r="Q4469" s="798"/>
      <c r="R4469" s="811"/>
    </row>
    <row r="4470" customFormat="false" ht="16.5" hidden="false" customHeight="true" outlineLevel="0" collapsed="false">
      <c r="A4470" s="747"/>
      <c r="B4470" s="798"/>
      <c r="D4470" s="798"/>
      <c r="E4470" s="798"/>
      <c r="F4470" s="798"/>
      <c r="G4470" s="798"/>
      <c r="K4470" s="798"/>
      <c r="P4470" s="798"/>
      <c r="Q4470" s="798"/>
      <c r="R4470" s="811"/>
    </row>
    <row r="4471" customFormat="false" ht="16.5" hidden="false" customHeight="true" outlineLevel="0" collapsed="false">
      <c r="A4471" s="747"/>
      <c r="B4471" s="798"/>
      <c r="D4471" s="798"/>
      <c r="E4471" s="798"/>
      <c r="F4471" s="798"/>
      <c r="G4471" s="798"/>
      <c r="K4471" s="798"/>
      <c r="P4471" s="798"/>
      <c r="Q4471" s="798"/>
      <c r="R4471" s="811"/>
    </row>
    <row r="4472" customFormat="false" ht="16.5" hidden="false" customHeight="true" outlineLevel="0" collapsed="false">
      <c r="A4472" s="747"/>
      <c r="B4472" s="798"/>
      <c r="D4472" s="798"/>
      <c r="E4472" s="798"/>
      <c r="F4472" s="798"/>
      <c r="G4472" s="798"/>
      <c r="K4472" s="798"/>
      <c r="P4472" s="798"/>
      <c r="Q4472" s="798"/>
      <c r="R4472" s="811"/>
    </row>
    <row r="4473" customFormat="false" ht="16.5" hidden="false" customHeight="true" outlineLevel="0" collapsed="false">
      <c r="A4473" s="747"/>
      <c r="B4473" s="798"/>
      <c r="D4473" s="798"/>
      <c r="E4473" s="798"/>
      <c r="F4473" s="798"/>
      <c r="G4473" s="798"/>
      <c r="K4473" s="798"/>
      <c r="P4473" s="798"/>
      <c r="Q4473" s="798"/>
      <c r="R4473" s="811"/>
    </row>
    <row r="4474" customFormat="false" ht="16.5" hidden="false" customHeight="true" outlineLevel="0" collapsed="false">
      <c r="A4474" s="747"/>
      <c r="B4474" s="798"/>
      <c r="D4474" s="798"/>
      <c r="E4474" s="798"/>
      <c r="F4474" s="798"/>
      <c r="G4474" s="798"/>
      <c r="K4474" s="798"/>
      <c r="P4474" s="798"/>
      <c r="Q4474" s="798"/>
      <c r="R4474" s="811"/>
    </row>
    <row r="4475" customFormat="false" ht="16.5" hidden="false" customHeight="true" outlineLevel="0" collapsed="false">
      <c r="A4475" s="747"/>
      <c r="B4475" s="798"/>
      <c r="D4475" s="798"/>
      <c r="E4475" s="798"/>
      <c r="F4475" s="798"/>
      <c r="G4475" s="798"/>
      <c r="K4475" s="798"/>
      <c r="P4475" s="798"/>
      <c r="Q4475" s="798"/>
      <c r="R4475" s="811"/>
    </row>
    <row r="4476" customFormat="false" ht="16.5" hidden="false" customHeight="true" outlineLevel="0" collapsed="false">
      <c r="A4476" s="747"/>
      <c r="B4476" s="798"/>
      <c r="D4476" s="798"/>
      <c r="E4476" s="798"/>
      <c r="F4476" s="798"/>
      <c r="G4476" s="798"/>
      <c r="K4476" s="798"/>
      <c r="P4476" s="798"/>
      <c r="Q4476" s="798"/>
      <c r="R4476" s="811"/>
    </row>
    <row r="4477" customFormat="false" ht="16.5" hidden="false" customHeight="true" outlineLevel="0" collapsed="false">
      <c r="A4477" s="747"/>
      <c r="B4477" s="798"/>
      <c r="D4477" s="798"/>
      <c r="E4477" s="798"/>
      <c r="F4477" s="798"/>
      <c r="G4477" s="798"/>
      <c r="K4477" s="798"/>
      <c r="P4477" s="798"/>
      <c r="Q4477" s="798"/>
      <c r="R4477" s="811"/>
    </row>
    <row r="4478" customFormat="false" ht="16.5" hidden="false" customHeight="true" outlineLevel="0" collapsed="false">
      <c r="A4478" s="747"/>
      <c r="B4478" s="798"/>
      <c r="D4478" s="798"/>
      <c r="E4478" s="798"/>
      <c r="F4478" s="798"/>
      <c r="G4478" s="798"/>
      <c r="K4478" s="798"/>
      <c r="P4478" s="798"/>
      <c r="Q4478" s="798"/>
      <c r="R4478" s="811"/>
    </row>
    <row r="4479" customFormat="false" ht="16.5" hidden="false" customHeight="true" outlineLevel="0" collapsed="false">
      <c r="A4479" s="747"/>
      <c r="B4479" s="798"/>
      <c r="D4479" s="798"/>
      <c r="E4479" s="798"/>
      <c r="F4479" s="798"/>
      <c r="G4479" s="798"/>
      <c r="K4479" s="798"/>
      <c r="P4479" s="798"/>
      <c r="Q4479" s="798"/>
      <c r="R4479" s="811"/>
    </row>
    <row r="4480" customFormat="false" ht="16.5" hidden="false" customHeight="true" outlineLevel="0" collapsed="false">
      <c r="A4480" s="747"/>
      <c r="B4480" s="798"/>
      <c r="D4480" s="798"/>
      <c r="E4480" s="798"/>
      <c r="F4480" s="798"/>
      <c r="G4480" s="798"/>
      <c r="K4480" s="798"/>
      <c r="P4480" s="798"/>
      <c r="Q4480" s="798"/>
      <c r="R4480" s="811"/>
    </row>
    <row r="4481" customFormat="false" ht="16.5" hidden="false" customHeight="true" outlineLevel="0" collapsed="false">
      <c r="A4481" s="747"/>
      <c r="B4481" s="798"/>
      <c r="D4481" s="798"/>
      <c r="E4481" s="798"/>
      <c r="F4481" s="798"/>
      <c r="G4481" s="798"/>
      <c r="K4481" s="798"/>
      <c r="P4481" s="798"/>
      <c r="Q4481" s="798"/>
      <c r="R4481" s="811"/>
    </row>
    <row r="4482" customFormat="false" ht="16.5" hidden="false" customHeight="true" outlineLevel="0" collapsed="false">
      <c r="A4482" s="747"/>
      <c r="B4482" s="798"/>
      <c r="D4482" s="798"/>
      <c r="E4482" s="798"/>
      <c r="F4482" s="798"/>
      <c r="G4482" s="798"/>
      <c r="K4482" s="798"/>
      <c r="P4482" s="798"/>
      <c r="Q4482" s="798"/>
      <c r="R4482" s="811"/>
    </row>
    <row r="4483" customFormat="false" ht="16.5" hidden="false" customHeight="true" outlineLevel="0" collapsed="false">
      <c r="A4483" s="747"/>
      <c r="B4483" s="798"/>
      <c r="D4483" s="798"/>
      <c r="E4483" s="798"/>
      <c r="F4483" s="798"/>
      <c r="G4483" s="798"/>
      <c r="K4483" s="798"/>
      <c r="P4483" s="798"/>
      <c r="Q4483" s="798"/>
      <c r="R4483" s="811"/>
    </row>
    <row r="4484" customFormat="false" ht="16.5" hidden="false" customHeight="true" outlineLevel="0" collapsed="false">
      <c r="A4484" s="747"/>
      <c r="B4484" s="798"/>
      <c r="D4484" s="798"/>
      <c r="E4484" s="798"/>
      <c r="F4484" s="798"/>
      <c r="G4484" s="798"/>
      <c r="K4484" s="798"/>
      <c r="P4484" s="798"/>
      <c r="Q4484" s="798"/>
      <c r="R4484" s="811"/>
    </row>
    <row r="4485" customFormat="false" ht="16.5" hidden="false" customHeight="true" outlineLevel="0" collapsed="false">
      <c r="A4485" s="747"/>
      <c r="B4485" s="798"/>
      <c r="D4485" s="798"/>
      <c r="E4485" s="798"/>
      <c r="F4485" s="798"/>
      <c r="G4485" s="798"/>
      <c r="K4485" s="798"/>
      <c r="P4485" s="798"/>
      <c r="Q4485" s="798"/>
      <c r="R4485" s="811"/>
    </row>
    <row r="4486" customFormat="false" ht="16.5" hidden="false" customHeight="true" outlineLevel="0" collapsed="false">
      <c r="A4486" s="747"/>
      <c r="B4486" s="798"/>
      <c r="D4486" s="798"/>
      <c r="E4486" s="798"/>
      <c r="F4486" s="798"/>
      <c r="G4486" s="798"/>
      <c r="K4486" s="798"/>
      <c r="P4486" s="798"/>
      <c r="Q4486" s="798"/>
      <c r="R4486" s="811"/>
    </row>
    <row r="4487" customFormat="false" ht="16.5" hidden="false" customHeight="true" outlineLevel="0" collapsed="false">
      <c r="A4487" s="747"/>
      <c r="B4487" s="798"/>
      <c r="D4487" s="798"/>
      <c r="E4487" s="798"/>
      <c r="F4487" s="798"/>
      <c r="G4487" s="798"/>
      <c r="K4487" s="798"/>
      <c r="P4487" s="798"/>
      <c r="Q4487" s="798"/>
      <c r="R4487" s="811"/>
    </row>
    <row r="4488" customFormat="false" ht="16.5" hidden="false" customHeight="true" outlineLevel="0" collapsed="false">
      <c r="A4488" s="747"/>
      <c r="B4488" s="798"/>
      <c r="D4488" s="798"/>
      <c r="E4488" s="798"/>
      <c r="F4488" s="798"/>
      <c r="G4488" s="798"/>
      <c r="K4488" s="798"/>
      <c r="P4488" s="798"/>
      <c r="Q4488" s="798"/>
      <c r="R4488" s="811"/>
    </row>
    <row r="4489" customFormat="false" ht="16.5" hidden="false" customHeight="true" outlineLevel="0" collapsed="false">
      <c r="A4489" s="747"/>
      <c r="B4489" s="798"/>
      <c r="D4489" s="798"/>
      <c r="E4489" s="798"/>
      <c r="F4489" s="798"/>
      <c r="G4489" s="798"/>
      <c r="K4489" s="798"/>
      <c r="P4489" s="798"/>
      <c r="Q4489" s="798"/>
      <c r="R4489" s="811"/>
    </row>
    <row r="4490" customFormat="false" ht="16.5" hidden="false" customHeight="true" outlineLevel="0" collapsed="false">
      <c r="A4490" s="747"/>
      <c r="B4490" s="798"/>
      <c r="D4490" s="798"/>
      <c r="E4490" s="798"/>
      <c r="F4490" s="798"/>
      <c r="G4490" s="798"/>
      <c r="K4490" s="798"/>
      <c r="P4490" s="798"/>
      <c r="Q4490" s="798"/>
      <c r="R4490" s="811"/>
    </row>
    <row r="4491" customFormat="false" ht="16.5" hidden="false" customHeight="true" outlineLevel="0" collapsed="false">
      <c r="A4491" s="747"/>
      <c r="B4491" s="798"/>
      <c r="D4491" s="798"/>
      <c r="E4491" s="798"/>
      <c r="F4491" s="798"/>
      <c r="G4491" s="798"/>
      <c r="K4491" s="798"/>
      <c r="P4491" s="798"/>
      <c r="Q4491" s="798"/>
      <c r="R4491" s="811"/>
    </row>
    <row r="4492" customFormat="false" ht="16.5" hidden="false" customHeight="true" outlineLevel="0" collapsed="false">
      <c r="A4492" s="747"/>
      <c r="B4492" s="798"/>
      <c r="D4492" s="798"/>
      <c r="E4492" s="798"/>
      <c r="F4492" s="798"/>
      <c r="G4492" s="798"/>
      <c r="K4492" s="798"/>
      <c r="P4492" s="798"/>
      <c r="Q4492" s="798"/>
      <c r="R4492" s="811"/>
    </row>
    <row r="4493" customFormat="false" ht="16.5" hidden="false" customHeight="true" outlineLevel="0" collapsed="false">
      <c r="A4493" s="747"/>
      <c r="B4493" s="798"/>
      <c r="D4493" s="798"/>
      <c r="E4493" s="798"/>
      <c r="F4493" s="798"/>
      <c r="G4493" s="798"/>
      <c r="K4493" s="798"/>
      <c r="P4493" s="798"/>
      <c r="Q4493" s="798"/>
      <c r="R4493" s="811"/>
    </row>
    <row r="4494" customFormat="false" ht="16.5" hidden="false" customHeight="true" outlineLevel="0" collapsed="false">
      <c r="A4494" s="747"/>
      <c r="B4494" s="798"/>
      <c r="D4494" s="798"/>
      <c r="E4494" s="798"/>
      <c r="F4494" s="798"/>
      <c r="G4494" s="798"/>
      <c r="K4494" s="798"/>
      <c r="P4494" s="798"/>
      <c r="Q4494" s="798"/>
      <c r="R4494" s="811"/>
    </row>
    <row r="4495" customFormat="false" ht="16.5" hidden="false" customHeight="true" outlineLevel="0" collapsed="false">
      <c r="A4495" s="747"/>
      <c r="B4495" s="798"/>
      <c r="D4495" s="798"/>
      <c r="E4495" s="798"/>
      <c r="F4495" s="798"/>
      <c r="G4495" s="798"/>
      <c r="K4495" s="798"/>
      <c r="P4495" s="798"/>
      <c r="Q4495" s="798"/>
      <c r="R4495" s="811"/>
    </row>
    <row r="4496" customFormat="false" ht="16.5" hidden="false" customHeight="true" outlineLevel="0" collapsed="false">
      <c r="A4496" s="747"/>
      <c r="B4496" s="798"/>
      <c r="D4496" s="798"/>
      <c r="E4496" s="798"/>
      <c r="F4496" s="798"/>
      <c r="G4496" s="798"/>
      <c r="K4496" s="798"/>
      <c r="P4496" s="798"/>
      <c r="Q4496" s="798"/>
      <c r="R4496" s="811"/>
    </row>
    <row r="4497" customFormat="false" ht="16.5" hidden="false" customHeight="true" outlineLevel="0" collapsed="false">
      <c r="A4497" s="747"/>
      <c r="B4497" s="798"/>
      <c r="D4497" s="798"/>
      <c r="E4497" s="798"/>
      <c r="F4497" s="798"/>
      <c r="G4497" s="798"/>
      <c r="K4497" s="798"/>
      <c r="P4497" s="798"/>
      <c r="Q4497" s="798"/>
      <c r="R4497" s="811"/>
    </row>
    <row r="4498" customFormat="false" ht="16.5" hidden="false" customHeight="true" outlineLevel="0" collapsed="false">
      <c r="A4498" s="747"/>
      <c r="B4498" s="798"/>
      <c r="D4498" s="798"/>
      <c r="E4498" s="798"/>
      <c r="F4498" s="798"/>
      <c r="G4498" s="798"/>
      <c r="K4498" s="798"/>
      <c r="P4498" s="798"/>
      <c r="Q4498" s="798"/>
      <c r="R4498" s="811"/>
    </row>
    <row r="4499" customFormat="false" ht="16.5" hidden="false" customHeight="true" outlineLevel="0" collapsed="false">
      <c r="A4499" s="747"/>
      <c r="B4499" s="798"/>
      <c r="D4499" s="798"/>
      <c r="E4499" s="798"/>
      <c r="F4499" s="798"/>
      <c r="G4499" s="798"/>
      <c r="K4499" s="798"/>
      <c r="P4499" s="798"/>
      <c r="Q4499" s="798"/>
      <c r="R4499" s="811"/>
    </row>
    <row r="4500" customFormat="false" ht="16.5" hidden="false" customHeight="true" outlineLevel="0" collapsed="false">
      <c r="A4500" s="747"/>
      <c r="B4500" s="798"/>
      <c r="D4500" s="798"/>
      <c r="E4500" s="798"/>
      <c r="F4500" s="798"/>
      <c r="G4500" s="798"/>
      <c r="K4500" s="798"/>
      <c r="P4500" s="798"/>
      <c r="Q4500" s="798"/>
      <c r="R4500" s="811"/>
    </row>
    <row r="4501" customFormat="false" ht="16.5" hidden="false" customHeight="true" outlineLevel="0" collapsed="false">
      <c r="A4501" s="747"/>
      <c r="B4501" s="798"/>
      <c r="D4501" s="798"/>
      <c r="E4501" s="798"/>
      <c r="F4501" s="798"/>
      <c r="G4501" s="798"/>
      <c r="K4501" s="798"/>
      <c r="P4501" s="798"/>
      <c r="Q4501" s="798"/>
      <c r="R4501" s="811"/>
    </row>
    <row r="4502" customFormat="false" ht="16.5" hidden="false" customHeight="true" outlineLevel="0" collapsed="false">
      <c r="A4502" s="747"/>
      <c r="B4502" s="798"/>
      <c r="D4502" s="798"/>
      <c r="E4502" s="798"/>
      <c r="F4502" s="798"/>
      <c r="G4502" s="798"/>
      <c r="K4502" s="798"/>
      <c r="P4502" s="798"/>
      <c r="Q4502" s="798"/>
      <c r="R4502" s="811"/>
    </row>
    <row r="4503" customFormat="false" ht="16.5" hidden="false" customHeight="true" outlineLevel="0" collapsed="false">
      <c r="A4503" s="747"/>
      <c r="B4503" s="798"/>
      <c r="D4503" s="798"/>
      <c r="E4503" s="798"/>
      <c r="F4503" s="798"/>
      <c r="G4503" s="798"/>
      <c r="K4503" s="798"/>
      <c r="P4503" s="798"/>
      <c r="Q4503" s="798"/>
      <c r="R4503" s="811"/>
    </row>
    <row r="4504" customFormat="false" ht="16.5" hidden="false" customHeight="true" outlineLevel="0" collapsed="false">
      <c r="A4504" s="747"/>
      <c r="B4504" s="798"/>
      <c r="D4504" s="798"/>
      <c r="E4504" s="798"/>
      <c r="F4504" s="798"/>
      <c r="G4504" s="798"/>
      <c r="K4504" s="798"/>
      <c r="P4504" s="798"/>
      <c r="Q4504" s="798"/>
      <c r="R4504" s="811"/>
    </row>
    <row r="4505" customFormat="false" ht="16.5" hidden="false" customHeight="true" outlineLevel="0" collapsed="false">
      <c r="A4505" s="747"/>
      <c r="B4505" s="798"/>
      <c r="D4505" s="798"/>
      <c r="E4505" s="798"/>
      <c r="F4505" s="798"/>
      <c r="G4505" s="798"/>
      <c r="K4505" s="798"/>
      <c r="P4505" s="798"/>
      <c r="Q4505" s="798"/>
      <c r="R4505" s="811"/>
    </row>
    <row r="4506" customFormat="false" ht="16.5" hidden="false" customHeight="true" outlineLevel="0" collapsed="false">
      <c r="A4506" s="747"/>
      <c r="B4506" s="798"/>
      <c r="D4506" s="798"/>
      <c r="E4506" s="798"/>
      <c r="F4506" s="798"/>
      <c r="G4506" s="798"/>
      <c r="K4506" s="798"/>
      <c r="P4506" s="798"/>
      <c r="Q4506" s="798"/>
      <c r="R4506" s="811"/>
    </row>
    <row r="4507" customFormat="false" ht="16.5" hidden="false" customHeight="true" outlineLevel="0" collapsed="false">
      <c r="A4507" s="747"/>
      <c r="B4507" s="798"/>
      <c r="D4507" s="798"/>
      <c r="E4507" s="798"/>
      <c r="F4507" s="798"/>
      <c r="G4507" s="798"/>
      <c r="K4507" s="798"/>
      <c r="P4507" s="798"/>
      <c r="Q4507" s="798"/>
      <c r="R4507" s="811"/>
    </row>
    <row r="4508" customFormat="false" ht="16.5" hidden="false" customHeight="true" outlineLevel="0" collapsed="false">
      <c r="A4508" s="747"/>
      <c r="B4508" s="798"/>
      <c r="D4508" s="798"/>
      <c r="E4508" s="798"/>
      <c r="F4508" s="798"/>
      <c r="G4508" s="798"/>
      <c r="K4508" s="798"/>
      <c r="P4508" s="798"/>
      <c r="Q4508" s="798"/>
      <c r="R4508" s="811"/>
    </row>
    <row r="4509" customFormat="false" ht="16.5" hidden="false" customHeight="true" outlineLevel="0" collapsed="false">
      <c r="A4509" s="747"/>
      <c r="B4509" s="798"/>
      <c r="D4509" s="798"/>
      <c r="E4509" s="798"/>
      <c r="F4509" s="798"/>
      <c r="G4509" s="798"/>
      <c r="K4509" s="798"/>
      <c r="P4509" s="798"/>
      <c r="Q4509" s="798"/>
      <c r="R4509" s="811"/>
    </row>
    <row r="4510" customFormat="false" ht="16.5" hidden="false" customHeight="true" outlineLevel="0" collapsed="false">
      <c r="A4510" s="747"/>
      <c r="B4510" s="798"/>
      <c r="D4510" s="798"/>
      <c r="E4510" s="798"/>
      <c r="F4510" s="798"/>
      <c r="G4510" s="798"/>
      <c r="K4510" s="798"/>
      <c r="P4510" s="798"/>
      <c r="Q4510" s="798"/>
      <c r="R4510" s="811"/>
    </row>
    <row r="4511" customFormat="false" ht="16.5" hidden="false" customHeight="true" outlineLevel="0" collapsed="false">
      <c r="A4511" s="747"/>
      <c r="B4511" s="798"/>
      <c r="D4511" s="798"/>
      <c r="E4511" s="798"/>
      <c r="F4511" s="798"/>
      <c r="G4511" s="798"/>
      <c r="K4511" s="798"/>
      <c r="P4511" s="798"/>
      <c r="Q4511" s="798"/>
      <c r="R4511" s="811"/>
    </row>
    <row r="4512" customFormat="false" ht="16.5" hidden="false" customHeight="true" outlineLevel="0" collapsed="false">
      <c r="A4512" s="747"/>
      <c r="B4512" s="798"/>
      <c r="D4512" s="798"/>
      <c r="E4512" s="798"/>
      <c r="F4512" s="798"/>
      <c r="G4512" s="798"/>
      <c r="K4512" s="798"/>
      <c r="P4512" s="798"/>
      <c r="Q4512" s="798"/>
      <c r="R4512" s="811"/>
    </row>
    <row r="4513" customFormat="false" ht="16.5" hidden="false" customHeight="true" outlineLevel="0" collapsed="false">
      <c r="A4513" s="747"/>
      <c r="B4513" s="798"/>
      <c r="D4513" s="798"/>
      <c r="E4513" s="798"/>
      <c r="F4513" s="798"/>
      <c r="G4513" s="798"/>
      <c r="K4513" s="798"/>
      <c r="P4513" s="798"/>
      <c r="Q4513" s="798"/>
      <c r="R4513" s="811"/>
    </row>
    <row r="4514" customFormat="false" ht="16.5" hidden="false" customHeight="true" outlineLevel="0" collapsed="false">
      <c r="A4514" s="747"/>
      <c r="B4514" s="798"/>
      <c r="D4514" s="798"/>
      <c r="E4514" s="798"/>
      <c r="F4514" s="798"/>
      <c r="G4514" s="798"/>
      <c r="K4514" s="798"/>
      <c r="P4514" s="798"/>
      <c r="Q4514" s="798"/>
      <c r="R4514" s="811"/>
    </row>
    <row r="4515" customFormat="false" ht="16.5" hidden="false" customHeight="true" outlineLevel="0" collapsed="false">
      <c r="A4515" s="747"/>
      <c r="B4515" s="798"/>
      <c r="D4515" s="798"/>
      <c r="E4515" s="798"/>
      <c r="F4515" s="798"/>
      <c r="G4515" s="798"/>
      <c r="K4515" s="798"/>
      <c r="P4515" s="798"/>
      <c r="Q4515" s="798"/>
      <c r="R4515" s="811"/>
    </row>
    <row r="4516" customFormat="false" ht="16.5" hidden="false" customHeight="true" outlineLevel="0" collapsed="false">
      <c r="A4516" s="747"/>
      <c r="B4516" s="798"/>
      <c r="D4516" s="798"/>
      <c r="E4516" s="798"/>
      <c r="F4516" s="798"/>
      <c r="G4516" s="798"/>
      <c r="K4516" s="798"/>
      <c r="P4516" s="798"/>
      <c r="Q4516" s="798"/>
      <c r="R4516" s="811"/>
    </row>
    <row r="4517" customFormat="false" ht="16.5" hidden="false" customHeight="true" outlineLevel="0" collapsed="false">
      <c r="A4517" s="747"/>
      <c r="B4517" s="798"/>
      <c r="D4517" s="798"/>
      <c r="E4517" s="798"/>
      <c r="F4517" s="798"/>
      <c r="G4517" s="798"/>
      <c r="K4517" s="798"/>
      <c r="P4517" s="798"/>
      <c r="Q4517" s="798"/>
      <c r="R4517" s="811"/>
    </row>
    <row r="4518" customFormat="false" ht="16.5" hidden="false" customHeight="true" outlineLevel="0" collapsed="false">
      <c r="A4518" s="747"/>
      <c r="B4518" s="798"/>
      <c r="D4518" s="798"/>
      <c r="E4518" s="798"/>
      <c r="F4518" s="798"/>
      <c r="G4518" s="798"/>
      <c r="K4518" s="798"/>
      <c r="P4518" s="798"/>
      <c r="Q4518" s="798"/>
      <c r="R4518" s="811"/>
    </row>
    <row r="4519" customFormat="false" ht="16.5" hidden="false" customHeight="true" outlineLevel="0" collapsed="false">
      <c r="A4519" s="747"/>
      <c r="B4519" s="798"/>
      <c r="D4519" s="798"/>
      <c r="E4519" s="798"/>
      <c r="F4519" s="798"/>
      <c r="G4519" s="798"/>
      <c r="K4519" s="798"/>
      <c r="P4519" s="798"/>
      <c r="Q4519" s="798"/>
      <c r="R4519" s="811"/>
    </row>
    <row r="4520" customFormat="false" ht="16.5" hidden="false" customHeight="true" outlineLevel="0" collapsed="false">
      <c r="A4520" s="747"/>
      <c r="B4520" s="798"/>
      <c r="D4520" s="798"/>
      <c r="E4520" s="798"/>
      <c r="F4520" s="798"/>
      <c r="G4520" s="798"/>
      <c r="K4520" s="798"/>
      <c r="P4520" s="798"/>
      <c r="Q4520" s="798"/>
      <c r="R4520" s="811"/>
    </row>
    <row r="4521" customFormat="false" ht="16.5" hidden="false" customHeight="true" outlineLevel="0" collapsed="false">
      <c r="A4521" s="747"/>
      <c r="B4521" s="798"/>
      <c r="D4521" s="798"/>
      <c r="E4521" s="798"/>
      <c r="F4521" s="798"/>
      <c r="G4521" s="798"/>
      <c r="K4521" s="798"/>
      <c r="P4521" s="798"/>
      <c r="Q4521" s="798"/>
      <c r="R4521" s="811"/>
    </row>
    <row r="4522" customFormat="false" ht="16.5" hidden="false" customHeight="true" outlineLevel="0" collapsed="false">
      <c r="A4522" s="747"/>
      <c r="B4522" s="798"/>
      <c r="D4522" s="798"/>
      <c r="E4522" s="798"/>
      <c r="F4522" s="798"/>
      <c r="G4522" s="798"/>
      <c r="K4522" s="798"/>
      <c r="P4522" s="798"/>
      <c r="Q4522" s="798"/>
      <c r="R4522" s="811"/>
    </row>
    <row r="4523" customFormat="false" ht="16.5" hidden="false" customHeight="true" outlineLevel="0" collapsed="false">
      <c r="A4523" s="747"/>
      <c r="B4523" s="798"/>
      <c r="D4523" s="798"/>
      <c r="E4523" s="798"/>
      <c r="F4523" s="798"/>
      <c r="G4523" s="798"/>
      <c r="K4523" s="798"/>
      <c r="P4523" s="798"/>
      <c r="Q4523" s="798"/>
      <c r="R4523" s="811"/>
    </row>
    <row r="4524" customFormat="false" ht="16.5" hidden="false" customHeight="true" outlineLevel="0" collapsed="false">
      <c r="A4524" s="747"/>
      <c r="B4524" s="798"/>
      <c r="D4524" s="798"/>
      <c r="E4524" s="798"/>
      <c r="F4524" s="798"/>
      <c r="G4524" s="798"/>
      <c r="K4524" s="798"/>
      <c r="P4524" s="798"/>
      <c r="Q4524" s="798"/>
      <c r="R4524" s="811"/>
    </row>
    <row r="4525" customFormat="false" ht="16.5" hidden="false" customHeight="true" outlineLevel="0" collapsed="false">
      <c r="A4525" s="747"/>
      <c r="B4525" s="798"/>
      <c r="D4525" s="798"/>
      <c r="E4525" s="798"/>
      <c r="F4525" s="798"/>
      <c r="G4525" s="798"/>
      <c r="K4525" s="798"/>
      <c r="P4525" s="798"/>
      <c r="Q4525" s="798"/>
      <c r="R4525" s="811"/>
    </row>
    <row r="4526" customFormat="false" ht="16.5" hidden="false" customHeight="true" outlineLevel="0" collapsed="false">
      <c r="A4526" s="747"/>
      <c r="B4526" s="798"/>
      <c r="D4526" s="798"/>
      <c r="E4526" s="798"/>
      <c r="F4526" s="798"/>
      <c r="G4526" s="798"/>
      <c r="K4526" s="798"/>
      <c r="P4526" s="798"/>
      <c r="Q4526" s="798"/>
      <c r="R4526" s="811"/>
    </row>
    <row r="4527" customFormat="false" ht="16.5" hidden="false" customHeight="true" outlineLevel="0" collapsed="false">
      <c r="A4527" s="747"/>
      <c r="B4527" s="798"/>
      <c r="D4527" s="798"/>
      <c r="E4527" s="798"/>
      <c r="F4527" s="798"/>
      <c r="G4527" s="798"/>
      <c r="K4527" s="798"/>
      <c r="P4527" s="798"/>
      <c r="Q4527" s="798"/>
      <c r="R4527" s="811"/>
    </row>
    <row r="4528" customFormat="false" ht="16.5" hidden="false" customHeight="true" outlineLevel="0" collapsed="false">
      <c r="A4528" s="747"/>
      <c r="B4528" s="798"/>
      <c r="D4528" s="798"/>
      <c r="E4528" s="798"/>
      <c r="F4528" s="798"/>
      <c r="G4528" s="798"/>
      <c r="K4528" s="798"/>
      <c r="P4528" s="798"/>
      <c r="Q4528" s="798"/>
      <c r="R4528" s="811"/>
    </row>
    <row r="4529" customFormat="false" ht="16.5" hidden="false" customHeight="true" outlineLevel="0" collapsed="false">
      <c r="A4529" s="747"/>
      <c r="B4529" s="798"/>
      <c r="D4529" s="798"/>
      <c r="E4529" s="798"/>
      <c r="F4529" s="798"/>
      <c r="G4529" s="798"/>
      <c r="K4529" s="798"/>
      <c r="P4529" s="798"/>
      <c r="Q4529" s="798"/>
      <c r="R4529" s="811"/>
    </row>
    <row r="4530" customFormat="false" ht="16.5" hidden="false" customHeight="true" outlineLevel="0" collapsed="false">
      <c r="A4530" s="747"/>
      <c r="B4530" s="798"/>
      <c r="D4530" s="798"/>
      <c r="E4530" s="798"/>
      <c r="F4530" s="798"/>
      <c r="G4530" s="798"/>
      <c r="K4530" s="798"/>
      <c r="P4530" s="798"/>
      <c r="Q4530" s="798"/>
      <c r="R4530" s="811"/>
    </row>
    <row r="4531" customFormat="false" ht="16.5" hidden="false" customHeight="true" outlineLevel="0" collapsed="false">
      <c r="A4531" s="747"/>
      <c r="B4531" s="798"/>
      <c r="D4531" s="798"/>
      <c r="E4531" s="798"/>
      <c r="F4531" s="798"/>
      <c r="G4531" s="798"/>
      <c r="K4531" s="798"/>
      <c r="P4531" s="798"/>
      <c r="Q4531" s="798"/>
      <c r="R4531" s="811"/>
    </row>
    <row r="4532" customFormat="false" ht="16.5" hidden="false" customHeight="true" outlineLevel="0" collapsed="false">
      <c r="A4532" s="747"/>
      <c r="B4532" s="798"/>
      <c r="D4532" s="798"/>
      <c r="E4532" s="798"/>
      <c r="F4532" s="798"/>
      <c r="G4532" s="798"/>
      <c r="K4532" s="798"/>
      <c r="P4532" s="798"/>
      <c r="Q4532" s="798"/>
      <c r="R4532" s="811"/>
    </row>
    <row r="4533" customFormat="false" ht="16.5" hidden="false" customHeight="true" outlineLevel="0" collapsed="false">
      <c r="A4533" s="747"/>
      <c r="B4533" s="798"/>
      <c r="D4533" s="798"/>
      <c r="E4533" s="798"/>
      <c r="F4533" s="798"/>
      <c r="G4533" s="798"/>
      <c r="K4533" s="798"/>
      <c r="P4533" s="798"/>
      <c r="Q4533" s="798"/>
      <c r="R4533" s="811"/>
    </row>
    <row r="4534" customFormat="false" ht="16.5" hidden="false" customHeight="true" outlineLevel="0" collapsed="false">
      <c r="A4534" s="747"/>
      <c r="B4534" s="798"/>
      <c r="D4534" s="798"/>
      <c r="E4534" s="798"/>
      <c r="F4534" s="798"/>
      <c r="G4534" s="798"/>
      <c r="K4534" s="798"/>
      <c r="P4534" s="798"/>
      <c r="Q4534" s="798"/>
      <c r="R4534" s="811"/>
    </row>
    <row r="4535" customFormat="false" ht="16.5" hidden="false" customHeight="true" outlineLevel="0" collapsed="false">
      <c r="A4535" s="747"/>
      <c r="B4535" s="798"/>
      <c r="D4535" s="798"/>
      <c r="E4535" s="798"/>
      <c r="F4535" s="798"/>
      <c r="G4535" s="798"/>
      <c r="K4535" s="798"/>
      <c r="P4535" s="798"/>
      <c r="Q4535" s="798"/>
      <c r="R4535" s="811"/>
    </row>
    <row r="4536" customFormat="false" ht="16.5" hidden="false" customHeight="true" outlineLevel="0" collapsed="false">
      <c r="A4536" s="747"/>
      <c r="B4536" s="798"/>
      <c r="D4536" s="798"/>
      <c r="E4536" s="798"/>
      <c r="F4536" s="798"/>
      <c r="G4536" s="798"/>
      <c r="K4536" s="798"/>
      <c r="P4536" s="798"/>
      <c r="Q4536" s="798"/>
      <c r="R4536" s="811"/>
    </row>
    <row r="4537" customFormat="false" ht="16.5" hidden="false" customHeight="true" outlineLevel="0" collapsed="false">
      <c r="A4537" s="747"/>
      <c r="B4537" s="798"/>
      <c r="D4537" s="798"/>
      <c r="E4537" s="798"/>
      <c r="F4537" s="798"/>
      <c r="G4537" s="798"/>
      <c r="K4537" s="798"/>
      <c r="P4537" s="798"/>
      <c r="Q4537" s="798"/>
      <c r="R4537" s="811"/>
    </row>
    <row r="4538" customFormat="false" ht="16.5" hidden="false" customHeight="true" outlineLevel="0" collapsed="false">
      <c r="A4538" s="747"/>
      <c r="B4538" s="798"/>
      <c r="D4538" s="798"/>
      <c r="E4538" s="798"/>
      <c r="F4538" s="798"/>
      <c r="G4538" s="798"/>
      <c r="K4538" s="798"/>
      <c r="P4538" s="798"/>
      <c r="Q4538" s="798"/>
      <c r="R4538" s="811"/>
    </row>
    <row r="4539" customFormat="false" ht="16.5" hidden="false" customHeight="true" outlineLevel="0" collapsed="false">
      <c r="A4539" s="747"/>
      <c r="B4539" s="798"/>
      <c r="D4539" s="798"/>
      <c r="E4539" s="798"/>
      <c r="F4539" s="798"/>
      <c r="G4539" s="798"/>
      <c r="K4539" s="798"/>
      <c r="P4539" s="798"/>
      <c r="Q4539" s="798"/>
      <c r="R4539" s="811"/>
    </row>
    <row r="4540" customFormat="false" ht="16.5" hidden="false" customHeight="true" outlineLevel="0" collapsed="false">
      <c r="A4540" s="747"/>
      <c r="B4540" s="798"/>
      <c r="D4540" s="798"/>
      <c r="E4540" s="798"/>
      <c r="F4540" s="798"/>
      <c r="G4540" s="798"/>
      <c r="K4540" s="798"/>
      <c r="P4540" s="798"/>
      <c r="Q4540" s="798"/>
      <c r="R4540" s="811"/>
    </row>
    <row r="4541" customFormat="false" ht="16.5" hidden="false" customHeight="true" outlineLevel="0" collapsed="false">
      <c r="A4541" s="747"/>
      <c r="B4541" s="798"/>
      <c r="D4541" s="798"/>
      <c r="E4541" s="798"/>
      <c r="F4541" s="798"/>
      <c r="G4541" s="798"/>
      <c r="K4541" s="798"/>
      <c r="P4541" s="798"/>
      <c r="Q4541" s="798"/>
      <c r="R4541" s="811"/>
    </row>
    <row r="4542" customFormat="false" ht="16.5" hidden="false" customHeight="true" outlineLevel="0" collapsed="false">
      <c r="A4542" s="747"/>
      <c r="B4542" s="798"/>
      <c r="D4542" s="798"/>
      <c r="E4542" s="798"/>
      <c r="F4542" s="798"/>
      <c r="G4542" s="798"/>
      <c r="K4542" s="798"/>
      <c r="P4542" s="798"/>
      <c r="Q4542" s="798"/>
      <c r="R4542" s="811"/>
    </row>
    <row r="4543" customFormat="false" ht="16.5" hidden="false" customHeight="true" outlineLevel="0" collapsed="false">
      <c r="A4543" s="747"/>
      <c r="B4543" s="798"/>
      <c r="D4543" s="798"/>
      <c r="E4543" s="798"/>
      <c r="F4543" s="798"/>
      <c r="G4543" s="798"/>
      <c r="K4543" s="798"/>
      <c r="P4543" s="798"/>
      <c r="Q4543" s="798"/>
      <c r="R4543" s="811"/>
    </row>
    <row r="4544" customFormat="false" ht="16.5" hidden="false" customHeight="true" outlineLevel="0" collapsed="false">
      <c r="A4544" s="747"/>
      <c r="B4544" s="798"/>
      <c r="D4544" s="798"/>
      <c r="E4544" s="798"/>
      <c r="F4544" s="798"/>
      <c r="G4544" s="798"/>
      <c r="K4544" s="798"/>
      <c r="P4544" s="798"/>
      <c r="Q4544" s="798"/>
      <c r="R4544" s="811"/>
    </row>
    <row r="4545" customFormat="false" ht="16.5" hidden="false" customHeight="true" outlineLevel="0" collapsed="false">
      <c r="A4545" s="747"/>
      <c r="B4545" s="798"/>
      <c r="D4545" s="798"/>
      <c r="E4545" s="798"/>
      <c r="F4545" s="798"/>
      <c r="G4545" s="798"/>
      <c r="K4545" s="798"/>
      <c r="P4545" s="798"/>
      <c r="Q4545" s="798"/>
      <c r="R4545" s="811"/>
    </row>
    <row r="4546" customFormat="false" ht="16.5" hidden="false" customHeight="true" outlineLevel="0" collapsed="false">
      <c r="A4546" s="747"/>
      <c r="B4546" s="798"/>
      <c r="D4546" s="798"/>
      <c r="E4546" s="798"/>
      <c r="F4546" s="798"/>
      <c r="G4546" s="798"/>
      <c r="K4546" s="798"/>
      <c r="P4546" s="798"/>
      <c r="Q4546" s="798"/>
      <c r="R4546" s="811"/>
    </row>
    <row r="4547" customFormat="false" ht="16.5" hidden="false" customHeight="true" outlineLevel="0" collapsed="false">
      <c r="A4547" s="747"/>
      <c r="B4547" s="798"/>
      <c r="D4547" s="798"/>
      <c r="E4547" s="798"/>
      <c r="F4547" s="798"/>
      <c r="G4547" s="798"/>
      <c r="K4547" s="798"/>
      <c r="P4547" s="798"/>
      <c r="Q4547" s="798"/>
      <c r="R4547" s="811"/>
    </row>
    <row r="4548" customFormat="false" ht="16.5" hidden="false" customHeight="true" outlineLevel="0" collapsed="false">
      <c r="A4548" s="747"/>
      <c r="B4548" s="798"/>
      <c r="D4548" s="798"/>
      <c r="E4548" s="798"/>
      <c r="F4548" s="798"/>
      <c r="G4548" s="798"/>
      <c r="K4548" s="798"/>
      <c r="P4548" s="798"/>
      <c r="Q4548" s="798"/>
      <c r="R4548" s="811"/>
    </row>
    <row r="4549" customFormat="false" ht="16.5" hidden="false" customHeight="true" outlineLevel="0" collapsed="false">
      <c r="A4549" s="747"/>
      <c r="B4549" s="798"/>
      <c r="D4549" s="798"/>
      <c r="E4549" s="798"/>
      <c r="F4549" s="798"/>
      <c r="G4549" s="798"/>
      <c r="K4549" s="798"/>
      <c r="P4549" s="798"/>
      <c r="Q4549" s="798"/>
      <c r="R4549" s="811"/>
    </row>
    <row r="4550" customFormat="false" ht="16.5" hidden="false" customHeight="true" outlineLevel="0" collapsed="false">
      <c r="A4550" s="747"/>
      <c r="B4550" s="798"/>
      <c r="D4550" s="798"/>
      <c r="E4550" s="798"/>
      <c r="F4550" s="798"/>
      <c r="G4550" s="798"/>
      <c r="K4550" s="798"/>
      <c r="P4550" s="798"/>
      <c r="Q4550" s="798"/>
      <c r="R4550" s="811"/>
    </row>
    <row r="4551" customFormat="false" ht="16.5" hidden="false" customHeight="true" outlineLevel="0" collapsed="false">
      <c r="A4551" s="747"/>
      <c r="B4551" s="798"/>
      <c r="D4551" s="798"/>
      <c r="E4551" s="798"/>
      <c r="F4551" s="798"/>
      <c r="G4551" s="798"/>
      <c r="K4551" s="798"/>
      <c r="P4551" s="798"/>
      <c r="Q4551" s="798"/>
      <c r="R4551" s="811"/>
    </row>
    <row r="4552" customFormat="false" ht="16.5" hidden="false" customHeight="true" outlineLevel="0" collapsed="false">
      <c r="A4552" s="747"/>
      <c r="B4552" s="798"/>
      <c r="D4552" s="798"/>
      <c r="E4552" s="798"/>
      <c r="F4552" s="798"/>
      <c r="G4552" s="798"/>
      <c r="K4552" s="798"/>
      <c r="P4552" s="798"/>
      <c r="Q4552" s="798"/>
      <c r="R4552" s="811"/>
    </row>
    <row r="4553" customFormat="false" ht="16.5" hidden="false" customHeight="true" outlineLevel="0" collapsed="false">
      <c r="A4553" s="747"/>
      <c r="B4553" s="798"/>
      <c r="D4553" s="798"/>
      <c r="E4553" s="798"/>
      <c r="F4553" s="798"/>
      <c r="G4553" s="798"/>
      <c r="K4553" s="798"/>
      <c r="P4553" s="798"/>
      <c r="Q4553" s="798"/>
      <c r="R4553" s="811"/>
    </row>
    <row r="4554" customFormat="false" ht="16.5" hidden="false" customHeight="true" outlineLevel="0" collapsed="false">
      <c r="A4554" s="747"/>
      <c r="B4554" s="798"/>
      <c r="D4554" s="798"/>
      <c r="E4554" s="798"/>
      <c r="F4554" s="798"/>
      <c r="G4554" s="798"/>
      <c r="K4554" s="798"/>
      <c r="P4554" s="798"/>
      <c r="Q4554" s="798"/>
      <c r="R4554" s="811"/>
    </row>
    <row r="4555" customFormat="false" ht="16.5" hidden="false" customHeight="true" outlineLevel="0" collapsed="false">
      <c r="A4555" s="747"/>
      <c r="B4555" s="798"/>
      <c r="D4555" s="798"/>
      <c r="E4555" s="798"/>
      <c r="F4555" s="798"/>
      <c r="G4555" s="798"/>
      <c r="K4555" s="798"/>
      <c r="P4555" s="798"/>
      <c r="Q4555" s="798"/>
      <c r="R4555" s="811"/>
    </row>
    <row r="4556" customFormat="false" ht="16.5" hidden="false" customHeight="true" outlineLevel="0" collapsed="false">
      <c r="A4556" s="747"/>
      <c r="B4556" s="798"/>
      <c r="D4556" s="798"/>
      <c r="E4556" s="798"/>
      <c r="F4556" s="798"/>
      <c r="G4556" s="798"/>
      <c r="K4556" s="798"/>
      <c r="P4556" s="798"/>
      <c r="Q4556" s="798"/>
      <c r="R4556" s="811"/>
    </row>
    <row r="4557" customFormat="false" ht="16.5" hidden="false" customHeight="true" outlineLevel="0" collapsed="false">
      <c r="A4557" s="747"/>
      <c r="B4557" s="798"/>
      <c r="D4557" s="798"/>
      <c r="E4557" s="798"/>
      <c r="F4557" s="798"/>
      <c r="G4557" s="798"/>
      <c r="K4557" s="798"/>
      <c r="P4557" s="798"/>
      <c r="Q4557" s="798"/>
      <c r="R4557" s="811"/>
    </row>
    <row r="4558" customFormat="false" ht="16.5" hidden="false" customHeight="true" outlineLevel="0" collapsed="false">
      <c r="A4558" s="747"/>
      <c r="B4558" s="798"/>
      <c r="D4558" s="798"/>
      <c r="E4558" s="798"/>
      <c r="F4558" s="798"/>
      <c r="G4558" s="798"/>
      <c r="K4558" s="798"/>
      <c r="P4558" s="798"/>
      <c r="Q4558" s="798"/>
      <c r="R4558" s="811"/>
    </row>
    <row r="4559" customFormat="false" ht="16.5" hidden="false" customHeight="true" outlineLevel="0" collapsed="false">
      <c r="A4559" s="747"/>
      <c r="B4559" s="798"/>
      <c r="D4559" s="798"/>
      <c r="E4559" s="798"/>
      <c r="F4559" s="798"/>
      <c r="G4559" s="798"/>
      <c r="K4559" s="798"/>
      <c r="P4559" s="798"/>
      <c r="Q4559" s="798"/>
      <c r="R4559" s="811"/>
    </row>
    <row r="4560" customFormat="false" ht="16.5" hidden="false" customHeight="true" outlineLevel="0" collapsed="false">
      <c r="A4560" s="747"/>
      <c r="B4560" s="798"/>
      <c r="D4560" s="798"/>
      <c r="E4560" s="798"/>
      <c r="F4560" s="798"/>
      <c r="G4560" s="798"/>
      <c r="K4560" s="798"/>
      <c r="P4560" s="798"/>
      <c r="Q4560" s="798"/>
      <c r="R4560" s="811"/>
    </row>
    <row r="4561" customFormat="false" ht="16.5" hidden="false" customHeight="true" outlineLevel="0" collapsed="false">
      <c r="A4561" s="747"/>
      <c r="B4561" s="798"/>
      <c r="D4561" s="798"/>
      <c r="E4561" s="798"/>
      <c r="F4561" s="798"/>
      <c r="G4561" s="798"/>
      <c r="K4561" s="798"/>
      <c r="P4561" s="798"/>
      <c r="Q4561" s="798"/>
      <c r="R4561" s="811"/>
    </row>
    <row r="4562" customFormat="false" ht="16.5" hidden="false" customHeight="true" outlineLevel="0" collapsed="false">
      <c r="A4562" s="747"/>
      <c r="B4562" s="798"/>
      <c r="D4562" s="798"/>
      <c r="E4562" s="798"/>
      <c r="F4562" s="798"/>
      <c r="G4562" s="798"/>
      <c r="K4562" s="798"/>
      <c r="P4562" s="798"/>
      <c r="Q4562" s="798"/>
      <c r="R4562" s="811"/>
    </row>
    <row r="4563" customFormat="false" ht="16.5" hidden="false" customHeight="true" outlineLevel="0" collapsed="false">
      <c r="A4563" s="747"/>
      <c r="B4563" s="798"/>
      <c r="D4563" s="798"/>
      <c r="E4563" s="798"/>
      <c r="F4563" s="798"/>
      <c r="G4563" s="798"/>
      <c r="K4563" s="798"/>
      <c r="P4563" s="798"/>
      <c r="Q4563" s="798"/>
      <c r="R4563" s="811"/>
    </row>
    <row r="4564" customFormat="false" ht="16.5" hidden="false" customHeight="true" outlineLevel="0" collapsed="false">
      <c r="A4564" s="747"/>
      <c r="B4564" s="798"/>
      <c r="D4564" s="798"/>
      <c r="E4564" s="798"/>
      <c r="F4564" s="798"/>
      <c r="G4564" s="798"/>
      <c r="K4564" s="798"/>
      <c r="P4564" s="798"/>
      <c r="Q4564" s="798"/>
      <c r="R4564" s="811"/>
    </row>
    <row r="4565" customFormat="false" ht="16.5" hidden="false" customHeight="true" outlineLevel="0" collapsed="false">
      <c r="A4565" s="747"/>
      <c r="B4565" s="798"/>
      <c r="D4565" s="798"/>
      <c r="E4565" s="798"/>
      <c r="F4565" s="798"/>
      <c r="G4565" s="798"/>
      <c r="K4565" s="798"/>
      <c r="P4565" s="798"/>
      <c r="Q4565" s="798"/>
      <c r="R4565" s="811"/>
    </row>
    <row r="4566" customFormat="false" ht="16.5" hidden="false" customHeight="true" outlineLevel="0" collapsed="false">
      <c r="A4566" s="747"/>
      <c r="B4566" s="798"/>
      <c r="D4566" s="798"/>
      <c r="E4566" s="798"/>
      <c r="F4566" s="798"/>
      <c r="G4566" s="798"/>
      <c r="K4566" s="798"/>
      <c r="P4566" s="798"/>
      <c r="Q4566" s="798"/>
      <c r="R4566" s="811"/>
    </row>
    <row r="4567" customFormat="false" ht="16.5" hidden="false" customHeight="true" outlineLevel="0" collapsed="false">
      <c r="A4567" s="747"/>
      <c r="B4567" s="798"/>
      <c r="D4567" s="798"/>
      <c r="E4567" s="798"/>
      <c r="F4567" s="798"/>
      <c r="G4567" s="798"/>
      <c r="K4567" s="798"/>
      <c r="P4567" s="798"/>
      <c r="Q4567" s="798"/>
      <c r="R4567" s="811"/>
    </row>
    <row r="4568" customFormat="false" ht="16.5" hidden="false" customHeight="true" outlineLevel="0" collapsed="false">
      <c r="A4568" s="747"/>
      <c r="B4568" s="798"/>
      <c r="D4568" s="798"/>
      <c r="E4568" s="798"/>
      <c r="F4568" s="798"/>
      <c r="G4568" s="798"/>
      <c r="K4568" s="798"/>
      <c r="P4568" s="798"/>
      <c r="Q4568" s="798"/>
      <c r="R4568" s="811"/>
    </row>
    <row r="4569" customFormat="false" ht="16.5" hidden="false" customHeight="true" outlineLevel="0" collapsed="false">
      <c r="A4569" s="747"/>
      <c r="B4569" s="798"/>
      <c r="D4569" s="798"/>
      <c r="E4569" s="798"/>
      <c r="F4569" s="798"/>
      <c r="G4569" s="798"/>
      <c r="K4569" s="798"/>
      <c r="P4569" s="798"/>
      <c r="Q4569" s="798"/>
      <c r="R4569" s="811"/>
    </row>
    <row r="4570" customFormat="false" ht="16.5" hidden="false" customHeight="true" outlineLevel="0" collapsed="false">
      <c r="A4570" s="747"/>
      <c r="B4570" s="798"/>
      <c r="D4570" s="798"/>
      <c r="E4570" s="798"/>
      <c r="F4570" s="798"/>
      <c r="G4570" s="798"/>
      <c r="K4570" s="798"/>
      <c r="P4570" s="798"/>
      <c r="Q4570" s="798"/>
      <c r="R4570" s="811"/>
    </row>
    <row r="4571" customFormat="false" ht="16.5" hidden="false" customHeight="true" outlineLevel="0" collapsed="false">
      <c r="A4571" s="747"/>
      <c r="B4571" s="798"/>
      <c r="D4571" s="798"/>
      <c r="E4571" s="798"/>
      <c r="F4571" s="798"/>
      <c r="G4571" s="798"/>
      <c r="K4571" s="798"/>
      <c r="P4571" s="798"/>
      <c r="Q4571" s="798"/>
      <c r="R4571" s="811"/>
    </row>
    <row r="4572" customFormat="false" ht="16.5" hidden="false" customHeight="true" outlineLevel="0" collapsed="false">
      <c r="A4572" s="747"/>
      <c r="B4572" s="798"/>
      <c r="D4572" s="798"/>
      <c r="E4572" s="798"/>
      <c r="F4572" s="798"/>
      <c r="G4572" s="798"/>
      <c r="K4572" s="798"/>
      <c r="P4572" s="798"/>
      <c r="Q4572" s="798"/>
      <c r="R4572" s="811"/>
    </row>
    <row r="4573" customFormat="false" ht="16.5" hidden="false" customHeight="true" outlineLevel="0" collapsed="false">
      <c r="A4573" s="747"/>
      <c r="B4573" s="798"/>
      <c r="D4573" s="798"/>
      <c r="E4573" s="798"/>
      <c r="F4573" s="798"/>
      <c r="G4573" s="798"/>
      <c r="K4573" s="798"/>
      <c r="P4573" s="798"/>
      <c r="Q4573" s="798"/>
      <c r="R4573" s="811"/>
    </row>
    <row r="4574" customFormat="false" ht="16.5" hidden="false" customHeight="true" outlineLevel="0" collapsed="false">
      <c r="A4574" s="747"/>
      <c r="B4574" s="798"/>
      <c r="D4574" s="798"/>
      <c r="E4574" s="798"/>
      <c r="F4574" s="798"/>
      <c r="G4574" s="798"/>
      <c r="K4574" s="798"/>
      <c r="P4574" s="798"/>
      <c r="Q4574" s="798"/>
      <c r="R4574" s="811"/>
    </row>
    <row r="4575" customFormat="false" ht="16.5" hidden="false" customHeight="true" outlineLevel="0" collapsed="false">
      <c r="A4575" s="747"/>
      <c r="B4575" s="798"/>
      <c r="D4575" s="798"/>
      <c r="E4575" s="798"/>
      <c r="F4575" s="798"/>
      <c r="G4575" s="798"/>
      <c r="K4575" s="798"/>
      <c r="P4575" s="798"/>
      <c r="Q4575" s="798"/>
      <c r="R4575" s="811"/>
    </row>
    <row r="4576" customFormat="false" ht="16.5" hidden="false" customHeight="true" outlineLevel="0" collapsed="false">
      <c r="A4576" s="747"/>
      <c r="B4576" s="798"/>
      <c r="D4576" s="798"/>
      <c r="E4576" s="798"/>
      <c r="F4576" s="798"/>
      <c r="G4576" s="798"/>
      <c r="K4576" s="798"/>
      <c r="P4576" s="798"/>
      <c r="Q4576" s="798"/>
      <c r="R4576" s="811"/>
    </row>
    <row r="4577" customFormat="false" ht="16.5" hidden="false" customHeight="true" outlineLevel="0" collapsed="false">
      <c r="A4577" s="747"/>
      <c r="B4577" s="798"/>
      <c r="D4577" s="798"/>
      <c r="E4577" s="798"/>
      <c r="F4577" s="798"/>
      <c r="G4577" s="798"/>
      <c r="K4577" s="798"/>
      <c r="P4577" s="798"/>
      <c r="Q4577" s="798"/>
      <c r="R4577" s="811"/>
    </row>
    <row r="4578" customFormat="false" ht="16.5" hidden="false" customHeight="true" outlineLevel="0" collapsed="false">
      <c r="A4578" s="747"/>
      <c r="B4578" s="798"/>
      <c r="D4578" s="798"/>
      <c r="E4578" s="798"/>
      <c r="F4578" s="798"/>
      <c r="G4578" s="798"/>
      <c r="K4578" s="798"/>
      <c r="P4578" s="798"/>
      <c r="Q4578" s="798"/>
      <c r="R4578" s="811"/>
    </row>
    <row r="4579" customFormat="false" ht="16.5" hidden="false" customHeight="true" outlineLevel="0" collapsed="false">
      <c r="A4579" s="747"/>
      <c r="B4579" s="798"/>
      <c r="D4579" s="798"/>
      <c r="E4579" s="798"/>
      <c r="F4579" s="798"/>
      <c r="G4579" s="798"/>
      <c r="K4579" s="798"/>
      <c r="P4579" s="798"/>
      <c r="Q4579" s="798"/>
      <c r="R4579" s="811"/>
    </row>
    <row r="4580" customFormat="false" ht="16.5" hidden="false" customHeight="true" outlineLevel="0" collapsed="false">
      <c r="A4580" s="747"/>
      <c r="B4580" s="798"/>
      <c r="D4580" s="798"/>
      <c r="E4580" s="798"/>
      <c r="F4580" s="798"/>
      <c r="G4580" s="798"/>
      <c r="K4580" s="798"/>
      <c r="P4580" s="798"/>
      <c r="Q4580" s="798"/>
      <c r="R4580" s="811"/>
    </row>
    <row r="4581" customFormat="false" ht="16.5" hidden="false" customHeight="true" outlineLevel="0" collapsed="false">
      <c r="A4581" s="747"/>
      <c r="B4581" s="798"/>
      <c r="D4581" s="798"/>
      <c r="E4581" s="798"/>
      <c r="F4581" s="798"/>
      <c r="G4581" s="798"/>
      <c r="K4581" s="798"/>
      <c r="P4581" s="798"/>
      <c r="Q4581" s="798"/>
      <c r="R4581" s="811"/>
    </row>
    <row r="4582" customFormat="false" ht="16.5" hidden="false" customHeight="true" outlineLevel="0" collapsed="false">
      <c r="A4582" s="747"/>
      <c r="B4582" s="798"/>
      <c r="D4582" s="798"/>
      <c r="E4582" s="798"/>
      <c r="F4582" s="798"/>
      <c r="G4582" s="798"/>
      <c r="K4582" s="798"/>
      <c r="P4582" s="798"/>
      <c r="Q4582" s="798"/>
      <c r="R4582" s="811"/>
    </row>
    <row r="4583" customFormat="false" ht="16.5" hidden="false" customHeight="true" outlineLevel="0" collapsed="false">
      <c r="A4583" s="747"/>
      <c r="B4583" s="798"/>
      <c r="D4583" s="798"/>
      <c r="E4583" s="798"/>
      <c r="F4583" s="798"/>
      <c r="G4583" s="798"/>
      <c r="K4583" s="798"/>
      <c r="P4583" s="798"/>
      <c r="Q4583" s="798"/>
      <c r="R4583" s="811"/>
    </row>
    <row r="4584" customFormat="false" ht="16.5" hidden="false" customHeight="true" outlineLevel="0" collapsed="false">
      <c r="A4584" s="747"/>
      <c r="B4584" s="798"/>
      <c r="D4584" s="798"/>
      <c r="E4584" s="798"/>
      <c r="F4584" s="798"/>
      <c r="G4584" s="798"/>
      <c r="K4584" s="798"/>
      <c r="P4584" s="798"/>
      <c r="Q4584" s="798"/>
      <c r="R4584" s="811"/>
    </row>
    <row r="4585" customFormat="false" ht="16.5" hidden="false" customHeight="true" outlineLevel="0" collapsed="false">
      <c r="A4585" s="747"/>
      <c r="B4585" s="798"/>
      <c r="D4585" s="798"/>
      <c r="E4585" s="798"/>
      <c r="F4585" s="798"/>
      <c r="G4585" s="798"/>
      <c r="K4585" s="798"/>
      <c r="P4585" s="798"/>
      <c r="Q4585" s="798"/>
      <c r="R4585" s="811"/>
    </row>
    <row r="4586" customFormat="false" ht="16.5" hidden="false" customHeight="true" outlineLevel="0" collapsed="false">
      <c r="A4586" s="747"/>
      <c r="B4586" s="798"/>
      <c r="D4586" s="798"/>
      <c r="E4586" s="798"/>
      <c r="F4586" s="798"/>
      <c r="G4586" s="798"/>
      <c r="K4586" s="798"/>
      <c r="P4586" s="798"/>
      <c r="Q4586" s="798"/>
      <c r="R4586" s="811"/>
    </row>
    <row r="4587" customFormat="false" ht="16.5" hidden="false" customHeight="true" outlineLevel="0" collapsed="false">
      <c r="A4587" s="747"/>
      <c r="B4587" s="798"/>
      <c r="D4587" s="798"/>
      <c r="E4587" s="798"/>
      <c r="F4587" s="798"/>
      <c r="G4587" s="798"/>
      <c r="K4587" s="798"/>
      <c r="P4587" s="798"/>
      <c r="Q4587" s="798"/>
      <c r="R4587" s="811"/>
    </row>
    <row r="4588" customFormat="false" ht="16.5" hidden="false" customHeight="true" outlineLevel="0" collapsed="false">
      <c r="A4588" s="747"/>
      <c r="B4588" s="798"/>
      <c r="D4588" s="798"/>
      <c r="E4588" s="798"/>
      <c r="F4588" s="798"/>
      <c r="G4588" s="798"/>
      <c r="K4588" s="798"/>
      <c r="P4588" s="798"/>
      <c r="Q4588" s="798"/>
      <c r="R4588" s="811"/>
    </row>
    <row r="4589" customFormat="false" ht="16.5" hidden="false" customHeight="true" outlineLevel="0" collapsed="false">
      <c r="A4589" s="747"/>
      <c r="B4589" s="798"/>
      <c r="D4589" s="798"/>
      <c r="E4589" s="798"/>
      <c r="F4589" s="798"/>
      <c r="G4589" s="798"/>
      <c r="K4589" s="798"/>
      <c r="P4589" s="798"/>
      <c r="Q4589" s="798"/>
      <c r="R4589" s="811"/>
    </row>
    <row r="4590" customFormat="false" ht="16.5" hidden="false" customHeight="true" outlineLevel="0" collapsed="false">
      <c r="A4590" s="747"/>
      <c r="B4590" s="798"/>
      <c r="D4590" s="798"/>
      <c r="E4590" s="798"/>
      <c r="F4590" s="798"/>
      <c r="G4590" s="798"/>
      <c r="K4590" s="798"/>
      <c r="P4590" s="798"/>
      <c r="Q4590" s="798"/>
      <c r="R4590" s="811"/>
    </row>
    <row r="4591" customFormat="false" ht="16.5" hidden="false" customHeight="true" outlineLevel="0" collapsed="false">
      <c r="A4591" s="747"/>
      <c r="B4591" s="798"/>
      <c r="D4591" s="798"/>
      <c r="E4591" s="798"/>
      <c r="F4591" s="798"/>
      <c r="G4591" s="798"/>
      <c r="K4591" s="798"/>
      <c r="P4591" s="798"/>
      <c r="Q4591" s="798"/>
      <c r="R4591" s="811"/>
    </row>
    <row r="4592" customFormat="false" ht="16.5" hidden="false" customHeight="true" outlineLevel="0" collapsed="false">
      <c r="A4592" s="747"/>
      <c r="B4592" s="798"/>
      <c r="D4592" s="798"/>
      <c r="E4592" s="798"/>
      <c r="F4592" s="798"/>
      <c r="G4592" s="798"/>
      <c r="K4592" s="798"/>
      <c r="P4592" s="798"/>
      <c r="Q4592" s="798"/>
      <c r="R4592" s="811"/>
    </row>
    <row r="4593" customFormat="false" ht="16.5" hidden="false" customHeight="true" outlineLevel="0" collapsed="false">
      <c r="A4593" s="747"/>
      <c r="B4593" s="798"/>
      <c r="D4593" s="798"/>
      <c r="E4593" s="798"/>
      <c r="F4593" s="798"/>
      <c r="G4593" s="798"/>
      <c r="K4593" s="798"/>
      <c r="P4593" s="798"/>
      <c r="Q4593" s="798"/>
      <c r="R4593" s="811"/>
    </row>
    <row r="4594" customFormat="false" ht="16.5" hidden="false" customHeight="true" outlineLevel="0" collapsed="false">
      <c r="A4594" s="747"/>
      <c r="B4594" s="798"/>
      <c r="D4594" s="798"/>
      <c r="E4594" s="798"/>
      <c r="F4594" s="798"/>
      <c r="G4594" s="798"/>
      <c r="K4594" s="798"/>
      <c r="P4594" s="798"/>
      <c r="Q4594" s="798"/>
      <c r="R4594" s="811"/>
    </row>
    <row r="4595" customFormat="false" ht="16.5" hidden="false" customHeight="true" outlineLevel="0" collapsed="false">
      <c r="A4595" s="747"/>
      <c r="B4595" s="798"/>
      <c r="D4595" s="798"/>
      <c r="E4595" s="798"/>
      <c r="F4595" s="798"/>
      <c r="G4595" s="798"/>
      <c r="K4595" s="798"/>
      <c r="P4595" s="798"/>
      <c r="Q4595" s="798"/>
      <c r="R4595" s="811"/>
    </row>
    <row r="4596" customFormat="false" ht="16.5" hidden="false" customHeight="true" outlineLevel="0" collapsed="false">
      <c r="A4596" s="747"/>
      <c r="B4596" s="798"/>
      <c r="D4596" s="798"/>
      <c r="E4596" s="798"/>
      <c r="F4596" s="798"/>
      <c r="G4596" s="798"/>
      <c r="K4596" s="798"/>
      <c r="P4596" s="798"/>
      <c r="Q4596" s="798"/>
      <c r="R4596" s="811"/>
    </row>
    <row r="4597" customFormat="false" ht="16.5" hidden="false" customHeight="true" outlineLevel="0" collapsed="false">
      <c r="A4597" s="747"/>
      <c r="B4597" s="798"/>
      <c r="D4597" s="798"/>
      <c r="E4597" s="798"/>
      <c r="F4597" s="798"/>
      <c r="G4597" s="798"/>
      <c r="K4597" s="798"/>
      <c r="P4597" s="798"/>
      <c r="Q4597" s="798"/>
      <c r="R4597" s="811"/>
    </row>
    <row r="4598" customFormat="false" ht="16.5" hidden="false" customHeight="true" outlineLevel="0" collapsed="false">
      <c r="A4598" s="747"/>
      <c r="B4598" s="798"/>
      <c r="D4598" s="798"/>
      <c r="E4598" s="798"/>
      <c r="F4598" s="798"/>
      <c r="G4598" s="798"/>
      <c r="K4598" s="798"/>
      <c r="P4598" s="798"/>
      <c r="Q4598" s="798"/>
      <c r="R4598" s="811"/>
    </row>
    <row r="4599" customFormat="false" ht="16.5" hidden="false" customHeight="true" outlineLevel="0" collapsed="false">
      <c r="A4599" s="747"/>
      <c r="B4599" s="798"/>
      <c r="D4599" s="798"/>
      <c r="E4599" s="798"/>
      <c r="F4599" s="798"/>
      <c r="G4599" s="798"/>
      <c r="K4599" s="798"/>
      <c r="P4599" s="798"/>
      <c r="Q4599" s="798"/>
      <c r="R4599" s="811"/>
    </row>
    <row r="4600" customFormat="false" ht="16.5" hidden="false" customHeight="true" outlineLevel="0" collapsed="false">
      <c r="A4600" s="747"/>
      <c r="B4600" s="798"/>
      <c r="D4600" s="798"/>
      <c r="E4600" s="798"/>
      <c r="F4600" s="798"/>
      <c r="G4600" s="798"/>
      <c r="K4600" s="798"/>
      <c r="P4600" s="798"/>
      <c r="Q4600" s="798"/>
      <c r="R4600" s="811"/>
    </row>
    <row r="4601" customFormat="false" ht="16.5" hidden="false" customHeight="true" outlineLevel="0" collapsed="false">
      <c r="A4601" s="747"/>
      <c r="B4601" s="798"/>
      <c r="D4601" s="798"/>
      <c r="E4601" s="798"/>
      <c r="F4601" s="798"/>
      <c r="G4601" s="798"/>
      <c r="K4601" s="798"/>
      <c r="P4601" s="798"/>
      <c r="Q4601" s="798"/>
      <c r="R4601" s="811"/>
    </row>
    <row r="4602" customFormat="false" ht="16.5" hidden="false" customHeight="true" outlineLevel="0" collapsed="false">
      <c r="A4602" s="747"/>
      <c r="B4602" s="798"/>
      <c r="D4602" s="798"/>
      <c r="E4602" s="798"/>
      <c r="F4602" s="798"/>
      <c r="G4602" s="798"/>
      <c r="K4602" s="798"/>
      <c r="P4602" s="798"/>
      <c r="Q4602" s="798"/>
      <c r="R4602" s="811"/>
    </row>
    <row r="4603" customFormat="false" ht="16.5" hidden="false" customHeight="true" outlineLevel="0" collapsed="false">
      <c r="A4603" s="747"/>
      <c r="B4603" s="798"/>
      <c r="D4603" s="798"/>
      <c r="E4603" s="798"/>
      <c r="F4603" s="798"/>
      <c r="G4603" s="798"/>
      <c r="K4603" s="798"/>
      <c r="P4603" s="798"/>
      <c r="Q4603" s="798"/>
      <c r="R4603" s="811"/>
    </row>
    <row r="4604" customFormat="false" ht="16.5" hidden="false" customHeight="true" outlineLevel="0" collapsed="false">
      <c r="A4604" s="747"/>
      <c r="B4604" s="798"/>
      <c r="D4604" s="798"/>
      <c r="E4604" s="798"/>
      <c r="F4604" s="798"/>
      <c r="G4604" s="798"/>
      <c r="K4604" s="798"/>
      <c r="P4604" s="798"/>
      <c r="Q4604" s="798"/>
      <c r="R4604" s="811"/>
    </row>
    <row r="4605" customFormat="false" ht="16.5" hidden="false" customHeight="true" outlineLevel="0" collapsed="false">
      <c r="A4605" s="747"/>
      <c r="B4605" s="798"/>
      <c r="D4605" s="798"/>
      <c r="E4605" s="798"/>
      <c r="F4605" s="798"/>
      <c r="G4605" s="798"/>
      <c r="K4605" s="798"/>
      <c r="P4605" s="798"/>
      <c r="Q4605" s="798"/>
      <c r="R4605" s="811"/>
    </row>
    <row r="4606" customFormat="false" ht="16.5" hidden="false" customHeight="true" outlineLevel="0" collapsed="false">
      <c r="A4606" s="747"/>
      <c r="B4606" s="798"/>
      <c r="D4606" s="798"/>
      <c r="E4606" s="798"/>
      <c r="F4606" s="798"/>
      <c r="G4606" s="798"/>
      <c r="K4606" s="798"/>
      <c r="P4606" s="798"/>
      <c r="Q4606" s="798"/>
      <c r="R4606" s="811"/>
    </row>
    <row r="4607" customFormat="false" ht="16.5" hidden="false" customHeight="true" outlineLevel="0" collapsed="false">
      <c r="A4607" s="747"/>
      <c r="B4607" s="798"/>
      <c r="D4607" s="798"/>
      <c r="E4607" s="798"/>
      <c r="F4607" s="798"/>
      <c r="G4607" s="798"/>
      <c r="K4607" s="798"/>
      <c r="P4607" s="798"/>
      <c r="Q4607" s="798"/>
      <c r="R4607" s="811"/>
    </row>
    <row r="4608" customFormat="false" ht="16.5" hidden="false" customHeight="true" outlineLevel="0" collapsed="false">
      <c r="A4608" s="747"/>
      <c r="B4608" s="798"/>
      <c r="D4608" s="798"/>
      <c r="E4608" s="798"/>
      <c r="F4608" s="798"/>
      <c r="G4608" s="798"/>
      <c r="K4608" s="798"/>
      <c r="P4608" s="798"/>
      <c r="Q4608" s="798"/>
      <c r="R4608" s="811"/>
    </row>
    <row r="4609" customFormat="false" ht="16.5" hidden="false" customHeight="true" outlineLevel="0" collapsed="false">
      <c r="A4609" s="747"/>
      <c r="B4609" s="798"/>
      <c r="D4609" s="798"/>
      <c r="E4609" s="798"/>
      <c r="F4609" s="798"/>
      <c r="G4609" s="798"/>
      <c r="K4609" s="798"/>
      <c r="P4609" s="798"/>
      <c r="Q4609" s="798"/>
      <c r="R4609" s="811"/>
    </row>
    <row r="4610" customFormat="false" ht="16.5" hidden="false" customHeight="true" outlineLevel="0" collapsed="false">
      <c r="A4610" s="747"/>
      <c r="B4610" s="798"/>
      <c r="D4610" s="798"/>
      <c r="E4610" s="798"/>
      <c r="F4610" s="798"/>
      <c r="G4610" s="798"/>
      <c r="K4610" s="798"/>
      <c r="P4610" s="798"/>
      <c r="Q4610" s="798"/>
      <c r="R4610" s="811"/>
    </row>
    <row r="4611" customFormat="false" ht="16.5" hidden="false" customHeight="true" outlineLevel="0" collapsed="false">
      <c r="A4611" s="747"/>
      <c r="B4611" s="798"/>
      <c r="D4611" s="798"/>
      <c r="E4611" s="798"/>
      <c r="F4611" s="798"/>
      <c r="G4611" s="798"/>
      <c r="K4611" s="798"/>
      <c r="P4611" s="798"/>
      <c r="Q4611" s="798"/>
      <c r="R4611" s="811"/>
    </row>
    <row r="4612" customFormat="false" ht="16.5" hidden="false" customHeight="true" outlineLevel="0" collapsed="false">
      <c r="A4612" s="747"/>
      <c r="B4612" s="798"/>
      <c r="D4612" s="798"/>
      <c r="E4612" s="798"/>
      <c r="F4612" s="798"/>
      <c r="G4612" s="798"/>
      <c r="K4612" s="798"/>
      <c r="P4612" s="798"/>
      <c r="Q4612" s="798"/>
      <c r="R4612" s="811"/>
    </row>
    <row r="4613" customFormat="false" ht="16.5" hidden="false" customHeight="true" outlineLevel="0" collapsed="false">
      <c r="A4613" s="747"/>
      <c r="B4613" s="798"/>
      <c r="D4613" s="798"/>
      <c r="E4613" s="798"/>
      <c r="F4613" s="798"/>
      <c r="G4613" s="798"/>
      <c r="K4613" s="798"/>
      <c r="P4613" s="798"/>
      <c r="Q4613" s="798"/>
      <c r="R4613" s="811"/>
    </row>
    <row r="4614" customFormat="false" ht="16.5" hidden="false" customHeight="true" outlineLevel="0" collapsed="false">
      <c r="A4614" s="747"/>
      <c r="B4614" s="798"/>
      <c r="D4614" s="798"/>
      <c r="E4614" s="798"/>
      <c r="F4614" s="798"/>
      <c r="G4614" s="798"/>
      <c r="K4614" s="798"/>
      <c r="P4614" s="798"/>
      <c r="Q4614" s="798"/>
      <c r="R4614" s="811"/>
    </row>
    <row r="4615" customFormat="false" ht="16.5" hidden="false" customHeight="true" outlineLevel="0" collapsed="false">
      <c r="A4615" s="747"/>
      <c r="B4615" s="798"/>
      <c r="D4615" s="798"/>
      <c r="E4615" s="798"/>
      <c r="F4615" s="798"/>
      <c r="G4615" s="798"/>
      <c r="K4615" s="798"/>
      <c r="P4615" s="798"/>
      <c r="Q4615" s="798"/>
      <c r="R4615" s="811"/>
    </row>
    <row r="4616" customFormat="false" ht="16.5" hidden="false" customHeight="true" outlineLevel="0" collapsed="false">
      <c r="A4616" s="747"/>
      <c r="B4616" s="798"/>
      <c r="D4616" s="798"/>
      <c r="E4616" s="798"/>
      <c r="F4616" s="798"/>
      <c r="G4616" s="798"/>
      <c r="K4616" s="798"/>
      <c r="P4616" s="798"/>
      <c r="Q4616" s="798"/>
      <c r="R4616" s="811"/>
    </row>
    <row r="4617" customFormat="false" ht="16.5" hidden="false" customHeight="true" outlineLevel="0" collapsed="false">
      <c r="A4617" s="747"/>
      <c r="B4617" s="798"/>
      <c r="D4617" s="798"/>
      <c r="E4617" s="798"/>
      <c r="F4617" s="798"/>
      <c r="G4617" s="798"/>
      <c r="K4617" s="798"/>
      <c r="P4617" s="798"/>
      <c r="Q4617" s="798"/>
      <c r="R4617" s="811"/>
    </row>
    <row r="4618" customFormat="false" ht="16.5" hidden="false" customHeight="true" outlineLevel="0" collapsed="false">
      <c r="A4618" s="747"/>
      <c r="B4618" s="798"/>
      <c r="D4618" s="798"/>
      <c r="E4618" s="798"/>
      <c r="F4618" s="798"/>
      <c r="G4618" s="798"/>
      <c r="K4618" s="798"/>
      <c r="P4618" s="798"/>
      <c r="Q4618" s="798"/>
      <c r="R4618" s="811"/>
    </row>
    <row r="4619" customFormat="false" ht="16.5" hidden="false" customHeight="true" outlineLevel="0" collapsed="false">
      <c r="A4619" s="747"/>
      <c r="B4619" s="798"/>
      <c r="D4619" s="798"/>
      <c r="E4619" s="798"/>
      <c r="F4619" s="798"/>
      <c r="G4619" s="798"/>
      <c r="K4619" s="798"/>
      <c r="P4619" s="798"/>
      <c r="Q4619" s="798"/>
      <c r="R4619" s="811"/>
    </row>
    <row r="4620" customFormat="false" ht="16.5" hidden="false" customHeight="true" outlineLevel="0" collapsed="false">
      <c r="A4620" s="747"/>
      <c r="B4620" s="798"/>
      <c r="D4620" s="798"/>
      <c r="E4620" s="798"/>
      <c r="F4620" s="798"/>
      <c r="G4620" s="798"/>
      <c r="K4620" s="798"/>
      <c r="P4620" s="798"/>
      <c r="Q4620" s="798"/>
      <c r="R4620" s="811"/>
    </row>
    <row r="4621" customFormat="false" ht="16.5" hidden="false" customHeight="true" outlineLevel="0" collapsed="false">
      <c r="A4621" s="747"/>
      <c r="B4621" s="798"/>
      <c r="D4621" s="798"/>
      <c r="E4621" s="798"/>
      <c r="F4621" s="798"/>
      <c r="G4621" s="798"/>
      <c r="K4621" s="798"/>
      <c r="P4621" s="798"/>
      <c r="Q4621" s="798"/>
      <c r="R4621" s="811"/>
    </row>
    <row r="4622" customFormat="false" ht="16.5" hidden="false" customHeight="true" outlineLevel="0" collapsed="false">
      <c r="A4622" s="747"/>
      <c r="B4622" s="798"/>
      <c r="D4622" s="798"/>
      <c r="E4622" s="798"/>
      <c r="F4622" s="798"/>
      <c r="G4622" s="798"/>
      <c r="K4622" s="798"/>
      <c r="P4622" s="798"/>
      <c r="Q4622" s="798"/>
      <c r="R4622" s="811"/>
    </row>
    <row r="4623" customFormat="false" ht="16.5" hidden="false" customHeight="true" outlineLevel="0" collapsed="false">
      <c r="A4623" s="747"/>
      <c r="B4623" s="798"/>
      <c r="D4623" s="798"/>
      <c r="E4623" s="798"/>
      <c r="F4623" s="798"/>
      <c r="G4623" s="798"/>
      <c r="K4623" s="798"/>
      <c r="P4623" s="798"/>
      <c r="Q4623" s="798"/>
      <c r="R4623" s="811"/>
    </row>
    <row r="4624" customFormat="false" ht="16.5" hidden="false" customHeight="true" outlineLevel="0" collapsed="false">
      <c r="A4624" s="747"/>
      <c r="B4624" s="798"/>
      <c r="D4624" s="798"/>
      <c r="E4624" s="798"/>
      <c r="F4624" s="798"/>
      <c r="G4624" s="798"/>
      <c r="K4624" s="798"/>
      <c r="P4624" s="798"/>
      <c r="Q4624" s="798"/>
      <c r="R4624" s="811"/>
    </row>
    <row r="4625" customFormat="false" ht="16.5" hidden="false" customHeight="true" outlineLevel="0" collapsed="false">
      <c r="A4625" s="747"/>
      <c r="B4625" s="798"/>
      <c r="D4625" s="798"/>
      <c r="E4625" s="798"/>
      <c r="F4625" s="798"/>
      <c r="G4625" s="798"/>
      <c r="K4625" s="798"/>
      <c r="P4625" s="798"/>
      <c r="Q4625" s="798"/>
      <c r="R4625" s="811"/>
    </row>
    <row r="4626" customFormat="false" ht="16.5" hidden="false" customHeight="true" outlineLevel="0" collapsed="false">
      <c r="A4626" s="747"/>
      <c r="B4626" s="798"/>
      <c r="D4626" s="798"/>
      <c r="E4626" s="798"/>
      <c r="F4626" s="798"/>
      <c r="G4626" s="798"/>
      <c r="K4626" s="798"/>
      <c r="P4626" s="798"/>
      <c r="Q4626" s="798"/>
      <c r="R4626" s="811"/>
    </row>
    <row r="4627" customFormat="false" ht="16.5" hidden="false" customHeight="true" outlineLevel="0" collapsed="false">
      <c r="A4627" s="747"/>
      <c r="B4627" s="798"/>
      <c r="D4627" s="798"/>
      <c r="E4627" s="798"/>
      <c r="F4627" s="798"/>
      <c r="G4627" s="798"/>
      <c r="K4627" s="798"/>
      <c r="P4627" s="798"/>
      <c r="Q4627" s="798"/>
      <c r="R4627" s="811"/>
    </row>
    <row r="4628" customFormat="false" ht="16.5" hidden="false" customHeight="true" outlineLevel="0" collapsed="false">
      <c r="A4628" s="747"/>
      <c r="B4628" s="798"/>
      <c r="D4628" s="798"/>
      <c r="E4628" s="798"/>
      <c r="F4628" s="798"/>
      <c r="G4628" s="798"/>
      <c r="K4628" s="798"/>
      <c r="P4628" s="798"/>
      <c r="Q4628" s="798"/>
      <c r="R4628" s="811"/>
    </row>
    <row r="4629" customFormat="false" ht="16.5" hidden="false" customHeight="true" outlineLevel="0" collapsed="false">
      <c r="A4629" s="747"/>
      <c r="B4629" s="798"/>
      <c r="D4629" s="798"/>
      <c r="E4629" s="798"/>
      <c r="F4629" s="798"/>
      <c r="G4629" s="798"/>
      <c r="K4629" s="798"/>
      <c r="P4629" s="798"/>
      <c r="Q4629" s="798"/>
      <c r="R4629" s="811"/>
    </row>
    <row r="4630" customFormat="false" ht="16.5" hidden="false" customHeight="true" outlineLevel="0" collapsed="false">
      <c r="A4630" s="747"/>
      <c r="B4630" s="798"/>
      <c r="D4630" s="798"/>
      <c r="E4630" s="798"/>
      <c r="F4630" s="798"/>
      <c r="G4630" s="798"/>
      <c r="K4630" s="798"/>
      <c r="P4630" s="798"/>
      <c r="Q4630" s="798"/>
      <c r="R4630" s="811"/>
    </row>
    <row r="4631" customFormat="false" ht="16.5" hidden="false" customHeight="true" outlineLevel="0" collapsed="false">
      <c r="A4631" s="747"/>
      <c r="B4631" s="798"/>
      <c r="D4631" s="798"/>
      <c r="E4631" s="798"/>
      <c r="F4631" s="798"/>
      <c r="G4631" s="798"/>
      <c r="K4631" s="798"/>
      <c r="P4631" s="798"/>
      <c r="Q4631" s="798"/>
      <c r="R4631" s="811"/>
    </row>
    <row r="4632" customFormat="false" ht="16.5" hidden="false" customHeight="true" outlineLevel="0" collapsed="false">
      <c r="A4632" s="747"/>
      <c r="B4632" s="798"/>
      <c r="D4632" s="798"/>
      <c r="E4632" s="798"/>
      <c r="F4632" s="798"/>
      <c r="G4632" s="798"/>
      <c r="K4632" s="798"/>
      <c r="P4632" s="798"/>
      <c r="Q4632" s="798"/>
      <c r="R4632" s="811"/>
    </row>
    <row r="4633" customFormat="false" ht="16.5" hidden="false" customHeight="true" outlineLevel="0" collapsed="false">
      <c r="A4633" s="747"/>
      <c r="B4633" s="798"/>
      <c r="D4633" s="798"/>
      <c r="E4633" s="798"/>
      <c r="F4633" s="798"/>
      <c r="G4633" s="798"/>
      <c r="K4633" s="798"/>
      <c r="P4633" s="798"/>
      <c r="Q4633" s="798"/>
      <c r="R4633" s="811"/>
    </row>
    <row r="4634" customFormat="false" ht="16.5" hidden="false" customHeight="true" outlineLevel="0" collapsed="false">
      <c r="A4634" s="747"/>
      <c r="B4634" s="798"/>
      <c r="D4634" s="798"/>
      <c r="E4634" s="798"/>
      <c r="F4634" s="798"/>
      <c r="G4634" s="798"/>
      <c r="K4634" s="798"/>
      <c r="P4634" s="798"/>
      <c r="Q4634" s="798"/>
      <c r="R4634" s="811"/>
    </row>
    <row r="4635" customFormat="false" ht="16.5" hidden="false" customHeight="true" outlineLevel="0" collapsed="false">
      <c r="A4635" s="747"/>
      <c r="B4635" s="798"/>
      <c r="D4635" s="798"/>
      <c r="E4635" s="798"/>
      <c r="F4635" s="798"/>
      <c r="G4635" s="798"/>
      <c r="K4635" s="798"/>
      <c r="P4635" s="798"/>
      <c r="Q4635" s="798"/>
      <c r="R4635" s="811"/>
    </row>
    <row r="4636" customFormat="false" ht="16.5" hidden="false" customHeight="true" outlineLevel="0" collapsed="false">
      <c r="A4636" s="747"/>
      <c r="B4636" s="798"/>
      <c r="D4636" s="798"/>
      <c r="E4636" s="798"/>
      <c r="F4636" s="798"/>
      <c r="G4636" s="798"/>
      <c r="K4636" s="798"/>
      <c r="P4636" s="798"/>
      <c r="Q4636" s="798"/>
      <c r="R4636" s="811"/>
    </row>
    <row r="4637" customFormat="false" ht="16.5" hidden="false" customHeight="true" outlineLevel="0" collapsed="false">
      <c r="A4637" s="747"/>
      <c r="B4637" s="798"/>
      <c r="D4637" s="798"/>
      <c r="E4637" s="798"/>
      <c r="F4637" s="798"/>
      <c r="G4637" s="798"/>
      <c r="K4637" s="798"/>
      <c r="P4637" s="798"/>
      <c r="Q4637" s="798"/>
      <c r="R4637" s="811"/>
    </row>
    <row r="4638" customFormat="false" ht="16.5" hidden="false" customHeight="true" outlineLevel="0" collapsed="false">
      <c r="A4638" s="747"/>
      <c r="B4638" s="798"/>
      <c r="D4638" s="798"/>
      <c r="E4638" s="798"/>
      <c r="F4638" s="798"/>
      <c r="G4638" s="798"/>
      <c r="K4638" s="798"/>
      <c r="P4638" s="798"/>
      <c r="Q4638" s="798"/>
      <c r="R4638" s="811"/>
    </row>
    <row r="4639" customFormat="false" ht="16.5" hidden="false" customHeight="true" outlineLevel="0" collapsed="false">
      <c r="A4639" s="747"/>
      <c r="B4639" s="798"/>
      <c r="D4639" s="798"/>
      <c r="E4639" s="798"/>
      <c r="F4639" s="798"/>
      <c r="G4639" s="798"/>
      <c r="K4639" s="798"/>
      <c r="P4639" s="798"/>
      <c r="Q4639" s="798"/>
      <c r="R4639" s="811"/>
    </row>
    <row r="4640" customFormat="false" ht="16.5" hidden="false" customHeight="true" outlineLevel="0" collapsed="false">
      <c r="A4640" s="747"/>
      <c r="B4640" s="798"/>
      <c r="D4640" s="798"/>
      <c r="E4640" s="798"/>
      <c r="F4640" s="798"/>
      <c r="G4640" s="798"/>
      <c r="K4640" s="798"/>
      <c r="P4640" s="798"/>
      <c r="Q4640" s="798"/>
      <c r="R4640" s="811"/>
    </row>
    <row r="4641" customFormat="false" ht="16.5" hidden="false" customHeight="true" outlineLevel="0" collapsed="false">
      <c r="A4641" s="747"/>
      <c r="B4641" s="798"/>
      <c r="D4641" s="798"/>
      <c r="E4641" s="798"/>
      <c r="F4641" s="798"/>
      <c r="G4641" s="798"/>
      <c r="K4641" s="798"/>
      <c r="P4641" s="798"/>
      <c r="Q4641" s="798"/>
      <c r="R4641" s="811"/>
    </row>
    <row r="4642" customFormat="false" ht="16.5" hidden="false" customHeight="true" outlineLevel="0" collapsed="false">
      <c r="A4642" s="747"/>
      <c r="B4642" s="798"/>
      <c r="D4642" s="798"/>
      <c r="E4642" s="798"/>
      <c r="F4642" s="798"/>
      <c r="G4642" s="798"/>
      <c r="K4642" s="798"/>
      <c r="P4642" s="798"/>
      <c r="Q4642" s="798"/>
      <c r="R4642" s="811"/>
    </row>
    <row r="4643" customFormat="false" ht="16.5" hidden="false" customHeight="true" outlineLevel="0" collapsed="false">
      <c r="A4643" s="747"/>
      <c r="B4643" s="798"/>
      <c r="D4643" s="798"/>
      <c r="E4643" s="798"/>
      <c r="F4643" s="798"/>
      <c r="G4643" s="798"/>
      <c r="K4643" s="798"/>
      <c r="P4643" s="798"/>
      <c r="Q4643" s="798"/>
      <c r="R4643" s="811"/>
    </row>
    <row r="4644" customFormat="false" ht="16.5" hidden="false" customHeight="true" outlineLevel="0" collapsed="false">
      <c r="A4644" s="747"/>
      <c r="B4644" s="798"/>
      <c r="D4644" s="798"/>
      <c r="E4644" s="798"/>
      <c r="F4644" s="798"/>
      <c r="G4644" s="798"/>
      <c r="K4644" s="798"/>
      <c r="P4644" s="798"/>
      <c r="Q4644" s="798"/>
      <c r="R4644" s="811"/>
    </row>
    <row r="4645" customFormat="false" ht="16.5" hidden="false" customHeight="true" outlineLevel="0" collapsed="false">
      <c r="A4645" s="747"/>
      <c r="B4645" s="798"/>
      <c r="D4645" s="798"/>
      <c r="E4645" s="798"/>
      <c r="F4645" s="798"/>
      <c r="G4645" s="798"/>
      <c r="K4645" s="798"/>
      <c r="P4645" s="798"/>
      <c r="Q4645" s="798"/>
      <c r="R4645" s="811"/>
    </row>
    <row r="4646" customFormat="false" ht="16.5" hidden="false" customHeight="true" outlineLevel="0" collapsed="false">
      <c r="A4646" s="747"/>
      <c r="B4646" s="798"/>
      <c r="D4646" s="798"/>
      <c r="E4646" s="798"/>
      <c r="F4646" s="798"/>
      <c r="G4646" s="798"/>
      <c r="K4646" s="798"/>
      <c r="P4646" s="798"/>
      <c r="Q4646" s="798"/>
      <c r="R4646" s="811"/>
    </row>
    <row r="4647" customFormat="false" ht="16.5" hidden="false" customHeight="true" outlineLevel="0" collapsed="false">
      <c r="A4647" s="747"/>
      <c r="B4647" s="798"/>
      <c r="D4647" s="798"/>
      <c r="E4647" s="798"/>
      <c r="F4647" s="798"/>
      <c r="G4647" s="798"/>
      <c r="K4647" s="798"/>
      <c r="P4647" s="798"/>
      <c r="Q4647" s="798"/>
      <c r="R4647" s="811"/>
    </row>
    <row r="4648" customFormat="false" ht="16.5" hidden="false" customHeight="true" outlineLevel="0" collapsed="false">
      <c r="A4648" s="747"/>
      <c r="B4648" s="798"/>
      <c r="D4648" s="798"/>
      <c r="E4648" s="798"/>
      <c r="F4648" s="798"/>
      <c r="G4648" s="798"/>
      <c r="K4648" s="798"/>
      <c r="P4648" s="798"/>
      <c r="Q4648" s="798"/>
      <c r="R4648" s="811"/>
    </row>
    <row r="4649" customFormat="false" ht="16.5" hidden="false" customHeight="true" outlineLevel="0" collapsed="false">
      <c r="A4649" s="747"/>
      <c r="B4649" s="798"/>
      <c r="D4649" s="798"/>
      <c r="E4649" s="798"/>
      <c r="F4649" s="798"/>
      <c r="G4649" s="798"/>
      <c r="K4649" s="798"/>
      <c r="P4649" s="798"/>
      <c r="Q4649" s="798"/>
      <c r="R4649" s="811"/>
    </row>
    <row r="4650" customFormat="false" ht="16.5" hidden="false" customHeight="true" outlineLevel="0" collapsed="false">
      <c r="A4650" s="747"/>
      <c r="B4650" s="798"/>
      <c r="D4650" s="798"/>
      <c r="E4650" s="798"/>
      <c r="F4650" s="798"/>
      <c r="G4650" s="798"/>
      <c r="K4650" s="798"/>
      <c r="P4650" s="798"/>
      <c r="Q4650" s="798"/>
      <c r="R4650" s="811"/>
    </row>
    <row r="4651" customFormat="false" ht="16.5" hidden="false" customHeight="true" outlineLevel="0" collapsed="false">
      <c r="A4651" s="747"/>
      <c r="B4651" s="798"/>
      <c r="D4651" s="798"/>
      <c r="E4651" s="798"/>
      <c r="F4651" s="798"/>
      <c r="G4651" s="798"/>
      <c r="K4651" s="798"/>
      <c r="P4651" s="798"/>
      <c r="Q4651" s="798"/>
      <c r="R4651" s="811"/>
    </row>
    <row r="4652" customFormat="false" ht="16.5" hidden="false" customHeight="true" outlineLevel="0" collapsed="false">
      <c r="A4652" s="747"/>
      <c r="B4652" s="798"/>
      <c r="D4652" s="798"/>
      <c r="E4652" s="798"/>
      <c r="F4652" s="798"/>
      <c r="G4652" s="798"/>
      <c r="K4652" s="798"/>
      <c r="P4652" s="798"/>
      <c r="Q4652" s="798"/>
      <c r="R4652" s="811"/>
    </row>
    <row r="4653" customFormat="false" ht="16.5" hidden="false" customHeight="true" outlineLevel="0" collapsed="false">
      <c r="A4653" s="747"/>
      <c r="B4653" s="798"/>
      <c r="D4653" s="798"/>
      <c r="E4653" s="798"/>
      <c r="F4653" s="798"/>
      <c r="G4653" s="798"/>
      <c r="K4653" s="798"/>
      <c r="P4653" s="798"/>
      <c r="Q4653" s="798"/>
      <c r="R4653" s="811"/>
    </row>
    <row r="4654" customFormat="false" ht="16.5" hidden="false" customHeight="true" outlineLevel="0" collapsed="false">
      <c r="A4654" s="747"/>
      <c r="B4654" s="798"/>
      <c r="D4654" s="798"/>
      <c r="E4654" s="798"/>
      <c r="F4654" s="798"/>
      <c r="G4654" s="798"/>
      <c r="K4654" s="798"/>
      <c r="P4654" s="798"/>
      <c r="Q4654" s="798"/>
      <c r="R4654" s="811"/>
    </row>
    <row r="4655" customFormat="false" ht="16.5" hidden="false" customHeight="true" outlineLevel="0" collapsed="false">
      <c r="A4655" s="747"/>
      <c r="B4655" s="798"/>
      <c r="D4655" s="798"/>
      <c r="E4655" s="798"/>
      <c r="F4655" s="798"/>
      <c r="G4655" s="798"/>
      <c r="K4655" s="798"/>
      <c r="P4655" s="798"/>
      <c r="Q4655" s="798"/>
      <c r="R4655" s="811"/>
    </row>
    <row r="4656" customFormat="false" ht="16.5" hidden="false" customHeight="true" outlineLevel="0" collapsed="false">
      <c r="A4656" s="747"/>
      <c r="B4656" s="798"/>
      <c r="D4656" s="798"/>
      <c r="E4656" s="798"/>
      <c r="F4656" s="798"/>
      <c r="G4656" s="798"/>
      <c r="K4656" s="798"/>
      <c r="P4656" s="798"/>
      <c r="Q4656" s="798"/>
      <c r="R4656" s="811"/>
    </row>
    <row r="4657" customFormat="false" ht="16.5" hidden="false" customHeight="true" outlineLevel="0" collapsed="false">
      <c r="A4657" s="747"/>
      <c r="B4657" s="798"/>
      <c r="D4657" s="798"/>
      <c r="E4657" s="798"/>
      <c r="F4657" s="798"/>
      <c r="G4657" s="798"/>
      <c r="K4657" s="798"/>
      <c r="P4657" s="798"/>
      <c r="Q4657" s="798"/>
      <c r="R4657" s="811"/>
    </row>
    <row r="4658" customFormat="false" ht="16.5" hidden="false" customHeight="true" outlineLevel="0" collapsed="false">
      <c r="A4658" s="747"/>
      <c r="B4658" s="798"/>
      <c r="D4658" s="798"/>
      <c r="E4658" s="798"/>
      <c r="F4658" s="798"/>
      <c r="G4658" s="798"/>
      <c r="K4658" s="798"/>
      <c r="P4658" s="798"/>
      <c r="Q4658" s="798"/>
      <c r="R4658" s="811"/>
    </row>
    <row r="4659" customFormat="false" ht="16.5" hidden="false" customHeight="true" outlineLevel="0" collapsed="false">
      <c r="A4659" s="747"/>
      <c r="B4659" s="798"/>
      <c r="D4659" s="798"/>
      <c r="E4659" s="798"/>
      <c r="F4659" s="798"/>
      <c r="G4659" s="798"/>
      <c r="K4659" s="798"/>
      <c r="P4659" s="798"/>
      <c r="Q4659" s="798"/>
      <c r="R4659" s="811"/>
    </row>
    <row r="4660" customFormat="false" ht="16.5" hidden="false" customHeight="true" outlineLevel="0" collapsed="false">
      <c r="A4660" s="747"/>
      <c r="B4660" s="798"/>
      <c r="D4660" s="798"/>
      <c r="E4660" s="798"/>
      <c r="F4660" s="798"/>
      <c r="G4660" s="798"/>
      <c r="K4660" s="798"/>
      <c r="P4660" s="798"/>
      <c r="Q4660" s="798"/>
      <c r="R4660" s="811"/>
    </row>
    <row r="4661" customFormat="false" ht="16.5" hidden="false" customHeight="true" outlineLevel="0" collapsed="false">
      <c r="A4661" s="747"/>
      <c r="B4661" s="798"/>
      <c r="D4661" s="798"/>
      <c r="E4661" s="798"/>
      <c r="F4661" s="798"/>
      <c r="G4661" s="798"/>
      <c r="K4661" s="798"/>
      <c r="P4661" s="798"/>
      <c r="Q4661" s="798"/>
      <c r="R4661" s="811"/>
    </row>
    <row r="4662" customFormat="false" ht="16.5" hidden="false" customHeight="true" outlineLevel="0" collapsed="false">
      <c r="A4662" s="747"/>
      <c r="B4662" s="798"/>
      <c r="D4662" s="798"/>
      <c r="E4662" s="798"/>
      <c r="F4662" s="798"/>
      <c r="G4662" s="798"/>
      <c r="K4662" s="798"/>
      <c r="P4662" s="798"/>
      <c r="Q4662" s="798"/>
      <c r="R4662" s="811"/>
    </row>
    <row r="4663" customFormat="false" ht="16.5" hidden="false" customHeight="true" outlineLevel="0" collapsed="false">
      <c r="A4663" s="747"/>
      <c r="B4663" s="798"/>
      <c r="D4663" s="798"/>
      <c r="E4663" s="798"/>
      <c r="F4663" s="798"/>
      <c r="G4663" s="798"/>
      <c r="K4663" s="798"/>
      <c r="P4663" s="798"/>
      <c r="Q4663" s="798"/>
      <c r="R4663" s="811"/>
    </row>
    <row r="4664" customFormat="false" ht="16.5" hidden="false" customHeight="true" outlineLevel="0" collapsed="false">
      <c r="A4664" s="747"/>
      <c r="B4664" s="798"/>
      <c r="D4664" s="798"/>
      <c r="E4664" s="798"/>
      <c r="F4664" s="798"/>
      <c r="G4664" s="798"/>
      <c r="K4664" s="798"/>
      <c r="P4664" s="798"/>
      <c r="Q4664" s="798"/>
      <c r="R4664" s="811"/>
    </row>
    <row r="4665" customFormat="false" ht="16.5" hidden="false" customHeight="true" outlineLevel="0" collapsed="false">
      <c r="A4665" s="747"/>
      <c r="B4665" s="798"/>
      <c r="D4665" s="798"/>
      <c r="E4665" s="798"/>
      <c r="F4665" s="798"/>
      <c r="G4665" s="798"/>
      <c r="K4665" s="798"/>
      <c r="P4665" s="798"/>
      <c r="Q4665" s="798"/>
      <c r="R4665" s="811"/>
    </row>
    <row r="4666" customFormat="false" ht="16.5" hidden="false" customHeight="true" outlineLevel="0" collapsed="false">
      <c r="A4666" s="747"/>
      <c r="B4666" s="798"/>
      <c r="D4666" s="798"/>
      <c r="E4666" s="798"/>
      <c r="F4666" s="798"/>
      <c r="G4666" s="798"/>
      <c r="K4666" s="798"/>
      <c r="P4666" s="798"/>
      <c r="Q4666" s="798"/>
      <c r="R4666" s="811"/>
    </row>
    <row r="4667" customFormat="false" ht="16.5" hidden="false" customHeight="true" outlineLevel="0" collapsed="false">
      <c r="A4667" s="747"/>
      <c r="B4667" s="798"/>
      <c r="D4667" s="798"/>
      <c r="E4667" s="798"/>
      <c r="F4667" s="798"/>
      <c r="G4667" s="798"/>
      <c r="K4667" s="798"/>
      <c r="P4667" s="798"/>
      <c r="Q4667" s="798"/>
      <c r="R4667" s="811"/>
    </row>
    <row r="4668" customFormat="false" ht="16.5" hidden="false" customHeight="true" outlineLevel="0" collapsed="false">
      <c r="A4668" s="747"/>
      <c r="B4668" s="798"/>
      <c r="D4668" s="798"/>
      <c r="E4668" s="798"/>
      <c r="F4668" s="798"/>
      <c r="G4668" s="798"/>
      <c r="K4668" s="798"/>
      <c r="P4668" s="798"/>
      <c r="Q4668" s="798"/>
      <c r="R4668" s="811"/>
    </row>
    <row r="4669" customFormat="false" ht="16.5" hidden="false" customHeight="true" outlineLevel="0" collapsed="false">
      <c r="A4669" s="747"/>
      <c r="B4669" s="798"/>
      <c r="D4669" s="798"/>
      <c r="E4669" s="798"/>
      <c r="F4669" s="798"/>
      <c r="G4669" s="798"/>
      <c r="K4669" s="798"/>
      <c r="P4669" s="798"/>
      <c r="Q4669" s="798"/>
      <c r="R4669" s="811"/>
    </row>
    <row r="4670" customFormat="false" ht="16.5" hidden="false" customHeight="true" outlineLevel="0" collapsed="false">
      <c r="A4670" s="747"/>
      <c r="B4670" s="798"/>
      <c r="D4670" s="798"/>
      <c r="E4670" s="798"/>
      <c r="F4670" s="798"/>
      <c r="G4670" s="798"/>
      <c r="K4670" s="798"/>
      <c r="P4670" s="798"/>
      <c r="Q4670" s="798"/>
      <c r="R4670" s="811"/>
    </row>
    <row r="4671" customFormat="false" ht="16.5" hidden="false" customHeight="true" outlineLevel="0" collapsed="false">
      <c r="A4671" s="747"/>
      <c r="B4671" s="798"/>
      <c r="D4671" s="798"/>
      <c r="E4671" s="798"/>
      <c r="F4671" s="798"/>
      <c r="G4671" s="798"/>
      <c r="K4671" s="798"/>
      <c r="P4671" s="798"/>
      <c r="Q4671" s="798"/>
      <c r="R4671" s="811"/>
    </row>
    <row r="4672" customFormat="false" ht="16.5" hidden="false" customHeight="true" outlineLevel="0" collapsed="false">
      <c r="A4672" s="747"/>
      <c r="B4672" s="798"/>
      <c r="D4672" s="798"/>
      <c r="E4672" s="798"/>
      <c r="F4672" s="798"/>
      <c r="G4672" s="798"/>
      <c r="K4672" s="798"/>
      <c r="P4672" s="798"/>
      <c r="Q4672" s="798"/>
      <c r="R4672" s="811"/>
    </row>
    <row r="4673" customFormat="false" ht="16.5" hidden="false" customHeight="true" outlineLevel="0" collapsed="false">
      <c r="A4673" s="747"/>
      <c r="B4673" s="798"/>
      <c r="D4673" s="798"/>
      <c r="E4673" s="798"/>
      <c r="F4673" s="798"/>
      <c r="G4673" s="798"/>
      <c r="K4673" s="798"/>
      <c r="P4673" s="798"/>
      <c r="Q4673" s="798"/>
      <c r="R4673" s="811"/>
    </row>
    <row r="4674" customFormat="false" ht="16.5" hidden="false" customHeight="true" outlineLevel="0" collapsed="false">
      <c r="A4674" s="747"/>
      <c r="B4674" s="798"/>
      <c r="D4674" s="798"/>
      <c r="E4674" s="798"/>
      <c r="F4674" s="798"/>
      <c r="G4674" s="798"/>
      <c r="K4674" s="798"/>
      <c r="P4674" s="798"/>
      <c r="Q4674" s="798"/>
      <c r="R4674" s="811"/>
    </row>
    <row r="4675" customFormat="false" ht="16.5" hidden="false" customHeight="true" outlineLevel="0" collapsed="false">
      <c r="A4675" s="747"/>
      <c r="B4675" s="798"/>
      <c r="D4675" s="798"/>
      <c r="E4675" s="798"/>
      <c r="F4675" s="798"/>
      <c r="G4675" s="798"/>
      <c r="K4675" s="798"/>
      <c r="P4675" s="798"/>
      <c r="Q4675" s="798"/>
      <c r="R4675" s="811"/>
    </row>
    <row r="4676" customFormat="false" ht="16.5" hidden="false" customHeight="true" outlineLevel="0" collapsed="false">
      <c r="A4676" s="747"/>
      <c r="B4676" s="798"/>
      <c r="D4676" s="798"/>
      <c r="E4676" s="798"/>
      <c r="F4676" s="798"/>
      <c r="G4676" s="798"/>
      <c r="K4676" s="798"/>
      <c r="P4676" s="798"/>
      <c r="Q4676" s="798"/>
      <c r="R4676" s="811"/>
    </row>
    <row r="4677" customFormat="false" ht="16.5" hidden="false" customHeight="true" outlineLevel="0" collapsed="false">
      <c r="A4677" s="747"/>
      <c r="B4677" s="798"/>
      <c r="D4677" s="798"/>
      <c r="E4677" s="798"/>
      <c r="F4677" s="798"/>
      <c r="G4677" s="798"/>
      <c r="K4677" s="798"/>
      <c r="P4677" s="798"/>
      <c r="Q4677" s="798"/>
      <c r="R4677" s="811"/>
    </row>
    <row r="4678" customFormat="false" ht="16.5" hidden="false" customHeight="true" outlineLevel="0" collapsed="false">
      <c r="A4678" s="747"/>
      <c r="B4678" s="798"/>
      <c r="D4678" s="798"/>
      <c r="E4678" s="798"/>
      <c r="F4678" s="798"/>
      <c r="G4678" s="798"/>
      <c r="K4678" s="798"/>
      <c r="P4678" s="798"/>
      <c r="Q4678" s="798"/>
      <c r="R4678" s="811"/>
    </row>
    <row r="4679" customFormat="false" ht="16.5" hidden="false" customHeight="true" outlineLevel="0" collapsed="false">
      <c r="A4679" s="747"/>
      <c r="B4679" s="798"/>
      <c r="D4679" s="798"/>
      <c r="E4679" s="798"/>
      <c r="F4679" s="798"/>
      <c r="G4679" s="798"/>
      <c r="K4679" s="798"/>
      <c r="P4679" s="798"/>
      <c r="Q4679" s="798"/>
      <c r="R4679" s="811"/>
    </row>
    <row r="4680" customFormat="false" ht="16.5" hidden="false" customHeight="true" outlineLevel="0" collapsed="false">
      <c r="A4680" s="747"/>
      <c r="B4680" s="798"/>
      <c r="D4680" s="798"/>
      <c r="E4680" s="798"/>
      <c r="F4680" s="798"/>
      <c r="G4680" s="798"/>
      <c r="K4680" s="798"/>
      <c r="P4680" s="798"/>
      <c r="Q4680" s="798"/>
      <c r="R4680" s="811"/>
    </row>
    <row r="4681" customFormat="false" ht="16.5" hidden="false" customHeight="true" outlineLevel="0" collapsed="false">
      <c r="A4681" s="747"/>
      <c r="B4681" s="798"/>
      <c r="D4681" s="798"/>
      <c r="E4681" s="798"/>
      <c r="F4681" s="798"/>
      <c r="G4681" s="798"/>
      <c r="K4681" s="798"/>
      <c r="P4681" s="798"/>
      <c r="Q4681" s="798"/>
      <c r="R4681" s="811"/>
    </row>
    <row r="4682" customFormat="false" ht="16.5" hidden="false" customHeight="true" outlineLevel="0" collapsed="false">
      <c r="A4682" s="747"/>
      <c r="B4682" s="798"/>
      <c r="D4682" s="798"/>
      <c r="E4682" s="798"/>
      <c r="F4682" s="798"/>
      <c r="G4682" s="798"/>
      <c r="K4682" s="798"/>
      <c r="P4682" s="798"/>
      <c r="Q4682" s="798"/>
      <c r="R4682" s="811"/>
    </row>
    <row r="4683" customFormat="false" ht="16.5" hidden="false" customHeight="true" outlineLevel="0" collapsed="false">
      <c r="A4683" s="747"/>
      <c r="B4683" s="798"/>
      <c r="D4683" s="798"/>
      <c r="E4683" s="798"/>
      <c r="F4683" s="798"/>
      <c r="G4683" s="798"/>
      <c r="K4683" s="798"/>
      <c r="P4683" s="798"/>
      <c r="Q4683" s="798"/>
      <c r="R4683" s="811"/>
    </row>
    <row r="4684" customFormat="false" ht="16.5" hidden="false" customHeight="true" outlineLevel="0" collapsed="false">
      <c r="A4684" s="747"/>
      <c r="B4684" s="798"/>
      <c r="D4684" s="798"/>
      <c r="E4684" s="798"/>
      <c r="F4684" s="798"/>
      <c r="G4684" s="798"/>
      <c r="K4684" s="798"/>
      <c r="P4684" s="798"/>
      <c r="Q4684" s="798"/>
      <c r="R4684" s="811"/>
    </row>
    <row r="4685" customFormat="false" ht="16.5" hidden="false" customHeight="true" outlineLevel="0" collapsed="false">
      <c r="A4685" s="747"/>
      <c r="B4685" s="798"/>
      <c r="D4685" s="798"/>
      <c r="E4685" s="798"/>
      <c r="F4685" s="798"/>
      <c r="G4685" s="798"/>
      <c r="K4685" s="798"/>
      <c r="P4685" s="798"/>
      <c r="Q4685" s="798"/>
      <c r="R4685" s="811"/>
    </row>
    <row r="4686" customFormat="false" ht="16.5" hidden="false" customHeight="true" outlineLevel="0" collapsed="false">
      <c r="A4686" s="747"/>
      <c r="B4686" s="798"/>
      <c r="D4686" s="798"/>
      <c r="E4686" s="798"/>
      <c r="F4686" s="798"/>
      <c r="G4686" s="798"/>
      <c r="K4686" s="798"/>
      <c r="P4686" s="798"/>
      <c r="Q4686" s="798"/>
      <c r="R4686" s="811"/>
    </row>
    <row r="4687" customFormat="false" ht="16.5" hidden="false" customHeight="true" outlineLevel="0" collapsed="false">
      <c r="A4687" s="747"/>
      <c r="B4687" s="798"/>
      <c r="D4687" s="798"/>
      <c r="E4687" s="798"/>
      <c r="F4687" s="798"/>
      <c r="G4687" s="798"/>
      <c r="K4687" s="798"/>
      <c r="P4687" s="798"/>
      <c r="Q4687" s="798"/>
      <c r="R4687" s="811"/>
    </row>
    <row r="4688" customFormat="false" ht="16.5" hidden="false" customHeight="true" outlineLevel="0" collapsed="false">
      <c r="A4688" s="747"/>
      <c r="B4688" s="798"/>
      <c r="D4688" s="798"/>
      <c r="E4688" s="798"/>
      <c r="F4688" s="798"/>
      <c r="G4688" s="798"/>
      <c r="K4688" s="798"/>
      <c r="P4688" s="798"/>
      <c r="Q4688" s="798"/>
      <c r="R4688" s="811"/>
    </row>
    <row r="4689" customFormat="false" ht="16.5" hidden="false" customHeight="true" outlineLevel="0" collapsed="false">
      <c r="A4689" s="747"/>
      <c r="B4689" s="798"/>
      <c r="D4689" s="798"/>
      <c r="E4689" s="798"/>
      <c r="F4689" s="798"/>
      <c r="G4689" s="798"/>
      <c r="K4689" s="798"/>
      <c r="P4689" s="798"/>
      <c r="Q4689" s="798"/>
      <c r="R4689" s="811"/>
    </row>
    <row r="4690" customFormat="false" ht="16.5" hidden="false" customHeight="true" outlineLevel="0" collapsed="false">
      <c r="A4690" s="747"/>
      <c r="B4690" s="798"/>
      <c r="D4690" s="798"/>
      <c r="E4690" s="798"/>
      <c r="F4690" s="798"/>
      <c r="G4690" s="798"/>
      <c r="K4690" s="798"/>
      <c r="P4690" s="798"/>
      <c r="Q4690" s="798"/>
      <c r="R4690" s="811"/>
    </row>
    <row r="4691" customFormat="false" ht="16.5" hidden="false" customHeight="true" outlineLevel="0" collapsed="false">
      <c r="A4691" s="747"/>
      <c r="B4691" s="798"/>
      <c r="D4691" s="798"/>
      <c r="E4691" s="798"/>
      <c r="F4691" s="798"/>
      <c r="G4691" s="798"/>
      <c r="K4691" s="798"/>
      <c r="P4691" s="798"/>
      <c r="Q4691" s="798"/>
      <c r="R4691" s="811"/>
    </row>
    <row r="4692" customFormat="false" ht="16.5" hidden="false" customHeight="true" outlineLevel="0" collapsed="false">
      <c r="A4692" s="747"/>
      <c r="B4692" s="798"/>
      <c r="D4692" s="798"/>
      <c r="E4692" s="798"/>
      <c r="F4692" s="798"/>
      <c r="G4692" s="798"/>
      <c r="K4692" s="798"/>
      <c r="P4692" s="798"/>
      <c r="Q4692" s="798"/>
      <c r="R4692" s="811"/>
    </row>
    <row r="4693" customFormat="false" ht="16.5" hidden="false" customHeight="true" outlineLevel="0" collapsed="false">
      <c r="A4693" s="747"/>
      <c r="B4693" s="798"/>
      <c r="D4693" s="798"/>
      <c r="E4693" s="798"/>
      <c r="F4693" s="798"/>
      <c r="G4693" s="798"/>
      <c r="K4693" s="798"/>
      <c r="P4693" s="798"/>
      <c r="Q4693" s="798"/>
      <c r="R4693" s="811"/>
    </row>
    <row r="4694" customFormat="false" ht="16.5" hidden="false" customHeight="true" outlineLevel="0" collapsed="false">
      <c r="A4694" s="747"/>
      <c r="B4694" s="798"/>
      <c r="D4694" s="798"/>
      <c r="E4694" s="798"/>
      <c r="F4694" s="798"/>
      <c r="G4694" s="798"/>
      <c r="K4694" s="798"/>
      <c r="P4694" s="798"/>
      <c r="Q4694" s="798"/>
      <c r="R4694" s="811"/>
    </row>
    <row r="4695" customFormat="false" ht="16.5" hidden="false" customHeight="true" outlineLevel="0" collapsed="false">
      <c r="A4695" s="747"/>
      <c r="B4695" s="798"/>
      <c r="D4695" s="798"/>
      <c r="E4695" s="798"/>
      <c r="F4695" s="798"/>
      <c r="G4695" s="798"/>
      <c r="K4695" s="798"/>
      <c r="P4695" s="798"/>
      <c r="Q4695" s="798"/>
      <c r="R4695" s="811"/>
    </row>
    <row r="4696" customFormat="false" ht="16.5" hidden="false" customHeight="true" outlineLevel="0" collapsed="false">
      <c r="A4696" s="747"/>
      <c r="B4696" s="798"/>
      <c r="D4696" s="798"/>
      <c r="E4696" s="798"/>
      <c r="F4696" s="798"/>
      <c r="G4696" s="798"/>
      <c r="K4696" s="798"/>
      <c r="P4696" s="798"/>
      <c r="Q4696" s="798"/>
      <c r="R4696" s="811"/>
    </row>
    <row r="4697" customFormat="false" ht="16.5" hidden="false" customHeight="true" outlineLevel="0" collapsed="false">
      <c r="A4697" s="747"/>
      <c r="B4697" s="798"/>
      <c r="D4697" s="798"/>
      <c r="E4697" s="798"/>
      <c r="F4697" s="798"/>
      <c r="G4697" s="798"/>
      <c r="K4697" s="798"/>
      <c r="P4697" s="798"/>
      <c r="Q4697" s="798"/>
      <c r="R4697" s="811"/>
    </row>
    <row r="4698" customFormat="false" ht="16.5" hidden="false" customHeight="true" outlineLevel="0" collapsed="false">
      <c r="A4698" s="747"/>
      <c r="B4698" s="798"/>
      <c r="D4698" s="798"/>
      <c r="E4698" s="798"/>
      <c r="F4698" s="798"/>
      <c r="G4698" s="798"/>
      <c r="K4698" s="798"/>
      <c r="P4698" s="798"/>
      <c r="Q4698" s="798"/>
      <c r="R4698" s="811"/>
    </row>
    <row r="4699" customFormat="false" ht="16.5" hidden="false" customHeight="true" outlineLevel="0" collapsed="false">
      <c r="A4699" s="747"/>
      <c r="B4699" s="798"/>
      <c r="D4699" s="798"/>
      <c r="E4699" s="798"/>
      <c r="F4699" s="798"/>
      <c r="G4699" s="798"/>
      <c r="K4699" s="798"/>
      <c r="P4699" s="798"/>
      <c r="Q4699" s="798"/>
      <c r="R4699" s="811"/>
    </row>
    <row r="4700" customFormat="false" ht="16.5" hidden="false" customHeight="true" outlineLevel="0" collapsed="false">
      <c r="A4700" s="747"/>
      <c r="B4700" s="798"/>
      <c r="D4700" s="798"/>
      <c r="E4700" s="798"/>
      <c r="F4700" s="798"/>
      <c r="G4700" s="798"/>
      <c r="K4700" s="798"/>
      <c r="P4700" s="798"/>
      <c r="Q4700" s="798"/>
      <c r="R4700" s="811"/>
    </row>
    <row r="4701" customFormat="false" ht="16.5" hidden="false" customHeight="true" outlineLevel="0" collapsed="false">
      <c r="A4701" s="747"/>
      <c r="B4701" s="798"/>
      <c r="D4701" s="798"/>
      <c r="E4701" s="798"/>
      <c r="F4701" s="798"/>
      <c r="G4701" s="798"/>
      <c r="K4701" s="798"/>
      <c r="P4701" s="798"/>
      <c r="Q4701" s="798"/>
      <c r="R4701" s="811"/>
    </row>
    <row r="4702" customFormat="false" ht="16.5" hidden="false" customHeight="true" outlineLevel="0" collapsed="false">
      <c r="A4702" s="747"/>
      <c r="B4702" s="798"/>
      <c r="D4702" s="798"/>
      <c r="E4702" s="798"/>
      <c r="F4702" s="798"/>
      <c r="G4702" s="798"/>
      <c r="K4702" s="798"/>
      <c r="P4702" s="798"/>
      <c r="Q4702" s="798"/>
      <c r="R4702" s="811"/>
    </row>
    <row r="4703" customFormat="false" ht="16.5" hidden="false" customHeight="true" outlineLevel="0" collapsed="false">
      <c r="A4703" s="747"/>
      <c r="B4703" s="798"/>
      <c r="D4703" s="798"/>
      <c r="E4703" s="798"/>
      <c r="F4703" s="798"/>
      <c r="G4703" s="798"/>
      <c r="K4703" s="798"/>
      <c r="P4703" s="798"/>
      <c r="Q4703" s="798"/>
      <c r="R4703" s="811"/>
    </row>
    <row r="4704" customFormat="false" ht="16.5" hidden="false" customHeight="true" outlineLevel="0" collapsed="false">
      <c r="A4704" s="747"/>
      <c r="B4704" s="798"/>
      <c r="D4704" s="798"/>
      <c r="E4704" s="798"/>
      <c r="F4704" s="798"/>
      <c r="G4704" s="798"/>
      <c r="K4704" s="798"/>
      <c r="P4704" s="798"/>
      <c r="Q4704" s="798"/>
      <c r="R4704" s="811"/>
    </row>
    <row r="4705" customFormat="false" ht="16.5" hidden="false" customHeight="true" outlineLevel="0" collapsed="false">
      <c r="A4705" s="747"/>
      <c r="B4705" s="798"/>
      <c r="D4705" s="798"/>
      <c r="E4705" s="798"/>
      <c r="F4705" s="798"/>
      <c r="G4705" s="798"/>
      <c r="K4705" s="798"/>
      <c r="P4705" s="798"/>
      <c r="Q4705" s="798"/>
      <c r="R4705" s="811"/>
    </row>
    <row r="4706" customFormat="false" ht="16.5" hidden="false" customHeight="true" outlineLevel="0" collapsed="false">
      <c r="A4706" s="747"/>
      <c r="B4706" s="798"/>
      <c r="D4706" s="798"/>
      <c r="E4706" s="798"/>
      <c r="F4706" s="798"/>
      <c r="G4706" s="798"/>
      <c r="K4706" s="798"/>
      <c r="P4706" s="798"/>
      <c r="Q4706" s="798"/>
      <c r="R4706" s="811"/>
    </row>
    <row r="4707" customFormat="false" ht="16.5" hidden="false" customHeight="true" outlineLevel="0" collapsed="false">
      <c r="A4707" s="747"/>
      <c r="B4707" s="798"/>
      <c r="D4707" s="798"/>
      <c r="E4707" s="798"/>
      <c r="F4707" s="798"/>
      <c r="G4707" s="798"/>
      <c r="K4707" s="798"/>
      <c r="P4707" s="798"/>
      <c r="Q4707" s="798"/>
      <c r="R4707" s="811"/>
    </row>
    <row r="4708" customFormat="false" ht="16.5" hidden="false" customHeight="true" outlineLevel="0" collapsed="false">
      <c r="A4708" s="747"/>
      <c r="B4708" s="798"/>
      <c r="D4708" s="798"/>
      <c r="E4708" s="798"/>
      <c r="F4708" s="798"/>
      <c r="G4708" s="798"/>
      <c r="K4708" s="798"/>
      <c r="P4708" s="798"/>
      <c r="Q4708" s="798"/>
      <c r="R4708" s="811"/>
    </row>
    <row r="4709" customFormat="false" ht="16.5" hidden="false" customHeight="true" outlineLevel="0" collapsed="false">
      <c r="A4709" s="747"/>
      <c r="B4709" s="798"/>
      <c r="D4709" s="798"/>
      <c r="E4709" s="798"/>
      <c r="F4709" s="798"/>
      <c r="G4709" s="798"/>
      <c r="K4709" s="798"/>
      <c r="P4709" s="798"/>
      <c r="Q4709" s="798"/>
      <c r="R4709" s="811"/>
    </row>
    <row r="4710" customFormat="false" ht="16.5" hidden="false" customHeight="true" outlineLevel="0" collapsed="false">
      <c r="A4710" s="747"/>
      <c r="B4710" s="798"/>
      <c r="D4710" s="798"/>
      <c r="E4710" s="798"/>
      <c r="F4710" s="798"/>
      <c r="G4710" s="798"/>
      <c r="K4710" s="798"/>
      <c r="P4710" s="798"/>
      <c r="Q4710" s="798"/>
      <c r="R4710" s="811"/>
    </row>
    <row r="4711" customFormat="false" ht="16.5" hidden="false" customHeight="true" outlineLevel="0" collapsed="false">
      <c r="A4711" s="747"/>
      <c r="B4711" s="798"/>
      <c r="D4711" s="798"/>
      <c r="E4711" s="798"/>
      <c r="F4711" s="798"/>
      <c r="G4711" s="798"/>
      <c r="K4711" s="798"/>
      <c r="P4711" s="798"/>
      <c r="Q4711" s="798"/>
      <c r="R4711" s="811"/>
    </row>
    <row r="4712" customFormat="false" ht="16.5" hidden="false" customHeight="true" outlineLevel="0" collapsed="false">
      <c r="A4712" s="747"/>
      <c r="B4712" s="798"/>
      <c r="D4712" s="798"/>
      <c r="E4712" s="798"/>
      <c r="F4712" s="798"/>
      <c r="G4712" s="798"/>
      <c r="K4712" s="798"/>
      <c r="P4712" s="798"/>
      <c r="Q4712" s="798"/>
      <c r="R4712" s="811"/>
    </row>
    <row r="4713" customFormat="false" ht="16.5" hidden="false" customHeight="true" outlineLevel="0" collapsed="false">
      <c r="A4713" s="747"/>
      <c r="B4713" s="798"/>
      <c r="D4713" s="798"/>
      <c r="E4713" s="798"/>
      <c r="F4713" s="798"/>
      <c r="G4713" s="798"/>
      <c r="K4713" s="798"/>
      <c r="P4713" s="798"/>
      <c r="Q4713" s="798"/>
      <c r="R4713" s="811"/>
    </row>
    <row r="4714" customFormat="false" ht="16.5" hidden="false" customHeight="true" outlineLevel="0" collapsed="false">
      <c r="A4714" s="747"/>
      <c r="B4714" s="798"/>
      <c r="D4714" s="798"/>
      <c r="E4714" s="798"/>
      <c r="F4714" s="798"/>
      <c r="G4714" s="798"/>
      <c r="K4714" s="798"/>
      <c r="P4714" s="798"/>
      <c r="Q4714" s="798"/>
      <c r="R4714" s="811"/>
    </row>
    <row r="4715" customFormat="false" ht="16.5" hidden="false" customHeight="true" outlineLevel="0" collapsed="false">
      <c r="A4715" s="747"/>
      <c r="B4715" s="798"/>
      <c r="D4715" s="798"/>
      <c r="E4715" s="798"/>
      <c r="F4715" s="798"/>
      <c r="G4715" s="798"/>
      <c r="K4715" s="798"/>
      <c r="P4715" s="798"/>
      <c r="Q4715" s="798"/>
      <c r="R4715" s="811"/>
    </row>
    <row r="4716" customFormat="false" ht="16.5" hidden="false" customHeight="true" outlineLevel="0" collapsed="false">
      <c r="A4716" s="747"/>
      <c r="B4716" s="798"/>
      <c r="D4716" s="798"/>
      <c r="E4716" s="798"/>
      <c r="F4716" s="798"/>
      <c r="G4716" s="798"/>
      <c r="K4716" s="798"/>
      <c r="P4716" s="798"/>
      <c r="Q4716" s="798"/>
      <c r="R4716" s="811"/>
    </row>
    <row r="4717" customFormat="false" ht="16.5" hidden="false" customHeight="true" outlineLevel="0" collapsed="false">
      <c r="A4717" s="747"/>
      <c r="B4717" s="798"/>
      <c r="D4717" s="798"/>
      <c r="E4717" s="798"/>
      <c r="F4717" s="798"/>
      <c r="G4717" s="798"/>
      <c r="K4717" s="798"/>
      <c r="P4717" s="798"/>
      <c r="Q4717" s="798"/>
      <c r="R4717" s="811"/>
    </row>
    <row r="4718" customFormat="false" ht="16.5" hidden="false" customHeight="true" outlineLevel="0" collapsed="false">
      <c r="A4718" s="747"/>
      <c r="B4718" s="798"/>
      <c r="D4718" s="798"/>
      <c r="E4718" s="798"/>
      <c r="F4718" s="798"/>
      <c r="G4718" s="798"/>
      <c r="K4718" s="798"/>
      <c r="P4718" s="798"/>
      <c r="Q4718" s="798"/>
      <c r="R4718" s="811"/>
    </row>
    <row r="4719" customFormat="false" ht="16.5" hidden="false" customHeight="true" outlineLevel="0" collapsed="false">
      <c r="A4719" s="747"/>
      <c r="B4719" s="798"/>
      <c r="D4719" s="798"/>
      <c r="E4719" s="798"/>
      <c r="F4719" s="798"/>
      <c r="G4719" s="798"/>
      <c r="K4719" s="798"/>
      <c r="P4719" s="798"/>
      <c r="Q4719" s="798"/>
      <c r="R4719" s="811"/>
    </row>
    <row r="4720" customFormat="false" ht="16.5" hidden="false" customHeight="true" outlineLevel="0" collapsed="false">
      <c r="A4720" s="747"/>
      <c r="B4720" s="798"/>
      <c r="D4720" s="798"/>
      <c r="E4720" s="798"/>
      <c r="F4720" s="798"/>
      <c r="G4720" s="798"/>
      <c r="K4720" s="798"/>
      <c r="P4720" s="798"/>
      <c r="Q4720" s="798"/>
      <c r="R4720" s="811"/>
    </row>
    <row r="4721" customFormat="false" ht="16.5" hidden="false" customHeight="true" outlineLevel="0" collapsed="false">
      <c r="A4721" s="747"/>
      <c r="B4721" s="798"/>
      <c r="D4721" s="798"/>
      <c r="E4721" s="798"/>
      <c r="F4721" s="798"/>
      <c r="G4721" s="798"/>
      <c r="K4721" s="798"/>
      <c r="P4721" s="798"/>
      <c r="Q4721" s="798"/>
      <c r="R4721" s="811"/>
    </row>
    <row r="4722" customFormat="false" ht="16.5" hidden="false" customHeight="true" outlineLevel="0" collapsed="false">
      <c r="A4722" s="747"/>
      <c r="B4722" s="798"/>
      <c r="D4722" s="798"/>
      <c r="E4722" s="798"/>
      <c r="F4722" s="798"/>
      <c r="G4722" s="798"/>
      <c r="K4722" s="798"/>
      <c r="P4722" s="798"/>
      <c r="Q4722" s="798"/>
      <c r="R4722" s="811"/>
    </row>
    <row r="4723" customFormat="false" ht="16.5" hidden="false" customHeight="true" outlineLevel="0" collapsed="false">
      <c r="A4723" s="747"/>
      <c r="B4723" s="798"/>
      <c r="D4723" s="798"/>
      <c r="E4723" s="798"/>
      <c r="F4723" s="798"/>
      <c r="G4723" s="798"/>
      <c r="K4723" s="798"/>
      <c r="P4723" s="798"/>
      <c r="Q4723" s="798"/>
      <c r="R4723" s="811"/>
    </row>
    <row r="4724" customFormat="false" ht="16.5" hidden="false" customHeight="true" outlineLevel="0" collapsed="false">
      <c r="A4724" s="747"/>
      <c r="B4724" s="798"/>
      <c r="D4724" s="798"/>
      <c r="E4724" s="798"/>
      <c r="F4724" s="798"/>
      <c r="G4724" s="798"/>
      <c r="K4724" s="798"/>
      <c r="P4724" s="798"/>
      <c r="Q4724" s="798"/>
      <c r="R4724" s="811"/>
    </row>
    <row r="4725" customFormat="false" ht="16.5" hidden="false" customHeight="true" outlineLevel="0" collapsed="false">
      <c r="A4725" s="747"/>
      <c r="B4725" s="798"/>
      <c r="D4725" s="798"/>
      <c r="E4725" s="798"/>
      <c r="F4725" s="798"/>
      <c r="G4725" s="798"/>
      <c r="K4725" s="798"/>
      <c r="P4725" s="798"/>
      <c r="Q4725" s="798"/>
      <c r="R4725" s="811"/>
    </row>
    <row r="4726" customFormat="false" ht="16.5" hidden="false" customHeight="true" outlineLevel="0" collapsed="false">
      <c r="A4726" s="747"/>
      <c r="B4726" s="798"/>
      <c r="D4726" s="798"/>
      <c r="E4726" s="798"/>
      <c r="F4726" s="798"/>
      <c r="G4726" s="798"/>
      <c r="K4726" s="798"/>
      <c r="P4726" s="798"/>
      <c r="Q4726" s="798"/>
      <c r="R4726" s="811"/>
    </row>
    <row r="4727" customFormat="false" ht="16.5" hidden="false" customHeight="true" outlineLevel="0" collapsed="false">
      <c r="A4727" s="747"/>
      <c r="B4727" s="798"/>
      <c r="D4727" s="798"/>
      <c r="E4727" s="798"/>
      <c r="F4727" s="798"/>
      <c r="G4727" s="798"/>
      <c r="K4727" s="798"/>
      <c r="P4727" s="798"/>
      <c r="Q4727" s="798"/>
      <c r="R4727" s="811"/>
    </row>
    <row r="4728" customFormat="false" ht="16.5" hidden="false" customHeight="true" outlineLevel="0" collapsed="false">
      <c r="A4728" s="747"/>
      <c r="B4728" s="798"/>
      <c r="D4728" s="798"/>
      <c r="E4728" s="798"/>
      <c r="F4728" s="798"/>
      <c r="G4728" s="798"/>
      <c r="K4728" s="798"/>
      <c r="P4728" s="798"/>
      <c r="Q4728" s="798"/>
      <c r="R4728" s="811"/>
    </row>
    <row r="4729" customFormat="false" ht="16.5" hidden="false" customHeight="true" outlineLevel="0" collapsed="false">
      <c r="A4729" s="747"/>
      <c r="B4729" s="798"/>
      <c r="D4729" s="798"/>
      <c r="E4729" s="798"/>
      <c r="F4729" s="798"/>
      <c r="G4729" s="798"/>
      <c r="K4729" s="798"/>
      <c r="P4729" s="798"/>
      <c r="Q4729" s="798"/>
      <c r="R4729" s="811"/>
    </row>
    <row r="4730" customFormat="false" ht="16.5" hidden="false" customHeight="true" outlineLevel="0" collapsed="false">
      <c r="A4730" s="747"/>
      <c r="B4730" s="798"/>
      <c r="D4730" s="798"/>
      <c r="E4730" s="798"/>
      <c r="F4730" s="798"/>
      <c r="G4730" s="798"/>
      <c r="K4730" s="798"/>
      <c r="P4730" s="798"/>
      <c r="Q4730" s="798"/>
      <c r="R4730" s="811"/>
    </row>
    <row r="4731" customFormat="false" ht="16.5" hidden="false" customHeight="true" outlineLevel="0" collapsed="false">
      <c r="A4731" s="747"/>
      <c r="B4731" s="798"/>
      <c r="D4731" s="798"/>
      <c r="E4731" s="798"/>
      <c r="F4731" s="798"/>
      <c r="G4731" s="798"/>
      <c r="K4731" s="798"/>
      <c r="P4731" s="798"/>
      <c r="Q4731" s="798"/>
      <c r="R4731" s="811"/>
    </row>
    <row r="4732" customFormat="false" ht="16.5" hidden="false" customHeight="true" outlineLevel="0" collapsed="false">
      <c r="A4732" s="747"/>
      <c r="B4732" s="798"/>
      <c r="D4732" s="798"/>
      <c r="E4732" s="798"/>
      <c r="F4732" s="798"/>
      <c r="G4732" s="798"/>
      <c r="K4732" s="798"/>
      <c r="P4732" s="798"/>
      <c r="Q4732" s="798"/>
      <c r="R4732" s="811"/>
    </row>
    <row r="4733" customFormat="false" ht="16.5" hidden="false" customHeight="true" outlineLevel="0" collapsed="false">
      <c r="A4733" s="747"/>
      <c r="B4733" s="798"/>
      <c r="D4733" s="798"/>
      <c r="E4733" s="798"/>
      <c r="F4733" s="798"/>
      <c r="G4733" s="798"/>
      <c r="K4733" s="798"/>
      <c r="P4733" s="798"/>
      <c r="Q4733" s="798"/>
      <c r="R4733" s="811"/>
    </row>
    <row r="4734" customFormat="false" ht="16.5" hidden="false" customHeight="true" outlineLevel="0" collapsed="false">
      <c r="A4734" s="747"/>
      <c r="B4734" s="798"/>
      <c r="D4734" s="798"/>
      <c r="E4734" s="798"/>
      <c r="F4734" s="798"/>
      <c r="G4734" s="798"/>
      <c r="K4734" s="798"/>
      <c r="P4734" s="798"/>
      <c r="Q4734" s="798"/>
      <c r="R4734" s="811"/>
    </row>
    <row r="4735" customFormat="false" ht="16.5" hidden="false" customHeight="true" outlineLevel="0" collapsed="false">
      <c r="A4735" s="747"/>
      <c r="B4735" s="798"/>
      <c r="D4735" s="798"/>
      <c r="E4735" s="798"/>
      <c r="F4735" s="798"/>
      <c r="G4735" s="798"/>
      <c r="K4735" s="798"/>
      <c r="P4735" s="798"/>
      <c r="Q4735" s="798"/>
      <c r="R4735" s="811"/>
    </row>
    <row r="4736" customFormat="false" ht="16.5" hidden="false" customHeight="true" outlineLevel="0" collapsed="false">
      <c r="A4736" s="747"/>
      <c r="B4736" s="798"/>
      <c r="D4736" s="798"/>
      <c r="E4736" s="798"/>
      <c r="F4736" s="798"/>
      <c r="G4736" s="798"/>
      <c r="K4736" s="798"/>
      <c r="P4736" s="798"/>
      <c r="Q4736" s="798"/>
      <c r="R4736" s="811"/>
    </row>
    <row r="4737" customFormat="false" ht="16.5" hidden="false" customHeight="true" outlineLevel="0" collapsed="false">
      <c r="A4737" s="747"/>
      <c r="B4737" s="798"/>
      <c r="D4737" s="798"/>
      <c r="E4737" s="798"/>
      <c r="F4737" s="798"/>
      <c r="G4737" s="798"/>
      <c r="K4737" s="798"/>
      <c r="P4737" s="798"/>
      <c r="Q4737" s="798"/>
      <c r="R4737" s="811"/>
    </row>
    <row r="4738" customFormat="false" ht="16.5" hidden="false" customHeight="true" outlineLevel="0" collapsed="false">
      <c r="A4738" s="747"/>
      <c r="B4738" s="798"/>
      <c r="D4738" s="798"/>
      <c r="E4738" s="798"/>
      <c r="F4738" s="798"/>
      <c r="G4738" s="798"/>
      <c r="K4738" s="798"/>
      <c r="P4738" s="798"/>
      <c r="Q4738" s="798"/>
      <c r="R4738" s="811"/>
    </row>
    <row r="4739" customFormat="false" ht="16.5" hidden="false" customHeight="true" outlineLevel="0" collapsed="false">
      <c r="A4739" s="747"/>
      <c r="B4739" s="798"/>
      <c r="D4739" s="798"/>
      <c r="E4739" s="798"/>
      <c r="F4739" s="798"/>
      <c r="G4739" s="798"/>
      <c r="K4739" s="798"/>
      <c r="P4739" s="798"/>
      <c r="Q4739" s="798"/>
      <c r="R4739" s="811"/>
    </row>
    <row r="4740" customFormat="false" ht="16.5" hidden="false" customHeight="true" outlineLevel="0" collapsed="false">
      <c r="A4740" s="747"/>
      <c r="B4740" s="798"/>
      <c r="D4740" s="798"/>
      <c r="E4740" s="798"/>
      <c r="F4740" s="798"/>
      <c r="G4740" s="798"/>
      <c r="K4740" s="798"/>
      <c r="P4740" s="798"/>
      <c r="Q4740" s="798"/>
      <c r="R4740" s="811"/>
    </row>
    <row r="4741" customFormat="false" ht="16.5" hidden="false" customHeight="true" outlineLevel="0" collapsed="false">
      <c r="A4741" s="747"/>
      <c r="B4741" s="798"/>
      <c r="D4741" s="798"/>
      <c r="E4741" s="798"/>
      <c r="F4741" s="798"/>
      <c r="G4741" s="798"/>
      <c r="K4741" s="798"/>
      <c r="P4741" s="798"/>
      <c r="Q4741" s="798"/>
      <c r="R4741" s="811"/>
    </row>
    <row r="4742" customFormat="false" ht="16.5" hidden="false" customHeight="true" outlineLevel="0" collapsed="false">
      <c r="A4742" s="747"/>
      <c r="B4742" s="798"/>
      <c r="D4742" s="798"/>
      <c r="E4742" s="798"/>
      <c r="F4742" s="798"/>
      <c r="G4742" s="798"/>
      <c r="K4742" s="798"/>
      <c r="P4742" s="798"/>
      <c r="Q4742" s="798"/>
      <c r="R4742" s="811"/>
    </row>
    <row r="4743" customFormat="false" ht="16.5" hidden="false" customHeight="true" outlineLevel="0" collapsed="false">
      <c r="A4743" s="747"/>
      <c r="B4743" s="798"/>
      <c r="D4743" s="798"/>
      <c r="E4743" s="798"/>
      <c r="F4743" s="798"/>
      <c r="G4743" s="798"/>
      <c r="K4743" s="798"/>
      <c r="P4743" s="798"/>
      <c r="Q4743" s="798"/>
      <c r="R4743" s="811"/>
    </row>
    <row r="4744" customFormat="false" ht="16.5" hidden="false" customHeight="true" outlineLevel="0" collapsed="false">
      <c r="A4744" s="747"/>
      <c r="B4744" s="798"/>
      <c r="D4744" s="798"/>
      <c r="E4744" s="798"/>
      <c r="F4744" s="798"/>
      <c r="G4744" s="798"/>
      <c r="K4744" s="798"/>
      <c r="P4744" s="798"/>
      <c r="Q4744" s="798"/>
      <c r="R4744" s="811"/>
    </row>
    <row r="4745" customFormat="false" ht="16.5" hidden="false" customHeight="true" outlineLevel="0" collapsed="false">
      <c r="A4745" s="747"/>
      <c r="B4745" s="798"/>
      <c r="D4745" s="798"/>
      <c r="E4745" s="798"/>
      <c r="F4745" s="798"/>
      <c r="G4745" s="798"/>
      <c r="K4745" s="798"/>
      <c r="P4745" s="798"/>
      <c r="Q4745" s="798"/>
      <c r="R4745" s="811"/>
    </row>
    <row r="4746" customFormat="false" ht="16.5" hidden="false" customHeight="true" outlineLevel="0" collapsed="false">
      <c r="A4746" s="747"/>
      <c r="B4746" s="798"/>
      <c r="D4746" s="798"/>
      <c r="E4746" s="798"/>
      <c r="F4746" s="798"/>
      <c r="G4746" s="798"/>
      <c r="K4746" s="798"/>
      <c r="P4746" s="798"/>
      <c r="Q4746" s="798"/>
      <c r="R4746" s="811"/>
    </row>
    <row r="4747" customFormat="false" ht="16.5" hidden="false" customHeight="true" outlineLevel="0" collapsed="false">
      <c r="A4747" s="747"/>
      <c r="B4747" s="798"/>
      <c r="D4747" s="798"/>
      <c r="E4747" s="798"/>
      <c r="F4747" s="798"/>
      <c r="G4747" s="798"/>
      <c r="K4747" s="798"/>
      <c r="P4747" s="798"/>
      <c r="Q4747" s="798"/>
      <c r="R4747" s="811"/>
    </row>
    <row r="4748" customFormat="false" ht="16.5" hidden="false" customHeight="true" outlineLevel="0" collapsed="false">
      <c r="A4748" s="747"/>
      <c r="B4748" s="798"/>
      <c r="D4748" s="798"/>
      <c r="E4748" s="798"/>
      <c r="F4748" s="798"/>
      <c r="G4748" s="798"/>
      <c r="K4748" s="798"/>
      <c r="P4748" s="798"/>
      <c r="Q4748" s="798"/>
      <c r="R4748" s="811"/>
    </row>
    <row r="4749" customFormat="false" ht="16.5" hidden="false" customHeight="true" outlineLevel="0" collapsed="false">
      <c r="A4749" s="747"/>
      <c r="B4749" s="798"/>
      <c r="D4749" s="798"/>
      <c r="E4749" s="798"/>
      <c r="F4749" s="798"/>
      <c r="G4749" s="798"/>
      <c r="K4749" s="798"/>
      <c r="P4749" s="798"/>
      <c r="Q4749" s="798"/>
      <c r="R4749" s="811"/>
    </row>
    <row r="4750" customFormat="false" ht="16.5" hidden="false" customHeight="true" outlineLevel="0" collapsed="false">
      <c r="A4750" s="747"/>
      <c r="B4750" s="798"/>
      <c r="D4750" s="798"/>
      <c r="E4750" s="798"/>
      <c r="F4750" s="798"/>
      <c r="G4750" s="798"/>
      <c r="K4750" s="798"/>
      <c r="P4750" s="798"/>
      <c r="Q4750" s="798"/>
      <c r="R4750" s="811"/>
    </row>
    <row r="4751" customFormat="false" ht="16.5" hidden="false" customHeight="true" outlineLevel="0" collapsed="false">
      <c r="A4751" s="747"/>
      <c r="B4751" s="798"/>
      <c r="D4751" s="798"/>
      <c r="E4751" s="798"/>
      <c r="F4751" s="798"/>
      <c r="G4751" s="798"/>
      <c r="K4751" s="798"/>
      <c r="P4751" s="798"/>
      <c r="Q4751" s="798"/>
      <c r="R4751" s="811"/>
    </row>
    <row r="4752" customFormat="false" ht="16.5" hidden="false" customHeight="true" outlineLevel="0" collapsed="false">
      <c r="A4752" s="747"/>
      <c r="B4752" s="798"/>
      <c r="D4752" s="798"/>
      <c r="E4752" s="798"/>
      <c r="F4752" s="798"/>
      <c r="G4752" s="798"/>
      <c r="K4752" s="798"/>
      <c r="P4752" s="798"/>
      <c r="Q4752" s="798"/>
      <c r="R4752" s="811"/>
    </row>
    <row r="4753" customFormat="false" ht="16.5" hidden="false" customHeight="true" outlineLevel="0" collapsed="false">
      <c r="A4753" s="747"/>
      <c r="B4753" s="798"/>
      <c r="D4753" s="798"/>
      <c r="E4753" s="798"/>
      <c r="F4753" s="798"/>
      <c r="G4753" s="798"/>
      <c r="K4753" s="798"/>
      <c r="P4753" s="798"/>
      <c r="Q4753" s="798"/>
      <c r="R4753" s="811"/>
    </row>
    <row r="4754" customFormat="false" ht="16.5" hidden="false" customHeight="true" outlineLevel="0" collapsed="false">
      <c r="A4754" s="747"/>
      <c r="B4754" s="798"/>
      <c r="D4754" s="798"/>
      <c r="E4754" s="798"/>
      <c r="F4754" s="798"/>
      <c r="G4754" s="798"/>
      <c r="K4754" s="798"/>
      <c r="P4754" s="798"/>
      <c r="Q4754" s="798"/>
      <c r="R4754" s="811"/>
    </row>
    <row r="4755" customFormat="false" ht="16.5" hidden="false" customHeight="true" outlineLevel="0" collapsed="false">
      <c r="A4755" s="747"/>
      <c r="B4755" s="798"/>
      <c r="D4755" s="798"/>
      <c r="E4755" s="798"/>
      <c r="F4755" s="798"/>
      <c r="G4755" s="798"/>
      <c r="K4755" s="798"/>
      <c r="P4755" s="798"/>
      <c r="Q4755" s="798"/>
      <c r="R4755" s="811"/>
    </row>
    <row r="4756" customFormat="false" ht="16.5" hidden="false" customHeight="true" outlineLevel="0" collapsed="false">
      <c r="A4756" s="747"/>
      <c r="B4756" s="798"/>
      <c r="D4756" s="798"/>
      <c r="E4756" s="798"/>
      <c r="F4756" s="798"/>
      <c r="G4756" s="798"/>
      <c r="K4756" s="798"/>
      <c r="P4756" s="798"/>
      <c r="Q4756" s="798"/>
      <c r="R4756" s="811"/>
    </row>
    <row r="4757" customFormat="false" ht="16.5" hidden="false" customHeight="true" outlineLevel="0" collapsed="false">
      <c r="A4757" s="747"/>
      <c r="B4757" s="798"/>
      <c r="D4757" s="798"/>
      <c r="E4757" s="798"/>
      <c r="F4757" s="798"/>
      <c r="G4757" s="798"/>
      <c r="K4757" s="798"/>
      <c r="P4757" s="798"/>
      <c r="Q4757" s="798"/>
      <c r="R4757" s="811"/>
    </row>
    <row r="4758" customFormat="false" ht="16.5" hidden="false" customHeight="true" outlineLevel="0" collapsed="false">
      <c r="A4758" s="747"/>
      <c r="B4758" s="798"/>
      <c r="D4758" s="798"/>
      <c r="E4758" s="798"/>
      <c r="F4758" s="798"/>
      <c r="G4758" s="798"/>
      <c r="K4758" s="798"/>
      <c r="P4758" s="798"/>
      <c r="Q4758" s="798"/>
      <c r="R4758" s="811"/>
    </row>
    <row r="4759" customFormat="false" ht="16.5" hidden="false" customHeight="true" outlineLevel="0" collapsed="false">
      <c r="A4759" s="747"/>
      <c r="B4759" s="798"/>
      <c r="D4759" s="798"/>
      <c r="E4759" s="798"/>
      <c r="F4759" s="798"/>
      <c r="G4759" s="798"/>
      <c r="K4759" s="798"/>
      <c r="P4759" s="798"/>
      <c r="Q4759" s="798"/>
      <c r="R4759" s="811"/>
    </row>
    <row r="4760" customFormat="false" ht="16.5" hidden="false" customHeight="true" outlineLevel="0" collapsed="false">
      <c r="A4760" s="747"/>
      <c r="B4760" s="798"/>
      <c r="D4760" s="798"/>
      <c r="E4760" s="798"/>
      <c r="F4760" s="798"/>
      <c r="G4760" s="798"/>
      <c r="K4760" s="798"/>
      <c r="P4760" s="798"/>
      <c r="Q4760" s="798"/>
      <c r="R4760" s="811"/>
    </row>
    <row r="4761" customFormat="false" ht="16.5" hidden="false" customHeight="true" outlineLevel="0" collapsed="false">
      <c r="A4761" s="747"/>
      <c r="B4761" s="798"/>
      <c r="D4761" s="798"/>
      <c r="E4761" s="798"/>
      <c r="F4761" s="798"/>
      <c r="G4761" s="798"/>
      <c r="K4761" s="798"/>
      <c r="P4761" s="798"/>
      <c r="Q4761" s="798"/>
      <c r="R4761" s="811"/>
    </row>
    <row r="4762" customFormat="false" ht="16.5" hidden="false" customHeight="true" outlineLevel="0" collapsed="false">
      <c r="A4762" s="747"/>
      <c r="B4762" s="798"/>
      <c r="D4762" s="798"/>
      <c r="E4762" s="798"/>
      <c r="F4762" s="798"/>
      <c r="G4762" s="798"/>
      <c r="K4762" s="798"/>
      <c r="P4762" s="798"/>
      <c r="Q4762" s="798"/>
      <c r="R4762" s="811"/>
    </row>
    <row r="4763" customFormat="false" ht="16.5" hidden="false" customHeight="true" outlineLevel="0" collapsed="false">
      <c r="A4763" s="747"/>
      <c r="B4763" s="798"/>
      <c r="D4763" s="798"/>
      <c r="E4763" s="798"/>
      <c r="F4763" s="798"/>
      <c r="G4763" s="798"/>
      <c r="K4763" s="798"/>
      <c r="P4763" s="798"/>
      <c r="Q4763" s="798"/>
      <c r="R4763" s="811"/>
    </row>
    <row r="4764" customFormat="false" ht="16.5" hidden="false" customHeight="true" outlineLevel="0" collapsed="false">
      <c r="A4764" s="747"/>
      <c r="B4764" s="798"/>
      <c r="D4764" s="798"/>
      <c r="E4764" s="798"/>
      <c r="F4764" s="798"/>
      <c r="G4764" s="798"/>
      <c r="K4764" s="798"/>
      <c r="P4764" s="798"/>
      <c r="Q4764" s="798"/>
      <c r="R4764" s="811"/>
    </row>
    <row r="4765" customFormat="false" ht="16.5" hidden="false" customHeight="true" outlineLevel="0" collapsed="false">
      <c r="A4765" s="747"/>
      <c r="B4765" s="798"/>
      <c r="D4765" s="798"/>
      <c r="E4765" s="798"/>
      <c r="F4765" s="798"/>
      <c r="G4765" s="798"/>
      <c r="K4765" s="798"/>
      <c r="P4765" s="798"/>
      <c r="Q4765" s="798"/>
      <c r="R4765" s="811"/>
    </row>
    <row r="4766" customFormat="false" ht="16.5" hidden="false" customHeight="true" outlineLevel="0" collapsed="false">
      <c r="A4766" s="747"/>
      <c r="B4766" s="798"/>
      <c r="D4766" s="798"/>
      <c r="E4766" s="798"/>
      <c r="F4766" s="798"/>
      <c r="G4766" s="798"/>
      <c r="K4766" s="798"/>
      <c r="P4766" s="798"/>
      <c r="Q4766" s="798"/>
      <c r="R4766" s="811"/>
    </row>
    <row r="4767" customFormat="false" ht="16.5" hidden="false" customHeight="true" outlineLevel="0" collapsed="false">
      <c r="A4767" s="747"/>
      <c r="B4767" s="798"/>
      <c r="D4767" s="798"/>
      <c r="E4767" s="798"/>
      <c r="F4767" s="798"/>
      <c r="G4767" s="798"/>
      <c r="K4767" s="798"/>
      <c r="P4767" s="798"/>
      <c r="Q4767" s="798"/>
      <c r="R4767" s="811"/>
    </row>
    <row r="4768" customFormat="false" ht="16.5" hidden="false" customHeight="true" outlineLevel="0" collapsed="false">
      <c r="A4768" s="747"/>
      <c r="B4768" s="798"/>
      <c r="D4768" s="798"/>
      <c r="E4768" s="798"/>
      <c r="F4768" s="798"/>
      <c r="G4768" s="798"/>
      <c r="K4768" s="798"/>
      <c r="P4768" s="798"/>
      <c r="Q4768" s="798"/>
      <c r="R4768" s="811"/>
    </row>
    <row r="4769" customFormat="false" ht="16.5" hidden="false" customHeight="true" outlineLevel="0" collapsed="false">
      <c r="A4769" s="747"/>
      <c r="B4769" s="798"/>
      <c r="D4769" s="798"/>
      <c r="E4769" s="798"/>
      <c r="F4769" s="798"/>
      <c r="G4769" s="798"/>
      <c r="K4769" s="798"/>
      <c r="P4769" s="798"/>
      <c r="Q4769" s="798"/>
      <c r="R4769" s="811"/>
    </row>
    <row r="4770" customFormat="false" ht="16.5" hidden="false" customHeight="true" outlineLevel="0" collapsed="false">
      <c r="A4770" s="747"/>
      <c r="B4770" s="798"/>
      <c r="D4770" s="798"/>
      <c r="E4770" s="798"/>
      <c r="F4770" s="798"/>
      <c r="G4770" s="798"/>
      <c r="K4770" s="798"/>
      <c r="P4770" s="798"/>
      <c r="Q4770" s="798"/>
      <c r="R4770" s="811"/>
    </row>
    <row r="4771" customFormat="false" ht="16.5" hidden="false" customHeight="true" outlineLevel="0" collapsed="false">
      <c r="A4771" s="747"/>
      <c r="B4771" s="798"/>
      <c r="D4771" s="798"/>
      <c r="E4771" s="798"/>
      <c r="F4771" s="798"/>
      <c r="G4771" s="798"/>
      <c r="K4771" s="798"/>
      <c r="P4771" s="798"/>
      <c r="Q4771" s="798"/>
      <c r="R4771" s="811"/>
    </row>
    <row r="4772" customFormat="false" ht="16.5" hidden="false" customHeight="true" outlineLevel="0" collapsed="false">
      <c r="A4772" s="747"/>
      <c r="B4772" s="798"/>
      <c r="D4772" s="798"/>
      <c r="E4772" s="798"/>
      <c r="F4772" s="798"/>
      <c r="G4772" s="798"/>
      <c r="K4772" s="798"/>
      <c r="P4772" s="798"/>
      <c r="Q4772" s="798"/>
      <c r="R4772" s="811"/>
    </row>
    <row r="4773" customFormat="false" ht="16.5" hidden="false" customHeight="true" outlineLevel="0" collapsed="false">
      <c r="A4773" s="747"/>
      <c r="B4773" s="798"/>
      <c r="D4773" s="798"/>
      <c r="E4773" s="798"/>
      <c r="F4773" s="798"/>
      <c r="G4773" s="798"/>
      <c r="K4773" s="798"/>
      <c r="P4773" s="798"/>
      <c r="Q4773" s="798"/>
      <c r="R4773" s="811"/>
    </row>
    <row r="4774" customFormat="false" ht="16.5" hidden="false" customHeight="true" outlineLevel="0" collapsed="false">
      <c r="A4774" s="747"/>
      <c r="B4774" s="798"/>
      <c r="D4774" s="798"/>
      <c r="E4774" s="798"/>
      <c r="F4774" s="798"/>
      <c r="G4774" s="798"/>
      <c r="K4774" s="798"/>
      <c r="P4774" s="798"/>
      <c r="Q4774" s="798"/>
      <c r="R4774" s="811"/>
    </row>
    <row r="4775" customFormat="false" ht="16.5" hidden="false" customHeight="true" outlineLevel="0" collapsed="false">
      <c r="A4775" s="747"/>
      <c r="B4775" s="798"/>
      <c r="D4775" s="798"/>
      <c r="E4775" s="798"/>
      <c r="F4775" s="798"/>
      <c r="G4775" s="798"/>
      <c r="K4775" s="798"/>
      <c r="P4775" s="798"/>
      <c r="Q4775" s="798"/>
      <c r="R4775" s="811"/>
    </row>
    <row r="4776" customFormat="false" ht="16.5" hidden="false" customHeight="true" outlineLevel="0" collapsed="false">
      <c r="A4776" s="747"/>
      <c r="B4776" s="798"/>
      <c r="D4776" s="798"/>
      <c r="E4776" s="798"/>
      <c r="F4776" s="798"/>
      <c r="G4776" s="798"/>
      <c r="K4776" s="798"/>
      <c r="P4776" s="798"/>
      <c r="Q4776" s="798"/>
      <c r="R4776" s="811"/>
    </row>
    <row r="4777" customFormat="false" ht="16.5" hidden="false" customHeight="true" outlineLevel="0" collapsed="false">
      <c r="A4777" s="747"/>
      <c r="B4777" s="798"/>
      <c r="D4777" s="798"/>
      <c r="E4777" s="798"/>
      <c r="F4777" s="798"/>
      <c r="G4777" s="798"/>
      <c r="K4777" s="798"/>
      <c r="P4777" s="798"/>
      <c r="Q4777" s="798"/>
      <c r="R4777" s="811"/>
    </row>
    <row r="4778" customFormat="false" ht="16.5" hidden="false" customHeight="true" outlineLevel="0" collapsed="false">
      <c r="A4778" s="747"/>
      <c r="B4778" s="798"/>
      <c r="D4778" s="798"/>
      <c r="E4778" s="798"/>
      <c r="F4778" s="798"/>
      <c r="G4778" s="798"/>
      <c r="K4778" s="798"/>
      <c r="P4778" s="798"/>
      <c r="Q4778" s="798"/>
      <c r="R4778" s="811"/>
    </row>
    <row r="4779" customFormat="false" ht="16.5" hidden="false" customHeight="true" outlineLevel="0" collapsed="false">
      <c r="A4779" s="747"/>
      <c r="B4779" s="798"/>
      <c r="D4779" s="798"/>
      <c r="E4779" s="798"/>
      <c r="F4779" s="798"/>
      <c r="G4779" s="798"/>
      <c r="K4779" s="798"/>
      <c r="P4779" s="798"/>
      <c r="Q4779" s="798"/>
      <c r="R4779" s="811"/>
    </row>
    <row r="4780" customFormat="false" ht="16.5" hidden="false" customHeight="true" outlineLevel="0" collapsed="false">
      <c r="A4780" s="747"/>
      <c r="B4780" s="798"/>
      <c r="D4780" s="798"/>
      <c r="E4780" s="798"/>
      <c r="F4780" s="798"/>
      <c r="G4780" s="798"/>
      <c r="K4780" s="798"/>
      <c r="P4780" s="798"/>
      <c r="Q4780" s="798"/>
      <c r="R4780" s="811"/>
    </row>
    <row r="4781" customFormat="false" ht="16.5" hidden="false" customHeight="true" outlineLevel="0" collapsed="false">
      <c r="A4781" s="747"/>
      <c r="B4781" s="798"/>
      <c r="D4781" s="798"/>
      <c r="E4781" s="798"/>
      <c r="F4781" s="798"/>
      <c r="G4781" s="798"/>
      <c r="K4781" s="798"/>
      <c r="P4781" s="798"/>
      <c r="Q4781" s="798"/>
      <c r="R4781" s="811"/>
    </row>
    <row r="4782" customFormat="false" ht="16.5" hidden="false" customHeight="true" outlineLevel="0" collapsed="false">
      <c r="A4782" s="747"/>
      <c r="B4782" s="798"/>
      <c r="D4782" s="798"/>
      <c r="E4782" s="798"/>
      <c r="F4782" s="798"/>
      <c r="G4782" s="798"/>
      <c r="K4782" s="798"/>
      <c r="P4782" s="798"/>
      <c r="Q4782" s="798"/>
      <c r="R4782" s="811"/>
    </row>
    <row r="4783" customFormat="false" ht="16.5" hidden="false" customHeight="true" outlineLevel="0" collapsed="false">
      <c r="A4783" s="747"/>
      <c r="B4783" s="798"/>
      <c r="D4783" s="798"/>
      <c r="E4783" s="798"/>
      <c r="F4783" s="798"/>
      <c r="G4783" s="798"/>
      <c r="K4783" s="798"/>
      <c r="P4783" s="798"/>
      <c r="Q4783" s="798"/>
      <c r="R4783" s="811"/>
    </row>
    <row r="4784" customFormat="false" ht="16.5" hidden="false" customHeight="true" outlineLevel="0" collapsed="false">
      <c r="A4784" s="747"/>
      <c r="B4784" s="798"/>
      <c r="D4784" s="798"/>
      <c r="E4784" s="798"/>
      <c r="F4784" s="798"/>
      <c r="G4784" s="798"/>
      <c r="K4784" s="798"/>
      <c r="P4784" s="798"/>
      <c r="Q4784" s="798"/>
      <c r="R4784" s="811"/>
    </row>
    <row r="4785" customFormat="false" ht="16.5" hidden="false" customHeight="true" outlineLevel="0" collapsed="false">
      <c r="A4785" s="747"/>
      <c r="B4785" s="798"/>
      <c r="D4785" s="798"/>
      <c r="E4785" s="798"/>
      <c r="F4785" s="798"/>
      <c r="G4785" s="798"/>
      <c r="K4785" s="798"/>
      <c r="P4785" s="798"/>
      <c r="Q4785" s="798"/>
      <c r="R4785" s="811"/>
    </row>
    <row r="4786" customFormat="false" ht="16.5" hidden="false" customHeight="true" outlineLevel="0" collapsed="false">
      <c r="A4786" s="747"/>
      <c r="B4786" s="798"/>
      <c r="D4786" s="798"/>
      <c r="E4786" s="798"/>
      <c r="F4786" s="798"/>
      <c r="G4786" s="798"/>
      <c r="K4786" s="798"/>
      <c r="P4786" s="798"/>
      <c r="Q4786" s="798"/>
      <c r="R4786" s="811"/>
    </row>
    <row r="4787" customFormat="false" ht="16.5" hidden="false" customHeight="true" outlineLevel="0" collapsed="false">
      <c r="A4787" s="747"/>
      <c r="B4787" s="798"/>
      <c r="D4787" s="798"/>
      <c r="E4787" s="798"/>
      <c r="F4787" s="798"/>
      <c r="G4787" s="798"/>
      <c r="K4787" s="798"/>
      <c r="P4787" s="798"/>
      <c r="Q4787" s="798"/>
      <c r="R4787" s="811"/>
    </row>
    <row r="4788" customFormat="false" ht="16.5" hidden="false" customHeight="true" outlineLevel="0" collapsed="false">
      <c r="A4788" s="747"/>
      <c r="B4788" s="798"/>
      <c r="D4788" s="798"/>
      <c r="E4788" s="798"/>
      <c r="F4788" s="798"/>
      <c r="G4788" s="798"/>
      <c r="K4788" s="798"/>
      <c r="P4788" s="798"/>
      <c r="Q4788" s="798"/>
      <c r="R4788" s="811"/>
    </row>
    <row r="4789" customFormat="false" ht="16.5" hidden="false" customHeight="true" outlineLevel="0" collapsed="false">
      <c r="A4789" s="747"/>
      <c r="B4789" s="798"/>
      <c r="D4789" s="798"/>
      <c r="E4789" s="798"/>
      <c r="F4789" s="798"/>
      <c r="G4789" s="798"/>
      <c r="K4789" s="798"/>
      <c r="P4789" s="798"/>
      <c r="Q4789" s="798"/>
      <c r="R4789" s="811"/>
    </row>
    <row r="4790" customFormat="false" ht="16.5" hidden="false" customHeight="true" outlineLevel="0" collapsed="false">
      <c r="A4790" s="747"/>
      <c r="B4790" s="798"/>
      <c r="D4790" s="798"/>
      <c r="E4790" s="798"/>
      <c r="F4790" s="798"/>
      <c r="G4790" s="798"/>
      <c r="K4790" s="798"/>
      <c r="P4790" s="798"/>
      <c r="Q4790" s="798"/>
      <c r="R4790" s="811"/>
    </row>
    <row r="4791" customFormat="false" ht="16.5" hidden="false" customHeight="true" outlineLevel="0" collapsed="false">
      <c r="A4791" s="747"/>
      <c r="B4791" s="798"/>
      <c r="D4791" s="798"/>
      <c r="E4791" s="798"/>
      <c r="F4791" s="798"/>
      <c r="G4791" s="798"/>
      <c r="K4791" s="798"/>
      <c r="P4791" s="798"/>
      <c r="Q4791" s="798"/>
      <c r="R4791" s="811"/>
    </row>
    <row r="4792" customFormat="false" ht="16.5" hidden="false" customHeight="true" outlineLevel="0" collapsed="false">
      <c r="A4792" s="747"/>
      <c r="B4792" s="798"/>
      <c r="D4792" s="798"/>
      <c r="E4792" s="798"/>
      <c r="F4792" s="798"/>
      <c r="G4792" s="798"/>
      <c r="K4792" s="798"/>
      <c r="P4792" s="798"/>
      <c r="Q4792" s="798"/>
      <c r="R4792" s="811"/>
    </row>
    <row r="4793" customFormat="false" ht="16.5" hidden="false" customHeight="true" outlineLevel="0" collapsed="false">
      <c r="A4793" s="747"/>
      <c r="B4793" s="798"/>
      <c r="D4793" s="798"/>
      <c r="E4793" s="798"/>
      <c r="F4793" s="798"/>
      <c r="G4793" s="798"/>
      <c r="K4793" s="798"/>
      <c r="P4793" s="798"/>
      <c r="Q4793" s="798"/>
      <c r="R4793" s="811"/>
    </row>
    <row r="4794" customFormat="false" ht="16.5" hidden="false" customHeight="true" outlineLevel="0" collapsed="false">
      <c r="A4794" s="747"/>
      <c r="B4794" s="798"/>
      <c r="D4794" s="798"/>
      <c r="E4794" s="798"/>
      <c r="F4794" s="798"/>
      <c r="G4794" s="798"/>
      <c r="K4794" s="798"/>
      <c r="P4794" s="798"/>
      <c r="Q4794" s="798"/>
      <c r="R4794" s="811"/>
    </row>
    <row r="4795" customFormat="false" ht="16.5" hidden="false" customHeight="true" outlineLevel="0" collapsed="false">
      <c r="A4795" s="747"/>
      <c r="B4795" s="798"/>
      <c r="D4795" s="798"/>
      <c r="E4795" s="798"/>
      <c r="F4795" s="798"/>
      <c r="G4795" s="798"/>
      <c r="K4795" s="798"/>
      <c r="P4795" s="798"/>
      <c r="Q4795" s="798"/>
      <c r="R4795" s="811"/>
    </row>
    <row r="4796" customFormat="false" ht="16.5" hidden="false" customHeight="true" outlineLevel="0" collapsed="false">
      <c r="A4796" s="747"/>
      <c r="B4796" s="798"/>
      <c r="D4796" s="798"/>
      <c r="E4796" s="798"/>
      <c r="F4796" s="798"/>
      <c r="G4796" s="798"/>
      <c r="K4796" s="798"/>
      <c r="P4796" s="798"/>
      <c r="Q4796" s="798"/>
      <c r="R4796" s="811"/>
    </row>
    <row r="4797" customFormat="false" ht="16.5" hidden="false" customHeight="true" outlineLevel="0" collapsed="false">
      <c r="A4797" s="747"/>
      <c r="B4797" s="798"/>
      <c r="D4797" s="798"/>
      <c r="E4797" s="798"/>
      <c r="F4797" s="798"/>
      <c r="G4797" s="798"/>
      <c r="K4797" s="798"/>
      <c r="P4797" s="798"/>
      <c r="Q4797" s="798"/>
      <c r="R4797" s="811"/>
    </row>
    <row r="4798" customFormat="false" ht="16.5" hidden="false" customHeight="true" outlineLevel="0" collapsed="false">
      <c r="A4798" s="747"/>
      <c r="B4798" s="798"/>
      <c r="D4798" s="798"/>
      <c r="E4798" s="798"/>
      <c r="F4798" s="798"/>
      <c r="G4798" s="798"/>
      <c r="K4798" s="798"/>
      <c r="P4798" s="798"/>
      <c r="Q4798" s="798"/>
      <c r="R4798" s="811"/>
    </row>
    <row r="4799" customFormat="false" ht="16.5" hidden="false" customHeight="true" outlineLevel="0" collapsed="false">
      <c r="A4799" s="747"/>
      <c r="B4799" s="798"/>
      <c r="D4799" s="798"/>
      <c r="E4799" s="798"/>
      <c r="F4799" s="798"/>
      <c r="G4799" s="798"/>
      <c r="K4799" s="798"/>
      <c r="P4799" s="798"/>
      <c r="Q4799" s="798"/>
      <c r="R4799" s="811"/>
    </row>
    <row r="4800" customFormat="false" ht="16.5" hidden="false" customHeight="true" outlineLevel="0" collapsed="false">
      <c r="A4800" s="747"/>
      <c r="B4800" s="798"/>
      <c r="D4800" s="798"/>
      <c r="E4800" s="798"/>
      <c r="F4800" s="798"/>
      <c r="G4800" s="798"/>
      <c r="K4800" s="798"/>
      <c r="P4800" s="798"/>
      <c r="Q4800" s="798"/>
      <c r="R4800" s="811"/>
    </row>
    <row r="4801" customFormat="false" ht="16.5" hidden="false" customHeight="true" outlineLevel="0" collapsed="false">
      <c r="A4801" s="747"/>
      <c r="B4801" s="798"/>
      <c r="D4801" s="798"/>
      <c r="E4801" s="798"/>
      <c r="F4801" s="798"/>
      <c r="G4801" s="798"/>
      <c r="K4801" s="798"/>
      <c r="P4801" s="798"/>
      <c r="Q4801" s="798"/>
      <c r="R4801" s="811"/>
    </row>
    <row r="4802" customFormat="false" ht="16.5" hidden="false" customHeight="true" outlineLevel="0" collapsed="false">
      <c r="A4802" s="747"/>
      <c r="B4802" s="798"/>
      <c r="D4802" s="798"/>
      <c r="E4802" s="798"/>
      <c r="F4802" s="798"/>
      <c r="G4802" s="798"/>
      <c r="K4802" s="798"/>
      <c r="P4802" s="798"/>
      <c r="Q4802" s="798"/>
      <c r="R4802" s="811"/>
    </row>
    <row r="4803" customFormat="false" ht="16.5" hidden="false" customHeight="true" outlineLevel="0" collapsed="false">
      <c r="A4803" s="747"/>
      <c r="B4803" s="798"/>
      <c r="D4803" s="798"/>
      <c r="E4803" s="798"/>
      <c r="F4803" s="798"/>
      <c r="G4803" s="798"/>
      <c r="K4803" s="798"/>
      <c r="P4803" s="798"/>
      <c r="Q4803" s="798"/>
      <c r="R4803" s="811"/>
    </row>
    <row r="4804" customFormat="false" ht="16.5" hidden="false" customHeight="true" outlineLevel="0" collapsed="false">
      <c r="A4804" s="747"/>
      <c r="B4804" s="798"/>
      <c r="D4804" s="798"/>
      <c r="E4804" s="798"/>
      <c r="F4804" s="798"/>
      <c r="G4804" s="798"/>
      <c r="K4804" s="798"/>
      <c r="P4804" s="798"/>
      <c r="Q4804" s="798"/>
      <c r="R4804" s="811"/>
    </row>
    <row r="4805" customFormat="false" ht="16.5" hidden="false" customHeight="true" outlineLevel="0" collapsed="false">
      <c r="A4805" s="747"/>
      <c r="B4805" s="798"/>
      <c r="D4805" s="798"/>
      <c r="E4805" s="798"/>
      <c r="F4805" s="798"/>
      <c r="G4805" s="798"/>
      <c r="K4805" s="798"/>
      <c r="P4805" s="798"/>
      <c r="Q4805" s="798"/>
      <c r="R4805" s="811"/>
    </row>
    <row r="4806" customFormat="false" ht="16.5" hidden="false" customHeight="true" outlineLevel="0" collapsed="false">
      <c r="A4806" s="747"/>
      <c r="B4806" s="798"/>
      <c r="D4806" s="798"/>
      <c r="E4806" s="798"/>
      <c r="F4806" s="798"/>
      <c r="G4806" s="798"/>
      <c r="K4806" s="798"/>
      <c r="P4806" s="798"/>
      <c r="Q4806" s="798"/>
      <c r="R4806" s="811"/>
    </row>
    <row r="4807" customFormat="false" ht="16.5" hidden="false" customHeight="true" outlineLevel="0" collapsed="false">
      <c r="A4807" s="747"/>
      <c r="B4807" s="798"/>
      <c r="D4807" s="798"/>
      <c r="E4807" s="798"/>
      <c r="F4807" s="798"/>
      <c r="G4807" s="798"/>
      <c r="K4807" s="798"/>
      <c r="P4807" s="798"/>
      <c r="Q4807" s="798"/>
      <c r="R4807" s="811"/>
    </row>
    <row r="4808" customFormat="false" ht="16.5" hidden="false" customHeight="true" outlineLevel="0" collapsed="false">
      <c r="A4808" s="747"/>
      <c r="B4808" s="798"/>
      <c r="D4808" s="798"/>
      <c r="E4808" s="798"/>
      <c r="F4808" s="798"/>
      <c r="G4808" s="798"/>
      <c r="K4808" s="798"/>
      <c r="P4808" s="798"/>
      <c r="Q4808" s="798"/>
      <c r="R4808" s="811"/>
    </row>
    <row r="4809" customFormat="false" ht="16.5" hidden="false" customHeight="true" outlineLevel="0" collapsed="false">
      <c r="A4809" s="747"/>
      <c r="B4809" s="798"/>
      <c r="D4809" s="798"/>
      <c r="E4809" s="798"/>
      <c r="F4809" s="798"/>
      <c r="G4809" s="798"/>
      <c r="K4809" s="798"/>
      <c r="P4809" s="798"/>
      <c r="Q4809" s="798"/>
      <c r="R4809" s="811"/>
    </row>
    <row r="4810" customFormat="false" ht="16.5" hidden="false" customHeight="true" outlineLevel="0" collapsed="false">
      <c r="A4810" s="747"/>
      <c r="B4810" s="798"/>
      <c r="D4810" s="798"/>
      <c r="E4810" s="798"/>
      <c r="F4810" s="798"/>
      <c r="G4810" s="798"/>
      <c r="K4810" s="798"/>
      <c r="P4810" s="798"/>
      <c r="Q4810" s="798"/>
      <c r="R4810" s="811"/>
    </row>
    <row r="4811" customFormat="false" ht="16.5" hidden="false" customHeight="true" outlineLevel="0" collapsed="false">
      <c r="A4811" s="747"/>
      <c r="B4811" s="798"/>
      <c r="D4811" s="798"/>
      <c r="E4811" s="798"/>
      <c r="F4811" s="798"/>
      <c r="G4811" s="798"/>
      <c r="K4811" s="798"/>
      <c r="P4811" s="798"/>
      <c r="Q4811" s="798"/>
      <c r="R4811" s="811"/>
    </row>
    <row r="4812" customFormat="false" ht="16.5" hidden="false" customHeight="true" outlineLevel="0" collapsed="false">
      <c r="A4812" s="747"/>
      <c r="B4812" s="798"/>
      <c r="D4812" s="798"/>
      <c r="E4812" s="798"/>
      <c r="F4812" s="798"/>
      <c r="G4812" s="798"/>
      <c r="K4812" s="798"/>
      <c r="P4812" s="798"/>
      <c r="Q4812" s="798"/>
      <c r="R4812" s="811"/>
    </row>
    <row r="4813" customFormat="false" ht="16.5" hidden="false" customHeight="true" outlineLevel="0" collapsed="false">
      <c r="A4813" s="747"/>
      <c r="B4813" s="798"/>
      <c r="D4813" s="798"/>
      <c r="E4813" s="798"/>
      <c r="F4813" s="798"/>
      <c r="G4813" s="798"/>
      <c r="K4813" s="798"/>
      <c r="P4813" s="798"/>
      <c r="Q4813" s="798"/>
      <c r="R4813" s="811"/>
    </row>
    <row r="4814" customFormat="false" ht="16.5" hidden="false" customHeight="true" outlineLevel="0" collapsed="false">
      <c r="A4814" s="747"/>
      <c r="B4814" s="798"/>
      <c r="D4814" s="798"/>
      <c r="E4814" s="798"/>
      <c r="F4814" s="798"/>
      <c r="G4814" s="798"/>
      <c r="K4814" s="798"/>
      <c r="P4814" s="798"/>
      <c r="Q4814" s="798"/>
      <c r="R4814" s="811"/>
    </row>
    <row r="4815" customFormat="false" ht="16.5" hidden="false" customHeight="true" outlineLevel="0" collapsed="false">
      <c r="A4815" s="747"/>
      <c r="B4815" s="798"/>
      <c r="D4815" s="798"/>
      <c r="E4815" s="798"/>
      <c r="F4815" s="798"/>
      <c r="G4815" s="798"/>
      <c r="K4815" s="798"/>
      <c r="P4815" s="798"/>
      <c r="Q4815" s="798"/>
      <c r="R4815" s="811"/>
    </row>
    <row r="4816" customFormat="false" ht="16.5" hidden="false" customHeight="true" outlineLevel="0" collapsed="false">
      <c r="A4816" s="747"/>
      <c r="B4816" s="798"/>
      <c r="D4816" s="798"/>
      <c r="E4816" s="798"/>
      <c r="F4816" s="798"/>
      <c r="G4816" s="798"/>
      <c r="K4816" s="798"/>
      <c r="P4816" s="798"/>
      <c r="Q4816" s="798"/>
      <c r="R4816" s="811"/>
    </row>
    <row r="4817" customFormat="false" ht="16.5" hidden="false" customHeight="true" outlineLevel="0" collapsed="false">
      <c r="A4817" s="747"/>
      <c r="B4817" s="798"/>
      <c r="D4817" s="798"/>
      <c r="E4817" s="798"/>
      <c r="F4817" s="798"/>
      <c r="G4817" s="798"/>
      <c r="K4817" s="798"/>
      <c r="P4817" s="798"/>
      <c r="Q4817" s="798"/>
      <c r="R4817" s="811"/>
    </row>
    <row r="4818" customFormat="false" ht="16.5" hidden="false" customHeight="true" outlineLevel="0" collapsed="false">
      <c r="A4818" s="747"/>
      <c r="B4818" s="798"/>
      <c r="D4818" s="798"/>
      <c r="E4818" s="798"/>
      <c r="F4818" s="798"/>
      <c r="G4818" s="798"/>
      <c r="K4818" s="798"/>
      <c r="P4818" s="798"/>
      <c r="Q4818" s="798"/>
      <c r="R4818" s="811"/>
    </row>
    <row r="4819" customFormat="false" ht="16.5" hidden="false" customHeight="true" outlineLevel="0" collapsed="false">
      <c r="A4819" s="747"/>
      <c r="B4819" s="798"/>
      <c r="D4819" s="798"/>
      <c r="E4819" s="798"/>
      <c r="F4819" s="798"/>
      <c r="G4819" s="798"/>
      <c r="K4819" s="798"/>
      <c r="P4819" s="798"/>
      <c r="Q4819" s="798"/>
      <c r="R4819" s="811"/>
    </row>
    <row r="4820" customFormat="false" ht="16.5" hidden="false" customHeight="true" outlineLevel="0" collapsed="false">
      <c r="A4820" s="747"/>
      <c r="B4820" s="798"/>
      <c r="D4820" s="798"/>
      <c r="E4820" s="798"/>
      <c r="F4820" s="798"/>
      <c r="G4820" s="798"/>
      <c r="K4820" s="798"/>
      <c r="P4820" s="798"/>
      <c r="Q4820" s="798"/>
      <c r="R4820" s="811"/>
    </row>
    <row r="4821" customFormat="false" ht="16.5" hidden="false" customHeight="true" outlineLevel="0" collapsed="false">
      <c r="A4821" s="747"/>
      <c r="B4821" s="798"/>
      <c r="D4821" s="798"/>
      <c r="E4821" s="798"/>
      <c r="F4821" s="798"/>
      <c r="G4821" s="798"/>
      <c r="K4821" s="798"/>
      <c r="P4821" s="798"/>
      <c r="Q4821" s="798"/>
      <c r="R4821" s="811"/>
    </row>
    <row r="4822" customFormat="false" ht="16.5" hidden="false" customHeight="true" outlineLevel="0" collapsed="false">
      <c r="A4822" s="747"/>
      <c r="B4822" s="798"/>
      <c r="D4822" s="798"/>
      <c r="E4822" s="798"/>
      <c r="F4822" s="798"/>
      <c r="G4822" s="798"/>
      <c r="K4822" s="798"/>
      <c r="P4822" s="798"/>
      <c r="Q4822" s="798"/>
      <c r="R4822" s="811"/>
    </row>
    <row r="4823" customFormat="false" ht="16.5" hidden="false" customHeight="true" outlineLevel="0" collapsed="false">
      <c r="A4823" s="747"/>
      <c r="B4823" s="798"/>
      <c r="D4823" s="798"/>
      <c r="E4823" s="798"/>
      <c r="F4823" s="798"/>
      <c r="G4823" s="798"/>
      <c r="K4823" s="798"/>
      <c r="P4823" s="798"/>
      <c r="Q4823" s="798"/>
      <c r="R4823" s="811"/>
    </row>
    <row r="4824" customFormat="false" ht="16.5" hidden="false" customHeight="true" outlineLevel="0" collapsed="false">
      <c r="A4824" s="747"/>
      <c r="B4824" s="798"/>
      <c r="D4824" s="798"/>
      <c r="E4824" s="798"/>
      <c r="F4824" s="798"/>
      <c r="G4824" s="798"/>
      <c r="K4824" s="798"/>
      <c r="P4824" s="798"/>
      <c r="Q4824" s="798"/>
      <c r="R4824" s="811"/>
    </row>
    <row r="4825" customFormat="false" ht="16.5" hidden="false" customHeight="true" outlineLevel="0" collapsed="false">
      <c r="A4825" s="747"/>
      <c r="B4825" s="798"/>
      <c r="D4825" s="798"/>
      <c r="E4825" s="798"/>
      <c r="F4825" s="798"/>
      <c r="G4825" s="798"/>
      <c r="K4825" s="798"/>
      <c r="P4825" s="798"/>
      <c r="Q4825" s="798"/>
      <c r="R4825" s="811"/>
    </row>
    <row r="4826" customFormat="false" ht="16.5" hidden="false" customHeight="true" outlineLevel="0" collapsed="false">
      <c r="A4826" s="747"/>
      <c r="B4826" s="798"/>
      <c r="D4826" s="798"/>
      <c r="E4826" s="798"/>
      <c r="F4826" s="798"/>
      <c r="G4826" s="798"/>
      <c r="K4826" s="798"/>
      <c r="P4826" s="798"/>
      <c r="Q4826" s="798"/>
      <c r="R4826" s="811"/>
    </row>
    <row r="4827" customFormat="false" ht="16.5" hidden="false" customHeight="true" outlineLevel="0" collapsed="false">
      <c r="A4827" s="747"/>
      <c r="B4827" s="798"/>
      <c r="D4827" s="798"/>
      <c r="E4827" s="798"/>
      <c r="F4827" s="798"/>
      <c r="G4827" s="798"/>
      <c r="K4827" s="798"/>
      <c r="P4827" s="798"/>
      <c r="Q4827" s="798"/>
      <c r="R4827" s="811"/>
    </row>
    <row r="4828" customFormat="false" ht="16.5" hidden="false" customHeight="true" outlineLevel="0" collapsed="false">
      <c r="A4828" s="747"/>
      <c r="B4828" s="798"/>
      <c r="D4828" s="798"/>
      <c r="E4828" s="798"/>
      <c r="F4828" s="798"/>
      <c r="G4828" s="798"/>
      <c r="K4828" s="798"/>
      <c r="P4828" s="798"/>
      <c r="Q4828" s="798"/>
      <c r="R4828" s="811"/>
    </row>
    <row r="4829" customFormat="false" ht="16.5" hidden="false" customHeight="true" outlineLevel="0" collapsed="false">
      <c r="A4829" s="747"/>
      <c r="B4829" s="798"/>
      <c r="D4829" s="798"/>
      <c r="E4829" s="798"/>
      <c r="F4829" s="798"/>
      <c r="G4829" s="798"/>
      <c r="K4829" s="798"/>
      <c r="P4829" s="798"/>
      <c r="Q4829" s="798"/>
      <c r="R4829" s="811"/>
    </row>
    <row r="4830" customFormat="false" ht="16.5" hidden="false" customHeight="true" outlineLevel="0" collapsed="false">
      <c r="A4830" s="747"/>
      <c r="B4830" s="798"/>
      <c r="D4830" s="798"/>
      <c r="E4830" s="798"/>
      <c r="F4830" s="798"/>
      <c r="G4830" s="798"/>
      <c r="K4830" s="798"/>
      <c r="P4830" s="798"/>
      <c r="Q4830" s="798"/>
      <c r="R4830" s="811"/>
    </row>
    <row r="4831" customFormat="false" ht="16.5" hidden="false" customHeight="true" outlineLevel="0" collapsed="false">
      <c r="A4831" s="747"/>
      <c r="B4831" s="798"/>
      <c r="D4831" s="798"/>
      <c r="E4831" s="798"/>
      <c r="F4831" s="798"/>
      <c r="G4831" s="798"/>
      <c r="K4831" s="798"/>
      <c r="P4831" s="798"/>
      <c r="Q4831" s="798"/>
      <c r="R4831" s="811"/>
    </row>
    <row r="4832" customFormat="false" ht="16.5" hidden="false" customHeight="true" outlineLevel="0" collapsed="false">
      <c r="A4832" s="747"/>
      <c r="B4832" s="798"/>
      <c r="D4832" s="798"/>
      <c r="E4832" s="798"/>
      <c r="F4832" s="798"/>
      <c r="G4832" s="798"/>
      <c r="K4832" s="798"/>
      <c r="P4832" s="798"/>
      <c r="Q4832" s="798"/>
      <c r="R4832" s="811"/>
    </row>
    <row r="4833" customFormat="false" ht="16.5" hidden="false" customHeight="true" outlineLevel="0" collapsed="false">
      <c r="A4833" s="747"/>
      <c r="B4833" s="798"/>
      <c r="D4833" s="798"/>
      <c r="E4833" s="798"/>
      <c r="F4833" s="798"/>
      <c r="G4833" s="798"/>
      <c r="K4833" s="798"/>
      <c r="P4833" s="798"/>
      <c r="Q4833" s="798"/>
      <c r="R4833" s="811"/>
    </row>
    <row r="4834" customFormat="false" ht="16.5" hidden="false" customHeight="true" outlineLevel="0" collapsed="false">
      <c r="A4834" s="747"/>
      <c r="B4834" s="798"/>
      <c r="D4834" s="798"/>
      <c r="E4834" s="798"/>
      <c r="F4834" s="798"/>
      <c r="G4834" s="798"/>
      <c r="K4834" s="798"/>
      <c r="P4834" s="798"/>
      <c r="Q4834" s="798"/>
      <c r="R4834" s="811"/>
    </row>
    <row r="4835" customFormat="false" ht="16.5" hidden="false" customHeight="true" outlineLevel="0" collapsed="false">
      <c r="A4835" s="747"/>
      <c r="B4835" s="798"/>
      <c r="D4835" s="798"/>
      <c r="E4835" s="798"/>
      <c r="F4835" s="798"/>
      <c r="G4835" s="798"/>
      <c r="K4835" s="798"/>
      <c r="P4835" s="798"/>
      <c r="Q4835" s="798"/>
      <c r="R4835" s="811"/>
    </row>
    <row r="4836" customFormat="false" ht="16.5" hidden="false" customHeight="true" outlineLevel="0" collapsed="false">
      <c r="A4836" s="747"/>
      <c r="B4836" s="798"/>
      <c r="D4836" s="798"/>
      <c r="E4836" s="798"/>
      <c r="F4836" s="798"/>
      <c r="G4836" s="798"/>
      <c r="K4836" s="798"/>
      <c r="P4836" s="798"/>
      <c r="Q4836" s="798"/>
      <c r="R4836" s="811"/>
    </row>
    <row r="4837" customFormat="false" ht="16.5" hidden="false" customHeight="true" outlineLevel="0" collapsed="false">
      <c r="A4837" s="747"/>
      <c r="B4837" s="798"/>
      <c r="D4837" s="798"/>
      <c r="E4837" s="798"/>
      <c r="F4837" s="798"/>
      <c r="G4837" s="798"/>
      <c r="K4837" s="798"/>
      <c r="P4837" s="798"/>
      <c r="Q4837" s="798"/>
      <c r="R4837" s="811"/>
    </row>
    <row r="4838" customFormat="false" ht="16.5" hidden="false" customHeight="true" outlineLevel="0" collapsed="false">
      <c r="A4838" s="747"/>
      <c r="B4838" s="798"/>
      <c r="D4838" s="798"/>
      <c r="E4838" s="798"/>
      <c r="F4838" s="798"/>
      <c r="G4838" s="798"/>
      <c r="K4838" s="798"/>
      <c r="P4838" s="798"/>
      <c r="Q4838" s="798"/>
      <c r="R4838" s="811"/>
    </row>
    <row r="4839" customFormat="false" ht="16.5" hidden="false" customHeight="true" outlineLevel="0" collapsed="false">
      <c r="A4839" s="747"/>
      <c r="B4839" s="798"/>
      <c r="D4839" s="798"/>
      <c r="E4839" s="798"/>
      <c r="F4839" s="798"/>
      <c r="G4839" s="798"/>
      <c r="K4839" s="798"/>
      <c r="P4839" s="798"/>
      <c r="Q4839" s="798"/>
      <c r="R4839" s="811"/>
    </row>
    <row r="4840" customFormat="false" ht="16.5" hidden="false" customHeight="true" outlineLevel="0" collapsed="false">
      <c r="A4840" s="747"/>
      <c r="B4840" s="798"/>
      <c r="D4840" s="798"/>
      <c r="E4840" s="798"/>
      <c r="F4840" s="798"/>
      <c r="G4840" s="798"/>
      <c r="K4840" s="798"/>
      <c r="P4840" s="798"/>
      <c r="Q4840" s="798"/>
      <c r="R4840" s="811"/>
    </row>
    <row r="4841" customFormat="false" ht="16.5" hidden="false" customHeight="true" outlineLevel="0" collapsed="false">
      <c r="A4841" s="747"/>
      <c r="B4841" s="798"/>
      <c r="D4841" s="798"/>
      <c r="E4841" s="798"/>
      <c r="F4841" s="798"/>
      <c r="G4841" s="798"/>
      <c r="K4841" s="798"/>
      <c r="P4841" s="798"/>
      <c r="Q4841" s="798"/>
      <c r="R4841" s="811"/>
    </row>
    <row r="4842" customFormat="false" ht="16.5" hidden="false" customHeight="true" outlineLevel="0" collapsed="false">
      <c r="A4842" s="747"/>
      <c r="B4842" s="798"/>
      <c r="D4842" s="798"/>
      <c r="E4842" s="798"/>
      <c r="F4842" s="798"/>
      <c r="G4842" s="798"/>
      <c r="K4842" s="798"/>
      <c r="P4842" s="798"/>
      <c r="Q4842" s="798"/>
      <c r="R4842" s="811"/>
    </row>
    <row r="4843" customFormat="false" ht="16.5" hidden="false" customHeight="true" outlineLevel="0" collapsed="false">
      <c r="A4843" s="747"/>
      <c r="B4843" s="798"/>
      <c r="D4843" s="798"/>
      <c r="E4843" s="798"/>
      <c r="F4843" s="798"/>
      <c r="G4843" s="798"/>
      <c r="K4843" s="798"/>
      <c r="P4843" s="798"/>
      <c r="Q4843" s="798"/>
      <c r="R4843" s="811"/>
    </row>
    <row r="4844" customFormat="false" ht="16.5" hidden="false" customHeight="true" outlineLevel="0" collapsed="false">
      <c r="A4844" s="747"/>
      <c r="B4844" s="798"/>
      <c r="D4844" s="798"/>
      <c r="E4844" s="798"/>
      <c r="F4844" s="798"/>
      <c r="G4844" s="798"/>
      <c r="K4844" s="798"/>
      <c r="P4844" s="798"/>
      <c r="Q4844" s="798"/>
      <c r="R4844" s="811"/>
    </row>
    <row r="4845" customFormat="false" ht="16.5" hidden="false" customHeight="true" outlineLevel="0" collapsed="false">
      <c r="A4845" s="747"/>
      <c r="B4845" s="798"/>
      <c r="D4845" s="798"/>
      <c r="E4845" s="798"/>
      <c r="F4845" s="798"/>
      <c r="G4845" s="798"/>
      <c r="K4845" s="798"/>
      <c r="P4845" s="798"/>
      <c r="Q4845" s="798"/>
      <c r="R4845" s="811"/>
    </row>
    <row r="4846" customFormat="false" ht="16.5" hidden="false" customHeight="true" outlineLevel="0" collapsed="false">
      <c r="A4846" s="747"/>
      <c r="B4846" s="798"/>
      <c r="D4846" s="798"/>
      <c r="E4846" s="798"/>
      <c r="F4846" s="798"/>
      <c r="G4846" s="798"/>
      <c r="K4846" s="798"/>
      <c r="P4846" s="798"/>
      <c r="Q4846" s="798"/>
      <c r="R4846" s="811"/>
    </row>
    <row r="4847" customFormat="false" ht="16.5" hidden="false" customHeight="true" outlineLevel="0" collapsed="false">
      <c r="A4847" s="747"/>
      <c r="B4847" s="798"/>
      <c r="D4847" s="798"/>
      <c r="E4847" s="798"/>
      <c r="F4847" s="798"/>
      <c r="G4847" s="798"/>
      <c r="K4847" s="798"/>
      <c r="P4847" s="798"/>
      <c r="Q4847" s="798"/>
      <c r="R4847" s="811"/>
    </row>
    <row r="4848" customFormat="false" ht="16.5" hidden="false" customHeight="true" outlineLevel="0" collapsed="false">
      <c r="A4848" s="747"/>
      <c r="B4848" s="798"/>
      <c r="D4848" s="798"/>
      <c r="E4848" s="798"/>
      <c r="F4848" s="798"/>
      <c r="G4848" s="798"/>
      <c r="K4848" s="798"/>
      <c r="P4848" s="798"/>
      <c r="Q4848" s="798"/>
      <c r="R4848" s="811"/>
    </row>
    <row r="4849" customFormat="false" ht="16.5" hidden="false" customHeight="true" outlineLevel="0" collapsed="false">
      <c r="A4849" s="747"/>
      <c r="B4849" s="798"/>
      <c r="D4849" s="798"/>
      <c r="E4849" s="798"/>
      <c r="F4849" s="798"/>
      <c r="G4849" s="798"/>
      <c r="K4849" s="798"/>
      <c r="P4849" s="798"/>
      <c r="Q4849" s="798"/>
      <c r="R4849" s="811"/>
    </row>
    <row r="4850" customFormat="false" ht="16.5" hidden="false" customHeight="true" outlineLevel="0" collapsed="false">
      <c r="A4850" s="747"/>
      <c r="B4850" s="798"/>
      <c r="D4850" s="798"/>
      <c r="E4850" s="798"/>
      <c r="F4850" s="798"/>
      <c r="G4850" s="798"/>
      <c r="K4850" s="798"/>
      <c r="P4850" s="798"/>
      <c r="Q4850" s="798"/>
      <c r="R4850" s="811"/>
    </row>
    <row r="4851" customFormat="false" ht="16.5" hidden="false" customHeight="true" outlineLevel="0" collapsed="false">
      <c r="A4851" s="747"/>
      <c r="B4851" s="798"/>
      <c r="D4851" s="798"/>
      <c r="E4851" s="798"/>
      <c r="F4851" s="798"/>
      <c r="G4851" s="798"/>
      <c r="K4851" s="798"/>
      <c r="P4851" s="798"/>
      <c r="Q4851" s="798"/>
      <c r="R4851" s="811"/>
    </row>
    <row r="4852" customFormat="false" ht="16.5" hidden="false" customHeight="true" outlineLevel="0" collapsed="false">
      <c r="A4852" s="747"/>
      <c r="B4852" s="798"/>
      <c r="D4852" s="798"/>
      <c r="E4852" s="798"/>
      <c r="F4852" s="798"/>
      <c r="G4852" s="798"/>
      <c r="K4852" s="798"/>
      <c r="P4852" s="798"/>
      <c r="Q4852" s="798"/>
      <c r="R4852" s="811"/>
    </row>
    <row r="4853" customFormat="false" ht="16.5" hidden="false" customHeight="true" outlineLevel="0" collapsed="false">
      <c r="A4853" s="747"/>
      <c r="B4853" s="798"/>
      <c r="D4853" s="798"/>
      <c r="E4853" s="798"/>
      <c r="F4853" s="798"/>
      <c r="G4853" s="798"/>
      <c r="K4853" s="798"/>
      <c r="P4853" s="798"/>
      <c r="Q4853" s="798"/>
      <c r="R4853" s="811"/>
    </row>
    <row r="4854" customFormat="false" ht="16.5" hidden="false" customHeight="true" outlineLevel="0" collapsed="false">
      <c r="A4854" s="747"/>
      <c r="B4854" s="798"/>
      <c r="D4854" s="798"/>
      <c r="E4854" s="798"/>
      <c r="F4854" s="798"/>
      <c r="G4854" s="798"/>
      <c r="K4854" s="798"/>
      <c r="P4854" s="798"/>
      <c r="Q4854" s="798"/>
      <c r="R4854" s="811"/>
    </row>
    <row r="4855" customFormat="false" ht="16.5" hidden="false" customHeight="true" outlineLevel="0" collapsed="false">
      <c r="A4855" s="747"/>
      <c r="B4855" s="798"/>
      <c r="D4855" s="798"/>
      <c r="E4855" s="798"/>
      <c r="F4855" s="798"/>
      <c r="G4855" s="798"/>
      <c r="K4855" s="798"/>
      <c r="P4855" s="798"/>
      <c r="Q4855" s="798"/>
      <c r="R4855" s="811"/>
    </row>
    <row r="4856" customFormat="false" ht="16.5" hidden="false" customHeight="true" outlineLevel="0" collapsed="false">
      <c r="A4856" s="747"/>
      <c r="B4856" s="798"/>
      <c r="D4856" s="798"/>
      <c r="E4856" s="798"/>
      <c r="F4856" s="798"/>
      <c r="G4856" s="798"/>
      <c r="K4856" s="798"/>
      <c r="P4856" s="798"/>
      <c r="Q4856" s="798"/>
      <c r="R4856" s="811"/>
    </row>
    <row r="4857" customFormat="false" ht="16.5" hidden="false" customHeight="true" outlineLevel="0" collapsed="false">
      <c r="A4857" s="747"/>
      <c r="B4857" s="798"/>
      <c r="D4857" s="798"/>
      <c r="E4857" s="798"/>
      <c r="F4857" s="798"/>
      <c r="G4857" s="798"/>
      <c r="K4857" s="798"/>
      <c r="P4857" s="798"/>
      <c r="Q4857" s="798"/>
      <c r="R4857" s="811"/>
    </row>
    <row r="4858" customFormat="false" ht="16.5" hidden="false" customHeight="true" outlineLevel="0" collapsed="false">
      <c r="A4858" s="747"/>
      <c r="B4858" s="798"/>
      <c r="D4858" s="798"/>
      <c r="E4858" s="798"/>
      <c r="F4858" s="798"/>
      <c r="G4858" s="798"/>
      <c r="K4858" s="798"/>
      <c r="P4858" s="798"/>
      <c r="Q4858" s="798"/>
      <c r="R4858" s="811"/>
    </row>
    <row r="4859" customFormat="false" ht="16.5" hidden="false" customHeight="true" outlineLevel="0" collapsed="false">
      <c r="A4859" s="747"/>
      <c r="B4859" s="798"/>
      <c r="D4859" s="798"/>
      <c r="E4859" s="798"/>
      <c r="F4859" s="798"/>
      <c r="G4859" s="798"/>
      <c r="K4859" s="798"/>
      <c r="P4859" s="798"/>
      <c r="Q4859" s="798"/>
      <c r="R4859" s="811"/>
    </row>
    <row r="4860" customFormat="false" ht="16.5" hidden="false" customHeight="true" outlineLevel="0" collapsed="false">
      <c r="A4860" s="747"/>
      <c r="B4860" s="798"/>
      <c r="D4860" s="798"/>
      <c r="E4860" s="798"/>
      <c r="F4860" s="798"/>
      <c r="G4860" s="798"/>
      <c r="K4860" s="798"/>
      <c r="P4860" s="798"/>
      <c r="Q4860" s="798"/>
      <c r="R4860" s="811"/>
    </row>
    <row r="4861" customFormat="false" ht="16.5" hidden="false" customHeight="true" outlineLevel="0" collapsed="false">
      <c r="A4861" s="747"/>
      <c r="B4861" s="798"/>
      <c r="D4861" s="798"/>
      <c r="E4861" s="798"/>
      <c r="F4861" s="798"/>
      <c r="G4861" s="798"/>
      <c r="K4861" s="798"/>
      <c r="P4861" s="798"/>
      <c r="Q4861" s="798"/>
      <c r="R4861" s="811"/>
    </row>
    <row r="4862" customFormat="false" ht="16.5" hidden="false" customHeight="true" outlineLevel="0" collapsed="false">
      <c r="A4862" s="747"/>
      <c r="B4862" s="798"/>
      <c r="D4862" s="798"/>
      <c r="E4862" s="798"/>
      <c r="F4862" s="798"/>
      <c r="G4862" s="798"/>
      <c r="K4862" s="798"/>
      <c r="P4862" s="798"/>
      <c r="Q4862" s="798"/>
      <c r="R4862" s="811"/>
    </row>
    <row r="4863" customFormat="false" ht="16.5" hidden="false" customHeight="true" outlineLevel="0" collapsed="false">
      <c r="A4863" s="747"/>
      <c r="B4863" s="798"/>
      <c r="D4863" s="798"/>
      <c r="E4863" s="798"/>
      <c r="F4863" s="798"/>
      <c r="G4863" s="798"/>
      <c r="K4863" s="798"/>
      <c r="P4863" s="798"/>
      <c r="Q4863" s="798"/>
      <c r="R4863" s="811"/>
    </row>
    <row r="4864" customFormat="false" ht="16.5" hidden="false" customHeight="true" outlineLevel="0" collapsed="false">
      <c r="A4864" s="747"/>
      <c r="B4864" s="798"/>
      <c r="D4864" s="798"/>
      <c r="E4864" s="798"/>
      <c r="F4864" s="798"/>
      <c r="G4864" s="798"/>
      <c r="K4864" s="798"/>
      <c r="P4864" s="798"/>
      <c r="Q4864" s="798"/>
      <c r="R4864" s="811"/>
    </row>
    <row r="4865" customFormat="false" ht="16.5" hidden="false" customHeight="true" outlineLevel="0" collapsed="false">
      <c r="A4865" s="747"/>
      <c r="B4865" s="798"/>
      <c r="D4865" s="798"/>
      <c r="E4865" s="798"/>
      <c r="F4865" s="798"/>
      <c r="G4865" s="798"/>
      <c r="K4865" s="798"/>
      <c r="P4865" s="798"/>
      <c r="Q4865" s="798"/>
      <c r="R4865" s="811"/>
    </row>
    <row r="4866" customFormat="false" ht="16.5" hidden="false" customHeight="true" outlineLevel="0" collapsed="false">
      <c r="A4866" s="747"/>
      <c r="B4866" s="798"/>
      <c r="D4866" s="798"/>
      <c r="E4866" s="798"/>
      <c r="F4866" s="798"/>
      <c r="G4866" s="798"/>
      <c r="K4866" s="798"/>
      <c r="P4866" s="798"/>
      <c r="Q4866" s="798"/>
      <c r="R4866" s="811"/>
    </row>
    <row r="4867" customFormat="false" ht="16.5" hidden="false" customHeight="true" outlineLevel="0" collapsed="false">
      <c r="A4867" s="747"/>
      <c r="B4867" s="798"/>
      <c r="D4867" s="798"/>
      <c r="E4867" s="798"/>
      <c r="F4867" s="798"/>
      <c r="G4867" s="798"/>
      <c r="K4867" s="798"/>
      <c r="P4867" s="798"/>
      <c r="Q4867" s="798"/>
      <c r="R4867" s="811"/>
    </row>
    <row r="4868" customFormat="false" ht="16.5" hidden="false" customHeight="true" outlineLevel="0" collapsed="false">
      <c r="A4868" s="747"/>
      <c r="B4868" s="798"/>
      <c r="D4868" s="798"/>
      <c r="E4868" s="798"/>
      <c r="F4868" s="798"/>
      <c r="G4868" s="798"/>
      <c r="K4868" s="798"/>
      <c r="P4868" s="798"/>
      <c r="Q4868" s="798"/>
      <c r="R4868" s="811"/>
    </row>
    <row r="4869" customFormat="false" ht="16.5" hidden="false" customHeight="true" outlineLevel="0" collapsed="false">
      <c r="A4869" s="747"/>
      <c r="B4869" s="798"/>
      <c r="D4869" s="798"/>
      <c r="E4869" s="798"/>
      <c r="F4869" s="798"/>
      <c r="G4869" s="798"/>
      <c r="K4869" s="798"/>
      <c r="P4869" s="798"/>
      <c r="Q4869" s="798"/>
      <c r="R4869" s="811"/>
    </row>
    <row r="4870" customFormat="false" ht="16.5" hidden="false" customHeight="true" outlineLevel="0" collapsed="false">
      <c r="A4870" s="747"/>
      <c r="B4870" s="798"/>
      <c r="D4870" s="798"/>
      <c r="E4870" s="798"/>
      <c r="F4870" s="798"/>
      <c r="G4870" s="798"/>
      <c r="K4870" s="798"/>
      <c r="P4870" s="798"/>
      <c r="Q4870" s="798"/>
      <c r="R4870" s="811"/>
    </row>
    <row r="4871" customFormat="false" ht="16.5" hidden="false" customHeight="true" outlineLevel="0" collapsed="false">
      <c r="A4871" s="747"/>
      <c r="B4871" s="798"/>
      <c r="D4871" s="798"/>
      <c r="E4871" s="798"/>
      <c r="F4871" s="798"/>
      <c r="G4871" s="798"/>
      <c r="K4871" s="798"/>
      <c r="P4871" s="798"/>
      <c r="Q4871" s="798"/>
      <c r="R4871" s="811"/>
    </row>
    <row r="4872" customFormat="false" ht="16.5" hidden="false" customHeight="true" outlineLevel="0" collapsed="false">
      <c r="A4872" s="747"/>
      <c r="B4872" s="798"/>
      <c r="D4872" s="798"/>
      <c r="E4872" s="798"/>
      <c r="F4872" s="798"/>
      <c r="G4872" s="798"/>
      <c r="K4872" s="798"/>
      <c r="P4872" s="798"/>
      <c r="Q4872" s="798"/>
      <c r="R4872" s="811"/>
    </row>
    <row r="4873" customFormat="false" ht="16.5" hidden="false" customHeight="true" outlineLevel="0" collapsed="false">
      <c r="A4873" s="747"/>
      <c r="B4873" s="798"/>
      <c r="D4873" s="798"/>
      <c r="E4873" s="798"/>
      <c r="F4873" s="798"/>
      <c r="G4873" s="798"/>
      <c r="K4873" s="798"/>
      <c r="P4873" s="798"/>
      <c r="Q4873" s="798"/>
      <c r="R4873" s="811"/>
    </row>
    <row r="4874" customFormat="false" ht="16.5" hidden="false" customHeight="true" outlineLevel="0" collapsed="false">
      <c r="A4874" s="747"/>
      <c r="B4874" s="798"/>
      <c r="D4874" s="798"/>
      <c r="E4874" s="798"/>
      <c r="F4874" s="798"/>
      <c r="G4874" s="798"/>
      <c r="K4874" s="798"/>
      <c r="P4874" s="798"/>
      <c r="Q4874" s="798"/>
      <c r="R4874" s="811"/>
    </row>
    <row r="4875" customFormat="false" ht="16.5" hidden="false" customHeight="true" outlineLevel="0" collapsed="false">
      <c r="A4875" s="747"/>
      <c r="B4875" s="798"/>
      <c r="D4875" s="798"/>
      <c r="E4875" s="798"/>
      <c r="F4875" s="798"/>
      <c r="G4875" s="798"/>
      <c r="K4875" s="798"/>
      <c r="P4875" s="798"/>
      <c r="Q4875" s="798"/>
      <c r="R4875" s="811"/>
    </row>
    <row r="4876" customFormat="false" ht="16.5" hidden="false" customHeight="true" outlineLevel="0" collapsed="false">
      <c r="A4876" s="747"/>
      <c r="B4876" s="798"/>
      <c r="D4876" s="798"/>
      <c r="E4876" s="798"/>
      <c r="F4876" s="798"/>
      <c r="G4876" s="798"/>
      <c r="K4876" s="798"/>
      <c r="P4876" s="798"/>
      <c r="Q4876" s="798"/>
      <c r="R4876" s="811"/>
    </row>
    <row r="4877" customFormat="false" ht="16.5" hidden="false" customHeight="true" outlineLevel="0" collapsed="false">
      <c r="A4877" s="747"/>
      <c r="B4877" s="798"/>
      <c r="D4877" s="798"/>
      <c r="E4877" s="798"/>
      <c r="F4877" s="798"/>
      <c r="G4877" s="798"/>
      <c r="K4877" s="798"/>
      <c r="P4877" s="798"/>
      <c r="Q4877" s="798"/>
      <c r="R4877" s="811"/>
    </row>
    <row r="4878" customFormat="false" ht="16.5" hidden="false" customHeight="true" outlineLevel="0" collapsed="false">
      <c r="A4878" s="747"/>
      <c r="B4878" s="798"/>
      <c r="D4878" s="798"/>
      <c r="E4878" s="798"/>
      <c r="F4878" s="798"/>
      <c r="G4878" s="798"/>
      <c r="K4878" s="798"/>
      <c r="P4878" s="798"/>
      <c r="Q4878" s="798"/>
      <c r="R4878" s="811"/>
    </row>
    <row r="4879" customFormat="false" ht="16.5" hidden="false" customHeight="true" outlineLevel="0" collapsed="false">
      <c r="A4879" s="747"/>
      <c r="B4879" s="798"/>
      <c r="D4879" s="798"/>
      <c r="E4879" s="798"/>
      <c r="F4879" s="798"/>
      <c r="G4879" s="798"/>
      <c r="K4879" s="798"/>
      <c r="P4879" s="798"/>
      <c r="Q4879" s="798"/>
      <c r="R4879" s="811"/>
    </row>
    <row r="4880" customFormat="false" ht="16.5" hidden="false" customHeight="true" outlineLevel="0" collapsed="false">
      <c r="A4880" s="747"/>
      <c r="B4880" s="798"/>
      <c r="D4880" s="798"/>
      <c r="E4880" s="798"/>
      <c r="F4880" s="798"/>
      <c r="G4880" s="798"/>
      <c r="K4880" s="798"/>
      <c r="P4880" s="798"/>
      <c r="Q4880" s="798"/>
      <c r="R4880" s="811"/>
    </row>
    <row r="4881" customFormat="false" ht="16.5" hidden="false" customHeight="true" outlineLevel="0" collapsed="false">
      <c r="A4881" s="747"/>
      <c r="B4881" s="798"/>
      <c r="D4881" s="798"/>
      <c r="E4881" s="798"/>
      <c r="F4881" s="798"/>
      <c r="G4881" s="798"/>
      <c r="K4881" s="798"/>
      <c r="P4881" s="798"/>
      <c r="Q4881" s="798"/>
      <c r="R4881" s="811"/>
    </row>
    <row r="4882" customFormat="false" ht="16.5" hidden="false" customHeight="true" outlineLevel="0" collapsed="false">
      <c r="A4882" s="747"/>
      <c r="B4882" s="798"/>
      <c r="D4882" s="798"/>
      <c r="E4882" s="798"/>
      <c r="F4882" s="798"/>
      <c r="G4882" s="798"/>
      <c r="K4882" s="798"/>
      <c r="P4882" s="798"/>
      <c r="Q4882" s="798"/>
      <c r="R4882" s="811"/>
    </row>
    <row r="4883" customFormat="false" ht="16.5" hidden="false" customHeight="true" outlineLevel="0" collapsed="false">
      <c r="A4883" s="747"/>
      <c r="B4883" s="798"/>
      <c r="D4883" s="798"/>
      <c r="E4883" s="798"/>
      <c r="F4883" s="798"/>
      <c r="G4883" s="798"/>
      <c r="K4883" s="798"/>
      <c r="P4883" s="798"/>
      <c r="Q4883" s="798"/>
      <c r="R4883" s="811"/>
    </row>
    <row r="4884" customFormat="false" ht="16.5" hidden="false" customHeight="true" outlineLevel="0" collapsed="false">
      <c r="A4884" s="747"/>
      <c r="B4884" s="798"/>
      <c r="D4884" s="798"/>
      <c r="E4884" s="798"/>
      <c r="F4884" s="798"/>
      <c r="G4884" s="798"/>
      <c r="K4884" s="798"/>
      <c r="P4884" s="798"/>
      <c r="Q4884" s="798"/>
      <c r="R4884" s="811"/>
    </row>
    <row r="4885" customFormat="false" ht="16.5" hidden="false" customHeight="true" outlineLevel="0" collapsed="false">
      <c r="A4885" s="747"/>
      <c r="B4885" s="798"/>
      <c r="D4885" s="798"/>
      <c r="E4885" s="798"/>
      <c r="F4885" s="798"/>
      <c r="G4885" s="798"/>
      <c r="K4885" s="798"/>
      <c r="P4885" s="798"/>
      <c r="Q4885" s="798"/>
      <c r="R4885" s="811"/>
    </row>
    <row r="4886" customFormat="false" ht="16.5" hidden="false" customHeight="true" outlineLevel="0" collapsed="false">
      <c r="A4886" s="747"/>
      <c r="B4886" s="798"/>
      <c r="D4886" s="798"/>
      <c r="E4886" s="798"/>
      <c r="F4886" s="798"/>
      <c r="G4886" s="798"/>
      <c r="K4886" s="798"/>
      <c r="P4886" s="798"/>
      <c r="Q4886" s="798"/>
      <c r="R4886" s="811"/>
    </row>
    <row r="4887" customFormat="false" ht="16.5" hidden="false" customHeight="true" outlineLevel="0" collapsed="false">
      <c r="A4887" s="747"/>
      <c r="B4887" s="798"/>
      <c r="D4887" s="798"/>
      <c r="E4887" s="798"/>
      <c r="F4887" s="798"/>
      <c r="G4887" s="798"/>
      <c r="K4887" s="798"/>
      <c r="P4887" s="798"/>
      <c r="Q4887" s="798"/>
      <c r="R4887" s="811"/>
    </row>
    <row r="4888" customFormat="false" ht="16.5" hidden="false" customHeight="true" outlineLevel="0" collapsed="false">
      <c r="A4888" s="747"/>
      <c r="B4888" s="798"/>
      <c r="D4888" s="798"/>
      <c r="E4888" s="798"/>
      <c r="F4888" s="798"/>
      <c r="G4888" s="798"/>
      <c r="K4888" s="798"/>
      <c r="P4888" s="798"/>
      <c r="Q4888" s="798"/>
      <c r="R4888" s="811"/>
    </row>
    <row r="4889" customFormat="false" ht="16.5" hidden="false" customHeight="true" outlineLevel="0" collapsed="false">
      <c r="A4889" s="747"/>
      <c r="B4889" s="798"/>
      <c r="D4889" s="798"/>
      <c r="E4889" s="798"/>
      <c r="F4889" s="798"/>
      <c r="G4889" s="798"/>
      <c r="K4889" s="798"/>
      <c r="P4889" s="798"/>
      <c r="Q4889" s="798"/>
      <c r="R4889" s="811"/>
    </row>
    <row r="4890" customFormat="false" ht="16.5" hidden="false" customHeight="true" outlineLevel="0" collapsed="false">
      <c r="A4890" s="747"/>
      <c r="B4890" s="798"/>
      <c r="D4890" s="798"/>
      <c r="E4890" s="798"/>
      <c r="F4890" s="798"/>
      <c r="G4890" s="798"/>
      <c r="K4890" s="798"/>
      <c r="P4890" s="798"/>
      <c r="Q4890" s="798"/>
      <c r="R4890" s="811"/>
    </row>
    <row r="4891" customFormat="false" ht="16.5" hidden="false" customHeight="true" outlineLevel="0" collapsed="false">
      <c r="A4891" s="747"/>
      <c r="B4891" s="798"/>
      <c r="D4891" s="798"/>
      <c r="E4891" s="798"/>
      <c r="F4891" s="798"/>
      <c r="G4891" s="798"/>
      <c r="K4891" s="798"/>
      <c r="P4891" s="798"/>
      <c r="Q4891" s="798"/>
      <c r="R4891" s="811"/>
    </row>
    <row r="4892" customFormat="false" ht="16.5" hidden="false" customHeight="true" outlineLevel="0" collapsed="false">
      <c r="A4892" s="747"/>
      <c r="B4892" s="798"/>
      <c r="D4892" s="798"/>
      <c r="E4892" s="798"/>
      <c r="F4892" s="798"/>
      <c r="G4892" s="798"/>
      <c r="K4892" s="798"/>
      <c r="P4892" s="798"/>
      <c r="Q4892" s="798"/>
      <c r="R4892" s="811"/>
    </row>
    <row r="4893" customFormat="false" ht="16.5" hidden="false" customHeight="true" outlineLevel="0" collapsed="false">
      <c r="A4893" s="747"/>
      <c r="B4893" s="798"/>
      <c r="D4893" s="798"/>
      <c r="E4893" s="798"/>
      <c r="F4893" s="798"/>
      <c r="G4893" s="798"/>
      <c r="K4893" s="798"/>
      <c r="P4893" s="798"/>
      <c r="Q4893" s="798"/>
      <c r="R4893" s="811"/>
    </row>
    <row r="4894" customFormat="false" ht="16.5" hidden="false" customHeight="true" outlineLevel="0" collapsed="false">
      <c r="A4894" s="747"/>
      <c r="B4894" s="798"/>
      <c r="D4894" s="798"/>
      <c r="E4894" s="798"/>
      <c r="F4894" s="798"/>
      <c r="G4894" s="798"/>
      <c r="K4894" s="798"/>
      <c r="P4894" s="798"/>
      <c r="Q4894" s="798"/>
      <c r="R4894" s="811"/>
    </row>
    <row r="4895" customFormat="false" ht="16.5" hidden="false" customHeight="true" outlineLevel="0" collapsed="false">
      <c r="A4895" s="747"/>
      <c r="B4895" s="798"/>
      <c r="D4895" s="798"/>
      <c r="E4895" s="798"/>
      <c r="F4895" s="798"/>
      <c r="G4895" s="798"/>
      <c r="K4895" s="798"/>
      <c r="P4895" s="798"/>
      <c r="Q4895" s="798"/>
      <c r="R4895" s="811"/>
    </row>
    <row r="4896" customFormat="false" ht="16.5" hidden="false" customHeight="true" outlineLevel="0" collapsed="false">
      <c r="A4896" s="747"/>
      <c r="B4896" s="798"/>
      <c r="D4896" s="798"/>
      <c r="E4896" s="798"/>
      <c r="F4896" s="798"/>
      <c r="G4896" s="798"/>
      <c r="K4896" s="798"/>
      <c r="P4896" s="798"/>
      <c r="Q4896" s="798"/>
      <c r="R4896" s="811"/>
    </row>
    <row r="4897" customFormat="false" ht="16.5" hidden="false" customHeight="true" outlineLevel="0" collapsed="false">
      <c r="A4897" s="747"/>
      <c r="B4897" s="798"/>
      <c r="D4897" s="798"/>
      <c r="E4897" s="798"/>
      <c r="F4897" s="798"/>
      <c r="G4897" s="798"/>
      <c r="K4897" s="798"/>
      <c r="P4897" s="798"/>
      <c r="Q4897" s="798"/>
      <c r="R4897" s="811"/>
    </row>
    <row r="4898" customFormat="false" ht="16.5" hidden="false" customHeight="true" outlineLevel="0" collapsed="false">
      <c r="A4898" s="747"/>
      <c r="B4898" s="798"/>
      <c r="D4898" s="798"/>
      <c r="E4898" s="798"/>
      <c r="F4898" s="798"/>
      <c r="G4898" s="798"/>
      <c r="K4898" s="798"/>
      <c r="P4898" s="798"/>
      <c r="Q4898" s="798"/>
      <c r="R4898" s="811"/>
    </row>
    <row r="4899" customFormat="false" ht="16.5" hidden="false" customHeight="true" outlineLevel="0" collapsed="false">
      <c r="A4899" s="747"/>
      <c r="B4899" s="798"/>
      <c r="D4899" s="798"/>
      <c r="E4899" s="798"/>
      <c r="F4899" s="798"/>
      <c r="G4899" s="798"/>
      <c r="K4899" s="798"/>
      <c r="P4899" s="798"/>
      <c r="Q4899" s="798"/>
      <c r="R4899" s="811"/>
    </row>
    <row r="4900" customFormat="false" ht="16.5" hidden="false" customHeight="true" outlineLevel="0" collapsed="false">
      <c r="A4900" s="747"/>
      <c r="B4900" s="798"/>
      <c r="D4900" s="798"/>
      <c r="E4900" s="798"/>
      <c r="F4900" s="798"/>
      <c r="G4900" s="798"/>
      <c r="K4900" s="798"/>
      <c r="P4900" s="798"/>
      <c r="Q4900" s="798"/>
      <c r="R4900" s="811"/>
    </row>
    <row r="4901" customFormat="false" ht="16.5" hidden="false" customHeight="true" outlineLevel="0" collapsed="false">
      <c r="A4901" s="747"/>
      <c r="B4901" s="798"/>
      <c r="D4901" s="798"/>
      <c r="E4901" s="798"/>
      <c r="F4901" s="798"/>
      <c r="G4901" s="798"/>
      <c r="K4901" s="798"/>
      <c r="P4901" s="798"/>
      <c r="Q4901" s="798"/>
      <c r="R4901" s="811"/>
    </row>
    <row r="4902" customFormat="false" ht="16.5" hidden="false" customHeight="true" outlineLevel="0" collapsed="false">
      <c r="A4902" s="747"/>
      <c r="B4902" s="798"/>
      <c r="D4902" s="798"/>
      <c r="E4902" s="798"/>
      <c r="F4902" s="798"/>
      <c r="G4902" s="798"/>
      <c r="K4902" s="798"/>
      <c r="P4902" s="798"/>
      <c r="Q4902" s="798"/>
      <c r="R4902" s="811"/>
    </row>
    <row r="4903" customFormat="false" ht="16.5" hidden="false" customHeight="true" outlineLevel="0" collapsed="false">
      <c r="A4903" s="747"/>
      <c r="B4903" s="798"/>
      <c r="D4903" s="798"/>
      <c r="E4903" s="798"/>
      <c r="F4903" s="798"/>
      <c r="G4903" s="798"/>
      <c r="K4903" s="798"/>
      <c r="P4903" s="798"/>
      <c r="Q4903" s="798"/>
      <c r="R4903" s="811"/>
    </row>
    <row r="4904" customFormat="false" ht="16.5" hidden="false" customHeight="true" outlineLevel="0" collapsed="false">
      <c r="A4904" s="747"/>
      <c r="B4904" s="798"/>
      <c r="D4904" s="798"/>
      <c r="E4904" s="798"/>
      <c r="F4904" s="798"/>
      <c r="G4904" s="798"/>
      <c r="K4904" s="798"/>
      <c r="P4904" s="798"/>
      <c r="Q4904" s="798"/>
      <c r="R4904" s="811"/>
    </row>
    <row r="4905" customFormat="false" ht="16.5" hidden="false" customHeight="true" outlineLevel="0" collapsed="false">
      <c r="A4905" s="747"/>
      <c r="B4905" s="798"/>
      <c r="D4905" s="798"/>
      <c r="E4905" s="798"/>
      <c r="F4905" s="798"/>
      <c r="G4905" s="798"/>
      <c r="K4905" s="798"/>
      <c r="P4905" s="798"/>
      <c r="Q4905" s="798"/>
      <c r="R4905" s="811"/>
    </row>
    <row r="4906" customFormat="false" ht="16.5" hidden="false" customHeight="true" outlineLevel="0" collapsed="false">
      <c r="A4906" s="747"/>
      <c r="B4906" s="798"/>
      <c r="D4906" s="798"/>
      <c r="E4906" s="798"/>
      <c r="F4906" s="798"/>
      <c r="G4906" s="798"/>
      <c r="K4906" s="798"/>
      <c r="P4906" s="798"/>
      <c r="Q4906" s="798"/>
      <c r="R4906" s="811"/>
    </row>
    <row r="4907" customFormat="false" ht="16.5" hidden="false" customHeight="true" outlineLevel="0" collapsed="false">
      <c r="A4907" s="747"/>
      <c r="B4907" s="798"/>
      <c r="D4907" s="798"/>
      <c r="E4907" s="798"/>
      <c r="F4907" s="798"/>
      <c r="G4907" s="798"/>
      <c r="K4907" s="798"/>
      <c r="P4907" s="798"/>
      <c r="Q4907" s="798"/>
      <c r="R4907" s="811"/>
    </row>
    <row r="4908" customFormat="false" ht="16.5" hidden="false" customHeight="true" outlineLevel="0" collapsed="false">
      <c r="A4908" s="747"/>
      <c r="B4908" s="798"/>
      <c r="D4908" s="798"/>
      <c r="E4908" s="798"/>
      <c r="F4908" s="798"/>
      <c r="G4908" s="798"/>
      <c r="K4908" s="798"/>
      <c r="P4908" s="798"/>
      <c r="Q4908" s="798"/>
      <c r="R4908" s="811"/>
    </row>
    <row r="4909" customFormat="false" ht="16.5" hidden="false" customHeight="true" outlineLevel="0" collapsed="false">
      <c r="A4909" s="747"/>
      <c r="B4909" s="798"/>
      <c r="D4909" s="798"/>
      <c r="E4909" s="798"/>
      <c r="F4909" s="798"/>
      <c r="G4909" s="798"/>
      <c r="K4909" s="798"/>
      <c r="P4909" s="798"/>
      <c r="Q4909" s="798"/>
      <c r="R4909" s="811"/>
    </row>
    <row r="4910" customFormat="false" ht="16.5" hidden="false" customHeight="true" outlineLevel="0" collapsed="false">
      <c r="A4910" s="747"/>
      <c r="B4910" s="798"/>
      <c r="D4910" s="798"/>
      <c r="E4910" s="798"/>
      <c r="F4910" s="798"/>
      <c r="G4910" s="798"/>
      <c r="K4910" s="798"/>
      <c r="P4910" s="798"/>
      <c r="Q4910" s="798"/>
      <c r="R4910" s="811"/>
    </row>
    <row r="4911" customFormat="false" ht="16.5" hidden="false" customHeight="true" outlineLevel="0" collapsed="false">
      <c r="A4911" s="747"/>
      <c r="B4911" s="798"/>
      <c r="D4911" s="798"/>
      <c r="E4911" s="798"/>
      <c r="F4911" s="798"/>
      <c r="G4911" s="798"/>
      <c r="K4911" s="798"/>
      <c r="P4911" s="798"/>
      <c r="Q4911" s="798"/>
      <c r="R4911" s="811"/>
    </row>
    <row r="4912" customFormat="false" ht="16.5" hidden="false" customHeight="true" outlineLevel="0" collapsed="false">
      <c r="A4912" s="747"/>
      <c r="B4912" s="798"/>
      <c r="D4912" s="798"/>
      <c r="E4912" s="798"/>
      <c r="F4912" s="798"/>
      <c r="G4912" s="798"/>
      <c r="K4912" s="798"/>
      <c r="P4912" s="798"/>
      <c r="Q4912" s="798"/>
      <c r="R4912" s="811"/>
    </row>
    <row r="4913" customFormat="false" ht="16.5" hidden="false" customHeight="true" outlineLevel="0" collapsed="false">
      <c r="A4913" s="747"/>
      <c r="B4913" s="798"/>
      <c r="D4913" s="798"/>
      <c r="E4913" s="798"/>
      <c r="F4913" s="798"/>
      <c r="G4913" s="798"/>
      <c r="K4913" s="798"/>
      <c r="P4913" s="798"/>
      <c r="Q4913" s="798"/>
      <c r="R4913" s="811"/>
    </row>
    <row r="4914" customFormat="false" ht="16.5" hidden="false" customHeight="true" outlineLevel="0" collapsed="false">
      <c r="A4914" s="747"/>
      <c r="B4914" s="798"/>
      <c r="D4914" s="798"/>
      <c r="E4914" s="798"/>
      <c r="F4914" s="798"/>
      <c r="G4914" s="798"/>
      <c r="K4914" s="798"/>
      <c r="P4914" s="798"/>
      <c r="Q4914" s="798"/>
      <c r="R4914" s="811"/>
    </row>
    <row r="4915" customFormat="false" ht="16.5" hidden="false" customHeight="true" outlineLevel="0" collapsed="false">
      <c r="A4915" s="747"/>
      <c r="B4915" s="798"/>
      <c r="D4915" s="798"/>
      <c r="E4915" s="798"/>
      <c r="F4915" s="798"/>
      <c r="G4915" s="798"/>
      <c r="K4915" s="798"/>
      <c r="P4915" s="798"/>
      <c r="Q4915" s="798"/>
      <c r="R4915" s="811"/>
    </row>
    <row r="4916" customFormat="false" ht="16.5" hidden="false" customHeight="true" outlineLevel="0" collapsed="false">
      <c r="A4916" s="747"/>
      <c r="B4916" s="798"/>
      <c r="D4916" s="798"/>
      <c r="E4916" s="798"/>
      <c r="F4916" s="798"/>
      <c r="G4916" s="798"/>
      <c r="K4916" s="798"/>
      <c r="P4916" s="798"/>
      <c r="Q4916" s="798"/>
      <c r="R4916" s="811"/>
    </row>
    <row r="4917" customFormat="false" ht="16.5" hidden="false" customHeight="true" outlineLevel="0" collapsed="false">
      <c r="A4917" s="747"/>
      <c r="B4917" s="798"/>
      <c r="D4917" s="798"/>
      <c r="E4917" s="798"/>
      <c r="F4917" s="798"/>
      <c r="G4917" s="798"/>
      <c r="K4917" s="798"/>
      <c r="P4917" s="798"/>
      <c r="Q4917" s="798"/>
      <c r="R4917" s="811"/>
    </row>
    <row r="4918" customFormat="false" ht="16.5" hidden="false" customHeight="true" outlineLevel="0" collapsed="false">
      <c r="A4918" s="747"/>
      <c r="B4918" s="798"/>
      <c r="D4918" s="798"/>
      <c r="E4918" s="798"/>
      <c r="F4918" s="798"/>
      <c r="G4918" s="798"/>
      <c r="K4918" s="798"/>
      <c r="P4918" s="798"/>
      <c r="Q4918" s="798"/>
      <c r="R4918" s="811"/>
    </row>
    <row r="4919" customFormat="false" ht="16.5" hidden="false" customHeight="true" outlineLevel="0" collapsed="false">
      <c r="A4919" s="747"/>
      <c r="B4919" s="798"/>
      <c r="D4919" s="798"/>
      <c r="E4919" s="798"/>
      <c r="F4919" s="798"/>
      <c r="G4919" s="798"/>
      <c r="K4919" s="798"/>
      <c r="P4919" s="798"/>
      <c r="Q4919" s="798"/>
      <c r="R4919" s="811"/>
    </row>
    <row r="4920" customFormat="false" ht="16.5" hidden="false" customHeight="true" outlineLevel="0" collapsed="false">
      <c r="A4920" s="747"/>
      <c r="B4920" s="798"/>
      <c r="D4920" s="798"/>
      <c r="E4920" s="798"/>
      <c r="F4920" s="798"/>
      <c r="G4920" s="798"/>
      <c r="K4920" s="798"/>
      <c r="P4920" s="798"/>
      <c r="Q4920" s="798"/>
      <c r="R4920" s="811"/>
    </row>
    <row r="4921" customFormat="false" ht="16.5" hidden="false" customHeight="true" outlineLevel="0" collapsed="false">
      <c r="A4921" s="747"/>
      <c r="B4921" s="798"/>
      <c r="D4921" s="798"/>
      <c r="E4921" s="798"/>
      <c r="F4921" s="798"/>
      <c r="G4921" s="798"/>
      <c r="K4921" s="798"/>
      <c r="P4921" s="798"/>
      <c r="Q4921" s="798"/>
      <c r="R4921" s="811"/>
    </row>
    <row r="4922" customFormat="false" ht="16.5" hidden="false" customHeight="true" outlineLevel="0" collapsed="false">
      <c r="A4922" s="747"/>
      <c r="B4922" s="798"/>
      <c r="D4922" s="798"/>
      <c r="E4922" s="798"/>
      <c r="F4922" s="798"/>
      <c r="G4922" s="798"/>
      <c r="K4922" s="798"/>
      <c r="P4922" s="798"/>
      <c r="Q4922" s="798"/>
      <c r="R4922" s="811"/>
    </row>
    <row r="4923" customFormat="false" ht="16.5" hidden="false" customHeight="true" outlineLevel="0" collapsed="false">
      <c r="A4923" s="747"/>
      <c r="B4923" s="798"/>
      <c r="D4923" s="798"/>
      <c r="E4923" s="798"/>
      <c r="F4923" s="798"/>
      <c r="G4923" s="798"/>
      <c r="K4923" s="798"/>
      <c r="P4923" s="798"/>
      <c r="Q4923" s="798"/>
      <c r="R4923" s="811"/>
    </row>
    <row r="4924" customFormat="false" ht="16.5" hidden="false" customHeight="true" outlineLevel="0" collapsed="false">
      <c r="A4924" s="747"/>
      <c r="B4924" s="798"/>
      <c r="D4924" s="798"/>
      <c r="E4924" s="798"/>
      <c r="F4924" s="798"/>
      <c r="G4924" s="798"/>
      <c r="K4924" s="798"/>
      <c r="P4924" s="798"/>
      <c r="Q4924" s="798"/>
      <c r="R4924" s="811"/>
    </row>
    <row r="4925" customFormat="false" ht="16.5" hidden="false" customHeight="true" outlineLevel="0" collapsed="false">
      <c r="A4925" s="747"/>
      <c r="B4925" s="798"/>
      <c r="D4925" s="798"/>
      <c r="E4925" s="798"/>
      <c r="F4925" s="798"/>
      <c r="G4925" s="798"/>
      <c r="K4925" s="798"/>
      <c r="P4925" s="798"/>
      <c r="Q4925" s="798"/>
      <c r="R4925" s="811"/>
    </row>
    <row r="4926" customFormat="false" ht="16.5" hidden="false" customHeight="true" outlineLevel="0" collapsed="false">
      <c r="A4926" s="747"/>
      <c r="B4926" s="798"/>
      <c r="D4926" s="798"/>
      <c r="E4926" s="798"/>
      <c r="F4926" s="798"/>
      <c r="G4926" s="798"/>
      <c r="K4926" s="798"/>
      <c r="P4926" s="798"/>
      <c r="Q4926" s="798"/>
      <c r="R4926" s="811"/>
    </row>
    <row r="4927" customFormat="false" ht="16.5" hidden="false" customHeight="true" outlineLevel="0" collapsed="false">
      <c r="A4927" s="747"/>
      <c r="B4927" s="798"/>
      <c r="D4927" s="798"/>
      <c r="E4927" s="798"/>
      <c r="F4927" s="798"/>
      <c r="G4927" s="798"/>
      <c r="K4927" s="798"/>
      <c r="P4927" s="798"/>
      <c r="Q4927" s="798"/>
      <c r="R4927" s="811"/>
    </row>
    <row r="4928" customFormat="false" ht="16.5" hidden="false" customHeight="true" outlineLevel="0" collapsed="false">
      <c r="A4928" s="747"/>
      <c r="B4928" s="798"/>
      <c r="D4928" s="798"/>
      <c r="E4928" s="798"/>
      <c r="F4928" s="798"/>
      <c r="G4928" s="798"/>
      <c r="K4928" s="798"/>
      <c r="P4928" s="798"/>
      <c r="Q4928" s="798"/>
      <c r="R4928" s="811"/>
    </row>
    <row r="4929" customFormat="false" ht="16.5" hidden="false" customHeight="true" outlineLevel="0" collapsed="false">
      <c r="A4929" s="747"/>
      <c r="B4929" s="798"/>
      <c r="D4929" s="798"/>
      <c r="E4929" s="798"/>
      <c r="F4929" s="798"/>
      <c r="G4929" s="798"/>
      <c r="K4929" s="798"/>
      <c r="P4929" s="798"/>
      <c r="Q4929" s="798"/>
      <c r="R4929" s="811"/>
    </row>
    <row r="4930" customFormat="false" ht="16.5" hidden="false" customHeight="true" outlineLevel="0" collapsed="false">
      <c r="A4930" s="747"/>
      <c r="B4930" s="798"/>
      <c r="D4930" s="798"/>
      <c r="E4930" s="798"/>
      <c r="F4930" s="798"/>
      <c r="G4930" s="798"/>
      <c r="K4930" s="798"/>
      <c r="P4930" s="798"/>
      <c r="Q4930" s="798"/>
      <c r="R4930" s="811"/>
    </row>
    <row r="4931" customFormat="false" ht="16.5" hidden="false" customHeight="true" outlineLevel="0" collapsed="false">
      <c r="A4931" s="747"/>
      <c r="B4931" s="798"/>
      <c r="D4931" s="798"/>
      <c r="E4931" s="798"/>
      <c r="F4931" s="798"/>
      <c r="G4931" s="798"/>
      <c r="K4931" s="798"/>
      <c r="P4931" s="798"/>
      <c r="Q4931" s="798"/>
      <c r="R4931" s="811"/>
    </row>
    <row r="4932" customFormat="false" ht="16.5" hidden="false" customHeight="true" outlineLevel="0" collapsed="false">
      <c r="A4932" s="747"/>
      <c r="B4932" s="798"/>
      <c r="D4932" s="798"/>
      <c r="E4932" s="798"/>
      <c r="F4932" s="798"/>
      <c r="G4932" s="798"/>
      <c r="K4932" s="798"/>
      <c r="P4932" s="798"/>
      <c r="Q4932" s="798"/>
      <c r="R4932" s="811"/>
    </row>
    <row r="4933" customFormat="false" ht="16.5" hidden="false" customHeight="true" outlineLevel="0" collapsed="false">
      <c r="A4933" s="747"/>
      <c r="B4933" s="798"/>
      <c r="D4933" s="798"/>
      <c r="E4933" s="798"/>
      <c r="F4933" s="798"/>
      <c r="G4933" s="798"/>
      <c r="K4933" s="798"/>
      <c r="P4933" s="798"/>
      <c r="Q4933" s="798"/>
      <c r="R4933" s="811"/>
    </row>
    <row r="4934" customFormat="false" ht="16.5" hidden="false" customHeight="true" outlineLevel="0" collapsed="false">
      <c r="A4934" s="747"/>
      <c r="B4934" s="798"/>
      <c r="D4934" s="798"/>
      <c r="E4934" s="798"/>
      <c r="F4934" s="798"/>
      <c r="G4934" s="798"/>
      <c r="K4934" s="798"/>
      <c r="P4934" s="798"/>
      <c r="Q4934" s="798"/>
      <c r="R4934" s="811"/>
    </row>
    <row r="4935" customFormat="false" ht="16.5" hidden="false" customHeight="true" outlineLevel="0" collapsed="false">
      <c r="A4935" s="747"/>
      <c r="B4935" s="798"/>
      <c r="D4935" s="798"/>
      <c r="E4935" s="798"/>
      <c r="F4935" s="798"/>
      <c r="G4935" s="798"/>
      <c r="K4935" s="798"/>
      <c r="P4935" s="798"/>
      <c r="Q4935" s="798"/>
      <c r="R4935" s="811"/>
    </row>
    <row r="4936" customFormat="false" ht="16.5" hidden="false" customHeight="true" outlineLevel="0" collapsed="false">
      <c r="A4936" s="747"/>
      <c r="B4936" s="798"/>
      <c r="D4936" s="798"/>
      <c r="E4936" s="798"/>
      <c r="F4936" s="798"/>
      <c r="G4936" s="798"/>
      <c r="K4936" s="798"/>
      <c r="P4936" s="798"/>
      <c r="Q4936" s="798"/>
      <c r="R4936" s="811"/>
    </row>
    <row r="4937" customFormat="false" ht="16.5" hidden="false" customHeight="true" outlineLevel="0" collapsed="false">
      <c r="A4937" s="747"/>
      <c r="B4937" s="798"/>
      <c r="D4937" s="798"/>
      <c r="E4937" s="798"/>
      <c r="F4937" s="798"/>
      <c r="G4937" s="798"/>
      <c r="K4937" s="798"/>
      <c r="P4937" s="798"/>
      <c r="Q4937" s="798"/>
      <c r="R4937" s="811"/>
    </row>
    <row r="4938" customFormat="false" ht="16.5" hidden="false" customHeight="true" outlineLevel="0" collapsed="false">
      <c r="A4938" s="747"/>
      <c r="B4938" s="798"/>
      <c r="D4938" s="798"/>
      <c r="E4938" s="798"/>
      <c r="F4938" s="798"/>
      <c r="G4938" s="798"/>
      <c r="K4938" s="798"/>
      <c r="P4938" s="798"/>
      <c r="Q4938" s="798"/>
      <c r="R4938" s="811"/>
    </row>
    <row r="4939" customFormat="false" ht="16.5" hidden="false" customHeight="true" outlineLevel="0" collapsed="false">
      <c r="A4939" s="747"/>
      <c r="B4939" s="798"/>
      <c r="D4939" s="798"/>
      <c r="E4939" s="798"/>
      <c r="F4939" s="798"/>
      <c r="G4939" s="798"/>
      <c r="K4939" s="798"/>
      <c r="P4939" s="798"/>
      <c r="Q4939" s="798"/>
      <c r="R4939" s="811"/>
    </row>
    <row r="4940" customFormat="false" ht="16.5" hidden="false" customHeight="true" outlineLevel="0" collapsed="false">
      <c r="A4940" s="747"/>
      <c r="B4940" s="798"/>
      <c r="D4940" s="798"/>
      <c r="E4940" s="798"/>
      <c r="F4940" s="798"/>
      <c r="G4940" s="798"/>
      <c r="K4940" s="798"/>
      <c r="P4940" s="798"/>
      <c r="Q4940" s="798"/>
      <c r="R4940" s="811"/>
    </row>
    <row r="4941" customFormat="false" ht="16.5" hidden="false" customHeight="true" outlineLevel="0" collapsed="false">
      <c r="A4941" s="747"/>
      <c r="B4941" s="798"/>
      <c r="D4941" s="798"/>
      <c r="E4941" s="798"/>
      <c r="F4941" s="798"/>
      <c r="G4941" s="798"/>
      <c r="K4941" s="798"/>
      <c r="P4941" s="798"/>
      <c r="Q4941" s="798"/>
      <c r="R4941" s="811"/>
    </row>
    <row r="4942" customFormat="false" ht="16.5" hidden="false" customHeight="true" outlineLevel="0" collapsed="false">
      <c r="A4942" s="747"/>
      <c r="B4942" s="798"/>
      <c r="D4942" s="798"/>
      <c r="E4942" s="798"/>
      <c r="F4942" s="798"/>
      <c r="G4942" s="798"/>
      <c r="K4942" s="798"/>
      <c r="P4942" s="798"/>
      <c r="Q4942" s="798"/>
      <c r="R4942" s="811"/>
    </row>
    <row r="4943" customFormat="false" ht="16.5" hidden="false" customHeight="true" outlineLevel="0" collapsed="false">
      <c r="A4943" s="747"/>
      <c r="B4943" s="798"/>
      <c r="D4943" s="798"/>
      <c r="E4943" s="798"/>
      <c r="F4943" s="798"/>
      <c r="G4943" s="798"/>
      <c r="K4943" s="798"/>
      <c r="P4943" s="798"/>
      <c r="Q4943" s="798"/>
      <c r="R4943" s="811"/>
    </row>
    <row r="4944" customFormat="false" ht="16.5" hidden="false" customHeight="true" outlineLevel="0" collapsed="false">
      <c r="A4944" s="747"/>
      <c r="B4944" s="798"/>
      <c r="D4944" s="798"/>
      <c r="E4944" s="798"/>
      <c r="F4944" s="798"/>
      <c r="G4944" s="798"/>
      <c r="K4944" s="798"/>
      <c r="P4944" s="798"/>
      <c r="Q4944" s="798"/>
      <c r="R4944" s="811"/>
    </row>
    <row r="4945" customFormat="false" ht="16.5" hidden="false" customHeight="true" outlineLevel="0" collapsed="false">
      <c r="A4945" s="747"/>
      <c r="B4945" s="798"/>
      <c r="D4945" s="798"/>
      <c r="E4945" s="798"/>
      <c r="F4945" s="798"/>
      <c r="G4945" s="798"/>
      <c r="K4945" s="798"/>
      <c r="P4945" s="798"/>
      <c r="Q4945" s="798"/>
      <c r="R4945" s="811"/>
    </row>
    <row r="4946" customFormat="false" ht="16.5" hidden="false" customHeight="true" outlineLevel="0" collapsed="false">
      <c r="A4946" s="747"/>
      <c r="B4946" s="798"/>
      <c r="D4946" s="798"/>
      <c r="E4946" s="798"/>
      <c r="F4946" s="798"/>
      <c r="G4946" s="798"/>
      <c r="K4946" s="798"/>
      <c r="P4946" s="798"/>
      <c r="Q4946" s="798"/>
      <c r="R4946" s="811"/>
    </row>
    <row r="4947" customFormat="false" ht="16.5" hidden="false" customHeight="true" outlineLevel="0" collapsed="false">
      <c r="A4947" s="747"/>
      <c r="B4947" s="798"/>
      <c r="D4947" s="798"/>
      <c r="E4947" s="798"/>
      <c r="F4947" s="798"/>
      <c r="G4947" s="798"/>
      <c r="K4947" s="798"/>
      <c r="P4947" s="798"/>
      <c r="Q4947" s="798"/>
      <c r="R4947" s="811"/>
    </row>
    <row r="4948" customFormat="false" ht="16.5" hidden="false" customHeight="true" outlineLevel="0" collapsed="false">
      <c r="A4948" s="747"/>
      <c r="B4948" s="798"/>
      <c r="D4948" s="798"/>
      <c r="E4948" s="798"/>
      <c r="F4948" s="798"/>
      <c r="G4948" s="798"/>
      <c r="K4948" s="798"/>
      <c r="P4948" s="798"/>
      <c r="Q4948" s="798"/>
      <c r="R4948" s="811"/>
    </row>
    <row r="4949" customFormat="false" ht="16.5" hidden="false" customHeight="true" outlineLevel="0" collapsed="false">
      <c r="A4949" s="747"/>
      <c r="B4949" s="798"/>
      <c r="D4949" s="798"/>
      <c r="E4949" s="798"/>
      <c r="F4949" s="798"/>
      <c r="G4949" s="798"/>
      <c r="K4949" s="798"/>
      <c r="P4949" s="798"/>
      <c r="Q4949" s="798"/>
      <c r="R4949" s="811"/>
    </row>
    <row r="4950" customFormat="false" ht="16.5" hidden="false" customHeight="true" outlineLevel="0" collapsed="false">
      <c r="A4950" s="747"/>
      <c r="B4950" s="798"/>
      <c r="D4950" s="798"/>
      <c r="E4950" s="798"/>
      <c r="F4950" s="798"/>
      <c r="G4950" s="798"/>
      <c r="K4950" s="798"/>
      <c r="P4950" s="798"/>
      <c r="Q4950" s="798"/>
      <c r="R4950" s="811"/>
    </row>
    <row r="4951" customFormat="false" ht="16.5" hidden="false" customHeight="true" outlineLevel="0" collapsed="false">
      <c r="A4951" s="747"/>
      <c r="B4951" s="798"/>
      <c r="D4951" s="798"/>
      <c r="E4951" s="798"/>
      <c r="F4951" s="798"/>
      <c r="G4951" s="798"/>
      <c r="K4951" s="798"/>
      <c r="P4951" s="798"/>
      <c r="Q4951" s="798"/>
      <c r="R4951" s="811"/>
    </row>
    <row r="4952" customFormat="false" ht="16.5" hidden="false" customHeight="true" outlineLevel="0" collapsed="false">
      <c r="A4952" s="747"/>
      <c r="B4952" s="798"/>
      <c r="D4952" s="798"/>
      <c r="E4952" s="798"/>
      <c r="F4952" s="798"/>
      <c r="G4952" s="798"/>
      <c r="K4952" s="798"/>
      <c r="P4952" s="798"/>
      <c r="Q4952" s="798"/>
      <c r="R4952" s="811"/>
    </row>
    <row r="4953" customFormat="false" ht="16.5" hidden="false" customHeight="true" outlineLevel="0" collapsed="false">
      <c r="A4953" s="747"/>
      <c r="B4953" s="798"/>
      <c r="D4953" s="798"/>
      <c r="E4953" s="798"/>
      <c r="F4953" s="798"/>
      <c r="G4953" s="798"/>
      <c r="K4953" s="798"/>
      <c r="P4953" s="798"/>
      <c r="Q4953" s="798"/>
      <c r="R4953" s="811"/>
    </row>
    <row r="4954" customFormat="false" ht="16.5" hidden="false" customHeight="true" outlineLevel="0" collapsed="false">
      <c r="A4954" s="747"/>
      <c r="B4954" s="798"/>
      <c r="D4954" s="798"/>
      <c r="E4954" s="798"/>
      <c r="F4954" s="798"/>
      <c r="G4954" s="798"/>
      <c r="K4954" s="798"/>
      <c r="P4954" s="798"/>
      <c r="Q4954" s="798"/>
      <c r="R4954" s="811"/>
    </row>
    <row r="4955" customFormat="false" ht="16.5" hidden="false" customHeight="true" outlineLevel="0" collapsed="false">
      <c r="A4955" s="747"/>
      <c r="B4955" s="798"/>
      <c r="D4955" s="798"/>
      <c r="E4955" s="798"/>
      <c r="F4955" s="798"/>
      <c r="G4955" s="798"/>
      <c r="K4955" s="798"/>
      <c r="P4955" s="798"/>
      <c r="Q4955" s="798"/>
      <c r="R4955" s="811"/>
    </row>
    <row r="4956" customFormat="false" ht="16.5" hidden="false" customHeight="true" outlineLevel="0" collapsed="false">
      <c r="A4956" s="747"/>
      <c r="B4956" s="798"/>
      <c r="D4956" s="798"/>
      <c r="E4956" s="798"/>
      <c r="F4956" s="798"/>
      <c r="G4956" s="798"/>
      <c r="K4956" s="798"/>
      <c r="P4956" s="798"/>
      <c r="Q4956" s="798"/>
      <c r="R4956" s="811"/>
    </row>
    <row r="4957" customFormat="false" ht="16.5" hidden="false" customHeight="true" outlineLevel="0" collapsed="false">
      <c r="A4957" s="747"/>
      <c r="B4957" s="798"/>
      <c r="D4957" s="798"/>
      <c r="E4957" s="798"/>
      <c r="F4957" s="798"/>
      <c r="G4957" s="798"/>
      <c r="K4957" s="798"/>
      <c r="P4957" s="798"/>
      <c r="Q4957" s="798"/>
      <c r="R4957" s="811"/>
    </row>
    <row r="4958" customFormat="false" ht="16.5" hidden="false" customHeight="true" outlineLevel="0" collapsed="false">
      <c r="A4958" s="747"/>
      <c r="B4958" s="798"/>
      <c r="D4958" s="798"/>
      <c r="E4958" s="798"/>
      <c r="F4958" s="798"/>
      <c r="G4958" s="798"/>
      <c r="K4958" s="798"/>
      <c r="P4958" s="798"/>
      <c r="Q4958" s="798"/>
      <c r="R4958" s="811"/>
    </row>
    <row r="4959" customFormat="false" ht="16.5" hidden="false" customHeight="true" outlineLevel="0" collapsed="false">
      <c r="A4959" s="747"/>
      <c r="B4959" s="798"/>
      <c r="D4959" s="798"/>
      <c r="E4959" s="798"/>
      <c r="F4959" s="798"/>
      <c r="G4959" s="798"/>
      <c r="K4959" s="798"/>
      <c r="P4959" s="798"/>
      <c r="Q4959" s="798"/>
      <c r="R4959" s="811"/>
    </row>
    <row r="4960" customFormat="false" ht="16.5" hidden="false" customHeight="true" outlineLevel="0" collapsed="false">
      <c r="A4960" s="747"/>
      <c r="B4960" s="798"/>
      <c r="D4960" s="798"/>
      <c r="E4960" s="798"/>
      <c r="F4960" s="798"/>
      <c r="G4960" s="798"/>
      <c r="K4960" s="798"/>
      <c r="P4960" s="798"/>
      <c r="Q4960" s="798"/>
      <c r="R4960" s="811"/>
    </row>
    <row r="4961" customFormat="false" ht="16.5" hidden="false" customHeight="true" outlineLevel="0" collapsed="false">
      <c r="A4961" s="747"/>
      <c r="B4961" s="798"/>
      <c r="D4961" s="798"/>
      <c r="E4961" s="798"/>
      <c r="F4961" s="798"/>
      <c r="G4961" s="798"/>
      <c r="K4961" s="798"/>
      <c r="P4961" s="798"/>
      <c r="Q4961" s="798"/>
      <c r="R4961" s="811"/>
    </row>
    <row r="4962" customFormat="false" ht="16.5" hidden="false" customHeight="true" outlineLevel="0" collapsed="false">
      <c r="A4962" s="747"/>
      <c r="B4962" s="798"/>
      <c r="D4962" s="798"/>
      <c r="E4962" s="798"/>
      <c r="F4962" s="798"/>
      <c r="G4962" s="798"/>
      <c r="K4962" s="798"/>
      <c r="P4962" s="798"/>
      <c r="Q4962" s="798"/>
      <c r="R4962" s="811"/>
    </row>
    <row r="4963" customFormat="false" ht="16.5" hidden="false" customHeight="true" outlineLevel="0" collapsed="false">
      <c r="A4963" s="747"/>
      <c r="B4963" s="798"/>
      <c r="D4963" s="798"/>
      <c r="E4963" s="798"/>
      <c r="F4963" s="798"/>
      <c r="G4963" s="798"/>
      <c r="K4963" s="798"/>
      <c r="P4963" s="798"/>
      <c r="Q4963" s="798"/>
      <c r="R4963" s="811"/>
    </row>
    <row r="4964" customFormat="false" ht="16.5" hidden="false" customHeight="true" outlineLevel="0" collapsed="false">
      <c r="A4964" s="747"/>
      <c r="B4964" s="798"/>
      <c r="D4964" s="798"/>
      <c r="E4964" s="798"/>
      <c r="F4964" s="798"/>
      <c r="G4964" s="798"/>
      <c r="K4964" s="798"/>
      <c r="P4964" s="798"/>
      <c r="Q4964" s="798"/>
      <c r="R4964" s="811"/>
    </row>
    <row r="4965" customFormat="false" ht="16.5" hidden="false" customHeight="true" outlineLevel="0" collapsed="false">
      <c r="A4965" s="747"/>
      <c r="B4965" s="798"/>
      <c r="D4965" s="798"/>
      <c r="E4965" s="798"/>
      <c r="F4965" s="798"/>
      <c r="G4965" s="798"/>
      <c r="K4965" s="798"/>
      <c r="P4965" s="798"/>
      <c r="Q4965" s="798"/>
      <c r="R4965" s="811"/>
    </row>
    <row r="4966" customFormat="false" ht="16.5" hidden="false" customHeight="true" outlineLevel="0" collapsed="false">
      <c r="A4966" s="747"/>
      <c r="B4966" s="798"/>
      <c r="D4966" s="798"/>
      <c r="E4966" s="798"/>
      <c r="F4966" s="798"/>
      <c r="G4966" s="798"/>
      <c r="K4966" s="798"/>
      <c r="P4966" s="798"/>
      <c r="Q4966" s="798"/>
      <c r="R4966" s="811"/>
    </row>
    <row r="4967" customFormat="false" ht="16.5" hidden="false" customHeight="true" outlineLevel="0" collapsed="false">
      <c r="A4967" s="747"/>
      <c r="B4967" s="798"/>
      <c r="D4967" s="798"/>
      <c r="E4967" s="798"/>
      <c r="F4967" s="798"/>
      <c r="G4967" s="798"/>
      <c r="K4967" s="798"/>
      <c r="P4967" s="798"/>
      <c r="Q4967" s="798"/>
      <c r="R4967" s="811"/>
    </row>
    <row r="4968" customFormat="false" ht="16.5" hidden="false" customHeight="true" outlineLevel="0" collapsed="false">
      <c r="A4968" s="747"/>
      <c r="B4968" s="798"/>
      <c r="D4968" s="798"/>
      <c r="E4968" s="798"/>
      <c r="F4968" s="798"/>
      <c r="G4968" s="798"/>
      <c r="K4968" s="798"/>
      <c r="P4968" s="798"/>
      <c r="Q4968" s="798"/>
      <c r="R4968" s="811"/>
    </row>
    <row r="4969" customFormat="false" ht="16.5" hidden="false" customHeight="true" outlineLevel="0" collapsed="false">
      <c r="A4969" s="747"/>
      <c r="B4969" s="798"/>
      <c r="D4969" s="798"/>
      <c r="E4969" s="798"/>
      <c r="F4969" s="798"/>
      <c r="G4969" s="798"/>
      <c r="K4969" s="798"/>
      <c r="P4969" s="798"/>
      <c r="Q4969" s="798"/>
      <c r="R4969" s="811"/>
    </row>
    <row r="4970" customFormat="false" ht="16.5" hidden="false" customHeight="true" outlineLevel="0" collapsed="false">
      <c r="A4970" s="747"/>
      <c r="B4970" s="798"/>
      <c r="D4970" s="798"/>
      <c r="E4970" s="798"/>
      <c r="F4970" s="798"/>
      <c r="G4970" s="798"/>
      <c r="K4970" s="798"/>
      <c r="P4970" s="798"/>
      <c r="Q4970" s="798"/>
      <c r="R4970" s="811"/>
    </row>
    <row r="4971" customFormat="false" ht="16.5" hidden="false" customHeight="true" outlineLevel="0" collapsed="false">
      <c r="A4971" s="747"/>
      <c r="B4971" s="798"/>
      <c r="D4971" s="798"/>
      <c r="E4971" s="798"/>
      <c r="F4971" s="798"/>
      <c r="G4971" s="798"/>
      <c r="K4971" s="798"/>
      <c r="P4971" s="798"/>
      <c r="Q4971" s="798"/>
      <c r="R4971" s="811"/>
    </row>
    <row r="4972" customFormat="false" ht="16.5" hidden="false" customHeight="true" outlineLevel="0" collapsed="false">
      <c r="A4972" s="747"/>
      <c r="B4972" s="798"/>
      <c r="D4972" s="798"/>
      <c r="E4972" s="798"/>
      <c r="F4972" s="798"/>
      <c r="G4972" s="798"/>
      <c r="K4972" s="798"/>
      <c r="P4972" s="798"/>
      <c r="Q4972" s="798"/>
      <c r="R4972" s="811"/>
    </row>
    <row r="4973" customFormat="false" ht="16.5" hidden="false" customHeight="true" outlineLevel="0" collapsed="false">
      <c r="A4973" s="747"/>
      <c r="B4973" s="798"/>
      <c r="D4973" s="798"/>
      <c r="E4973" s="798"/>
      <c r="F4973" s="798"/>
      <c r="G4973" s="798"/>
      <c r="K4973" s="798"/>
      <c r="P4973" s="798"/>
      <c r="Q4973" s="798"/>
      <c r="R4973" s="811"/>
    </row>
    <row r="4974" customFormat="false" ht="16.5" hidden="false" customHeight="true" outlineLevel="0" collapsed="false">
      <c r="A4974" s="747"/>
      <c r="B4974" s="798"/>
      <c r="D4974" s="798"/>
      <c r="E4974" s="798"/>
      <c r="F4974" s="798"/>
      <c r="G4974" s="798"/>
      <c r="K4974" s="798"/>
      <c r="P4974" s="798"/>
      <c r="Q4974" s="798"/>
      <c r="R4974" s="811"/>
    </row>
    <row r="4975" customFormat="false" ht="16.5" hidden="false" customHeight="true" outlineLevel="0" collapsed="false">
      <c r="A4975" s="747"/>
      <c r="B4975" s="798"/>
      <c r="D4975" s="798"/>
      <c r="E4975" s="798"/>
      <c r="F4975" s="798"/>
      <c r="G4975" s="798"/>
      <c r="K4975" s="798"/>
      <c r="P4975" s="798"/>
      <c r="Q4975" s="798"/>
      <c r="R4975" s="811"/>
    </row>
    <row r="4976" customFormat="false" ht="16.5" hidden="false" customHeight="true" outlineLevel="0" collapsed="false">
      <c r="A4976" s="747"/>
      <c r="B4976" s="798"/>
      <c r="D4976" s="798"/>
      <c r="E4976" s="798"/>
      <c r="F4976" s="798"/>
      <c r="G4976" s="798"/>
      <c r="K4976" s="798"/>
      <c r="P4976" s="798"/>
      <c r="Q4976" s="798"/>
      <c r="R4976" s="811"/>
    </row>
    <row r="4977" customFormat="false" ht="16.5" hidden="false" customHeight="true" outlineLevel="0" collapsed="false">
      <c r="A4977" s="747"/>
      <c r="B4977" s="798"/>
      <c r="D4977" s="798"/>
      <c r="E4977" s="798"/>
      <c r="F4977" s="798"/>
      <c r="G4977" s="798"/>
      <c r="K4977" s="798"/>
      <c r="P4977" s="798"/>
      <c r="Q4977" s="798"/>
      <c r="R4977" s="811"/>
    </row>
    <row r="4978" customFormat="false" ht="16.5" hidden="false" customHeight="true" outlineLevel="0" collapsed="false">
      <c r="A4978" s="747"/>
      <c r="B4978" s="798"/>
      <c r="D4978" s="798"/>
      <c r="E4978" s="798"/>
      <c r="F4978" s="798"/>
      <c r="G4978" s="798"/>
      <c r="K4978" s="798"/>
      <c r="P4978" s="798"/>
      <c r="Q4978" s="798"/>
      <c r="R4978" s="811"/>
    </row>
    <row r="4979" customFormat="false" ht="16.5" hidden="false" customHeight="true" outlineLevel="0" collapsed="false">
      <c r="A4979" s="747"/>
      <c r="B4979" s="798"/>
      <c r="D4979" s="798"/>
      <c r="E4979" s="798"/>
      <c r="F4979" s="798"/>
      <c r="G4979" s="798"/>
      <c r="K4979" s="798"/>
      <c r="P4979" s="798"/>
      <c r="Q4979" s="798"/>
      <c r="R4979" s="811"/>
    </row>
    <row r="4980" customFormat="false" ht="16.5" hidden="false" customHeight="true" outlineLevel="0" collapsed="false">
      <c r="A4980" s="747"/>
      <c r="B4980" s="798"/>
      <c r="D4980" s="798"/>
      <c r="E4980" s="798"/>
      <c r="F4980" s="798"/>
      <c r="G4980" s="798"/>
      <c r="K4980" s="798"/>
      <c r="P4980" s="798"/>
      <c r="Q4980" s="798"/>
      <c r="R4980" s="811"/>
    </row>
    <row r="4981" customFormat="false" ht="16.5" hidden="false" customHeight="true" outlineLevel="0" collapsed="false">
      <c r="A4981" s="747"/>
      <c r="B4981" s="798"/>
      <c r="D4981" s="798"/>
      <c r="E4981" s="798"/>
      <c r="F4981" s="798"/>
      <c r="G4981" s="798"/>
      <c r="K4981" s="798"/>
      <c r="P4981" s="798"/>
      <c r="Q4981" s="798"/>
      <c r="R4981" s="811"/>
    </row>
    <row r="4982" customFormat="false" ht="16.5" hidden="false" customHeight="true" outlineLevel="0" collapsed="false">
      <c r="A4982" s="747"/>
      <c r="B4982" s="798"/>
      <c r="D4982" s="798"/>
      <c r="E4982" s="798"/>
      <c r="F4982" s="798"/>
      <c r="G4982" s="798"/>
      <c r="K4982" s="798"/>
      <c r="P4982" s="798"/>
      <c r="Q4982" s="798"/>
      <c r="R4982" s="811"/>
    </row>
    <row r="4983" customFormat="false" ht="16.5" hidden="false" customHeight="true" outlineLevel="0" collapsed="false">
      <c r="A4983" s="747"/>
      <c r="B4983" s="798"/>
      <c r="D4983" s="798"/>
      <c r="E4983" s="798"/>
      <c r="F4983" s="798"/>
      <c r="G4983" s="798"/>
      <c r="K4983" s="798"/>
      <c r="P4983" s="798"/>
      <c r="Q4983" s="798"/>
      <c r="R4983" s="811"/>
    </row>
    <row r="4984" customFormat="false" ht="16.5" hidden="false" customHeight="true" outlineLevel="0" collapsed="false">
      <c r="A4984" s="747"/>
      <c r="B4984" s="798"/>
      <c r="D4984" s="798"/>
      <c r="E4984" s="798"/>
      <c r="F4984" s="798"/>
      <c r="G4984" s="798"/>
      <c r="K4984" s="798"/>
      <c r="P4984" s="798"/>
      <c r="Q4984" s="798"/>
      <c r="R4984" s="811"/>
    </row>
    <row r="4985" customFormat="false" ht="16.5" hidden="false" customHeight="true" outlineLevel="0" collapsed="false">
      <c r="A4985" s="747"/>
      <c r="B4985" s="798"/>
      <c r="D4985" s="798"/>
      <c r="E4985" s="798"/>
      <c r="F4985" s="798"/>
      <c r="G4985" s="798"/>
      <c r="K4985" s="798"/>
      <c r="P4985" s="798"/>
      <c r="Q4985" s="798"/>
      <c r="R4985" s="811"/>
    </row>
    <row r="4986" customFormat="false" ht="16.5" hidden="false" customHeight="true" outlineLevel="0" collapsed="false">
      <c r="A4986" s="747"/>
      <c r="B4986" s="798"/>
      <c r="D4986" s="798"/>
      <c r="E4986" s="798"/>
      <c r="F4986" s="798"/>
      <c r="G4986" s="798"/>
      <c r="K4986" s="798"/>
      <c r="P4986" s="798"/>
      <c r="Q4986" s="798"/>
      <c r="R4986" s="811"/>
    </row>
    <row r="4987" customFormat="false" ht="16.5" hidden="false" customHeight="true" outlineLevel="0" collapsed="false">
      <c r="A4987" s="747"/>
      <c r="B4987" s="798"/>
      <c r="D4987" s="798"/>
      <c r="E4987" s="798"/>
      <c r="F4987" s="798"/>
      <c r="G4987" s="798"/>
      <c r="K4987" s="798"/>
      <c r="P4987" s="798"/>
      <c r="Q4987" s="798"/>
      <c r="R4987" s="811"/>
    </row>
    <row r="4988" customFormat="false" ht="16.5" hidden="false" customHeight="true" outlineLevel="0" collapsed="false">
      <c r="A4988" s="747"/>
      <c r="B4988" s="798"/>
      <c r="D4988" s="798"/>
      <c r="E4988" s="798"/>
      <c r="F4988" s="798"/>
      <c r="G4988" s="798"/>
      <c r="K4988" s="798"/>
      <c r="P4988" s="798"/>
      <c r="Q4988" s="798"/>
      <c r="R4988" s="811"/>
    </row>
    <row r="4989" customFormat="false" ht="16.5" hidden="false" customHeight="true" outlineLevel="0" collapsed="false">
      <c r="A4989" s="747"/>
      <c r="B4989" s="798"/>
      <c r="D4989" s="798"/>
      <c r="E4989" s="798"/>
      <c r="F4989" s="798"/>
      <c r="G4989" s="798"/>
      <c r="K4989" s="798"/>
      <c r="P4989" s="798"/>
      <c r="Q4989" s="798"/>
      <c r="R4989" s="811"/>
    </row>
    <row r="4990" customFormat="false" ht="16.5" hidden="false" customHeight="true" outlineLevel="0" collapsed="false">
      <c r="A4990" s="747"/>
      <c r="B4990" s="798"/>
      <c r="D4990" s="798"/>
      <c r="E4990" s="798"/>
      <c r="F4990" s="798"/>
      <c r="G4990" s="798"/>
      <c r="K4990" s="798"/>
      <c r="P4990" s="798"/>
      <c r="Q4990" s="798"/>
      <c r="R4990" s="811"/>
    </row>
    <row r="4991" customFormat="false" ht="16.5" hidden="false" customHeight="true" outlineLevel="0" collapsed="false">
      <c r="A4991" s="747"/>
      <c r="B4991" s="798"/>
      <c r="D4991" s="798"/>
      <c r="E4991" s="798"/>
      <c r="F4991" s="798"/>
      <c r="G4991" s="798"/>
      <c r="K4991" s="798"/>
      <c r="P4991" s="798"/>
      <c r="Q4991" s="798"/>
      <c r="R4991" s="811"/>
    </row>
    <row r="4992" customFormat="false" ht="16.5" hidden="false" customHeight="true" outlineLevel="0" collapsed="false">
      <c r="A4992" s="747"/>
      <c r="B4992" s="798"/>
      <c r="D4992" s="798"/>
      <c r="E4992" s="798"/>
      <c r="F4992" s="798"/>
      <c r="G4992" s="798"/>
      <c r="K4992" s="798"/>
      <c r="P4992" s="798"/>
      <c r="Q4992" s="798"/>
      <c r="R4992" s="811"/>
    </row>
    <row r="4993" customFormat="false" ht="16.5" hidden="false" customHeight="true" outlineLevel="0" collapsed="false">
      <c r="A4993" s="747"/>
      <c r="B4993" s="798"/>
      <c r="D4993" s="798"/>
      <c r="E4993" s="798"/>
      <c r="F4993" s="798"/>
      <c r="G4993" s="798"/>
      <c r="K4993" s="798"/>
      <c r="P4993" s="798"/>
      <c r="Q4993" s="798"/>
      <c r="R4993" s="811"/>
    </row>
    <row r="4994" customFormat="false" ht="16.5" hidden="false" customHeight="true" outlineLevel="0" collapsed="false">
      <c r="A4994" s="747"/>
      <c r="B4994" s="798"/>
      <c r="D4994" s="798"/>
      <c r="E4994" s="798"/>
      <c r="F4994" s="798"/>
      <c r="G4994" s="798"/>
      <c r="K4994" s="798"/>
      <c r="P4994" s="798"/>
      <c r="Q4994" s="798"/>
      <c r="R4994" s="811"/>
    </row>
    <row r="4995" customFormat="false" ht="16.5" hidden="false" customHeight="true" outlineLevel="0" collapsed="false">
      <c r="A4995" s="747"/>
      <c r="B4995" s="798"/>
      <c r="D4995" s="798"/>
      <c r="E4995" s="798"/>
      <c r="F4995" s="798"/>
      <c r="G4995" s="798"/>
      <c r="K4995" s="798"/>
      <c r="P4995" s="798"/>
      <c r="Q4995" s="798"/>
      <c r="R4995" s="811"/>
    </row>
    <row r="4996" customFormat="false" ht="16.5" hidden="false" customHeight="true" outlineLevel="0" collapsed="false">
      <c r="A4996" s="747"/>
      <c r="B4996" s="798"/>
      <c r="D4996" s="798"/>
      <c r="E4996" s="798"/>
      <c r="F4996" s="798"/>
      <c r="G4996" s="798"/>
      <c r="K4996" s="798"/>
      <c r="P4996" s="798"/>
      <c r="Q4996" s="798"/>
      <c r="R4996" s="811"/>
    </row>
    <row r="4997" customFormat="false" ht="16.5" hidden="false" customHeight="true" outlineLevel="0" collapsed="false">
      <c r="A4997" s="747"/>
      <c r="B4997" s="798"/>
      <c r="D4997" s="798"/>
      <c r="E4997" s="798"/>
      <c r="F4997" s="798"/>
      <c r="G4997" s="798"/>
      <c r="K4997" s="798"/>
      <c r="P4997" s="798"/>
      <c r="Q4997" s="798"/>
      <c r="R4997" s="811"/>
    </row>
    <row r="4998" customFormat="false" ht="16.5" hidden="false" customHeight="true" outlineLevel="0" collapsed="false">
      <c r="A4998" s="747"/>
      <c r="B4998" s="798"/>
      <c r="D4998" s="798"/>
      <c r="E4998" s="798"/>
      <c r="F4998" s="798"/>
      <c r="G4998" s="798"/>
      <c r="K4998" s="798"/>
      <c r="P4998" s="798"/>
      <c r="Q4998" s="798"/>
      <c r="R4998" s="811"/>
    </row>
    <row r="4999" customFormat="false" ht="16.5" hidden="false" customHeight="true" outlineLevel="0" collapsed="false">
      <c r="A4999" s="747"/>
      <c r="B4999" s="798"/>
      <c r="D4999" s="798"/>
      <c r="E4999" s="798"/>
      <c r="F4999" s="798"/>
      <c r="G4999" s="798"/>
      <c r="K4999" s="798"/>
      <c r="P4999" s="798"/>
      <c r="Q4999" s="798"/>
      <c r="R4999" s="811"/>
    </row>
    <row r="5000" customFormat="false" ht="16.5" hidden="false" customHeight="true" outlineLevel="0" collapsed="false">
      <c r="A5000" s="747"/>
      <c r="B5000" s="798"/>
      <c r="D5000" s="798"/>
      <c r="E5000" s="798"/>
      <c r="F5000" s="798"/>
      <c r="G5000" s="798"/>
      <c r="K5000" s="798"/>
      <c r="P5000" s="798"/>
      <c r="Q5000" s="798"/>
      <c r="R5000" s="811"/>
    </row>
    <row r="5001" customFormat="false" ht="16.5" hidden="false" customHeight="true" outlineLevel="0" collapsed="false">
      <c r="A5001" s="747"/>
      <c r="B5001" s="798"/>
      <c r="D5001" s="798"/>
      <c r="E5001" s="798"/>
      <c r="F5001" s="798"/>
      <c r="G5001" s="798"/>
      <c r="K5001" s="798"/>
      <c r="P5001" s="798"/>
      <c r="Q5001" s="798"/>
      <c r="R5001" s="811"/>
    </row>
    <row r="5002" customFormat="false" ht="16.5" hidden="false" customHeight="true" outlineLevel="0" collapsed="false">
      <c r="A5002" s="747"/>
      <c r="B5002" s="798"/>
      <c r="D5002" s="798"/>
      <c r="E5002" s="798"/>
      <c r="F5002" s="798"/>
      <c r="G5002" s="798"/>
      <c r="K5002" s="798"/>
      <c r="P5002" s="798"/>
      <c r="Q5002" s="798"/>
      <c r="R5002" s="811"/>
    </row>
    <row r="5003" customFormat="false" ht="16.5" hidden="false" customHeight="true" outlineLevel="0" collapsed="false">
      <c r="A5003" s="747"/>
      <c r="B5003" s="798"/>
      <c r="D5003" s="798"/>
      <c r="E5003" s="798"/>
      <c r="F5003" s="798"/>
      <c r="G5003" s="798"/>
      <c r="K5003" s="798"/>
      <c r="P5003" s="798"/>
      <c r="Q5003" s="798"/>
      <c r="R5003" s="811"/>
    </row>
    <row r="5004" customFormat="false" ht="16.5" hidden="false" customHeight="true" outlineLevel="0" collapsed="false">
      <c r="A5004" s="747"/>
      <c r="B5004" s="798"/>
      <c r="D5004" s="798"/>
      <c r="E5004" s="798"/>
      <c r="F5004" s="798"/>
      <c r="G5004" s="798"/>
      <c r="K5004" s="798"/>
      <c r="P5004" s="798"/>
      <c r="Q5004" s="798"/>
      <c r="R5004" s="811"/>
    </row>
    <row r="5005" customFormat="false" ht="16.5" hidden="false" customHeight="true" outlineLevel="0" collapsed="false">
      <c r="A5005" s="747"/>
      <c r="B5005" s="798"/>
      <c r="D5005" s="798"/>
      <c r="E5005" s="798"/>
      <c r="F5005" s="798"/>
      <c r="G5005" s="798"/>
      <c r="K5005" s="798"/>
      <c r="P5005" s="798"/>
      <c r="Q5005" s="798"/>
      <c r="R5005" s="811"/>
    </row>
    <row r="5006" customFormat="false" ht="16.5" hidden="false" customHeight="true" outlineLevel="0" collapsed="false">
      <c r="A5006" s="747"/>
      <c r="B5006" s="798"/>
      <c r="D5006" s="798"/>
      <c r="E5006" s="798"/>
      <c r="F5006" s="798"/>
      <c r="G5006" s="798"/>
      <c r="K5006" s="798"/>
      <c r="P5006" s="798"/>
      <c r="Q5006" s="798"/>
      <c r="R5006" s="811"/>
    </row>
    <row r="5007" customFormat="false" ht="16.5" hidden="false" customHeight="true" outlineLevel="0" collapsed="false">
      <c r="A5007" s="747"/>
      <c r="B5007" s="798"/>
      <c r="D5007" s="798"/>
      <c r="E5007" s="798"/>
      <c r="F5007" s="798"/>
      <c r="G5007" s="798"/>
      <c r="K5007" s="798"/>
      <c r="P5007" s="798"/>
      <c r="Q5007" s="798"/>
      <c r="R5007" s="811"/>
    </row>
    <row r="5008" customFormat="false" ht="16.5" hidden="false" customHeight="true" outlineLevel="0" collapsed="false">
      <c r="A5008" s="747"/>
      <c r="B5008" s="798"/>
      <c r="D5008" s="798"/>
      <c r="E5008" s="798"/>
      <c r="F5008" s="798"/>
      <c r="G5008" s="798"/>
      <c r="K5008" s="798"/>
      <c r="P5008" s="798"/>
      <c r="Q5008" s="798"/>
      <c r="R5008" s="811"/>
    </row>
    <row r="5009" customFormat="false" ht="16.5" hidden="false" customHeight="true" outlineLevel="0" collapsed="false">
      <c r="A5009" s="747"/>
      <c r="B5009" s="798"/>
      <c r="D5009" s="798"/>
      <c r="E5009" s="798"/>
      <c r="F5009" s="798"/>
      <c r="G5009" s="798"/>
      <c r="K5009" s="798"/>
      <c r="P5009" s="798"/>
      <c r="Q5009" s="798"/>
      <c r="R5009" s="811"/>
    </row>
    <row r="5010" customFormat="false" ht="16.5" hidden="false" customHeight="true" outlineLevel="0" collapsed="false">
      <c r="A5010" s="747"/>
      <c r="B5010" s="798"/>
      <c r="D5010" s="798"/>
      <c r="E5010" s="798"/>
      <c r="F5010" s="798"/>
      <c r="G5010" s="798"/>
      <c r="K5010" s="798"/>
      <c r="P5010" s="798"/>
      <c r="Q5010" s="798"/>
      <c r="R5010" s="811"/>
    </row>
    <row r="5011" customFormat="false" ht="16.5" hidden="false" customHeight="true" outlineLevel="0" collapsed="false">
      <c r="A5011" s="747"/>
      <c r="B5011" s="798"/>
      <c r="D5011" s="798"/>
      <c r="E5011" s="798"/>
      <c r="F5011" s="798"/>
      <c r="G5011" s="798"/>
      <c r="K5011" s="798"/>
      <c r="P5011" s="798"/>
      <c r="Q5011" s="798"/>
      <c r="R5011" s="811"/>
    </row>
    <row r="5012" customFormat="false" ht="16.5" hidden="false" customHeight="true" outlineLevel="0" collapsed="false">
      <c r="A5012" s="747"/>
      <c r="B5012" s="798"/>
      <c r="D5012" s="798"/>
      <c r="E5012" s="798"/>
      <c r="F5012" s="798"/>
      <c r="G5012" s="798"/>
      <c r="K5012" s="798"/>
      <c r="P5012" s="798"/>
      <c r="Q5012" s="798"/>
      <c r="R5012" s="811"/>
    </row>
    <row r="5013" customFormat="false" ht="16.5" hidden="false" customHeight="true" outlineLevel="0" collapsed="false">
      <c r="A5013" s="747"/>
      <c r="B5013" s="798"/>
      <c r="D5013" s="798"/>
      <c r="E5013" s="798"/>
      <c r="F5013" s="798"/>
      <c r="G5013" s="798"/>
      <c r="K5013" s="798"/>
      <c r="P5013" s="798"/>
      <c r="Q5013" s="798"/>
      <c r="R5013" s="811"/>
    </row>
    <row r="5014" customFormat="false" ht="16.5" hidden="false" customHeight="true" outlineLevel="0" collapsed="false">
      <c r="A5014" s="747"/>
      <c r="B5014" s="798"/>
      <c r="D5014" s="798"/>
      <c r="E5014" s="798"/>
      <c r="F5014" s="798"/>
      <c r="G5014" s="798"/>
      <c r="K5014" s="798"/>
      <c r="P5014" s="798"/>
      <c r="Q5014" s="798"/>
      <c r="R5014" s="811"/>
    </row>
    <row r="5015" customFormat="false" ht="16.5" hidden="false" customHeight="true" outlineLevel="0" collapsed="false">
      <c r="A5015" s="747"/>
      <c r="B5015" s="798"/>
      <c r="D5015" s="798"/>
      <c r="E5015" s="798"/>
      <c r="F5015" s="798"/>
      <c r="G5015" s="798"/>
      <c r="K5015" s="798"/>
      <c r="P5015" s="798"/>
      <c r="Q5015" s="798"/>
      <c r="R5015" s="811"/>
    </row>
    <row r="5016" customFormat="false" ht="16.5" hidden="false" customHeight="true" outlineLevel="0" collapsed="false">
      <c r="A5016" s="747"/>
      <c r="B5016" s="798"/>
      <c r="D5016" s="798"/>
      <c r="E5016" s="798"/>
      <c r="F5016" s="798"/>
      <c r="G5016" s="798"/>
      <c r="K5016" s="798"/>
      <c r="P5016" s="798"/>
      <c r="Q5016" s="798"/>
      <c r="R5016" s="811"/>
    </row>
    <row r="5017" customFormat="false" ht="16.5" hidden="false" customHeight="true" outlineLevel="0" collapsed="false">
      <c r="A5017" s="747"/>
      <c r="B5017" s="798"/>
      <c r="D5017" s="798"/>
      <c r="E5017" s="798"/>
      <c r="F5017" s="798"/>
      <c r="G5017" s="798"/>
      <c r="K5017" s="798"/>
      <c r="P5017" s="798"/>
      <c r="Q5017" s="798"/>
      <c r="R5017" s="811"/>
    </row>
    <row r="5018" customFormat="false" ht="16.5" hidden="false" customHeight="true" outlineLevel="0" collapsed="false">
      <c r="A5018" s="747"/>
      <c r="B5018" s="798"/>
      <c r="D5018" s="798"/>
      <c r="E5018" s="798"/>
      <c r="F5018" s="798"/>
      <c r="G5018" s="798"/>
      <c r="K5018" s="798"/>
      <c r="P5018" s="798"/>
      <c r="Q5018" s="798"/>
      <c r="R5018" s="811"/>
    </row>
    <row r="5019" customFormat="false" ht="16.5" hidden="false" customHeight="true" outlineLevel="0" collapsed="false">
      <c r="A5019" s="747"/>
      <c r="B5019" s="798"/>
      <c r="D5019" s="798"/>
      <c r="E5019" s="798"/>
      <c r="F5019" s="798"/>
      <c r="G5019" s="798"/>
      <c r="K5019" s="798"/>
      <c r="P5019" s="798"/>
      <c r="Q5019" s="798"/>
      <c r="R5019" s="811"/>
    </row>
    <row r="5020" customFormat="false" ht="16.5" hidden="false" customHeight="true" outlineLevel="0" collapsed="false">
      <c r="A5020" s="747"/>
      <c r="B5020" s="798"/>
      <c r="D5020" s="798"/>
      <c r="E5020" s="798"/>
      <c r="F5020" s="798"/>
      <c r="G5020" s="798"/>
      <c r="K5020" s="798"/>
      <c r="P5020" s="798"/>
      <c r="Q5020" s="798"/>
      <c r="R5020" s="811"/>
    </row>
    <row r="5021" customFormat="false" ht="16.5" hidden="false" customHeight="true" outlineLevel="0" collapsed="false">
      <c r="A5021" s="747"/>
      <c r="B5021" s="798"/>
      <c r="D5021" s="798"/>
      <c r="E5021" s="798"/>
      <c r="F5021" s="798"/>
      <c r="G5021" s="798"/>
      <c r="K5021" s="798"/>
      <c r="P5021" s="798"/>
      <c r="Q5021" s="798"/>
      <c r="R5021" s="811"/>
    </row>
    <row r="5022" customFormat="false" ht="16.5" hidden="false" customHeight="true" outlineLevel="0" collapsed="false">
      <c r="A5022" s="747"/>
      <c r="B5022" s="798"/>
      <c r="D5022" s="798"/>
      <c r="E5022" s="798"/>
      <c r="F5022" s="798"/>
      <c r="G5022" s="798"/>
      <c r="K5022" s="798"/>
      <c r="P5022" s="798"/>
      <c r="Q5022" s="798"/>
      <c r="R5022" s="811"/>
    </row>
    <row r="5023" customFormat="false" ht="16.5" hidden="false" customHeight="true" outlineLevel="0" collapsed="false">
      <c r="A5023" s="747"/>
      <c r="B5023" s="798"/>
      <c r="D5023" s="798"/>
      <c r="E5023" s="798"/>
      <c r="F5023" s="798"/>
      <c r="G5023" s="798"/>
      <c r="K5023" s="798"/>
      <c r="P5023" s="798"/>
      <c r="Q5023" s="798"/>
      <c r="R5023" s="811"/>
    </row>
    <row r="5024" customFormat="false" ht="16.5" hidden="false" customHeight="true" outlineLevel="0" collapsed="false">
      <c r="A5024" s="747"/>
      <c r="B5024" s="798"/>
      <c r="D5024" s="798"/>
      <c r="E5024" s="798"/>
      <c r="F5024" s="798"/>
      <c r="G5024" s="798"/>
      <c r="K5024" s="798"/>
      <c r="P5024" s="798"/>
      <c r="Q5024" s="798"/>
      <c r="R5024" s="811"/>
    </row>
    <row r="5025" customFormat="false" ht="16.5" hidden="false" customHeight="true" outlineLevel="0" collapsed="false">
      <c r="A5025" s="747"/>
      <c r="B5025" s="798"/>
      <c r="D5025" s="798"/>
      <c r="E5025" s="798"/>
      <c r="F5025" s="798"/>
      <c r="G5025" s="798"/>
      <c r="K5025" s="798"/>
      <c r="P5025" s="798"/>
      <c r="Q5025" s="798"/>
      <c r="R5025" s="811"/>
    </row>
    <row r="5026" customFormat="false" ht="16.5" hidden="false" customHeight="true" outlineLevel="0" collapsed="false">
      <c r="A5026" s="747"/>
      <c r="B5026" s="798"/>
      <c r="D5026" s="798"/>
      <c r="E5026" s="798"/>
      <c r="F5026" s="798"/>
      <c r="G5026" s="798"/>
      <c r="K5026" s="798"/>
      <c r="P5026" s="798"/>
      <c r="Q5026" s="798"/>
      <c r="R5026" s="811"/>
    </row>
    <row r="5027" customFormat="false" ht="16.5" hidden="false" customHeight="true" outlineLevel="0" collapsed="false">
      <c r="A5027" s="747"/>
      <c r="B5027" s="798"/>
      <c r="D5027" s="798"/>
      <c r="E5027" s="798"/>
      <c r="F5027" s="798"/>
      <c r="G5027" s="798"/>
      <c r="K5027" s="798"/>
      <c r="P5027" s="798"/>
      <c r="Q5027" s="798"/>
      <c r="R5027" s="811"/>
    </row>
    <row r="5028" customFormat="false" ht="16.5" hidden="false" customHeight="true" outlineLevel="0" collapsed="false">
      <c r="A5028" s="747"/>
      <c r="B5028" s="798"/>
      <c r="D5028" s="798"/>
      <c r="E5028" s="798"/>
      <c r="F5028" s="798"/>
      <c r="G5028" s="798"/>
      <c r="K5028" s="798"/>
      <c r="P5028" s="798"/>
      <c r="Q5028" s="798"/>
      <c r="R5028" s="811"/>
    </row>
    <row r="5029" customFormat="false" ht="16.5" hidden="false" customHeight="true" outlineLevel="0" collapsed="false">
      <c r="A5029" s="747"/>
      <c r="B5029" s="798"/>
      <c r="D5029" s="798"/>
      <c r="E5029" s="798"/>
      <c r="F5029" s="798"/>
      <c r="G5029" s="798"/>
      <c r="K5029" s="798"/>
      <c r="P5029" s="798"/>
      <c r="Q5029" s="798"/>
      <c r="R5029" s="811"/>
    </row>
    <row r="5030" customFormat="false" ht="16.5" hidden="false" customHeight="true" outlineLevel="0" collapsed="false">
      <c r="A5030" s="747"/>
      <c r="B5030" s="798"/>
      <c r="D5030" s="798"/>
      <c r="E5030" s="798"/>
      <c r="F5030" s="798"/>
      <c r="G5030" s="798"/>
      <c r="K5030" s="798"/>
      <c r="P5030" s="798"/>
      <c r="Q5030" s="798"/>
      <c r="R5030" s="811"/>
    </row>
    <row r="5031" customFormat="false" ht="16.5" hidden="false" customHeight="true" outlineLevel="0" collapsed="false">
      <c r="A5031" s="747"/>
      <c r="B5031" s="798"/>
      <c r="D5031" s="798"/>
      <c r="E5031" s="798"/>
      <c r="F5031" s="798"/>
      <c r="G5031" s="798"/>
      <c r="K5031" s="798"/>
      <c r="P5031" s="798"/>
      <c r="Q5031" s="798"/>
      <c r="R5031" s="811"/>
    </row>
    <row r="5032" customFormat="false" ht="16.5" hidden="false" customHeight="true" outlineLevel="0" collapsed="false">
      <c r="A5032" s="747"/>
      <c r="B5032" s="798"/>
      <c r="D5032" s="798"/>
      <c r="E5032" s="798"/>
      <c r="F5032" s="798"/>
      <c r="G5032" s="798"/>
      <c r="K5032" s="798"/>
      <c r="P5032" s="798"/>
      <c r="Q5032" s="798"/>
      <c r="R5032" s="811"/>
    </row>
    <row r="5033" customFormat="false" ht="16.5" hidden="false" customHeight="true" outlineLevel="0" collapsed="false">
      <c r="A5033" s="747"/>
      <c r="B5033" s="798"/>
      <c r="D5033" s="798"/>
      <c r="E5033" s="798"/>
      <c r="F5033" s="798"/>
      <c r="G5033" s="798"/>
      <c r="K5033" s="798"/>
      <c r="P5033" s="798"/>
      <c r="Q5033" s="798"/>
      <c r="R5033" s="811"/>
    </row>
    <row r="5034" customFormat="false" ht="16.5" hidden="false" customHeight="true" outlineLevel="0" collapsed="false">
      <c r="A5034" s="747"/>
      <c r="B5034" s="798"/>
      <c r="D5034" s="798"/>
      <c r="E5034" s="798"/>
      <c r="F5034" s="798"/>
      <c r="G5034" s="798"/>
      <c r="K5034" s="798"/>
      <c r="P5034" s="798"/>
      <c r="Q5034" s="798"/>
      <c r="R5034" s="811"/>
    </row>
    <row r="5035" customFormat="false" ht="16.5" hidden="false" customHeight="true" outlineLevel="0" collapsed="false">
      <c r="A5035" s="747"/>
      <c r="B5035" s="798"/>
      <c r="D5035" s="798"/>
      <c r="E5035" s="798"/>
      <c r="F5035" s="798"/>
      <c r="G5035" s="798"/>
      <c r="K5035" s="798"/>
      <c r="P5035" s="798"/>
      <c r="Q5035" s="798"/>
      <c r="R5035" s="811"/>
    </row>
    <row r="5036" customFormat="false" ht="16.5" hidden="false" customHeight="true" outlineLevel="0" collapsed="false">
      <c r="A5036" s="747"/>
      <c r="B5036" s="798"/>
      <c r="D5036" s="798"/>
      <c r="E5036" s="798"/>
      <c r="F5036" s="798"/>
      <c r="G5036" s="798"/>
      <c r="K5036" s="798"/>
      <c r="P5036" s="798"/>
      <c r="Q5036" s="798"/>
      <c r="R5036" s="811"/>
    </row>
    <row r="5037" customFormat="false" ht="16.5" hidden="false" customHeight="true" outlineLevel="0" collapsed="false">
      <c r="A5037" s="747"/>
      <c r="B5037" s="798"/>
      <c r="D5037" s="798"/>
      <c r="E5037" s="798"/>
      <c r="F5037" s="798"/>
      <c r="G5037" s="798"/>
      <c r="K5037" s="798"/>
      <c r="P5037" s="798"/>
      <c r="Q5037" s="798"/>
      <c r="R5037" s="811"/>
    </row>
    <row r="5038" customFormat="false" ht="16.5" hidden="false" customHeight="true" outlineLevel="0" collapsed="false">
      <c r="A5038" s="747"/>
      <c r="B5038" s="798"/>
      <c r="D5038" s="798"/>
      <c r="E5038" s="798"/>
      <c r="F5038" s="798"/>
      <c r="G5038" s="798"/>
      <c r="K5038" s="798"/>
      <c r="P5038" s="798"/>
      <c r="Q5038" s="798"/>
      <c r="R5038" s="811"/>
    </row>
    <row r="5039" customFormat="false" ht="16.5" hidden="false" customHeight="true" outlineLevel="0" collapsed="false">
      <c r="A5039" s="747"/>
      <c r="B5039" s="798"/>
      <c r="D5039" s="798"/>
      <c r="E5039" s="798"/>
      <c r="F5039" s="798"/>
      <c r="G5039" s="798"/>
      <c r="K5039" s="798"/>
      <c r="P5039" s="798"/>
      <c r="Q5039" s="798"/>
      <c r="R5039" s="811"/>
    </row>
    <row r="5040" customFormat="false" ht="16.5" hidden="false" customHeight="true" outlineLevel="0" collapsed="false">
      <c r="A5040" s="747"/>
      <c r="B5040" s="798"/>
      <c r="D5040" s="798"/>
      <c r="E5040" s="798"/>
      <c r="F5040" s="798"/>
      <c r="G5040" s="798"/>
      <c r="K5040" s="798"/>
      <c r="P5040" s="798"/>
      <c r="Q5040" s="798"/>
      <c r="R5040" s="811"/>
    </row>
    <row r="5041" customFormat="false" ht="16.5" hidden="false" customHeight="true" outlineLevel="0" collapsed="false">
      <c r="A5041" s="747"/>
      <c r="B5041" s="798"/>
      <c r="D5041" s="798"/>
      <c r="E5041" s="798"/>
      <c r="F5041" s="798"/>
      <c r="G5041" s="798"/>
      <c r="K5041" s="798"/>
      <c r="P5041" s="798"/>
      <c r="Q5041" s="798"/>
      <c r="R5041" s="811"/>
    </row>
    <row r="5042" customFormat="false" ht="16.5" hidden="false" customHeight="true" outlineLevel="0" collapsed="false">
      <c r="A5042" s="747"/>
      <c r="B5042" s="798"/>
      <c r="D5042" s="798"/>
      <c r="E5042" s="798"/>
      <c r="F5042" s="798"/>
      <c r="G5042" s="798"/>
      <c r="K5042" s="798"/>
      <c r="P5042" s="798"/>
      <c r="Q5042" s="798"/>
      <c r="R5042" s="811"/>
    </row>
    <row r="5043" customFormat="false" ht="16.5" hidden="false" customHeight="true" outlineLevel="0" collapsed="false">
      <c r="A5043" s="747"/>
      <c r="B5043" s="798"/>
      <c r="D5043" s="798"/>
      <c r="E5043" s="798"/>
      <c r="F5043" s="798"/>
      <c r="G5043" s="798"/>
      <c r="K5043" s="798"/>
      <c r="P5043" s="798"/>
      <c r="Q5043" s="798"/>
      <c r="R5043" s="811"/>
    </row>
    <row r="5044" customFormat="false" ht="16.5" hidden="false" customHeight="true" outlineLevel="0" collapsed="false">
      <c r="A5044" s="747"/>
      <c r="B5044" s="798"/>
      <c r="D5044" s="798"/>
      <c r="E5044" s="798"/>
      <c r="F5044" s="798"/>
      <c r="G5044" s="798"/>
      <c r="K5044" s="798"/>
      <c r="P5044" s="798"/>
      <c r="Q5044" s="798"/>
      <c r="R5044" s="811"/>
    </row>
    <row r="5045" customFormat="false" ht="16.5" hidden="false" customHeight="true" outlineLevel="0" collapsed="false">
      <c r="A5045" s="747"/>
      <c r="B5045" s="798"/>
      <c r="D5045" s="798"/>
      <c r="E5045" s="798"/>
      <c r="F5045" s="798"/>
      <c r="G5045" s="798"/>
      <c r="K5045" s="798"/>
      <c r="P5045" s="798"/>
      <c r="Q5045" s="798"/>
      <c r="R5045" s="811"/>
    </row>
    <row r="5046" customFormat="false" ht="16.5" hidden="false" customHeight="true" outlineLevel="0" collapsed="false">
      <c r="A5046" s="747"/>
      <c r="B5046" s="798"/>
      <c r="D5046" s="798"/>
      <c r="E5046" s="798"/>
      <c r="F5046" s="798"/>
      <c r="G5046" s="798"/>
      <c r="K5046" s="798"/>
      <c r="P5046" s="798"/>
      <c r="Q5046" s="798"/>
      <c r="R5046" s="811"/>
    </row>
    <row r="5047" customFormat="false" ht="16.5" hidden="false" customHeight="true" outlineLevel="0" collapsed="false">
      <c r="A5047" s="747"/>
      <c r="B5047" s="798"/>
      <c r="D5047" s="798"/>
      <c r="E5047" s="798"/>
      <c r="F5047" s="798"/>
      <c r="G5047" s="798"/>
      <c r="K5047" s="798"/>
      <c r="P5047" s="798"/>
      <c r="Q5047" s="798"/>
      <c r="R5047" s="811"/>
    </row>
    <row r="5048" customFormat="false" ht="16.5" hidden="false" customHeight="true" outlineLevel="0" collapsed="false">
      <c r="A5048" s="747"/>
      <c r="B5048" s="798"/>
      <c r="D5048" s="798"/>
      <c r="E5048" s="798"/>
      <c r="F5048" s="798"/>
      <c r="G5048" s="798"/>
      <c r="K5048" s="798"/>
      <c r="P5048" s="798"/>
      <c r="Q5048" s="798"/>
      <c r="R5048" s="811"/>
    </row>
    <row r="5049" customFormat="false" ht="16.5" hidden="false" customHeight="true" outlineLevel="0" collapsed="false">
      <c r="A5049" s="747"/>
      <c r="B5049" s="798"/>
      <c r="D5049" s="798"/>
      <c r="E5049" s="798"/>
      <c r="F5049" s="798"/>
      <c r="G5049" s="798"/>
      <c r="K5049" s="798"/>
      <c r="P5049" s="798"/>
      <c r="Q5049" s="798"/>
      <c r="R5049" s="811"/>
    </row>
    <row r="5050" customFormat="false" ht="16.5" hidden="false" customHeight="true" outlineLevel="0" collapsed="false">
      <c r="A5050" s="747"/>
      <c r="B5050" s="798"/>
      <c r="D5050" s="798"/>
      <c r="E5050" s="798"/>
      <c r="F5050" s="798"/>
      <c r="G5050" s="798"/>
      <c r="K5050" s="798"/>
      <c r="P5050" s="798"/>
      <c r="Q5050" s="798"/>
      <c r="R5050" s="811"/>
    </row>
    <row r="5051" customFormat="false" ht="16.5" hidden="false" customHeight="true" outlineLevel="0" collapsed="false">
      <c r="A5051" s="747"/>
      <c r="B5051" s="798"/>
      <c r="D5051" s="798"/>
      <c r="E5051" s="798"/>
      <c r="F5051" s="798"/>
      <c r="G5051" s="798"/>
      <c r="K5051" s="798"/>
      <c r="P5051" s="798"/>
      <c r="Q5051" s="798"/>
      <c r="R5051" s="811"/>
    </row>
    <row r="5052" customFormat="false" ht="16.5" hidden="false" customHeight="true" outlineLevel="0" collapsed="false">
      <c r="A5052" s="747"/>
      <c r="B5052" s="798"/>
      <c r="D5052" s="798"/>
      <c r="E5052" s="798"/>
      <c r="F5052" s="798"/>
      <c r="G5052" s="798"/>
      <c r="K5052" s="798"/>
      <c r="P5052" s="798"/>
      <c r="Q5052" s="798"/>
      <c r="R5052" s="811"/>
    </row>
    <row r="5053" customFormat="false" ht="16.5" hidden="false" customHeight="true" outlineLevel="0" collapsed="false">
      <c r="A5053" s="747"/>
      <c r="B5053" s="798"/>
      <c r="D5053" s="798"/>
      <c r="E5053" s="798"/>
      <c r="F5053" s="798"/>
      <c r="G5053" s="798"/>
      <c r="K5053" s="798"/>
      <c r="P5053" s="798"/>
      <c r="Q5053" s="798"/>
      <c r="R5053" s="811"/>
    </row>
    <row r="5054" customFormat="false" ht="16.5" hidden="false" customHeight="true" outlineLevel="0" collapsed="false">
      <c r="A5054" s="747"/>
      <c r="B5054" s="798"/>
      <c r="D5054" s="798"/>
      <c r="E5054" s="798"/>
      <c r="F5054" s="798"/>
      <c r="G5054" s="798"/>
      <c r="K5054" s="798"/>
      <c r="P5054" s="798"/>
      <c r="Q5054" s="798"/>
      <c r="R5054" s="811"/>
    </row>
    <row r="5055" customFormat="false" ht="16.5" hidden="false" customHeight="true" outlineLevel="0" collapsed="false">
      <c r="A5055" s="747"/>
      <c r="B5055" s="798"/>
      <c r="D5055" s="798"/>
      <c r="E5055" s="798"/>
      <c r="F5055" s="798"/>
      <c r="G5055" s="798"/>
      <c r="K5055" s="798"/>
      <c r="P5055" s="798"/>
      <c r="Q5055" s="798"/>
      <c r="R5055" s="811"/>
    </row>
    <row r="5056" customFormat="false" ht="16.5" hidden="false" customHeight="true" outlineLevel="0" collapsed="false">
      <c r="A5056" s="747"/>
      <c r="B5056" s="798"/>
      <c r="D5056" s="798"/>
      <c r="E5056" s="798"/>
      <c r="F5056" s="798"/>
      <c r="G5056" s="798"/>
      <c r="K5056" s="798"/>
      <c r="P5056" s="798"/>
      <c r="Q5056" s="798"/>
      <c r="R5056" s="811"/>
    </row>
    <row r="5057" customFormat="false" ht="16.5" hidden="false" customHeight="true" outlineLevel="0" collapsed="false">
      <c r="A5057" s="747"/>
      <c r="B5057" s="798"/>
      <c r="D5057" s="798"/>
      <c r="E5057" s="798"/>
      <c r="F5057" s="798"/>
      <c r="G5057" s="798"/>
      <c r="K5057" s="798"/>
      <c r="P5057" s="798"/>
      <c r="Q5057" s="798"/>
      <c r="R5057" s="811"/>
    </row>
    <row r="5058" customFormat="false" ht="16.5" hidden="false" customHeight="true" outlineLevel="0" collapsed="false">
      <c r="A5058" s="747"/>
      <c r="B5058" s="798"/>
      <c r="D5058" s="798"/>
      <c r="E5058" s="798"/>
      <c r="F5058" s="798"/>
      <c r="G5058" s="798"/>
      <c r="K5058" s="798"/>
      <c r="P5058" s="798"/>
      <c r="Q5058" s="798"/>
      <c r="R5058" s="811"/>
    </row>
    <row r="5059" customFormat="false" ht="16.5" hidden="false" customHeight="true" outlineLevel="0" collapsed="false">
      <c r="A5059" s="747"/>
      <c r="B5059" s="798"/>
      <c r="D5059" s="798"/>
      <c r="E5059" s="798"/>
      <c r="F5059" s="798"/>
      <c r="G5059" s="798"/>
      <c r="K5059" s="798"/>
      <c r="P5059" s="798"/>
      <c r="Q5059" s="798"/>
      <c r="R5059" s="811"/>
    </row>
    <row r="5060" customFormat="false" ht="16.5" hidden="false" customHeight="true" outlineLevel="0" collapsed="false">
      <c r="A5060" s="747"/>
      <c r="B5060" s="798"/>
      <c r="D5060" s="798"/>
      <c r="E5060" s="798"/>
      <c r="F5060" s="798"/>
      <c r="G5060" s="798"/>
      <c r="K5060" s="798"/>
      <c r="P5060" s="798"/>
      <c r="Q5060" s="798"/>
      <c r="R5060" s="811"/>
    </row>
    <row r="5061" customFormat="false" ht="16.5" hidden="false" customHeight="true" outlineLevel="0" collapsed="false">
      <c r="A5061" s="747"/>
      <c r="B5061" s="798"/>
      <c r="D5061" s="798"/>
      <c r="E5061" s="798"/>
      <c r="F5061" s="798"/>
      <c r="G5061" s="798"/>
      <c r="K5061" s="798"/>
      <c r="P5061" s="798"/>
      <c r="Q5061" s="798"/>
      <c r="R5061" s="811"/>
    </row>
    <row r="5062" customFormat="false" ht="16.5" hidden="false" customHeight="true" outlineLevel="0" collapsed="false">
      <c r="A5062" s="747"/>
      <c r="B5062" s="798"/>
      <c r="D5062" s="798"/>
      <c r="E5062" s="798"/>
      <c r="F5062" s="798"/>
      <c r="G5062" s="798"/>
      <c r="K5062" s="798"/>
      <c r="P5062" s="798"/>
      <c r="Q5062" s="798"/>
      <c r="R5062" s="811"/>
    </row>
    <row r="5063" customFormat="false" ht="16.5" hidden="false" customHeight="true" outlineLevel="0" collapsed="false">
      <c r="A5063" s="747"/>
      <c r="B5063" s="798"/>
      <c r="D5063" s="798"/>
      <c r="E5063" s="798"/>
      <c r="F5063" s="798"/>
      <c r="G5063" s="798"/>
      <c r="K5063" s="798"/>
      <c r="P5063" s="798"/>
      <c r="Q5063" s="798"/>
      <c r="R5063" s="811"/>
    </row>
    <row r="5064" customFormat="false" ht="16.5" hidden="false" customHeight="true" outlineLevel="0" collapsed="false">
      <c r="A5064" s="747"/>
      <c r="B5064" s="798"/>
      <c r="D5064" s="798"/>
      <c r="E5064" s="798"/>
      <c r="F5064" s="798"/>
      <c r="G5064" s="798"/>
      <c r="K5064" s="798"/>
      <c r="P5064" s="798"/>
      <c r="Q5064" s="798"/>
      <c r="R5064" s="811"/>
    </row>
    <row r="5065" customFormat="false" ht="16.5" hidden="false" customHeight="true" outlineLevel="0" collapsed="false">
      <c r="A5065" s="747"/>
      <c r="B5065" s="798"/>
      <c r="D5065" s="798"/>
      <c r="E5065" s="798"/>
      <c r="F5065" s="798"/>
      <c r="G5065" s="798"/>
      <c r="K5065" s="798"/>
      <c r="P5065" s="798"/>
      <c r="Q5065" s="798"/>
      <c r="R5065" s="811"/>
    </row>
    <row r="5066" customFormat="false" ht="16.5" hidden="false" customHeight="true" outlineLevel="0" collapsed="false">
      <c r="A5066" s="747"/>
      <c r="B5066" s="798"/>
      <c r="D5066" s="798"/>
      <c r="E5066" s="798"/>
      <c r="F5066" s="798"/>
      <c r="G5066" s="798"/>
      <c r="K5066" s="798"/>
      <c r="P5066" s="798"/>
      <c r="Q5066" s="798"/>
      <c r="R5066" s="811"/>
    </row>
    <row r="5067" customFormat="false" ht="16.5" hidden="false" customHeight="true" outlineLevel="0" collapsed="false">
      <c r="A5067" s="747"/>
      <c r="B5067" s="798"/>
      <c r="D5067" s="798"/>
      <c r="E5067" s="798"/>
      <c r="F5067" s="798"/>
      <c r="G5067" s="798"/>
      <c r="K5067" s="798"/>
      <c r="P5067" s="798"/>
      <c r="Q5067" s="798"/>
      <c r="R5067" s="811"/>
    </row>
    <row r="5068" customFormat="false" ht="16.5" hidden="false" customHeight="true" outlineLevel="0" collapsed="false">
      <c r="A5068" s="747"/>
      <c r="B5068" s="798"/>
      <c r="D5068" s="798"/>
      <c r="E5068" s="798"/>
      <c r="F5068" s="798"/>
      <c r="G5068" s="798"/>
      <c r="K5068" s="798"/>
      <c r="P5068" s="798"/>
      <c r="Q5068" s="798"/>
      <c r="R5068" s="811"/>
    </row>
    <row r="5069" customFormat="false" ht="16.5" hidden="false" customHeight="true" outlineLevel="0" collapsed="false">
      <c r="A5069" s="747"/>
      <c r="B5069" s="798"/>
      <c r="D5069" s="798"/>
      <c r="E5069" s="798"/>
      <c r="F5069" s="798"/>
      <c r="G5069" s="798"/>
      <c r="K5069" s="798"/>
      <c r="P5069" s="798"/>
      <c r="Q5069" s="798"/>
      <c r="R5069" s="811"/>
    </row>
    <row r="5070" customFormat="false" ht="16.5" hidden="false" customHeight="true" outlineLevel="0" collapsed="false">
      <c r="A5070" s="747"/>
      <c r="B5070" s="798"/>
      <c r="D5070" s="798"/>
      <c r="E5070" s="798"/>
      <c r="F5070" s="798"/>
      <c r="G5070" s="798"/>
      <c r="K5070" s="798"/>
      <c r="P5070" s="798"/>
      <c r="Q5070" s="798"/>
      <c r="R5070" s="811"/>
    </row>
    <row r="5071" customFormat="false" ht="16.5" hidden="false" customHeight="true" outlineLevel="0" collapsed="false">
      <c r="A5071" s="747"/>
      <c r="B5071" s="798"/>
      <c r="D5071" s="798"/>
      <c r="E5071" s="798"/>
      <c r="F5071" s="798"/>
      <c r="G5071" s="798"/>
      <c r="K5071" s="798"/>
      <c r="P5071" s="798"/>
      <c r="Q5071" s="798"/>
      <c r="R5071" s="811"/>
    </row>
    <row r="5072" customFormat="false" ht="16.5" hidden="false" customHeight="true" outlineLevel="0" collapsed="false">
      <c r="A5072" s="747"/>
      <c r="B5072" s="798"/>
      <c r="D5072" s="798"/>
      <c r="E5072" s="798"/>
      <c r="F5072" s="798"/>
      <c r="G5072" s="798"/>
      <c r="K5072" s="798"/>
      <c r="P5072" s="798"/>
      <c r="Q5072" s="798"/>
      <c r="R5072" s="811"/>
    </row>
    <row r="5073" customFormat="false" ht="16.5" hidden="false" customHeight="true" outlineLevel="0" collapsed="false">
      <c r="A5073" s="747"/>
      <c r="B5073" s="798"/>
      <c r="D5073" s="798"/>
      <c r="E5073" s="798"/>
      <c r="F5073" s="798"/>
      <c r="G5073" s="798"/>
      <c r="K5073" s="798"/>
      <c r="P5073" s="798"/>
      <c r="Q5073" s="798"/>
      <c r="R5073" s="811"/>
    </row>
    <row r="5074" customFormat="false" ht="16.5" hidden="false" customHeight="true" outlineLevel="0" collapsed="false">
      <c r="A5074" s="747"/>
      <c r="B5074" s="798"/>
      <c r="D5074" s="798"/>
      <c r="E5074" s="798"/>
      <c r="F5074" s="798"/>
      <c r="G5074" s="798"/>
      <c r="K5074" s="798"/>
      <c r="P5074" s="798"/>
      <c r="Q5074" s="798"/>
      <c r="R5074" s="811"/>
    </row>
    <row r="5075" customFormat="false" ht="16.5" hidden="false" customHeight="true" outlineLevel="0" collapsed="false">
      <c r="A5075" s="747"/>
      <c r="B5075" s="798"/>
      <c r="D5075" s="798"/>
      <c r="E5075" s="798"/>
      <c r="F5075" s="798"/>
      <c r="G5075" s="798"/>
      <c r="K5075" s="798"/>
      <c r="P5075" s="798"/>
      <c r="Q5075" s="798"/>
      <c r="R5075" s="811"/>
    </row>
    <row r="5076" customFormat="false" ht="16.5" hidden="false" customHeight="true" outlineLevel="0" collapsed="false">
      <c r="A5076" s="747"/>
      <c r="B5076" s="798"/>
      <c r="D5076" s="798"/>
      <c r="E5076" s="798"/>
      <c r="F5076" s="798"/>
      <c r="G5076" s="798"/>
      <c r="K5076" s="798"/>
      <c r="P5076" s="798"/>
      <c r="Q5076" s="798"/>
      <c r="R5076" s="811"/>
    </row>
    <row r="5077" customFormat="false" ht="16.5" hidden="false" customHeight="true" outlineLevel="0" collapsed="false">
      <c r="A5077" s="747"/>
      <c r="B5077" s="798"/>
      <c r="D5077" s="798"/>
      <c r="E5077" s="798"/>
      <c r="F5077" s="798"/>
      <c r="G5077" s="798"/>
      <c r="K5077" s="798"/>
      <c r="P5077" s="798"/>
      <c r="Q5077" s="798"/>
      <c r="R5077" s="811"/>
    </row>
    <row r="5078" customFormat="false" ht="16.5" hidden="false" customHeight="true" outlineLevel="0" collapsed="false">
      <c r="A5078" s="747"/>
      <c r="B5078" s="798"/>
      <c r="D5078" s="798"/>
      <c r="E5078" s="798"/>
      <c r="F5078" s="798"/>
      <c r="G5078" s="798"/>
      <c r="K5078" s="798"/>
      <c r="P5078" s="798"/>
      <c r="Q5078" s="798"/>
      <c r="R5078" s="811"/>
    </row>
    <row r="5079" customFormat="false" ht="16.5" hidden="false" customHeight="true" outlineLevel="0" collapsed="false">
      <c r="A5079" s="747"/>
      <c r="B5079" s="798"/>
      <c r="D5079" s="798"/>
      <c r="E5079" s="798"/>
      <c r="F5079" s="798"/>
      <c r="G5079" s="798"/>
      <c r="K5079" s="798"/>
      <c r="P5079" s="798"/>
      <c r="Q5079" s="798"/>
      <c r="R5079" s="811"/>
    </row>
    <row r="5080" customFormat="false" ht="16.5" hidden="false" customHeight="true" outlineLevel="0" collapsed="false">
      <c r="A5080" s="747"/>
      <c r="B5080" s="798"/>
      <c r="D5080" s="798"/>
      <c r="E5080" s="798"/>
      <c r="F5080" s="798"/>
      <c r="G5080" s="798"/>
      <c r="K5080" s="798"/>
      <c r="P5080" s="798"/>
      <c r="Q5080" s="798"/>
      <c r="R5080" s="811"/>
    </row>
    <row r="5081" customFormat="false" ht="16.5" hidden="false" customHeight="true" outlineLevel="0" collapsed="false">
      <c r="A5081" s="747"/>
      <c r="B5081" s="798"/>
      <c r="D5081" s="798"/>
      <c r="E5081" s="798"/>
      <c r="F5081" s="798"/>
      <c r="G5081" s="798"/>
      <c r="K5081" s="798"/>
      <c r="P5081" s="798"/>
      <c r="Q5081" s="798"/>
      <c r="R5081" s="811"/>
    </row>
    <row r="5082" customFormat="false" ht="16.5" hidden="false" customHeight="true" outlineLevel="0" collapsed="false">
      <c r="A5082" s="747"/>
      <c r="B5082" s="798"/>
      <c r="D5082" s="798"/>
      <c r="E5082" s="798"/>
      <c r="F5082" s="798"/>
      <c r="G5082" s="798"/>
      <c r="K5082" s="798"/>
      <c r="P5082" s="798"/>
      <c r="Q5082" s="798"/>
      <c r="R5082" s="811"/>
    </row>
    <row r="5083" customFormat="false" ht="16.5" hidden="false" customHeight="true" outlineLevel="0" collapsed="false">
      <c r="A5083" s="747"/>
      <c r="B5083" s="798"/>
      <c r="D5083" s="798"/>
      <c r="E5083" s="798"/>
      <c r="F5083" s="798"/>
      <c r="G5083" s="798"/>
      <c r="K5083" s="798"/>
      <c r="P5083" s="798"/>
      <c r="Q5083" s="798"/>
      <c r="R5083" s="811"/>
    </row>
    <row r="5084" customFormat="false" ht="16.5" hidden="false" customHeight="true" outlineLevel="0" collapsed="false">
      <c r="A5084" s="747"/>
      <c r="B5084" s="798"/>
      <c r="D5084" s="798"/>
      <c r="E5084" s="798"/>
      <c r="F5084" s="798"/>
      <c r="G5084" s="798"/>
      <c r="K5084" s="798"/>
      <c r="P5084" s="798"/>
      <c r="Q5084" s="798"/>
      <c r="R5084" s="811"/>
    </row>
    <row r="5085" customFormat="false" ht="16.5" hidden="false" customHeight="true" outlineLevel="0" collapsed="false">
      <c r="A5085" s="747"/>
      <c r="B5085" s="798"/>
      <c r="D5085" s="798"/>
      <c r="E5085" s="798"/>
      <c r="F5085" s="798"/>
      <c r="G5085" s="798"/>
      <c r="K5085" s="798"/>
      <c r="P5085" s="798"/>
      <c r="Q5085" s="798"/>
      <c r="R5085" s="811"/>
    </row>
    <row r="5086" customFormat="false" ht="16.5" hidden="false" customHeight="true" outlineLevel="0" collapsed="false">
      <c r="A5086" s="747"/>
      <c r="B5086" s="798"/>
      <c r="D5086" s="798"/>
      <c r="E5086" s="798"/>
      <c r="F5086" s="798"/>
      <c r="G5086" s="798"/>
      <c r="K5086" s="798"/>
      <c r="P5086" s="798"/>
      <c r="Q5086" s="798"/>
      <c r="R5086" s="811"/>
    </row>
    <row r="5087" customFormat="false" ht="16.5" hidden="false" customHeight="true" outlineLevel="0" collapsed="false">
      <c r="A5087" s="747"/>
      <c r="B5087" s="798"/>
      <c r="D5087" s="798"/>
      <c r="E5087" s="798"/>
      <c r="F5087" s="798"/>
      <c r="G5087" s="798"/>
      <c r="K5087" s="798"/>
      <c r="P5087" s="798"/>
      <c r="Q5087" s="798"/>
      <c r="R5087" s="811"/>
    </row>
    <row r="5088" customFormat="false" ht="16.5" hidden="false" customHeight="true" outlineLevel="0" collapsed="false">
      <c r="A5088" s="747"/>
      <c r="B5088" s="798"/>
      <c r="D5088" s="798"/>
      <c r="E5088" s="798"/>
      <c r="F5088" s="798"/>
      <c r="G5088" s="798"/>
      <c r="K5088" s="798"/>
      <c r="P5088" s="798"/>
      <c r="Q5088" s="798"/>
      <c r="R5088" s="811"/>
    </row>
    <row r="5089" customFormat="false" ht="16.5" hidden="false" customHeight="true" outlineLevel="0" collapsed="false">
      <c r="A5089" s="747"/>
      <c r="B5089" s="798"/>
      <c r="D5089" s="798"/>
      <c r="E5089" s="798"/>
      <c r="F5089" s="798"/>
      <c r="G5089" s="798"/>
      <c r="K5089" s="798"/>
      <c r="P5089" s="798"/>
      <c r="Q5089" s="798"/>
      <c r="R5089" s="811"/>
    </row>
    <row r="5090" customFormat="false" ht="16.5" hidden="false" customHeight="true" outlineLevel="0" collapsed="false">
      <c r="A5090" s="747"/>
      <c r="B5090" s="798"/>
      <c r="D5090" s="798"/>
      <c r="E5090" s="798"/>
      <c r="F5090" s="798"/>
      <c r="G5090" s="798"/>
      <c r="K5090" s="798"/>
      <c r="P5090" s="798"/>
      <c r="Q5090" s="798"/>
      <c r="R5090" s="811"/>
    </row>
    <row r="5091" customFormat="false" ht="16.5" hidden="false" customHeight="true" outlineLevel="0" collapsed="false">
      <c r="A5091" s="747"/>
      <c r="B5091" s="798"/>
      <c r="D5091" s="798"/>
      <c r="E5091" s="798"/>
      <c r="F5091" s="798"/>
      <c r="G5091" s="798"/>
      <c r="K5091" s="798"/>
      <c r="P5091" s="798"/>
      <c r="Q5091" s="798"/>
      <c r="R5091" s="811"/>
    </row>
    <row r="5092" customFormat="false" ht="16.5" hidden="false" customHeight="true" outlineLevel="0" collapsed="false">
      <c r="A5092" s="747"/>
      <c r="B5092" s="798"/>
      <c r="D5092" s="798"/>
      <c r="E5092" s="798"/>
      <c r="F5092" s="798"/>
      <c r="G5092" s="798"/>
      <c r="K5092" s="798"/>
      <c r="P5092" s="798"/>
      <c r="Q5092" s="798"/>
      <c r="R5092" s="811"/>
    </row>
    <row r="5093" customFormat="false" ht="16.5" hidden="false" customHeight="true" outlineLevel="0" collapsed="false">
      <c r="A5093" s="747"/>
      <c r="B5093" s="798"/>
      <c r="D5093" s="798"/>
      <c r="E5093" s="798"/>
      <c r="F5093" s="798"/>
      <c r="G5093" s="798"/>
      <c r="K5093" s="798"/>
      <c r="P5093" s="798"/>
      <c r="Q5093" s="798"/>
      <c r="R5093" s="811"/>
    </row>
    <row r="5094" customFormat="false" ht="16.5" hidden="false" customHeight="true" outlineLevel="0" collapsed="false">
      <c r="A5094" s="747"/>
      <c r="B5094" s="798"/>
      <c r="D5094" s="798"/>
      <c r="E5094" s="798"/>
      <c r="F5094" s="798"/>
      <c r="G5094" s="798"/>
      <c r="K5094" s="798"/>
      <c r="P5094" s="798"/>
      <c r="Q5094" s="798"/>
      <c r="R5094" s="811"/>
    </row>
    <row r="5095" customFormat="false" ht="16.5" hidden="false" customHeight="true" outlineLevel="0" collapsed="false">
      <c r="A5095" s="747"/>
      <c r="B5095" s="798"/>
      <c r="D5095" s="798"/>
      <c r="E5095" s="798"/>
      <c r="F5095" s="798"/>
      <c r="G5095" s="798"/>
      <c r="K5095" s="798"/>
      <c r="P5095" s="798"/>
      <c r="Q5095" s="798"/>
      <c r="R5095" s="811"/>
    </row>
    <row r="5096" customFormat="false" ht="16.5" hidden="false" customHeight="true" outlineLevel="0" collapsed="false">
      <c r="A5096" s="747"/>
      <c r="B5096" s="798"/>
      <c r="D5096" s="798"/>
      <c r="E5096" s="798"/>
      <c r="F5096" s="798"/>
      <c r="G5096" s="798"/>
      <c r="K5096" s="798"/>
      <c r="P5096" s="798"/>
      <c r="Q5096" s="798"/>
      <c r="R5096" s="811"/>
    </row>
    <row r="5097" customFormat="false" ht="16.5" hidden="false" customHeight="true" outlineLevel="0" collapsed="false">
      <c r="A5097" s="747"/>
      <c r="B5097" s="798"/>
      <c r="D5097" s="798"/>
      <c r="E5097" s="798"/>
      <c r="F5097" s="798"/>
      <c r="G5097" s="798"/>
      <c r="K5097" s="798"/>
      <c r="P5097" s="798"/>
      <c r="Q5097" s="798"/>
      <c r="R5097" s="811"/>
    </row>
    <row r="5098" customFormat="false" ht="16.5" hidden="false" customHeight="true" outlineLevel="0" collapsed="false">
      <c r="A5098" s="747"/>
      <c r="B5098" s="798"/>
      <c r="D5098" s="798"/>
      <c r="E5098" s="798"/>
      <c r="F5098" s="798"/>
      <c r="G5098" s="798"/>
      <c r="K5098" s="798"/>
      <c r="P5098" s="798"/>
      <c r="Q5098" s="798"/>
      <c r="R5098" s="811"/>
    </row>
    <row r="5099" customFormat="false" ht="16.5" hidden="false" customHeight="true" outlineLevel="0" collapsed="false">
      <c r="A5099" s="747"/>
      <c r="B5099" s="798"/>
      <c r="D5099" s="798"/>
      <c r="E5099" s="798"/>
      <c r="F5099" s="798"/>
      <c r="G5099" s="798"/>
      <c r="K5099" s="798"/>
      <c r="P5099" s="798"/>
      <c r="Q5099" s="798"/>
      <c r="R5099" s="811"/>
    </row>
    <row r="5100" customFormat="false" ht="16.5" hidden="false" customHeight="true" outlineLevel="0" collapsed="false">
      <c r="A5100" s="747"/>
      <c r="B5100" s="798"/>
      <c r="D5100" s="798"/>
      <c r="E5100" s="798"/>
      <c r="F5100" s="798"/>
      <c r="G5100" s="798"/>
      <c r="K5100" s="798"/>
      <c r="P5100" s="798"/>
      <c r="Q5100" s="798"/>
      <c r="R5100" s="811"/>
    </row>
    <row r="5101" customFormat="false" ht="16.5" hidden="false" customHeight="true" outlineLevel="0" collapsed="false">
      <c r="A5101" s="747"/>
      <c r="B5101" s="798"/>
      <c r="D5101" s="798"/>
      <c r="E5101" s="798"/>
      <c r="F5101" s="798"/>
      <c r="G5101" s="798"/>
      <c r="K5101" s="798"/>
      <c r="P5101" s="798"/>
      <c r="Q5101" s="798"/>
      <c r="R5101" s="811"/>
    </row>
    <row r="5102" customFormat="false" ht="16.5" hidden="false" customHeight="true" outlineLevel="0" collapsed="false">
      <c r="A5102" s="747"/>
      <c r="B5102" s="798"/>
      <c r="D5102" s="798"/>
      <c r="E5102" s="798"/>
      <c r="F5102" s="798"/>
      <c r="G5102" s="798"/>
      <c r="K5102" s="798"/>
      <c r="P5102" s="798"/>
      <c r="Q5102" s="798"/>
      <c r="R5102" s="811"/>
    </row>
    <row r="5103" customFormat="false" ht="16.5" hidden="false" customHeight="true" outlineLevel="0" collapsed="false">
      <c r="A5103" s="747"/>
      <c r="B5103" s="798"/>
      <c r="D5103" s="798"/>
      <c r="E5103" s="798"/>
      <c r="F5103" s="798"/>
      <c r="G5103" s="798"/>
      <c r="K5103" s="798"/>
      <c r="P5103" s="798"/>
      <c r="Q5103" s="798"/>
      <c r="R5103" s="811"/>
    </row>
    <row r="5104" customFormat="false" ht="16.5" hidden="false" customHeight="true" outlineLevel="0" collapsed="false">
      <c r="A5104" s="747"/>
      <c r="B5104" s="798"/>
      <c r="D5104" s="798"/>
      <c r="E5104" s="798"/>
      <c r="F5104" s="798"/>
      <c r="G5104" s="798"/>
      <c r="K5104" s="798"/>
      <c r="P5104" s="798"/>
      <c r="Q5104" s="798"/>
      <c r="R5104" s="811"/>
    </row>
    <row r="5105" customFormat="false" ht="16.5" hidden="false" customHeight="true" outlineLevel="0" collapsed="false">
      <c r="A5105" s="747"/>
      <c r="B5105" s="798"/>
      <c r="D5105" s="798"/>
      <c r="E5105" s="798"/>
      <c r="F5105" s="798"/>
      <c r="G5105" s="798"/>
      <c r="K5105" s="798"/>
      <c r="P5105" s="798"/>
      <c r="Q5105" s="798"/>
      <c r="R5105" s="811"/>
    </row>
    <row r="5106" customFormat="false" ht="16.5" hidden="false" customHeight="true" outlineLevel="0" collapsed="false">
      <c r="A5106" s="747"/>
      <c r="B5106" s="798"/>
      <c r="D5106" s="798"/>
      <c r="E5106" s="798"/>
      <c r="F5106" s="798"/>
      <c r="G5106" s="798"/>
      <c r="K5106" s="798"/>
      <c r="P5106" s="798"/>
      <c r="Q5106" s="798"/>
      <c r="R5106" s="811"/>
    </row>
    <row r="5107" customFormat="false" ht="16.5" hidden="false" customHeight="true" outlineLevel="0" collapsed="false">
      <c r="A5107" s="747"/>
      <c r="B5107" s="798"/>
      <c r="D5107" s="798"/>
      <c r="E5107" s="798"/>
      <c r="F5107" s="798"/>
      <c r="G5107" s="798"/>
      <c r="K5107" s="798"/>
      <c r="P5107" s="798"/>
      <c r="Q5107" s="798"/>
      <c r="R5107" s="811"/>
    </row>
    <row r="5108" customFormat="false" ht="16.5" hidden="false" customHeight="true" outlineLevel="0" collapsed="false">
      <c r="A5108" s="747"/>
      <c r="B5108" s="798"/>
      <c r="D5108" s="798"/>
      <c r="E5108" s="798"/>
      <c r="F5108" s="798"/>
      <c r="G5108" s="798"/>
      <c r="K5108" s="798"/>
      <c r="P5108" s="798"/>
      <c r="Q5108" s="798"/>
      <c r="R5108" s="811"/>
    </row>
    <row r="5109" customFormat="false" ht="16.5" hidden="false" customHeight="true" outlineLevel="0" collapsed="false">
      <c r="A5109" s="747"/>
      <c r="B5109" s="798"/>
      <c r="D5109" s="798"/>
      <c r="E5109" s="798"/>
      <c r="F5109" s="798"/>
      <c r="G5109" s="798"/>
      <c r="K5109" s="798"/>
      <c r="P5109" s="798"/>
      <c r="Q5109" s="798"/>
      <c r="R5109" s="811"/>
    </row>
    <row r="5110" customFormat="false" ht="16.5" hidden="false" customHeight="true" outlineLevel="0" collapsed="false">
      <c r="A5110" s="747"/>
      <c r="B5110" s="798"/>
      <c r="D5110" s="798"/>
      <c r="E5110" s="798"/>
      <c r="F5110" s="798"/>
      <c r="G5110" s="798"/>
      <c r="K5110" s="798"/>
      <c r="P5110" s="798"/>
      <c r="Q5110" s="798"/>
      <c r="R5110" s="811"/>
    </row>
    <row r="5111" customFormat="false" ht="16.5" hidden="false" customHeight="true" outlineLevel="0" collapsed="false">
      <c r="A5111" s="747"/>
      <c r="B5111" s="798"/>
      <c r="D5111" s="798"/>
      <c r="E5111" s="798"/>
      <c r="F5111" s="798"/>
      <c r="G5111" s="798"/>
      <c r="K5111" s="798"/>
      <c r="P5111" s="798"/>
      <c r="Q5111" s="798"/>
      <c r="R5111" s="811"/>
    </row>
    <row r="5112" customFormat="false" ht="16.5" hidden="false" customHeight="true" outlineLevel="0" collapsed="false">
      <c r="A5112" s="747"/>
      <c r="B5112" s="798"/>
      <c r="D5112" s="798"/>
      <c r="E5112" s="798"/>
      <c r="F5112" s="798"/>
      <c r="G5112" s="798"/>
      <c r="K5112" s="798"/>
      <c r="P5112" s="798"/>
      <c r="Q5112" s="798"/>
      <c r="R5112" s="811"/>
    </row>
    <row r="5113" customFormat="false" ht="16.5" hidden="false" customHeight="true" outlineLevel="0" collapsed="false">
      <c r="A5113" s="747"/>
      <c r="B5113" s="798"/>
      <c r="D5113" s="798"/>
      <c r="E5113" s="798"/>
      <c r="F5113" s="798"/>
      <c r="G5113" s="798"/>
      <c r="K5113" s="798"/>
      <c r="P5113" s="798"/>
      <c r="Q5113" s="798"/>
      <c r="R5113" s="811"/>
    </row>
    <row r="5114" customFormat="false" ht="16.5" hidden="false" customHeight="true" outlineLevel="0" collapsed="false">
      <c r="A5114" s="747"/>
      <c r="B5114" s="798"/>
      <c r="D5114" s="798"/>
      <c r="E5114" s="798"/>
      <c r="F5114" s="798"/>
      <c r="G5114" s="798"/>
      <c r="K5114" s="798"/>
      <c r="P5114" s="798"/>
      <c r="Q5114" s="798"/>
      <c r="R5114" s="811"/>
    </row>
    <row r="5115" customFormat="false" ht="16.5" hidden="false" customHeight="true" outlineLevel="0" collapsed="false">
      <c r="A5115" s="747"/>
      <c r="B5115" s="798"/>
      <c r="D5115" s="798"/>
      <c r="E5115" s="798"/>
      <c r="F5115" s="798"/>
      <c r="G5115" s="798"/>
      <c r="K5115" s="798"/>
      <c r="P5115" s="798"/>
      <c r="Q5115" s="798"/>
      <c r="R5115" s="811"/>
    </row>
    <row r="5116" customFormat="false" ht="16.5" hidden="false" customHeight="true" outlineLevel="0" collapsed="false">
      <c r="A5116" s="747"/>
      <c r="B5116" s="798"/>
      <c r="D5116" s="798"/>
      <c r="E5116" s="798"/>
      <c r="F5116" s="798"/>
      <c r="G5116" s="798"/>
      <c r="K5116" s="798"/>
      <c r="P5116" s="798"/>
      <c r="Q5116" s="798"/>
      <c r="R5116" s="811"/>
    </row>
    <row r="5117" customFormat="false" ht="16.5" hidden="false" customHeight="true" outlineLevel="0" collapsed="false">
      <c r="A5117" s="747"/>
      <c r="B5117" s="798"/>
      <c r="D5117" s="798"/>
      <c r="E5117" s="798"/>
      <c r="F5117" s="798"/>
      <c r="G5117" s="798"/>
      <c r="K5117" s="798"/>
      <c r="P5117" s="798"/>
      <c r="Q5117" s="798"/>
      <c r="R5117" s="811"/>
    </row>
    <row r="5118" customFormat="false" ht="16.5" hidden="false" customHeight="true" outlineLevel="0" collapsed="false">
      <c r="A5118" s="747"/>
      <c r="B5118" s="798"/>
      <c r="D5118" s="798"/>
      <c r="E5118" s="798"/>
      <c r="F5118" s="798"/>
      <c r="G5118" s="798"/>
      <c r="K5118" s="798"/>
      <c r="P5118" s="798"/>
      <c r="Q5118" s="798"/>
      <c r="R5118" s="811"/>
    </row>
    <row r="5119" customFormat="false" ht="16.5" hidden="false" customHeight="true" outlineLevel="0" collapsed="false">
      <c r="A5119" s="747"/>
      <c r="B5119" s="798"/>
      <c r="D5119" s="798"/>
      <c r="E5119" s="798"/>
      <c r="F5119" s="798"/>
      <c r="G5119" s="798"/>
      <c r="K5119" s="798"/>
      <c r="P5119" s="798"/>
      <c r="Q5119" s="798"/>
      <c r="R5119" s="811"/>
    </row>
    <row r="5120" customFormat="false" ht="16.5" hidden="false" customHeight="true" outlineLevel="0" collapsed="false">
      <c r="A5120" s="747"/>
      <c r="B5120" s="798"/>
      <c r="D5120" s="798"/>
      <c r="E5120" s="798"/>
      <c r="F5120" s="798"/>
      <c r="G5120" s="798"/>
      <c r="K5120" s="798"/>
      <c r="P5120" s="798"/>
      <c r="Q5120" s="798"/>
      <c r="R5120" s="811"/>
    </row>
    <row r="5121" customFormat="false" ht="16.5" hidden="false" customHeight="true" outlineLevel="0" collapsed="false">
      <c r="A5121" s="747"/>
      <c r="B5121" s="798"/>
      <c r="D5121" s="798"/>
      <c r="E5121" s="798"/>
      <c r="F5121" s="798"/>
      <c r="G5121" s="798"/>
      <c r="K5121" s="798"/>
      <c r="P5121" s="798"/>
      <c r="Q5121" s="798"/>
      <c r="R5121" s="811"/>
    </row>
    <row r="5122" customFormat="false" ht="16.5" hidden="false" customHeight="true" outlineLevel="0" collapsed="false">
      <c r="A5122" s="747"/>
      <c r="B5122" s="798"/>
      <c r="D5122" s="798"/>
      <c r="E5122" s="798"/>
      <c r="F5122" s="798"/>
      <c r="G5122" s="798"/>
      <c r="K5122" s="798"/>
      <c r="P5122" s="798"/>
      <c r="Q5122" s="798"/>
      <c r="R5122" s="811"/>
    </row>
    <row r="5123" customFormat="false" ht="16.5" hidden="false" customHeight="true" outlineLevel="0" collapsed="false">
      <c r="A5123" s="747"/>
      <c r="B5123" s="798"/>
      <c r="D5123" s="798"/>
      <c r="E5123" s="798"/>
      <c r="F5123" s="798"/>
      <c r="G5123" s="798"/>
      <c r="K5123" s="798"/>
      <c r="P5123" s="798"/>
      <c r="Q5123" s="798"/>
      <c r="R5123" s="811"/>
    </row>
    <row r="5124" customFormat="false" ht="16.5" hidden="false" customHeight="true" outlineLevel="0" collapsed="false">
      <c r="A5124" s="747"/>
      <c r="B5124" s="798"/>
      <c r="D5124" s="798"/>
      <c r="E5124" s="798"/>
      <c r="F5124" s="798"/>
      <c r="G5124" s="798"/>
      <c r="K5124" s="798"/>
      <c r="P5124" s="798"/>
      <c r="Q5124" s="798"/>
      <c r="R5124" s="811"/>
    </row>
    <row r="5125" customFormat="false" ht="16.5" hidden="false" customHeight="true" outlineLevel="0" collapsed="false">
      <c r="A5125" s="747"/>
      <c r="B5125" s="798"/>
      <c r="D5125" s="798"/>
      <c r="E5125" s="798"/>
      <c r="F5125" s="798"/>
      <c r="G5125" s="798"/>
      <c r="K5125" s="798"/>
      <c r="P5125" s="798"/>
      <c r="Q5125" s="798"/>
      <c r="R5125" s="811"/>
    </row>
    <row r="5126" customFormat="false" ht="16.5" hidden="false" customHeight="true" outlineLevel="0" collapsed="false">
      <c r="A5126" s="747"/>
      <c r="B5126" s="798"/>
      <c r="D5126" s="798"/>
      <c r="E5126" s="798"/>
      <c r="F5126" s="798"/>
      <c r="G5126" s="798"/>
      <c r="K5126" s="798"/>
      <c r="P5126" s="798"/>
      <c r="Q5126" s="798"/>
      <c r="R5126" s="811"/>
    </row>
    <row r="5127" customFormat="false" ht="16.5" hidden="false" customHeight="true" outlineLevel="0" collapsed="false">
      <c r="A5127" s="747"/>
      <c r="B5127" s="798"/>
      <c r="D5127" s="798"/>
      <c r="E5127" s="798"/>
      <c r="F5127" s="798"/>
      <c r="G5127" s="798"/>
      <c r="K5127" s="798"/>
      <c r="P5127" s="798"/>
      <c r="Q5127" s="798"/>
      <c r="R5127" s="811"/>
    </row>
    <row r="5128" customFormat="false" ht="16.5" hidden="false" customHeight="true" outlineLevel="0" collapsed="false">
      <c r="A5128" s="747"/>
      <c r="B5128" s="798"/>
      <c r="D5128" s="798"/>
      <c r="E5128" s="798"/>
      <c r="F5128" s="798"/>
      <c r="G5128" s="798"/>
      <c r="K5128" s="798"/>
      <c r="P5128" s="798"/>
      <c r="Q5128" s="798"/>
      <c r="R5128" s="811"/>
    </row>
    <row r="5129" customFormat="false" ht="16.5" hidden="false" customHeight="true" outlineLevel="0" collapsed="false">
      <c r="A5129" s="747"/>
      <c r="B5129" s="798"/>
      <c r="D5129" s="798"/>
      <c r="E5129" s="798"/>
      <c r="F5129" s="798"/>
      <c r="G5129" s="798"/>
      <c r="K5129" s="798"/>
      <c r="P5129" s="798"/>
      <c r="Q5129" s="798"/>
      <c r="R5129" s="811"/>
    </row>
    <row r="5130" customFormat="false" ht="16.5" hidden="false" customHeight="true" outlineLevel="0" collapsed="false">
      <c r="A5130" s="747"/>
      <c r="B5130" s="798"/>
      <c r="D5130" s="798"/>
      <c r="E5130" s="798"/>
      <c r="F5130" s="798"/>
      <c r="G5130" s="798"/>
      <c r="K5130" s="798"/>
      <c r="P5130" s="798"/>
      <c r="Q5130" s="798"/>
      <c r="R5130" s="811"/>
    </row>
    <row r="5131" customFormat="false" ht="16.5" hidden="false" customHeight="true" outlineLevel="0" collapsed="false">
      <c r="A5131" s="747"/>
      <c r="B5131" s="798"/>
      <c r="D5131" s="798"/>
      <c r="E5131" s="798"/>
      <c r="F5131" s="798"/>
      <c r="G5131" s="798"/>
      <c r="K5131" s="798"/>
      <c r="P5131" s="798"/>
      <c r="Q5131" s="798"/>
      <c r="R5131" s="811"/>
    </row>
    <row r="5132" customFormat="false" ht="16.5" hidden="false" customHeight="true" outlineLevel="0" collapsed="false">
      <c r="A5132" s="747"/>
      <c r="B5132" s="798"/>
      <c r="D5132" s="798"/>
      <c r="E5132" s="798"/>
      <c r="F5132" s="798"/>
      <c r="G5132" s="798"/>
      <c r="K5132" s="798"/>
      <c r="P5132" s="798"/>
      <c r="Q5132" s="798"/>
      <c r="R5132" s="811"/>
    </row>
    <row r="5133" customFormat="false" ht="16.5" hidden="false" customHeight="true" outlineLevel="0" collapsed="false">
      <c r="A5133" s="747"/>
      <c r="B5133" s="798"/>
      <c r="D5133" s="798"/>
      <c r="E5133" s="798"/>
      <c r="F5133" s="798"/>
      <c r="G5133" s="798"/>
      <c r="K5133" s="798"/>
      <c r="P5133" s="798"/>
      <c r="Q5133" s="798"/>
      <c r="R5133" s="811"/>
    </row>
    <row r="5134" customFormat="false" ht="16.5" hidden="false" customHeight="true" outlineLevel="0" collapsed="false">
      <c r="A5134" s="747"/>
      <c r="B5134" s="798"/>
      <c r="D5134" s="798"/>
      <c r="E5134" s="798"/>
      <c r="F5134" s="798"/>
      <c r="G5134" s="798"/>
      <c r="K5134" s="798"/>
      <c r="P5134" s="798"/>
      <c r="Q5134" s="798"/>
      <c r="R5134" s="811"/>
    </row>
    <row r="5135" customFormat="false" ht="16.5" hidden="false" customHeight="true" outlineLevel="0" collapsed="false">
      <c r="A5135" s="747"/>
      <c r="B5135" s="798"/>
      <c r="D5135" s="798"/>
      <c r="E5135" s="798"/>
      <c r="F5135" s="798"/>
      <c r="G5135" s="798"/>
      <c r="K5135" s="798"/>
      <c r="P5135" s="798"/>
      <c r="Q5135" s="798"/>
      <c r="R5135" s="811"/>
    </row>
    <row r="5136" customFormat="false" ht="16.5" hidden="false" customHeight="true" outlineLevel="0" collapsed="false">
      <c r="A5136" s="747"/>
      <c r="B5136" s="798"/>
      <c r="D5136" s="798"/>
      <c r="E5136" s="798"/>
      <c r="F5136" s="798"/>
      <c r="G5136" s="798"/>
      <c r="K5136" s="798"/>
      <c r="P5136" s="798"/>
      <c r="Q5136" s="798"/>
      <c r="R5136" s="811"/>
    </row>
    <row r="5137" customFormat="false" ht="16.5" hidden="false" customHeight="true" outlineLevel="0" collapsed="false">
      <c r="A5137" s="747"/>
      <c r="B5137" s="798"/>
      <c r="D5137" s="798"/>
      <c r="E5137" s="798"/>
      <c r="F5137" s="798"/>
      <c r="G5137" s="798"/>
      <c r="K5137" s="798"/>
      <c r="P5137" s="798"/>
      <c r="Q5137" s="798"/>
      <c r="R5137" s="811"/>
    </row>
    <row r="5138" customFormat="false" ht="16.5" hidden="false" customHeight="true" outlineLevel="0" collapsed="false">
      <c r="A5138" s="747"/>
      <c r="B5138" s="798"/>
      <c r="D5138" s="798"/>
      <c r="E5138" s="798"/>
      <c r="F5138" s="798"/>
      <c r="G5138" s="798"/>
      <c r="K5138" s="798"/>
      <c r="P5138" s="798"/>
      <c r="Q5138" s="798"/>
      <c r="R5138" s="811"/>
    </row>
    <row r="5139" customFormat="false" ht="16.5" hidden="false" customHeight="true" outlineLevel="0" collapsed="false">
      <c r="A5139" s="747"/>
      <c r="B5139" s="798"/>
      <c r="D5139" s="798"/>
      <c r="E5139" s="798"/>
      <c r="F5139" s="798"/>
      <c r="G5139" s="798"/>
      <c r="K5139" s="798"/>
      <c r="P5139" s="798"/>
      <c r="Q5139" s="798"/>
      <c r="R5139" s="811"/>
    </row>
    <row r="5140" customFormat="false" ht="16.5" hidden="false" customHeight="true" outlineLevel="0" collapsed="false">
      <c r="A5140" s="747"/>
      <c r="B5140" s="798"/>
      <c r="D5140" s="798"/>
      <c r="E5140" s="798"/>
      <c r="F5140" s="798"/>
      <c r="G5140" s="798"/>
      <c r="K5140" s="798"/>
      <c r="P5140" s="798"/>
      <c r="Q5140" s="798"/>
      <c r="R5140" s="811"/>
    </row>
    <row r="5141" customFormat="false" ht="16.5" hidden="false" customHeight="true" outlineLevel="0" collapsed="false">
      <c r="A5141" s="747"/>
      <c r="B5141" s="798"/>
      <c r="D5141" s="798"/>
      <c r="E5141" s="798"/>
      <c r="F5141" s="798"/>
      <c r="G5141" s="798"/>
      <c r="K5141" s="798"/>
      <c r="P5141" s="798"/>
      <c r="Q5141" s="798"/>
      <c r="R5141" s="811"/>
    </row>
    <row r="5142" customFormat="false" ht="16.5" hidden="false" customHeight="true" outlineLevel="0" collapsed="false">
      <c r="A5142" s="747"/>
      <c r="B5142" s="798"/>
      <c r="D5142" s="798"/>
      <c r="E5142" s="798"/>
      <c r="F5142" s="798"/>
      <c r="G5142" s="798"/>
      <c r="K5142" s="798"/>
      <c r="P5142" s="798"/>
      <c r="Q5142" s="798"/>
      <c r="R5142" s="811"/>
    </row>
    <row r="5143" customFormat="false" ht="16.5" hidden="false" customHeight="true" outlineLevel="0" collapsed="false">
      <c r="A5143" s="747"/>
      <c r="B5143" s="798"/>
      <c r="D5143" s="798"/>
      <c r="E5143" s="798"/>
      <c r="F5143" s="798"/>
      <c r="G5143" s="798"/>
      <c r="K5143" s="798"/>
      <c r="P5143" s="798"/>
      <c r="Q5143" s="798"/>
      <c r="R5143" s="811"/>
    </row>
    <row r="5144" customFormat="false" ht="16.5" hidden="false" customHeight="true" outlineLevel="0" collapsed="false">
      <c r="A5144" s="747"/>
      <c r="B5144" s="798"/>
      <c r="D5144" s="798"/>
      <c r="E5144" s="798"/>
      <c r="F5144" s="798"/>
      <c r="G5144" s="798"/>
      <c r="K5144" s="798"/>
      <c r="P5144" s="798"/>
      <c r="Q5144" s="798"/>
      <c r="R5144" s="811"/>
    </row>
    <row r="5145" customFormat="false" ht="16.5" hidden="false" customHeight="true" outlineLevel="0" collapsed="false">
      <c r="A5145" s="747"/>
      <c r="B5145" s="798"/>
      <c r="D5145" s="798"/>
      <c r="E5145" s="798"/>
      <c r="F5145" s="798"/>
      <c r="G5145" s="798"/>
      <c r="K5145" s="798"/>
      <c r="P5145" s="798"/>
      <c r="Q5145" s="798"/>
      <c r="R5145" s="811"/>
    </row>
    <row r="5146" customFormat="false" ht="16.5" hidden="false" customHeight="true" outlineLevel="0" collapsed="false">
      <c r="A5146" s="747"/>
      <c r="B5146" s="798"/>
      <c r="D5146" s="798"/>
      <c r="E5146" s="798"/>
      <c r="F5146" s="798"/>
      <c r="G5146" s="798"/>
      <c r="K5146" s="798"/>
      <c r="P5146" s="798"/>
      <c r="Q5146" s="798"/>
      <c r="R5146" s="811"/>
    </row>
    <row r="5147" customFormat="false" ht="16.5" hidden="false" customHeight="true" outlineLevel="0" collapsed="false">
      <c r="A5147" s="747"/>
      <c r="B5147" s="798"/>
      <c r="D5147" s="798"/>
      <c r="E5147" s="798"/>
      <c r="F5147" s="798"/>
      <c r="G5147" s="798"/>
      <c r="K5147" s="798"/>
      <c r="P5147" s="798"/>
      <c r="Q5147" s="798"/>
      <c r="R5147" s="811"/>
    </row>
    <row r="5148" customFormat="false" ht="16.5" hidden="false" customHeight="true" outlineLevel="0" collapsed="false">
      <c r="A5148" s="747"/>
      <c r="B5148" s="798"/>
      <c r="D5148" s="798"/>
      <c r="E5148" s="798"/>
      <c r="F5148" s="798"/>
      <c r="G5148" s="798"/>
      <c r="K5148" s="798"/>
      <c r="P5148" s="798"/>
      <c r="Q5148" s="798"/>
      <c r="R5148" s="811"/>
    </row>
    <row r="5149" customFormat="false" ht="16.5" hidden="false" customHeight="true" outlineLevel="0" collapsed="false">
      <c r="A5149" s="747"/>
      <c r="B5149" s="798"/>
      <c r="D5149" s="798"/>
      <c r="E5149" s="798"/>
      <c r="F5149" s="798"/>
      <c r="G5149" s="798"/>
      <c r="K5149" s="798"/>
      <c r="P5149" s="798"/>
      <c r="Q5149" s="798"/>
      <c r="R5149" s="811"/>
    </row>
    <row r="5150" customFormat="false" ht="16.5" hidden="false" customHeight="true" outlineLevel="0" collapsed="false">
      <c r="A5150" s="747"/>
      <c r="B5150" s="798"/>
      <c r="D5150" s="798"/>
      <c r="E5150" s="798"/>
      <c r="F5150" s="798"/>
      <c r="G5150" s="798"/>
      <c r="K5150" s="798"/>
      <c r="P5150" s="798"/>
      <c r="Q5150" s="798"/>
      <c r="R5150" s="811"/>
    </row>
    <row r="5151" customFormat="false" ht="16.5" hidden="false" customHeight="true" outlineLevel="0" collapsed="false">
      <c r="A5151" s="747"/>
      <c r="B5151" s="798"/>
      <c r="D5151" s="798"/>
      <c r="E5151" s="798"/>
      <c r="F5151" s="798"/>
      <c r="G5151" s="798"/>
      <c r="K5151" s="798"/>
      <c r="P5151" s="798"/>
      <c r="Q5151" s="798"/>
      <c r="R5151" s="811"/>
    </row>
    <row r="5152" customFormat="false" ht="16.5" hidden="false" customHeight="true" outlineLevel="0" collapsed="false">
      <c r="A5152" s="747"/>
      <c r="B5152" s="798"/>
      <c r="D5152" s="798"/>
      <c r="E5152" s="798"/>
      <c r="F5152" s="798"/>
      <c r="G5152" s="798"/>
      <c r="K5152" s="798"/>
      <c r="P5152" s="798"/>
      <c r="Q5152" s="798"/>
      <c r="R5152" s="811"/>
    </row>
    <row r="5153" customFormat="false" ht="16.5" hidden="false" customHeight="true" outlineLevel="0" collapsed="false">
      <c r="A5153" s="747"/>
      <c r="B5153" s="798"/>
      <c r="D5153" s="798"/>
      <c r="E5153" s="798"/>
      <c r="F5153" s="798"/>
      <c r="G5153" s="798"/>
      <c r="K5153" s="798"/>
      <c r="P5153" s="798"/>
      <c r="Q5153" s="798"/>
      <c r="R5153" s="811"/>
    </row>
    <row r="5154" customFormat="false" ht="16.5" hidden="false" customHeight="true" outlineLevel="0" collapsed="false">
      <c r="A5154" s="747"/>
      <c r="B5154" s="798"/>
      <c r="D5154" s="798"/>
      <c r="E5154" s="798"/>
      <c r="F5154" s="798"/>
      <c r="G5154" s="798"/>
      <c r="K5154" s="798"/>
      <c r="P5154" s="798"/>
      <c r="Q5154" s="798"/>
      <c r="R5154" s="811"/>
    </row>
    <row r="5155" customFormat="false" ht="16.5" hidden="false" customHeight="true" outlineLevel="0" collapsed="false">
      <c r="A5155" s="747"/>
      <c r="B5155" s="798"/>
      <c r="D5155" s="798"/>
      <c r="E5155" s="798"/>
      <c r="F5155" s="798"/>
      <c r="G5155" s="798"/>
      <c r="K5155" s="798"/>
      <c r="P5155" s="798"/>
      <c r="Q5155" s="798"/>
      <c r="R5155" s="811"/>
    </row>
    <row r="5156" customFormat="false" ht="16.5" hidden="false" customHeight="true" outlineLevel="0" collapsed="false">
      <c r="A5156" s="747"/>
      <c r="B5156" s="798"/>
      <c r="D5156" s="798"/>
      <c r="E5156" s="798"/>
      <c r="F5156" s="798"/>
      <c r="G5156" s="798"/>
      <c r="K5156" s="798"/>
      <c r="P5156" s="798"/>
      <c r="Q5156" s="798"/>
      <c r="R5156" s="811"/>
    </row>
    <row r="5157" customFormat="false" ht="16.5" hidden="false" customHeight="true" outlineLevel="0" collapsed="false">
      <c r="A5157" s="747"/>
      <c r="B5157" s="798"/>
      <c r="D5157" s="798"/>
      <c r="E5157" s="798"/>
      <c r="F5157" s="798"/>
      <c r="G5157" s="798"/>
      <c r="K5157" s="798"/>
      <c r="P5157" s="798"/>
      <c r="Q5157" s="798"/>
      <c r="R5157" s="811"/>
    </row>
    <row r="5158" customFormat="false" ht="16.5" hidden="false" customHeight="true" outlineLevel="0" collapsed="false">
      <c r="A5158" s="747"/>
      <c r="B5158" s="798"/>
      <c r="D5158" s="798"/>
      <c r="E5158" s="798"/>
      <c r="F5158" s="798"/>
      <c r="G5158" s="798"/>
      <c r="K5158" s="798"/>
      <c r="P5158" s="798"/>
      <c r="Q5158" s="798"/>
      <c r="R5158" s="811"/>
    </row>
    <row r="5159" customFormat="false" ht="16.5" hidden="false" customHeight="true" outlineLevel="0" collapsed="false">
      <c r="A5159" s="747"/>
      <c r="B5159" s="798"/>
      <c r="D5159" s="798"/>
      <c r="E5159" s="798"/>
      <c r="F5159" s="798"/>
      <c r="G5159" s="798"/>
      <c r="K5159" s="798"/>
      <c r="P5159" s="798"/>
      <c r="Q5159" s="798"/>
      <c r="R5159" s="811"/>
    </row>
    <row r="5160" customFormat="false" ht="16.5" hidden="false" customHeight="true" outlineLevel="0" collapsed="false">
      <c r="A5160" s="747"/>
      <c r="B5160" s="798"/>
      <c r="D5160" s="798"/>
      <c r="E5160" s="798"/>
      <c r="F5160" s="798"/>
      <c r="G5160" s="798"/>
      <c r="K5160" s="798"/>
      <c r="P5160" s="798"/>
      <c r="Q5160" s="798"/>
      <c r="R5160" s="811"/>
    </row>
    <row r="5161" customFormat="false" ht="16.5" hidden="false" customHeight="true" outlineLevel="0" collapsed="false">
      <c r="A5161" s="747"/>
      <c r="B5161" s="798"/>
      <c r="D5161" s="798"/>
      <c r="E5161" s="798"/>
      <c r="F5161" s="798"/>
      <c r="G5161" s="798"/>
      <c r="K5161" s="798"/>
      <c r="P5161" s="798"/>
      <c r="Q5161" s="798"/>
      <c r="R5161" s="811"/>
    </row>
    <row r="5162" customFormat="false" ht="16.5" hidden="false" customHeight="true" outlineLevel="0" collapsed="false">
      <c r="A5162" s="747"/>
      <c r="B5162" s="798"/>
      <c r="D5162" s="798"/>
      <c r="E5162" s="798"/>
      <c r="F5162" s="798"/>
      <c r="G5162" s="798"/>
      <c r="K5162" s="798"/>
      <c r="P5162" s="798"/>
      <c r="Q5162" s="798"/>
      <c r="R5162" s="811"/>
    </row>
    <row r="5163" customFormat="false" ht="16.5" hidden="false" customHeight="true" outlineLevel="0" collapsed="false">
      <c r="A5163" s="747"/>
      <c r="B5163" s="798"/>
      <c r="D5163" s="798"/>
      <c r="E5163" s="798"/>
      <c r="F5163" s="798"/>
      <c r="G5163" s="798"/>
      <c r="K5163" s="798"/>
      <c r="P5163" s="798"/>
      <c r="Q5163" s="798"/>
      <c r="R5163" s="811"/>
    </row>
    <row r="5164" customFormat="false" ht="16.5" hidden="false" customHeight="true" outlineLevel="0" collapsed="false">
      <c r="A5164" s="747"/>
      <c r="B5164" s="798"/>
      <c r="D5164" s="798"/>
      <c r="E5164" s="798"/>
      <c r="F5164" s="798"/>
      <c r="G5164" s="798"/>
      <c r="K5164" s="798"/>
      <c r="P5164" s="798"/>
      <c r="Q5164" s="798"/>
      <c r="R5164" s="811"/>
    </row>
    <row r="5165" customFormat="false" ht="16.5" hidden="false" customHeight="true" outlineLevel="0" collapsed="false">
      <c r="A5165" s="747"/>
      <c r="B5165" s="798"/>
      <c r="D5165" s="798"/>
      <c r="E5165" s="798"/>
      <c r="F5165" s="798"/>
      <c r="G5165" s="798"/>
      <c r="K5165" s="798"/>
      <c r="P5165" s="798"/>
      <c r="Q5165" s="798"/>
      <c r="R5165" s="811"/>
    </row>
    <row r="5166" customFormat="false" ht="16.5" hidden="false" customHeight="true" outlineLevel="0" collapsed="false">
      <c r="A5166" s="747"/>
      <c r="B5166" s="798"/>
      <c r="D5166" s="798"/>
      <c r="E5166" s="798"/>
      <c r="F5166" s="798"/>
      <c r="G5166" s="798"/>
      <c r="K5166" s="798"/>
      <c r="P5166" s="798"/>
      <c r="Q5166" s="798"/>
      <c r="R5166" s="811"/>
    </row>
    <row r="5167" customFormat="false" ht="16.5" hidden="false" customHeight="true" outlineLevel="0" collapsed="false">
      <c r="A5167" s="747"/>
      <c r="B5167" s="798"/>
      <c r="D5167" s="798"/>
      <c r="E5167" s="798"/>
      <c r="F5167" s="798"/>
      <c r="G5167" s="798"/>
      <c r="K5167" s="798"/>
      <c r="P5167" s="798"/>
      <c r="Q5167" s="798"/>
      <c r="R5167" s="811"/>
    </row>
    <row r="5168" customFormat="false" ht="16.5" hidden="false" customHeight="true" outlineLevel="0" collapsed="false">
      <c r="A5168" s="747"/>
      <c r="B5168" s="798"/>
      <c r="D5168" s="798"/>
      <c r="E5168" s="798"/>
      <c r="F5168" s="798"/>
      <c r="G5168" s="798"/>
      <c r="K5168" s="798"/>
      <c r="P5168" s="798"/>
      <c r="Q5168" s="798"/>
      <c r="R5168" s="811"/>
    </row>
    <row r="5169" customFormat="false" ht="16.5" hidden="false" customHeight="true" outlineLevel="0" collapsed="false">
      <c r="A5169" s="747"/>
      <c r="B5169" s="798"/>
      <c r="D5169" s="798"/>
      <c r="E5169" s="798"/>
      <c r="F5169" s="798"/>
      <c r="G5169" s="798"/>
      <c r="K5169" s="798"/>
      <c r="P5169" s="798"/>
      <c r="Q5169" s="798"/>
      <c r="R5169" s="811"/>
    </row>
    <row r="5170" customFormat="false" ht="16.5" hidden="false" customHeight="true" outlineLevel="0" collapsed="false">
      <c r="A5170" s="747"/>
      <c r="B5170" s="798"/>
      <c r="D5170" s="798"/>
      <c r="E5170" s="798"/>
      <c r="F5170" s="798"/>
      <c r="G5170" s="798"/>
      <c r="K5170" s="798"/>
      <c r="P5170" s="798"/>
      <c r="Q5170" s="798"/>
      <c r="R5170" s="811"/>
    </row>
    <row r="5171" customFormat="false" ht="16.5" hidden="false" customHeight="true" outlineLevel="0" collapsed="false">
      <c r="A5171" s="747"/>
      <c r="B5171" s="798"/>
      <c r="D5171" s="798"/>
      <c r="E5171" s="798"/>
      <c r="F5171" s="798"/>
      <c r="G5171" s="798"/>
      <c r="K5171" s="798"/>
      <c r="P5171" s="798"/>
      <c r="Q5171" s="798"/>
      <c r="R5171" s="811"/>
    </row>
    <row r="5172" customFormat="false" ht="16.5" hidden="false" customHeight="true" outlineLevel="0" collapsed="false">
      <c r="A5172" s="747"/>
      <c r="B5172" s="798"/>
      <c r="D5172" s="798"/>
      <c r="E5172" s="798"/>
      <c r="F5172" s="798"/>
      <c r="G5172" s="798"/>
      <c r="K5172" s="798"/>
      <c r="P5172" s="798"/>
      <c r="Q5172" s="798"/>
      <c r="R5172" s="811"/>
    </row>
    <row r="5173" customFormat="false" ht="16.5" hidden="false" customHeight="true" outlineLevel="0" collapsed="false">
      <c r="A5173" s="747"/>
      <c r="B5173" s="798"/>
      <c r="D5173" s="798"/>
      <c r="E5173" s="798"/>
      <c r="F5173" s="798"/>
      <c r="G5173" s="798"/>
      <c r="K5173" s="798"/>
      <c r="P5173" s="798"/>
      <c r="Q5173" s="798"/>
      <c r="R5173" s="811"/>
    </row>
    <row r="5174" customFormat="false" ht="16.5" hidden="false" customHeight="true" outlineLevel="0" collapsed="false">
      <c r="A5174" s="747"/>
      <c r="B5174" s="798"/>
      <c r="D5174" s="798"/>
      <c r="E5174" s="798"/>
      <c r="F5174" s="798"/>
      <c r="G5174" s="798"/>
      <c r="K5174" s="798"/>
      <c r="P5174" s="798"/>
      <c r="Q5174" s="798"/>
      <c r="R5174" s="811"/>
    </row>
    <row r="5175" customFormat="false" ht="16.5" hidden="false" customHeight="true" outlineLevel="0" collapsed="false">
      <c r="A5175" s="747"/>
      <c r="B5175" s="798"/>
      <c r="D5175" s="798"/>
      <c r="E5175" s="798"/>
      <c r="F5175" s="798"/>
      <c r="G5175" s="798"/>
      <c r="K5175" s="798"/>
      <c r="P5175" s="798"/>
      <c r="Q5175" s="798"/>
      <c r="R5175" s="811"/>
    </row>
    <row r="5176" customFormat="false" ht="16.5" hidden="false" customHeight="true" outlineLevel="0" collapsed="false">
      <c r="A5176" s="747"/>
      <c r="B5176" s="798"/>
      <c r="D5176" s="798"/>
      <c r="E5176" s="798"/>
      <c r="F5176" s="798"/>
      <c r="G5176" s="798"/>
      <c r="K5176" s="798"/>
      <c r="P5176" s="798"/>
      <c r="Q5176" s="798"/>
      <c r="R5176" s="811"/>
    </row>
    <row r="5177" customFormat="false" ht="16.5" hidden="false" customHeight="true" outlineLevel="0" collapsed="false">
      <c r="A5177" s="747"/>
      <c r="B5177" s="798"/>
      <c r="D5177" s="798"/>
      <c r="E5177" s="798"/>
      <c r="F5177" s="798"/>
      <c r="G5177" s="798"/>
      <c r="K5177" s="798"/>
      <c r="P5177" s="798"/>
      <c r="Q5177" s="798"/>
      <c r="R5177" s="811"/>
    </row>
    <row r="5178" customFormat="false" ht="16.5" hidden="false" customHeight="true" outlineLevel="0" collapsed="false">
      <c r="A5178" s="747"/>
      <c r="B5178" s="798"/>
      <c r="D5178" s="798"/>
      <c r="E5178" s="798"/>
      <c r="F5178" s="798"/>
      <c r="G5178" s="798"/>
      <c r="K5178" s="798"/>
      <c r="P5178" s="798"/>
      <c r="Q5178" s="798"/>
      <c r="R5178" s="811"/>
    </row>
    <row r="5179" customFormat="false" ht="16.5" hidden="false" customHeight="true" outlineLevel="0" collapsed="false">
      <c r="A5179" s="747"/>
      <c r="B5179" s="798"/>
      <c r="D5179" s="798"/>
      <c r="E5179" s="798"/>
      <c r="F5179" s="798"/>
      <c r="G5179" s="798"/>
      <c r="K5179" s="798"/>
      <c r="P5179" s="798"/>
      <c r="Q5179" s="798"/>
      <c r="R5179" s="811"/>
    </row>
    <row r="5180" customFormat="false" ht="16.5" hidden="false" customHeight="true" outlineLevel="0" collapsed="false">
      <c r="A5180" s="747"/>
      <c r="B5180" s="798"/>
      <c r="D5180" s="798"/>
      <c r="E5180" s="798"/>
      <c r="F5180" s="798"/>
      <c r="G5180" s="798"/>
      <c r="K5180" s="798"/>
      <c r="P5180" s="798"/>
      <c r="Q5180" s="798"/>
      <c r="R5180" s="811"/>
    </row>
    <row r="5181" customFormat="false" ht="16.5" hidden="false" customHeight="true" outlineLevel="0" collapsed="false">
      <c r="A5181" s="747"/>
      <c r="B5181" s="798"/>
      <c r="D5181" s="798"/>
      <c r="E5181" s="798"/>
      <c r="F5181" s="798"/>
      <c r="G5181" s="798"/>
      <c r="K5181" s="798"/>
      <c r="P5181" s="798"/>
      <c r="Q5181" s="798"/>
      <c r="R5181" s="811"/>
    </row>
    <row r="5182" customFormat="false" ht="16.5" hidden="false" customHeight="true" outlineLevel="0" collapsed="false">
      <c r="A5182" s="747"/>
      <c r="B5182" s="798"/>
      <c r="D5182" s="798"/>
      <c r="E5182" s="798"/>
      <c r="F5182" s="798"/>
      <c r="G5182" s="798"/>
      <c r="K5182" s="798"/>
      <c r="P5182" s="798"/>
      <c r="Q5182" s="798"/>
      <c r="R5182" s="811"/>
    </row>
    <row r="5183" customFormat="false" ht="16.5" hidden="false" customHeight="true" outlineLevel="0" collapsed="false">
      <c r="A5183" s="747"/>
      <c r="B5183" s="798"/>
      <c r="D5183" s="798"/>
      <c r="E5183" s="798"/>
      <c r="F5183" s="798"/>
      <c r="G5183" s="798"/>
      <c r="K5183" s="798"/>
      <c r="P5183" s="798"/>
      <c r="Q5183" s="798"/>
      <c r="R5183" s="811"/>
    </row>
    <row r="5184" customFormat="false" ht="16.5" hidden="false" customHeight="true" outlineLevel="0" collapsed="false">
      <c r="A5184" s="747"/>
      <c r="B5184" s="798"/>
      <c r="D5184" s="798"/>
      <c r="E5184" s="798"/>
      <c r="F5184" s="798"/>
      <c r="G5184" s="798"/>
      <c r="K5184" s="798"/>
      <c r="P5184" s="798"/>
      <c r="Q5184" s="798"/>
      <c r="R5184" s="811"/>
    </row>
    <row r="5185" customFormat="false" ht="16.5" hidden="false" customHeight="true" outlineLevel="0" collapsed="false">
      <c r="A5185" s="747"/>
      <c r="B5185" s="798"/>
      <c r="D5185" s="798"/>
      <c r="E5185" s="798"/>
      <c r="F5185" s="798"/>
      <c r="G5185" s="798"/>
      <c r="K5185" s="798"/>
      <c r="P5185" s="798"/>
      <c r="Q5185" s="798"/>
      <c r="R5185" s="811"/>
    </row>
    <row r="5186" customFormat="false" ht="16.5" hidden="false" customHeight="true" outlineLevel="0" collapsed="false">
      <c r="A5186" s="747"/>
      <c r="B5186" s="798"/>
      <c r="D5186" s="798"/>
      <c r="E5186" s="798"/>
      <c r="F5186" s="798"/>
      <c r="G5186" s="798"/>
      <c r="K5186" s="798"/>
      <c r="P5186" s="798"/>
      <c r="Q5186" s="798"/>
      <c r="R5186" s="811"/>
    </row>
    <row r="5187" customFormat="false" ht="16.5" hidden="false" customHeight="true" outlineLevel="0" collapsed="false">
      <c r="A5187" s="747"/>
      <c r="B5187" s="798"/>
      <c r="D5187" s="798"/>
      <c r="E5187" s="798"/>
      <c r="F5187" s="798"/>
      <c r="G5187" s="798"/>
      <c r="K5187" s="798"/>
      <c r="P5187" s="798"/>
      <c r="Q5187" s="798"/>
      <c r="R5187" s="811"/>
    </row>
    <row r="5188" customFormat="false" ht="16.5" hidden="false" customHeight="true" outlineLevel="0" collapsed="false">
      <c r="A5188" s="747"/>
      <c r="B5188" s="798"/>
      <c r="D5188" s="798"/>
      <c r="E5188" s="798"/>
      <c r="F5188" s="798"/>
      <c r="G5188" s="798"/>
      <c r="K5188" s="798"/>
      <c r="P5188" s="798"/>
      <c r="Q5188" s="798"/>
      <c r="R5188" s="811"/>
    </row>
    <row r="5189" customFormat="false" ht="16.5" hidden="false" customHeight="true" outlineLevel="0" collapsed="false">
      <c r="A5189" s="747"/>
      <c r="B5189" s="798"/>
      <c r="D5189" s="798"/>
      <c r="E5189" s="798"/>
      <c r="F5189" s="798"/>
      <c r="G5189" s="798"/>
      <c r="K5189" s="798"/>
      <c r="P5189" s="798"/>
      <c r="Q5189" s="798"/>
      <c r="R5189" s="811"/>
    </row>
    <row r="5190" customFormat="false" ht="16.5" hidden="false" customHeight="true" outlineLevel="0" collapsed="false">
      <c r="A5190" s="747"/>
      <c r="B5190" s="798"/>
      <c r="D5190" s="798"/>
      <c r="E5190" s="798"/>
      <c r="F5190" s="798"/>
      <c r="G5190" s="798"/>
      <c r="K5190" s="798"/>
      <c r="P5190" s="798"/>
      <c r="Q5190" s="798"/>
      <c r="R5190" s="811"/>
    </row>
    <row r="5191" customFormat="false" ht="16.5" hidden="false" customHeight="true" outlineLevel="0" collapsed="false">
      <c r="A5191" s="747"/>
      <c r="B5191" s="798"/>
      <c r="D5191" s="798"/>
      <c r="E5191" s="798"/>
      <c r="F5191" s="798"/>
      <c r="G5191" s="798"/>
      <c r="K5191" s="798"/>
      <c r="P5191" s="798"/>
      <c r="Q5191" s="798"/>
      <c r="R5191" s="811"/>
    </row>
    <row r="5192" customFormat="false" ht="16.5" hidden="false" customHeight="true" outlineLevel="0" collapsed="false">
      <c r="A5192" s="747"/>
      <c r="B5192" s="798"/>
      <c r="D5192" s="798"/>
      <c r="E5192" s="798"/>
      <c r="F5192" s="798"/>
      <c r="G5192" s="798"/>
      <c r="K5192" s="798"/>
      <c r="P5192" s="798"/>
      <c r="Q5192" s="798"/>
      <c r="R5192" s="811"/>
    </row>
    <row r="5193" customFormat="false" ht="16.5" hidden="false" customHeight="true" outlineLevel="0" collapsed="false">
      <c r="A5193" s="747"/>
      <c r="B5193" s="798"/>
      <c r="D5193" s="798"/>
      <c r="E5193" s="798"/>
      <c r="F5193" s="798"/>
      <c r="G5193" s="798"/>
      <c r="K5193" s="798"/>
      <c r="P5193" s="798"/>
      <c r="Q5193" s="798"/>
      <c r="R5193" s="811"/>
    </row>
    <row r="5194" customFormat="false" ht="16.5" hidden="false" customHeight="true" outlineLevel="0" collapsed="false">
      <c r="A5194" s="747"/>
      <c r="B5194" s="798"/>
      <c r="D5194" s="798"/>
      <c r="E5194" s="798"/>
      <c r="F5194" s="798"/>
      <c r="G5194" s="798"/>
      <c r="K5194" s="798"/>
      <c r="P5194" s="798"/>
      <c r="Q5194" s="798"/>
      <c r="R5194" s="811"/>
    </row>
    <row r="5195" customFormat="false" ht="16.5" hidden="false" customHeight="true" outlineLevel="0" collapsed="false">
      <c r="A5195" s="747"/>
      <c r="B5195" s="798"/>
      <c r="D5195" s="798"/>
      <c r="E5195" s="798"/>
      <c r="F5195" s="798"/>
      <c r="G5195" s="798"/>
      <c r="K5195" s="798"/>
      <c r="P5195" s="798"/>
      <c r="Q5195" s="798"/>
      <c r="R5195" s="811"/>
    </row>
    <row r="5196" customFormat="false" ht="16.5" hidden="false" customHeight="true" outlineLevel="0" collapsed="false">
      <c r="A5196" s="747"/>
      <c r="B5196" s="798"/>
      <c r="D5196" s="798"/>
      <c r="E5196" s="798"/>
      <c r="F5196" s="798"/>
      <c r="G5196" s="798"/>
      <c r="K5196" s="798"/>
      <c r="P5196" s="798"/>
      <c r="Q5196" s="798"/>
      <c r="R5196" s="811"/>
    </row>
    <row r="5197" customFormat="false" ht="16.5" hidden="false" customHeight="true" outlineLevel="0" collapsed="false">
      <c r="A5197" s="747"/>
      <c r="B5197" s="798"/>
      <c r="D5197" s="798"/>
      <c r="E5197" s="798"/>
      <c r="F5197" s="798"/>
      <c r="G5197" s="798"/>
      <c r="K5197" s="798"/>
      <c r="P5197" s="798"/>
      <c r="Q5197" s="798"/>
      <c r="R5197" s="811"/>
    </row>
    <row r="5198" customFormat="false" ht="16.5" hidden="false" customHeight="true" outlineLevel="0" collapsed="false">
      <c r="A5198" s="747"/>
      <c r="B5198" s="798"/>
      <c r="D5198" s="798"/>
      <c r="E5198" s="798"/>
      <c r="F5198" s="798"/>
      <c r="G5198" s="798"/>
      <c r="K5198" s="798"/>
      <c r="P5198" s="798"/>
      <c r="Q5198" s="798"/>
      <c r="R5198" s="811"/>
    </row>
    <row r="5199" customFormat="false" ht="16.5" hidden="false" customHeight="true" outlineLevel="0" collapsed="false">
      <c r="A5199" s="747"/>
      <c r="B5199" s="798"/>
      <c r="D5199" s="798"/>
      <c r="E5199" s="798"/>
      <c r="F5199" s="798"/>
      <c r="G5199" s="798"/>
      <c r="K5199" s="798"/>
      <c r="P5199" s="798"/>
      <c r="Q5199" s="798"/>
      <c r="R5199" s="811"/>
    </row>
    <row r="5200" customFormat="false" ht="16.5" hidden="false" customHeight="true" outlineLevel="0" collapsed="false">
      <c r="A5200" s="747"/>
      <c r="B5200" s="798"/>
      <c r="D5200" s="798"/>
      <c r="E5200" s="798"/>
      <c r="F5200" s="798"/>
      <c r="G5200" s="798"/>
      <c r="K5200" s="798"/>
      <c r="P5200" s="798"/>
      <c r="Q5200" s="798"/>
      <c r="R5200" s="811"/>
    </row>
    <row r="5201" customFormat="false" ht="16.5" hidden="false" customHeight="true" outlineLevel="0" collapsed="false">
      <c r="A5201" s="747"/>
      <c r="B5201" s="798"/>
      <c r="D5201" s="798"/>
      <c r="E5201" s="798"/>
      <c r="F5201" s="798"/>
      <c r="G5201" s="798"/>
      <c r="K5201" s="798"/>
      <c r="P5201" s="798"/>
      <c r="Q5201" s="798"/>
      <c r="R5201" s="811"/>
    </row>
    <row r="5202" customFormat="false" ht="16.5" hidden="false" customHeight="true" outlineLevel="0" collapsed="false">
      <c r="A5202" s="747"/>
      <c r="B5202" s="798"/>
      <c r="D5202" s="798"/>
      <c r="E5202" s="798"/>
      <c r="F5202" s="798"/>
      <c r="G5202" s="798"/>
      <c r="K5202" s="798"/>
      <c r="P5202" s="798"/>
      <c r="Q5202" s="798"/>
      <c r="R5202" s="811"/>
    </row>
    <row r="5203" customFormat="false" ht="16.5" hidden="false" customHeight="true" outlineLevel="0" collapsed="false">
      <c r="A5203" s="747"/>
      <c r="B5203" s="798"/>
      <c r="D5203" s="798"/>
      <c r="E5203" s="798"/>
      <c r="F5203" s="798"/>
      <c r="G5203" s="798"/>
      <c r="K5203" s="798"/>
      <c r="P5203" s="798"/>
      <c r="Q5203" s="798"/>
      <c r="R5203" s="811"/>
    </row>
    <row r="5204" customFormat="false" ht="16.5" hidden="false" customHeight="true" outlineLevel="0" collapsed="false">
      <c r="A5204" s="747"/>
      <c r="B5204" s="798"/>
      <c r="D5204" s="798"/>
      <c r="E5204" s="798"/>
      <c r="F5204" s="798"/>
      <c r="G5204" s="798"/>
      <c r="K5204" s="798"/>
      <c r="P5204" s="798"/>
      <c r="Q5204" s="798"/>
      <c r="R5204" s="811"/>
    </row>
    <row r="5205" customFormat="false" ht="16.5" hidden="false" customHeight="true" outlineLevel="0" collapsed="false">
      <c r="A5205" s="747"/>
      <c r="B5205" s="798"/>
      <c r="D5205" s="798"/>
      <c r="E5205" s="798"/>
      <c r="F5205" s="798"/>
      <c r="G5205" s="798"/>
      <c r="K5205" s="798"/>
      <c r="P5205" s="798"/>
      <c r="Q5205" s="798"/>
      <c r="R5205" s="811"/>
    </row>
    <row r="5206" customFormat="false" ht="16.5" hidden="false" customHeight="true" outlineLevel="0" collapsed="false">
      <c r="A5206" s="747"/>
      <c r="B5206" s="798"/>
      <c r="D5206" s="798"/>
      <c r="E5206" s="798"/>
      <c r="F5206" s="798"/>
      <c r="G5206" s="798"/>
      <c r="K5206" s="798"/>
      <c r="P5206" s="798"/>
      <c r="Q5206" s="798"/>
      <c r="R5206" s="811"/>
    </row>
    <row r="5207" customFormat="false" ht="16.5" hidden="false" customHeight="true" outlineLevel="0" collapsed="false">
      <c r="A5207" s="747"/>
      <c r="B5207" s="798"/>
      <c r="D5207" s="798"/>
      <c r="E5207" s="798"/>
      <c r="F5207" s="798"/>
      <c r="G5207" s="798"/>
      <c r="K5207" s="798"/>
      <c r="P5207" s="798"/>
      <c r="Q5207" s="798"/>
      <c r="R5207" s="811"/>
    </row>
    <row r="5208" customFormat="false" ht="16.5" hidden="false" customHeight="true" outlineLevel="0" collapsed="false">
      <c r="A5208" s="747"/>
      <c r="B5208" s="798"/>
      <c r="D5208" s="798"/>
      <c r="E5208" s="798"/>
      <c r="F5208" s="798"/>
      <c r="G5208" s="798"/>
      <c r="K5208" s="798"/>
      <c r="P5208" s="798"/>
      <c r="Q5208" s="798"/>
      <c r="R5208" s="811"/>
    </row>
    <row r="5209" customFormat="false" ht="16.5" hidden="false" customHeight="true" outlineLevel="0" collapsed="false">
      <c r="A5209" s="747"/>
      <c r="B5209" s="798"/>
      <c r="D5209" s="798"/>
      <c r="E5209" s="798"/>
      <c r="F5209" s="798"/>
      <c r="G5209" s="798"/>
      <c r="K5209" s="798"/>
      <c r="P5209" s="798"/>
      <c r="Q5209" s="798"/>
      <c r="R5209" s="811"/>
    </row>
    <row r="5210" customFormat="false" ht="16.5" hidden="false" customHeight="true" outlineLevel="0" collapsed="false">
      <c r="A5210" s="747"/>
      <c r="B5210" s="798"/>
      <c r="D5210" s="798"/>
      <c r="E5210" s="798"/>
      <c r="F5210" s="798"/>
      <c r="G5210" s="798"/>
      <c r="K5210" s="798"/>
      <c r="P5210" s="798"/>
      <c r="Q5210" s="798"/>
      <c r="R5210" s="811"/>
    </row>
    <row r="5211" customFormat="false" ht="16.5" hidden="false" customHeight="true" outlineLevel="0" collapsed="false">
      <c r="A5211" s="747"/>
      <c r="B5211" s="798"/>
      <c r="D5211" s="798"/>
      <c r="E5211" s="798"/>
      <c r="F5211" s="798"/>
      <c r="G5211" s="798"/>
      <c r="K5211" s="798"/>
      <c r="P5211" s="798"/>
      <c r="Q5211" s="798"/>
      <c r="R5211" s="811"/>
    </row>
    <row r="5212" customFormat="false" ht="16.5" hidden="false" customHeight="true" outlineLevel="0" collapsed="false">
      <c r="A5212" s="747"/>
      <c r="B5212" s="798"/>
      <c r="D5212" s="798"/>
      <c r="E5212" s="798"/>
      <c r="F5212" s="798"/>
      <c r="G5212" s="798"/>
      <c r="K5212" s="798"/>
      <c r="P5212" s="798"/>
      <c r="Q5212" s="798"/>
      <c r="R5212" s="811"/>
    </row>
    <row r="5213" customFormat="false" ht="16.5" hidden="false" customHeight="true" outlineLevel="0" collapsed="false">
      <c r="A5213" s="747"/>
      <c r="B5213" s="798"/>
      <c r="D5213" s="798"/>
      <c r="E5213" s="798"/>
      <c r="F5213" s="798"/>
      <c r="G5213" s="798"/>
      <c r="K5213" s="798"/>
      <c r="P5213" s="798"/>
      <c r="Q5213" s="798"/>
      <c r="R5213" s="811"/>
    </row>
    <row r="5214" customFormat="false" ht="16.5" hidden="false" customHeight="true" outlineLevel="0" collapsed="false">
      <c r="A5214" s="747"/>
      <c r="B5214" s="798"/>
      <c r="D5214" s="798"/>
      <c r="E5214" s="798"/>
      <c r="F5214" s="798"/>
      <c r="G5214" s="798"/>
      <c r="K5214" s="798"/>
      <c r="P5214" s="798"/>
      <c r="Q5214" s="798"/>
      <c r="R5214" s="811"/>
    </row>
    <row r="5215" customFormat="false" ht="16.5" hidden="false" customHeight="true" outlineLevel="0" collapsed="false">
      <c r="A5215" s="747"/>
      <c r="B5215" s="798"/>
      <c r="D5215" s="798"/>
      <c r="E5215" s="798"/>
      <c r="F5215" s="798"/>
      <c r="G5215" s="798"/>
      <c r="K5215" s="798"/>
      <c r="P5215" s="798"/>
      <c r="Q5215" s="798"/>
      <c r="R5215" s="811"/>
    </row>
    <row r="5216" customFormat="false" ht="16.5" hidden="false" customHeight="true" outlineLevel="0" collapsed="false">
      <c r="A5216" s="747"/>
      <c r="B5216" s="798"/>
      <c r="D5216" s="798"/>
      <c r="E5216" s="798"/>
      <c r="F5216" s="798"/>
      <c r="G5216" s="798"/>
      <c r="K5216" s="798"/>
      <c r="P5216" s="798"/>
      <c r="Q5216" s="798"/>
      <c r="R5216" s="811"/>
    </row>
    <row r="5217" customFormat="false" ht="16.5" hidden="false" customHeight="true" outlineLevel="0" collapsed="false">
      <c r="A5217" s="747"/>
      <c r="B5217" s="798"/>
      <c r="D5217" s="798"/>
      <c r="E5217" s="798"/>
      <c r="F5217" s="798"/>
      <c r="G5217" s="798"/>
      <c r="K5217" s="798"/>
      <c r="P5217" s="798"/>
      <c r="Q5217" s="798"/>
      <c r="R5217" s="811"/>
    </row>
    <row r="5218" customFormat="false" ht="16.5" hidden="false" customHeight="true" outlineLevel="0" collapsed="false">
      <c r="A5218" s="747"/>
      <c r="B5218" s="798"/>
      <c r="D5218" s="798"/>
      <c r="E5218" s="798"/>
      <c r="F5218" s="798"/>
      <c r="G5218" s="798"/>
      <c r="K5218" s="798"/>
      <c r="P5218" s="798"/>
      <c r="Q5218" s="798"/>
      <c r="R5218" s="811"/>
    </row>
    <row r="5219" customFormat="false" ht="16.5" hidden="false" customHeight="true" outlineLevel="0" collapsed="false">
      <c r="A5219" s="747"/>
      <c r="B5219" s="798"/>
      <c r="D5219" s="798"/>
      <c r="E5219" s="798"/>
      <c r="F5219" s="798"/>
      <c r="G5219" s="798"/>
      <c r="K5219" s="798"/>
      <c r="P5219" s="798"/>
      <c r="Q5219" s="798"/>
      <c r="R5219" s="811"/>
    </row>
    <row r="5220" customFormat="false" ht="16.5" hidden="false" customHeight="true" outlineLevel="0" collapsed="false">
      <c r="A5220" s="747"/>
      <c r="B5220" s="798"/>
      <c r="D5220" s="798"/>
      <c r="E5220" s="798"/>
      <c r="F5220" s="798"/>
      <c r="G5220" s="798"/>
      <c r="K5220" s="798"/>
      <c r="P5220" s="798"/>
      <c r="Q5220" s="798"/>
      <c r="R5220" s="811"/>
    </row>
    <row r="5221" customFormat="false" ht="16.5" hidden="false" customHeight="true" outlineLevel="0" collapsed="false">
      <c r="A5221" s="747"/>
      <c r="B5221" s="798"/>
      <c r="D5221" s="798"/>
      <c r="E5221" s="798"/>
      <c r="F5221" s="798"/>
      <c r="G5221" s="798"/>
      <c r="K5221" s="798"/>
      <c r="P5221" s="798"/>
      <c r="Q5221" s="798"/>
      <c r="R5221" s="811"/>
    </row>
    <row r="5222" customFormat="false" ht="16.5" hidden="false" customHeight="true" outlineLevel="0" collapsed="false">
      <c r="A5222" s="747"/>
      <c r="B5222" s="798"/>
      <c r="D5222" s="798"/>
      <c r="E5222" s="798"/>
      <c r="F5222" s="798"/>
      <c r="G5222" s="798"/>
      <c r="K5222" s="798"/>
      <c r="P5222" s="798"/>
      <c r="Q5222" s="798"/>
      <c r="R5222" s="811"/>
    </row>
    <row r="5223" customFormat="false" ht="16.5" hidden="false" customHeight="true" outlineLevel="0" collapsed="false">
      <c r="A5223" s="747"/>
      <c r="B5223" s="798"/>
      <c r="D5223" s="798"/>
      <c r="E5223" s="798"/>
      <c r="F5223" s="798"/>
      <c r="G5223" s="798"/>
      <c r="K5223" s="798"/>
      <c r="P5223" s="798"/>
      <c r="Q5223" s="798"/>
      <c r="R5223" s="811"/>
    </row>
    <row r="5224" customFormat="false" ht="16.5" hidden="false" customHeight="true" outlineLevel="0" collapsed="false">
      <c r="A5224" s="747"/>
      <c r="B5224" s="798"/>
      <c r="D5224" s="798"/>
      <c r="E5224" s="798"/>
      <c r="F5224" s="798"/>
      <c r="G5224" s="798"/>
      <c r="K5224" s="798"/>
      <c r="P5224" s="798"/>
      <c r="Q5224" s="798"/>
      <c r="R5224" s="811"/>
    </row>
    <row r="5225" customFormat="false" ht="16.5" hidden="false" customHeight="true" outlineLevel="0" collapsed="false">
      <c r="A5225" s="747"/>
      <c r="B5225" s="798"/>
      <c r="D5225" s="798"/>
      <c r="E5225" s="798"/>
      <c r="F5225" s="798"/>
      <c r="G5225" s="798"/>
      <c r="K5225" s="798"/>
      <c r="P5225" s="798"/>
      <c r="Q5225" s="798"/>
      <c r="R5225" s="811"/>
    </row>
    <row r="5226" customFormat="false" ht="16.5" hidden="false" customHeight="true" outlineLevel="0" collapsed="false">
      <c r="A5226" s="747"/>
      <c r="B5226" s="798"/>
      <c r="D5226" s="798"/>
      <c r="E5226" s="798"/>
      <c r="F5226" s="798"/>
      <c r="G5226" s="798"/>
      <c r="K5226" s="798"/>
      <c r="P5226" s="798"/>
      <c r="Q5226" s="798"/>
      <c r="R5226" s="811"/>
    </row>
    <row r="5227" customFormat="false" ht="16.5" hidden="false" customHeight="true" outlineLevel="0" collapsed="false">
      <c r="A5227" s="747"/>
      <c r="B5227" s="798"/>
      <c r="D5227" s="798"/>
      <c r="E5227" s="798"/>
      <c r="F5227" s="798"/>
      <c r="G5227" s="798"/>
      <c r="K5227" s="798"/>
      <c r="P5227" s="798"/>
      <c r="Q5227" s="798"/>
      <c r="R5227" s="811"/>
    </row>
    <row r="5228" customFormat="false" ht="16.5" hidden="false" customHeight="true" outlineLevel="0" collapsed="false">
      <c r="A5228" s="747"/>
      <c r="B5228" s="798"/>
      <c r="D5228" s="798"/>
      <c r="E5228" s="798"/>
      <c r="F5228" s="798"/>
      <c r="G5228" s="798"/>
      <c r="K5228" s="798"/>
      <c r="P5228" s="798"/>
      <c r="Q5228" s="798"/>
      <c r="R5228" s="811"/>
    </row>
    <row r="5229" customFormat="false" ht="16.5" hidden="false" customHeight="true" outlineLevel="0" collapsed="false">
      <c r="A5229" s="747"/>
      <c r="B5229" s="798"/>
      <c r="D5229" s="798"/>
      <c r="E5229" s="798"/>
      <c r="F5229" s="798"/>
      <c r="G5229" s="798"/>
      <c r="K5229" s="798"/>
      <c r="P5229" s="798"/>
      <c r="Q5229" s="798"/>
      <c r="R5229" s="811"/>
    </row>
    <row r="5230" customFormat="false" ht="16.5" hidden="false" customHeight="true" outlineLevel="0" collapsed="false">
      <c r="A5230" s="747"/>
      <c r="B5230" s="798"/>
      <c r="D5230" s="798"/>
      <c r="E5230" s="798"/>
      <c r="F5230" s="798"/>
      <c r="G5230" s="798"/>
      <c r="K5230" s="798"/>
      <c r="P5230" s="798"/>
      <c r="Q5230" s="798"/>
      <c r="R5230" s="811"/>
    </row>
    <row r="5231" customFormat="false" ht="16.5" hidden="false" customHeight="true" outlineLevel="0" collapsed="false">
      <c r="A5231" s="747"/>
      <c r="B5231" s="798"/>
      <c r="D5231" s="798"/>
      <c r="E5231" s="798"/>
      <c r="F5231" s="798"/>
      <c r="G5231" s="798"/>
      <c r="K5231" s="798"/>
      <c r="P5231" s="798"/>
      <c r="Q5231" s="798"/>
      <c r="R5231" s="811"/>
    </row>
    <row r="5232" customFormat="false" ht="16.5" hidden="false" customHeight="true" outlineLevel="0" collapsed="false">
      <c r="A5232" s="747"/>
      <c r="B5232" s="798"/>
      <c r="D5232" s="798"/>
      <c r="E5232" s="798"/>
      <c r="F5232" s="798"/>
      <c r="G5232" s="798"/>
      <c r="K5232" s="798"/>
      <c r="P5232" s="798"/>
      <c r="Q5232" s="798"/>
      <c r="R5232" s="811"/>
    </row>
    <row r="5233" customFormat="false" ht="16.5" hidden="false" customHeight="true" outlineLevel="0" collapsed="false">
      <c r="A5233" s="747"/>
      <c r="B5233" s="798"/>
      <c r="D5233" s="798"/>
      <c r="E5233" s="798"/>
      <c r="F5233" s="798"/>
      <c r="G5233" s="798"/>
      <c r="K5233" s="798"/>
      <c r="P5233" s="798"/>
      <c r="Q5233" s="798"/>
      <c r="R5233" s="811"/>
    </row>
    <row r="5234" customFormat="false" ht="16.5" hidden="false" customHeight="true" outlineLevel="0" collapsed="false">
      <c r="A5234" s="747"/>
      <c r="B5234" s="798"/>
      <c r="D5234" s="798"/>
      <c r="E5234" s="798"/>
      <c r="F5234" s="798"/>
      <c r="G5234" s="798"/>
      <c r="K5234" s="798"/>
      <c r="P5234" s="798"/>
      <c r="Q5234" s="798"/>
      <c r="R5234" s="811"/>
    </row>
    <row r="5235" customFormat="false" ht="16.5" hidden="false" customHeight="true" outlineLevel="0" collapsed="false">
      <c r="A5235" s="747"/>
      <c r="B5235" s="798"/>
      <c r="D5235" s="798"/>
      <c r="E5235" s="798"/>
      <c r="F5235" s="798"/>
      <c r="G5235" s="798"/>
      <c r="K5235" s="798"/>
      <c r="P5235" s="798"/>
      <c r="Q5235" s="798"/>
      <c r="R5235" s="811"/>
    </row>
    <row r="5236" customFormat="false" ht="16.5" hidden="false" customHeight="true" outlineLevel="0" collapsed="false">
      <c r="A5236" s="747"/>
      <c r="B5236" s="798"/>
      <c r="D5236" s="798"/>
      <c r="E5236" s="798"/>
      <c r="F5236" s="798"/>
      <c r="G5236" s="798"/>
      <c r="K5236" s="798"/>
      <c r="P5236" s="798"/>
      <c r="Q5236" s="798"/>
      <c r="R5236" s="811"/>
    </row>
    <row r="5237" customFormat="false" ht="16.5" hidden="false" customHeight="true" outlineLevel="0" collapsed="false">
      <c r="A5237" s="747"/>
      <c r="B5237" s="798"/>
      <c r="D5237" s="798"/>
      <c r="E5237" s="798"/>
      <c r="F5237" s="798"/>
      <c r="G5237" s="798"/>
      <c r="K5237" s="798"/>
      <c r="P5237" s="798"/>
      <c r="Q5237" s="798"/>
      <c r="R5237" s="811"/>
    </row>
    <row r="5238" customFormat="false" ht="16.5" hidden="false" customHeight="true" outlineLevel="0" collapsed="false">
      <c r="A5238" s="747"/>
      <c r="B5238" s="798"/>
      <c r="D5238" s="798"/>
      <c r="E5238" s="798"/>
      <c r="F5238" s="798"/>
      <c r="G5238" s="798"/>
      <c r="K5238" s="798"/>
      <c r="P5238" s="798"/>
      <c r="Q5238" s="798"/>
      <c r="R5238" s="811"/>
    </row>
    <row r="5239" customFormat="false" ht="16.5" hidden="false" customHeight="true" outlineLevel="0" collapsed="false">
      <c r="A5239" s="747"/>
      <c r="B5239" s="798"/>
      <c r="D5239" s="798"/>
      <c r="E5239" s="798"/>
      <c r="F5239" s="798"/>
      <c r="G5239" s="798"/>
      <c r="K5239" s="798"/>
      <c r="P5239" s="798"/>
      <c r="Q5239" s="798"/>
      <c r="R5239" s="811"/>
    </row>
    <row r="5240" customFormat="false" ht="16.5" hidden="false" customHeight="true" outlineLevel="0" collapsed="false">
      <c r="A5240" s="747"/>
      <c r="B5240" s="798"/>
      <c r="D5240" s="798"/>
      <c r="E5240" s="798"/>
      <c r="F5240" s="798"/>
      <c r="G5240" s="798"/>
      <c r="K5240" s="798"/>
      <c r="P5240" s="798"/>
      <c r="Q5240" s="798"/>
      <c r="R5240" s="811"/>
    </row>
    <row r="5241" customFormat="false" ht="16.5" hidden="false" customHeight="true" outlineLevel="0" collapsed="false">
      <c r="A5241" s="747"/>
      <c r="B5241" s="798"/>
      <c r="D5241" s="798"/>
      <c r="E5241" s="798"/>
      <c r="F5241" s="798"/>
      <c r="G5241" s="798"/>
      <c r="K5241" s="798"/>
      <c r="P5241" s="798"/>
      <c r="Q5241" s="798"/>
      <c r="R5241" s="811"/>
    </row>
    <row r="5242" customFormat="false" ht="16.5" hidden="false" customHeight="true" outlineLevel="0" collapsed="false">
      <c r="A5242" s="747"/>
      <c r="B5242" s="798"/>
      <c r="D5242" s="798"/>
      <c r="E5242" s="798"/>
      <c r="F5242" s="798"/>
      <c r="G5242" s="798"/>
      <c r="K5242" s="798"/>
      <c r="P5242" s="798"/>
      <c r="Q5242" s="798"/>
      <c r="R5242" s="811"/>
    </row>
    <row r="5243" customFormat="false" ht="16.5" hidden="false" customHeight="true" outlineLevel="0" collapsed="false">
      <c r="A5243" s="747"/>
      <c r="B5243" s="798"/>
      <c r="D5243" s="798"/>
      <c r="E5243" s="798"/>
      <c r="F5243" s="798"/>
      <c r="G5243" s="798"/>
      <c r="K5243" s="798"/>
      <c r="P5243" s="798"/>
      <c r="Q5243" s="798"/>
      <c r="R5243" s="811"/>
    </row>
    <row r="5244" customFormat="false" ht="16.5" hidden="false" customHeight="true" outlineLevel="0" collapsed="false">
      <c r="A5244" s="747"/>
      <c r="B5244" s="798"/>
      <c r="D5244" s="798"/>
      <c r="E5244" s="798"/>
      <c r="F5244" s="798"/>
      <c r="G5244" s="798"/>
      <c r="K5244" s="798"/>
      <c r="P5244" s="798"/>
      <c r="Q5244" s="798"/>
      <c r="R5244" s="811"/>
    </row>
    <row r="5245" customFormat="false" ht="16.5" hidden="false" customHeight="true" outlineLevel="0" collapsed="false">
      <c r="A5245" s="747"/>
      <c r="B5245" s="798"/>
      <c r="D5245" s="798"/>
      <c r="E5245" s="798"/>
      <c r="F5245" s="798"/>
      <c r="G5245" s="798"/>
      <c r="K5245" s="798"/>
      <c r="P5245" s="798"/>
      <c r="Q5245" s="798"/>
      <c r="R5245" s="811"/>
    </row>
    <row r="5246" customFormat="false" ht="16.5" hidden="false" customHeight="true" outlineLevel="0" collapsed="false">
      <c r="A5246" s="747"/>
      <c r="B5246" s="798"/>
      <c r="D5246" s="798"/>
      <c r="E5246" s="798"/>
      <c r="F5246" s="798"/>
      <c r="G5246" s="798"/>
      <c r="K5246" s="798"/>
      <c r="P5246" s="798"/>
      <c r="Q5246" s="798"/>
      <c r="R5246" s="811"/>
    </row>
    <row r="5247" customFormat="false" ht="16.5" hidden="false" customHeight="true" outlineLevel="0" collapsed="false">
      <c r="A5247" s="747"/>
      <c r="B5247" s="798"/>
      <c r="D5247" s="798"/>
      <c r="E5247" s="798"/>
      <c r="F5247" s="798"/>
      <c r="G5247" s="798"/>
      <c r="K5247" s="798"/>
      <c r="P5247" s="798"/>
      <c r="Q5247" s="798"/>
      <c r="R5247" s="811"/>
    </row>
    <row r="5248" customFormat="false" ht="16.5" hidden="false" customHeight="true" outlineLevel="0" collapsed="false">
      <c r="A5248" s="747"/>
      <c r="B5248" s="798"/>
      <c r="D5248" s="798"/>
      <c r="E5248" s="798"/>
      <c r="F5248" s="798"/>
      <c r="G5248" s="798"/>
      <c r="K5248" s="798"/>
      <c r="P5248" s="798"/>
      <c r="Q5248" s="798"/>
      <c r="R5248" s="811"/>
    </row>
    <row r="5249" customFormat="false" ht="16.5" hidden="false" customHeight="true" outlineLevel="0" collapsed="false">
      <c r="A5249" s="747"/>
      <c r="B5249" s="798"/>
      <c r="D5249" s="798"/>
      <c r="E5249" s="798"/>
      <c r="F5249" s="798"/>
      <c r="G5249" s="798"/>
      <c r="K5249" s="798"/>
      <c r="P5249" s="798"/>
      <c r="Q5249" s="798"/>
      <c r="R5249" s="811"/>
    </row>
    <row r="5250" customFormat="false" ht="16.5" hidden="false" customHeight="true" outlineLevel="0" collapsed="false">
      <c r="A5250" s="747"/>
      <c r="B5250" s="798"/>
      <c r="D5250" s="798"/>
      <c r="E5250" s="798"/>
      <c r="F5250" s="798"/>
      <c r="G5250" s="798"/>
      <c r="K5250" s="798"/>
      <c r="P5250" s="798"/>
      <c r="Q5250" s="798"/>
      <c r="R5250" s="811"/>
    </row>
    <row r="5251" customFormat="false" ht="16.5" hidden="false" customHeight="true" outlineLevel="0" collapsed="false">
      <c r="A5251" s="747"/>
      <c r="B5251" s="798"/>
      <c r="D5251" s="798"/>
      <c r="E5251" s="798"/>
      <c r="F5251" s="798"/>
      <c r="G5251" s="798"/>
      <c r="K5251" s="798"/>
      <c r="P5251" s="798"/>
      <c r="Q5251" s="798"/>
      <c r="R5251" s="811"/>
    </row>
    <row r="5252" customFormat="false" ht="16.5" hidden="false" customHeight="true" outlineLevel="0" collapsed="false">
      <c r="A5252" s="747"/>
      <c r="B5252" s="798"/>
      <c r="D5252" s="798"/>
      <c r="E5252" s="798"/>
      <c r="F5252" s="798"/>
      <c r="G5252" s="798"/>
      <c r="K5252" s="798"/>
      <c r="P5252" s="798"/>
      <c r="Q5252" s="798"/>
      <c r="R5252" s="811"/>
    </row>
    <row r="5253" customFormat="false" ht="16.5" hidden="false" customHeight="true" outlineLevel="0" collapsed="false">
      <c r="A5253" s="747"/>
      <c r="B5253" s="798"/>
      <c r="D5253" s="798"/>
      <c r="E5253" s="798"/>
      <c r="F5253" s="798"/>
      <c r="G5253" s="798"/>
      <c r="K5253" s="798"/>
      <c r="P5253" s="798"/>
      <c r="Q5253" s="798"/>
      <c r="R5253" s="811"/>
    </row>
    <row r="5254" customFormat="false" ht="16.5" hidden="false" customHeight="true" outlineLevel="0" collapsed="false">
      <c r="A5254" s="747"/>
      <c r="B5254" s="798"/>
      <c r="D5254" s="798"/>
      <c r="E5254" s="798"/>
      <c r="F5254" s="798"/>
      <c r="G5254" s="798"/>
      <c r="K5254" s="798"/>
      <c r="P5254" s="798"/>
      <c r="Q5254" s="798"/>
      <c r="R5254" s="811"/>
    </row>
    <row r="5255" customFormat="false" ht="16.5" hidden="false" customHeight="true" outlineLevel="0" collapsed="false">
      <c r="A5255" s="747"/>
      <c r="B5255" s="798"/>
      <c r="D5255" s="798"/>
      <c r="E5255" s="798"/>
      <c r="F5255" s="798"/>
      <c r="G5255" s="798"/>
      <c r="K5255" s="798"/>
      <c r="P5255" s="798"/>
      <c r="Q5255" s="798"/>
      <c r="R5255" s="811"/>
    </row>
    <row r="5256" customFormat="false" ht="16.5" hidden="false" customHeight="true" outlineLevel="0" collapsed="false">
      <c r="A5256" s="747"/>
      <c r="B5256" s="798"/>
      <c r="D5256" s="798"/>
      <c r="E5256" s="798"/>
      <c r="F5256" s="798"/>
      <c r="G5256" s="798"/>
      <c r="K5256" s="798"/>
      <c r="P5256" s="798"/>
      <c r="Q5256" s="798"/>
      <c r="R5256" s="811"/>
    </row>
    <row r="5257" customFormat="false" ht="16.5" hidden="false" customHeight="true" outlineLevel="0" collapsed="false">
      <c r="A5257" s="747"/>
      <c r="B5257" s="798"/>
      <c r="D5257" s="798"/>
      <c r="E5257" s="798"/>
      <c r="F5257" s="798"/>
      <c r="G5257" s="798"/>
      <c r="K5257" s="798"/>
      <c r="P5257" s="798"/>
      <c r="Q5257" s="798"/>
      <c r="R5257" s="811"/>
    </row>
    <row r="5258" customFormat="false" ht="16.5" hidden="false" customHeight="true" outlineLevel="0" collapsed="false">
      <c r="A5258" s="747"/>
      <c r="B5258" s="798"/>
      <c r="D5258" s="798"/>
      <c r="E5258" s="798"/>
      <c r="F5258" s="798"/>
      <c r="G5258" s="798"/>
      <c r="K5258" s="798"/>
      <c r="P5258" s="798"/>
      <c r="Q5258" s="798"/>
      <c r="R5258" s="811"/>
    </row>
    <row r="5259" customFormat="false" ht="16.5" hidden="false" customHeight="true" outlineLevel="0" collapsed="false">
      <c r="A5259" s="747"/>
      <c r="B5259" s="798"/>
      <c r="D5259" s="798"/>
      <c r="E5259" s="798"/>
      <c r="F5259" s="798"/>
      <c r="G5259" s="798"/>
      <c r="K5259" s="798"/>
      <c r="P5259" s="798"/>
      <c r="Q5259" s="798"/>
      <c r="R5259" s="811"/>
    </row>
    <row r="5260" customFormat="false" ht="16.5" hidden="false" customHeight="true" outlineLevel="0" collapsed="false">
      <c r="A5260" s="747"/>
      <c r="B5260" s="798"/>
      <c r="D5260" s="798"/>
      <c r="E5260" s="798"/>
      <c r="F5260" s="798"/>
      <c r="G5260" s="798"/>
      <c r="K5260" s="798"/>
      <c r="P5260" s="798"/>
      <c r="Q5260" s="798"/>
      <c r="R5260" s="811"/>
    </row>
    <row r="5261" customFormat="false" ht="16.5" hidden="false" customHeight="true" outlineLevel="0" collapsed="false">
      <c r="A5261" s="747"/>
      <c r="B5261" s="798"/>
      <c r="D5261" s="798"/>
      <c r="E5261" s="798"/>
      <c r="F5261" s="798"/>
      <c r="G5261" s="798"/>
      <c r="K5261" s="798"/>
      <c r="P5261" s="798"/>
      <c r="Q5261" s="798"/>
      <c r="R5261" s="811"/>
    </row>
    <row r="5262" customFormat="false" ht="16.5" hidden="false" customHeight="true" outlineLevel="0" collapsed="false">
      <c r="A5262" s="747"/>
      <c r="B5262" s="798"/>
      <c r="D5262" s="798"/>
      <c r="E5262" s="798"/>
      <c r="F5262" s="798"/>
      <c r="G5262" s="798"/>
      <c r="K5262" s="798"/>
      <c r="P5262" s="798"/>
      <c r="Q5262" s="798"/>
      <c r="R5262" s="811"/>
    </row>
    <row r="5263" customFormat="false" ht="16.5" hidden="false" customHeight="true" outlineLevel="0" collapsed="false">
      <c r="A5263" s="747"/>
      <c r="B5263" s="798"/>
      <c r="D5263" s="798"/>
      <c r="E5263" s="798"/>
      <c r="F5263" s="798"/>
      <c r="G5263" s="798"/>
      <c r="K5263" s="798"/>
      <c r="P5263" s="798"/>
      <c r="Q5263" s="798"/>
      <c r="R5263" s="811"/>
    </row>
    <row r="5264" customFormat="false" ht="16.5" hidden="false" customHeight="true" outlineLevel="0" collapsed="false">
      <c r="A5264" s="747"/>
      <c r="B5264" s="798"/>
      <c r="D5264" s="798"/>
      <c r="E5264" s="798"/>
      <c r="F5264" s="798"/>
      <c r="G5264" s="798"/>
      <c r="K5264" s="798"/>
      <c r="P5264" s="798"/>
      <c r="Q5264" s="798"/>
      <c r="R5264" s="811"/>
    </row>
    <row r="5265" customFormat="false" ht="16.5" hidden="false" customHeight="true" outlineLevel="0" collapsed="false">
      <c r="A5265" s="747"/>
      <c r="B5265" s="798"/>
      <c r="D5265" s="798"/>
      <c r="E5265" s="798"/>
      <c r="F5265" s="798"/>
      <c r="G5265" s="798"/>
      <c r="K5265" s="798"/>
      <c r="P5265" s="798"/>
      <c r="Q5265" s="798"/>
      <c r="R5265" s="811"/>
    </row>
    <row r="5266" customFormat="false" ht="16.5" hidden="false" customHeight="true" outlineLevel="0" collapsed="false">
      <c r="A5266" s="747"/>
      <c r="B5266" s="798"/>
      <c r="D5266" s="798"/>
      <c r="E5266" s="798"/>
      <c r="F5266" s="798"/>
      <c r="G5266" s="798"/>
      <c r="K5266" s="798"/>
      <c r="P5266" s="798"/>
      <c r="Q5266" s="798"/>
      <c r="R5266" s="811"/>
    </row>
    <row r="5267" customFormat="false" ht="16.5" hidden="false" customHeight="true" outlineLevel="0" collapsed="false">
      <c r="A5267" s="747"/>
      <c r="B5267" s="798"/>
      <c r="D5267" s="798"/>
      <c r="E5267" s="798"/>
      <c r="F5267" s="798"/>
      <c r="G5267" s="798"/>
      <c r="K5267" s="798"/>
      <c r="P5267" s="798"/>
      <c r="Q5267" s="798"/>
      <c r="R5267" s="811"/>
    </row>
    <row r="5268" customFormat="false" ht="16.5" hidden="false" customHeight="true" outlineLevel="0" collapsed="false">
      <c r="A5268" s="747"/>
      <c r="B5268" s="798"/>
      <c r="D5268" s="798"/>
      <c r="E5268" s="798"/>
      <c r="F5268" s="798"/>
      <c r="G5268" s="798"/>
      <c r="K5268" s="798"/>
      <c r="P5268" s="798"/>
      <c r="Q5268" s="798"/>
      <c r="R5268" s="811"/>
    </row>
    <row r="5269" customFormat="false" ht="16.5" hidden="false" customHeight="true" outlineLevel="0" collapsed="false">
      <c r="A5269" s="747"/>
      <c r="B5269" s="798"/>
      <c r="D5269" s="798"/>
      <c r="E5269" s="798"/>
      <c r="F5269" s="798"/>
      <c r="G5269" s="798"/>
      <c r="K5269" s="798"/>
      <c r="P5269" s="798"/>
      <c r="Q5269" s="798"/>
      <c r="R5269" s="811"/>
    </row>
    <row r="5270" customFormat="false" ht="16.5" hidden="false" customHeight="true" outlineLevel="0" collapsed="false">
      <c r="A5270" s="747"/>
      <c r="B5270" s="798"/>
      <c r="D5270" s="798"/>
      <c r="E5270" s="798"/>
      <c r="F5270" s="798"/>
      <c r="G5270" s="798"/>
      <c r="K5270" s="798"/>
      <c r="P5270" s="798"/>
      <c r="Q5270" s="798"/>
      <c r="R5270" s="811"/>
    </row>
    <row r="5271" customFormat="false" ht="16.5" hidden="false" customHeight="true" outlineLevel="0" collapsed="false">
      <c r="A5271" s="747"/>
      <c r="B5271" s="798"/>
      <c r="D5271" s="798"/>
      <c r="E5271" s="798"/>
      <c r="F5271" s="798"/>
      <c r="G5271" s="798"/>
      <c r="K5271" s="798"/>
      <c r="P5271" s="798"/>
      <c r="Q5271" s="798"/>
      <c r="R5271" s="811"/>
    </row>
  </sheetData>
  <autoFilter ref="A1:W4271"/>
  <mergeCells count="7">
    <mergeCell ref="Q781:R781"/>
    <mergeCell ref="Q782:Q787"/>
    <mergeCell ref="Q788:R788"/>
    <mergeCell ref="Q789:R789"/>
    <mergeCell ref="Q790:R790"/>
    <mergeCell ref="Q791:R791"/>
    <mergeCell ref="Q792:R792"/>
  </mergeCells>
  <conditionalFormatting sqref="A2:A65535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9">
      <formula>"신규"</formula>
    </cfRule>
  </conditionalFormatting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I174"/>
  <sheetViews>
    <sheetView showFormulas="false" showGridLines="true" showRowColHeaders="true" showZeros="true" rightToLeft="false" tabSelected="false" showOutlineSymbols="true" defaultGridColor="true" view="normal" topLeftCell="A139" colorId="64" zoomScale="100" zoomScaleNormal="100" zoomScalePageLayoutView="100" workbookViewId="0">
      <selection pane="topLeft" activeCell="N173" activeCellId="0" sqref="N173"/>
    </sheetView>
  </sheetViews>
  <sheetFormatPr defaultColWidth="9" defaultRowHeight="13.5" zeroHeight="false" outlineLevelRow="0" outlineLevelCol="0"/>
  <cols>
    <col collapsed="false" customWidth="false" hidden="false" outlineLevel="0" max="16384" min="1" style="754" width="9"/>
  </cols>
  <sheetData>
    <row r="1" customFormat="false" ht="13.5" hidden="false" customHeight="true" outlineLevel="0" collapsed="false">
      <c r="A1" s="755" t="s">
        <v>2191</v>
      </c>
      <c r="B1" s="755"/>
    </row>
    <row r="3" customFormat="false" ht="16.5" hidden="false" customHeight="true" outlineLevel="0" collapsed="false">
      <c r="A3" s="756" t="s">
        <v>2192</v>
      </c>
    </row>
    <row r="4" customFormat="false" ht="16.5" hidden="false" customHeight="true" outlineLevel="0" collapsed="false">
      <c r="A4" s="754" t="s">
        <v>2193</v>
      </c>
    </row>
    <row r="5" customFormat="false" ht="16.5" hidden="false" customHeight="true" outlineLevel="0" collapsed="false">
      <c r="A5" s="756" t="s">
        <v>2194</v>
      </c>
    </row>
    <row r="6" customFormat="false" ht="16.5" hidden="false" customHeight="true" outlineLevel="0" collapsed="false">
      <c r="A6" s="756" t="s">
        <v>2195</v>
      </c>
    </row>
    <row r="7" customFormat="false" ht="16.5" hidden="false" customHeight="true" outlineLevel="0" collapsed="false">
      <c r="A7" s="756" t="s">
        <v>2196</v>
      </c>
    </row>
    <row r="8" customFormat="false" ht="16.5" hidden="false" customHeight="true" outlineLevel="0" collapsed="false">
      <c r="A8" s="756" t="s">
        <v>2197</v>
      </c>
    </row>
    <row r="9" customFormat="false" ht="16.5" hidden="false" customHeight="true" outlineLevel="0" collapsed="false">
      <c r="A9" s="756" t="s">
        <v>2198</v>
      </c>
    </row>
    <row r="11" customFormat="false" ht="16.5" hidden="false" customHeight="true" outlineLevel="0" collapsed="false">
      <c r="A11" s="754" t="s">
        <v>2199</v>
      </c>
    </row>
    <row r="12" customFormat="false" ht="16.5" hidden="false" customHeight="true" outlineLevel="0" collapsed="false">
      <c r="A12" s="756" t="s">
        <v>2200</v>
      </c>
    </row>
    <row r="13" customFormat="false" ht="16.5" hidden="false" customHeight="true" outlineLevel="0" collapsed="false">
      <c r="A13" s="756" t="s">
        <v>2201</v>
      </c>
    </row>
    <row r="14" customFormat="false" ht="13.5" hidden="false" customHeight="true" outlineLevel="0" collapsed="false">
      <c r="A14" s="754" t="s">
        <v>2202</v>
      </c>
    </row>
    <row r="15" customFormat="false" ht="16.5" hidden="false" customHeight="true" outlineLevel="0" collapsed="false">
      <c r="A15" s="757" t="s">
        <v>2203</v>
      </c>
    </row>
    <row r="16" customFormat="false" ht="16.5" hidden="false" customHeight="true" outlineLevel="0" collapsed="false">
      <c r="A16" s="756" t="s">
        <v>2204</v>
      </c>
    </row>
    <row r="17" customFormat="false" ht="16.5" hidden="false" customHeight="true" outlineLevel="0" collapsed="false">
      <c r="A17" s="754" t="s">
        <v>2205</v>
      </c>
      <c r="B17" s="759"/>
      <c r="C17" s="759"/>
      <c r="D17" s="759"/>
      <c r="E17" s="759"/>
    </row>
    <row r="18" customFormat="false" ht="16.5" hidden="false" customHeight="true" outlineLevel="0" collapsed="false">
      <c r="A18" s="754" t="s">
        <v>2206</v>
      </c>
      <c r="B18" s="759"/>
      <c r="C18" s="759"/>
      <c r="D18" s="759"/>
      <c r="E18" s="759"/>
    </row>
    <row r="19" customFormat="false" ht="16.5" hidden="false" customHeight="true" outlineLevel="0" collapsed="false">
      <c r="A19" s="756" t="s">
        <v>2207</v>
      </c>
    </row>
    <row r="20" customFormat="false" ht="16.5" hidden="false" customHeight="true" outlineLevel="0" collapsed="false">
      <c r="A20" s="756" t="s">
        <v>2208</v>
      </c>
    </row>
    <row r="21" customFormat="false" ht="16.5" hidden="false" customHeight="true" outlineLevel="0" collapsed="false">
      <c r="A21" s="756" t="s">
        <v>2209</v>
      </c>
    </row>
    <row r="22" customFormat="false" ht="16.5" hidden="false" customHeight="true" outlineLevel="0" collapsed="false">
      <c r="A22" s="754" t="s">
        <v>2210</v>
      </c>
    </row>
    <row r="23" customFormat="false" ht="16.5" hidden="false" customHeight="true" outlineLevel="0" collapsed="false">
      <c r="A23" s="754" t="s">
        <v>2211</v>
      </c>
    </row>
    <row r="24" customFormat="false" ht="16.5" hidden="false" customHeight="true" outlineLevel="0" collapsed="false">
      <c r="A24" s="754" t="s">
        <v>2212</v>
      </c>
    </row>
    <row r="25" customFormat="false" ht="16.5" hidden="false" customHeight="true" outlineLevel="0" collapsed="false">
      <c r="A25" s="754" t="s">
        <v>2213</v>
      </c>
    </row>
    <row r="26" customFormat="false" ht="16.5" hidden="false" customHeight="true" outlineLevel="0" collapsed="false">
      <c r="A26" s="754" t="s">
        <v>2214</v>
      </c>
    </row>
    <row r="27" customFormat="false" ht="16.5" hidden="false" customHeight="true" outlineLevel="0" collapsed="false">
      <c r="A27" s="754" t="s">
        <v>2215</v>
      </c>
    </row>
    <row r="28" customFormat="false" ht="16.5" hidden="false" customHeight="true" outlineLevel="0" collapsed="false">
      <c r="A28" s="756" t="s">
        <v>2216</v>
      </c>
    </row>
    <row r="29" customFormat="false" ht="16.5" hidden="false" customHeight="true" outlineLevel="0" collapsed="false">
      <c r="A29" s="756" t="s">
        <v>2217</v>
      </c>
    </row>
    <row r="30" customFormat="false" ht="16.5" hidden="false" customHeight="true" outlineLevel="0" collapsed="false">
      <c r="A30" s="756" t="s">
        <v>2218</v>
      </c>
    </row>
    <row r="31" customFormat="false" ht="16.5" hidden="false" customHeight="true" outlineLevel="0" collapsed="false">
      <c r="A31" s="754" t="s">
        <v>2219</v>
      </c>
    </row>
    <row r="32" customFormat="false" ht="16.5" hidden="false" customHeight="true" outlineLevel="0" collapsed="false">
      <c r="A32" s="754" t="s">
        <v>2220</v>
      </c>
    </row>
    <row r="33" customFormat="false" ht="16.5" hidden="false" customHeight="true" outlineLevel="0" collapsed="false">
      <c r="A33" s="754" t="s">
        <v>2221</v>
      </c>
    </row>
    <row r="34" customFormat="false" ht="16.5" hidden="false" customHeight="true" outlineLevel="0" collapsed="false">
      <c r="A34" s="754" t="s">
        <v>2222</v>
      </c>
    </row>
    <row r="36" customFormat="false" ht="16.5" hidden="false" customHeight="true" outlineLevel="0" collapsed="false">
      <c r="A36" s="754" t="s">
        <v>2223</v>
      </c>
    </row>
    <row r="38" customFormat="false" ht="16.5" hidden="false" customHeight="true" outlineLevel="0" collapsed="false">
      <c r="A38" s="756" t="s">
        <v>2224</v>
      </c>
    </row>
    <row r="39" customFormat="false" ht="13.5" hidden="false" customHeight="true" outlineLevel="0" collapsed="false">
      <c r="A39" s="754" t="s">
        <v>2202</v>
      </c>
    </row>
    <row r="40" customFormat="false" ht="16.5" hidden="false" customHeight="true" outlineLevel="0" collapsed="false">
      <c r="A40" s="754" t="s">
        <v>2225</v>
      </c>
    </row>
    <row r="42" customFormat="false" ht="16.5" hidden="false" customHeight="true" outlineLevel="0" collapsed="false">
      <c r="A42" s="759" t="s">
        <v>2226</v>
      </c>
    </row>
    <row r="43" customFormat="false" ht="13.5" hidden="false" customHeight="true" outlineLevel="0" collapsed="false">
      <c r="A43" s="754" t="s">
        <v>2202</v>
      </c>
    </row>
    <row r="44" customFormat="false" ht="16.5" hidden="false" customHeight="true" outlineLevel="0" collapsed="false">
      <c r="A44" s="754" t="s">
        <v>2227</v>
      </c>
    </row>
    <row r="45" customFormat="false" ht="16.5" hidden="false" customHeight="true" outlineLevel="0" collapsed="false">
      <c r="A45" s="756" t="s">
        <v>2228</v>
      </c>
    </row>
    <row r="46" customFormat="false" ht="16.5" hidden="false" customHeight="true" outlineLevel="0" collapsed="false">
      <c r="A46" s="756" t="s">
        <v>2229</v>
      </c>
    </row>
    <row r="47" customFormat="false" ht="16.5" hidden="false" customHeight="true" outlineLevel="0" collapsed="false">
      <c r="A47" s="756" t="s">
        <v>2230</v>
      </c>
    </row>
    <row r="48" customFormat="false" ht="16.5" hidden="false" customHeight="true" outlineLevel="0" collapsed="false">
      <c r="A48" s="754" t="s">
        <v>2231</v>
      </c>
    </row>
    <row r="49" customFormat="false" ht="16.5" hidden="false" customHeight="true" outlineLevel="0" collapsed="false">
      <c r="A49" s="754" t="s">
        <v>2232</v>
      </c>
    </row>
    <row r="50" customFormat="false" ht="13.5" hidden="false" customHeight="true" outlineLevel="0" collapsed="false">
      <c r="A50" s="754" t="s">
        <v>2202</v>
      </c>
    </row>
    <row r="51" customFormat="false" ht="16.5" hidden="false" customHeight="true" outlineLevel="0" collapsed="false">
      <c r="A51" s="754" t="s">
        <v>2233</v>
      </c>
    </row>
    <row r="53" customFormat="false" ht="16.5" hidden="false" customHeight="true" outlineLevel="0" collapsed="false">
      <c r="A53" s="756" t="s">
        <v>2234</v>
      </c>
    </row>
    <row r="54" customFormat="false" ht="13.5" hidden="false" customHeight="true" outlineLevel="0" collapsed="false">
      <c r="A54" s="754" t="s">
        <v>2202</v>
      </c>
    </row>
    <row r="55" customFormat="false" ht="16.5" hidden="false" customHeight="true" outlineLevel="0" collapsed="false">
      <c r="A55" s="754" t="s">
        <v>2235</v>
      </c>
    </row>
    <row r="57" customFormat="false" ht="13.5" hidden="false" customHeight="true" outlineLevel="0" collapsed="false">
      <c r="A57" s="756" t="s">
        <v>2236</v>
      </c>
    </row>
    <row r="58" customFormat="false" ht="13.5" hidden="false" customHeight="true" outlineLevel="0" collapsed="false">
      <c r="A58" s="754" t="s">
        <v>2202</v>
      </c>
    </row>
    <row r="59" customFormat="false" ht="16.5" hidden="false" customHeight="true" outlineLevel="0" collapsed="false">
      <c r="A59" s="754" t="s">
        <v>2237</v>
      </c>
    </row>
    <row r="61" customFormat="false" ht="16.5" hidden="false" customHeight="true" outlineLevel="0" collapsed="false">
      <c r="A61" s="756" t="s">
        <v>2238</v>
      </c>
    </row>
    <row r="62" customFormat="false" ht="13.5" hidden="false" customHeight="true" outlineLevel="0" collapsed="false">
      <c r="A62" s="754" t="s">
        <v>2202</v>
      </c>
    </row>
    <row r="63" customFormat="false" ht="16.5" hidden="false" customHeight="true" outlineLevel="0" collapsed="false">
      <c r="A63" s="754" t="s">
        <v>2239</v>
      </c>
    </row>
    <row r="64" customFormat="false" ht="16.5" hidden="false" customHeight="true" outlineLevel="0" collapsed="false">
      <c r="A64" s="756" t="s">
        <v>2240</v>
      </c>
    </row>
    <row r="65" customFormat="false" ht="16.5" hidden="false" customHeight="true" outlineLevel="0" collapsed="false">
      <c r="A65" s="756" t="s">
        <v>2241</v>
      </c>
    </row>
    <row r="66" customFormat="false" ht="16.5" hidden="false" customHeight="true" outlineLevel="0" collapsed="false">
      <c r="A66" s="756" t="s">
        <v>2242</v>
      </c>
    </row>
    <row r="67" customFormat="false" ht="16.5" hidden="false" customHeight="true" outlineLevel="0" collapsed="false">
      <c r="A67" s="754" t="s">
        <v>2243</v>
      </c>
    </row>
    <row r="68" customFormat="false" ht="16.5" hidden="false" customHeight="true" outlineLevel="0" collapsed="false">
      <c r="A68" s="756" t="s">
        <v>2244</v>
      </c>
    </row>
    <row r="69" customFormat="false" ht="16.5" hidden="false" customHeight="true" outlineLevel="0" collapsed="false">
      <c r="A69" s="754" t="s">
        <v>2246</v>
      </c>
    </row>
    <row r="70" customFormat="false" ht="16.5" hidden="false" customHeight="true" outlineLevel="0" collapsed="false">
      <c r="A70" s="756" t="s">
        <v>2247</v>
      </c>
    </row>
    <row r="71" customFormat="false" ht="16.5" hidden="false" customHeight="true" outlineLevel="0" collapsed="false">
      <c r="A71" s="754" t="s">
        <v>2248</v>
      </c>
    </row>
    <row r="72" customFormat="false" ht="13.5" hidden="false" customHeight="true" outlineLevel="0" collapsed="false">
      <c r="A72" s="759" t="s">
        <v>2249</v>
      </c>
    </row>
    <row r="73" customFormat="false" ht="16.5" hidden="false" customHeight="true" outlineLevel="0" collapsed="false">
      <c r="A73" s="756" t="s">
        <v>2250</v>
      </c>
    </row>
    <row r="74" customFormat="false" ht="13.5" hidden="false" customHeight="true" outlineLevel="0" collapsed="false">
      <c r="A74" s="756" t="s">
        <v>2251</v>
      </c>
    </row>
    <row r="75" customFormat="false" ht="16.5" hidden="false" customHeight="true" outlineLevel="0" collapsed="false">
      <c r="A75" s="756" t="s">
        <v>2252</v>
      </c>
    </row>
    <row r="76" customFormat="false" ht="16.5" hidden="false" customHeight="true" outlineLevel="0" collapsed="false">
      <c r="A76" s="754" t="s">
        <v>2253</v>
      </c>
    </row>
    <row r="77" customFormat="false" ht="16.5" hidden="false" customHeight="true" outlineLevel="0" collapsed="false">
      <c r="A77" s="754" t="s">
        <v>2254</v>
      </c>
    </row>
    <row r="78" customFormat="false" ht="16.5" hidden="false" customHeight="true" outlineLevel="0" collapsed="false">
      <c r="A78" s="754" t="s">
        <v>2255</v>
      </c>
    </row>
    <row r="79" customFormat="false" ht="16.5" hidden="false" customHeight="true" outlineLevel="0" collapsed="false">
      <c r="A79" s="754" t="s">
        <v>2256</v>
      </c>
    </row>
    <row r="80" customFormat="false" ht="16.5" hidden="false" customHeight="true" outlineLevel="0" collapsed="false">
      <c r="A80" s="756" t="s">
        <v>2257</v>
      </c>
    </row>
    <row r="81" customFormat="false" ht="16.5" hidden="false" customHeight="true" outlineLevel="0" collapsed="false">
      <c r="A81" s="754" t="s">
        <v>2258</v>
      </c>
    </row>
    <row r="82" customFormat="false" ht="16.5" hidden="false" customHeight="true" outlineLevel="0" collapsed="false">
      <c r="A82" s="754" t="s">
        <v>2259</v>
      </c>
    </row>
    <row r="83" customFormat="false" ht="13.5" hidden="false" customHeight="true" outlineLevel="0" collapsed="false">
      <c r="A83" s="756" t="s">
        <v>2260</v>
      </c>
    </row>
    <row r="84" customFormat="false" ht="16.5" hidden="false" customHeight="true" outlineLevel="0" collapsed="false">
      <c r="A84" s="756" t="s">
        <v>2261</v>
      </c>
    </row>
    <row r="85" customFormat="false" ht="16.5" hidden="false" customHeight="true" outlineLevel="0" collapsed="false">
      <c r="A85" s="756" t="s">
        <v>2262</v>
      </c>
    </row>
    <row r="86" customFormat="false" ht="16.5" hidden="false" customHeight="true" outlineLevel="0" collapsed="false">
      <c r="A86" s="756" t="s">
        <v>2263</v>
      </c>
    </row>
    <row r="87" customFormat="false" ht="16.5" hidden="false" customHeight="true" outlineLevel="0" collapsed="false">
      <c r="A87" s="756" t="s">
        <v>2264</v>
      </c>
    </row>
    <row r="88" customFormat="false" ht="16.5" hidden="false" customHeight="true" outlineLevel="0" collapsed="false">
      <c r="A88" s="756" t="s">
        <v>2265</v>
      </c>
    </row>
    <row r="89" customFormat="false" ht="16.5" hidden="false" customHeight="true" outlineLevel="0" collapsed="false">
      <c r="A89" s="756" t="s">
        <v>2266</v>
      </c>
    </row>
    <row r="90" customFormat="false" ht="13.5" hidden="false" customHeight="true" outlineLevel="0" collapsed="false">
      <c r="A90" s="754" t="s">
        <v>2202</v>
      </c>
    </row>
    <row r="91" customFormat="false" ht="13.5" hidden="false" customHeight="true" outlineLevel="0" collapsed="false">
      <c r="B91" s="762" t="s">
        <v>2267</v>
      </c>
    </row>
    <row r="92" customFormat="false" ht="16.5" hidden="false" customHeight="true" outlineLevel="0" collapsed="false">
      <c r="B92" s="756" t="s">
        <v>2268</v>
      </c>
    </row>
    <row r="93" customFormat="false" ht="16.5" hidden="false" customHeight="true" outlineLevel="0" collapsed="false">
      <c r="B93" s="754" t="s">
        <v>2269</v>
      </c>
    </row>
    <row r="95" customFormat="false" ht="16.5" hidden="false" customHeight="true" outlineLevel="0" collapsed="false">
      <c r="B95" s="756" t="s">
        <v>2270</v>
      </c>
    </row>
    <row r="96" customFormat="false" ht="16.5" hidden="false" customHeight="true" outlineLevel="0" collapsed="false">
      <c r="B96" s="756" t="s">
        <v>2271</v>
      </c>
    </row>
    <row r="97" customFormat="false" ht="16.5" hidden="false" customHeight="true" outlineLevel="0" collapsed="false">
      <c r="B97" s="754" t="s">
        <v>2272</v>
      </c>
    </row>
    <row r="98" customFormat="false" ht="16.5" hidden="false" customHeight="true" outlineLevel="0" collapsed="false">
      <c r="B98" s="754" t="s">
        <v>2273</v>
      </c>
    </row>
    <row r="99" customFormat="false" ht="16.5" hidden="false" customHeight="true" outlineLevel="0" collapsed="false">
      <c r="B99" s="756" t="s">
        <v>2274</v>
      </c>
    </row>
    <row r="100" customFormat="false" ht="16.5" hidden="false" customHeight="true" outlineLevel="0" collapsed="false">
      <c r="B100" s="754" t="s">
        <v>2275</v>
      </c>
    </row>
    <row r="101" customFormat="false" ht="16.5" hidden="false" customHeight="true" outlineLevel="0" collapsed="false">
      <c r="B101" s="754" t="s">
        <v>2276</v>
      </c>
    </row>
    <row r="102" customFormat="false" ht="16.5" hidden="false" customHeight="true" outlineLevel="0" collapsed="false">
      <c r="B102" s="756" t="s">
        <v>3012</v>
      </c>
    </row>
    <row r="103" customFormat="false" ht="16.5" hidden="false" customHeight="true" outlineLevel="0" collapsed="false">
      <c r="B103" s="754" t="s">
        <v>3013</v>
      </c>
    </row>
    <row r="104" customFormat="false" ht="16.5" hidden="false" customHeight="true" outlineLevel="0" collapsed="false">
      <c r="B104" s="754" t="s">
        <v>3014</v>
      </c>
    </row>
    <row r="105" customFormat="false" ht="16.5" hidden="false" customHeight="true" outlineLevel="0" collapsed="false">
      <c r="B105" s="754" t="s">
        <v>3015</v>
      </c>
    </row>
    <row r="106" customFormat="false" ht="13.5" hidden="false" customHeight="true" outlineLevel="0" collapsed="false">
      <c r="B106" s="754" t="s">
        <v>2202</v>
      </c>
    </row>
    <row r="107" customFormat="false" ht="16.5" hidden="false" customHeight="true" outlineLevel="0" collapsed="false">
      <c r="B107" s="754" t="s">
        <v>2282</v>
      </c>
    </row>
    <row r="108" customFormat="false" ht="16.5" hidden="false" customHeight="true" outlineLevel="0" collapsed="false">
      <c r="B108" s="756" t="s">
        <v>2283</v>
      </c>
    </row>
    <row r="109" customFormat="false" ht="16.5" hidden="false" customHeight="true" outlineLevel="0" collapsed="false">
      <c r="B109" s="756" t="s">
        <v>2284</v>
      </c>
    </row>
    <row r="111" customFormat="false" ht="16.5" hidden="false" customHeight="true" outlineLevel="0" collapsed="false">
      <c r="B111" s="756" t="s">
        <v>2285</v>
      </c>
    </row>
    <row r="112" customFormat="false" ht="16.5" hidden="false" customHeight="true" outlineLevel="0" collapsed="false">
      <c r="B112" s="754" t="s">
        <v>2286</v>
      </c>
    </row>
    <row r="113" customFormat="false" ht="16.5" hidden="false" customHeight="true" outlineLevel="0" collapsed="false">
      <c r="B113" s="756" t="s">
        <v>2287</v>
      </c>
    </row>
    <row r="122" customFormat="false" ht="16.5" hidden="false" customHeight="true" outlineLevel="0" collapsed="false">
      <c r="B122" s="754" t="s">
        <v>2288</v>
      </c>
    </row>
    <row r="123" customFormat="false" ht="16.5" hidden="false" customHeight="true" outlineLevel="0" collapsed="false">
      <c r="B123" s="759" t="s">
        <v>2289</v>
      </c>
      <c r="C123" s="759"/>
      <c r="D123" s="759"/>
      <c r="E123" s="759"/>
      <c r="F123" s="759"/>
      <c r="G123" s="759"/>
      <c r="H123" s="759"/>
      <c r="I123" s="759"/>
    </row>
    <row r="124" customFormat="false" ht="16.5" hidden="false" customHeight="true" outlineLevel="0" collapsed="false">
      <c r="B124" s="758" t="s">
        <v>2290</v>
      </c>
      <c r="C124" s="759"/>
      <c r="D124" s="759"/>
      <c r="E124" s="759"/>
      <c r="F124" s="759"/>
      <c r="G124" s="759"/>
      <c r="H124" s="759"/>
      <c r="I124" s="759"/>
    </row>
    <row r="125" customFormat="false" ht="16.5" hidden="false" customHeight="true" outlineLevel="0" collapsed="false">
      <c r="B125" s="758" t="s">
        <v>2291</v>
      </c>
      <c r="C125" s="759"/>
      <c r="D125" s="759"/>
      <c r="E125" s="759"/>
      <c r="F125" s="759"/>
      <c r="G125" s="759"/>
      <c r="H125" s="759"/>
      <c r="I125" s="759"/>
    </row>
    <row r="126" customFormat="false" ht="13.5" hidden="false" customHeight="true" outlineLevel="0" collapsed="false">
      <c r="B126" s="759"/>
      <c r="C126" s="759"/>
      <c r="D126" s="759"/>
      <c r="E126" s="759"/>
      <c r="F126" s="759"/>
      <c r="G126" s="759"/>
      <c r="H126" s="759"/>
      <c r="I126" s="759"/>
    </row>
    <row r="131" customFormat="false" ht="16.5" hidden="false" customHeight="true" outlineLevel="0" collapsed="false">
      <c r="A131" s="754" t="s">
        <v>2294</v>
      </c>
    </row>
    <row r="133" customFormat="false" ht="13.5" hidden="false" customHeight="true" outlineLevel="0" collapsed="false">
      <c r="A133" s="756" t="s">
        <v>2295</v>
      </c>
    </row>
    <row r="134" customFormat="false" ht="13.5" hidden="false" customHeight="true" outlineLevel="0" collapsed="false">
      <c r="A134" s="754" t="s">
        <v>2202</v>
      </c>
    </row>
    <row r="135" customFormat="false" ht="16.5" hidden="false" customHeight="true" outlineLevel="0" collapsed="false">
      <c r="A135" s="756" t="s">
        <v>2296</v>
      </c>
    </row>
    <row r="136" customFormat="false" ht="16.5" hidden="false" customHeight="true" outlineLevel="0" collapsed="false">
      <c r="A136" s="756" t="s">
        <v>2297</v>
      </c>
    </row>
    <row r="137" customFormat="false" ht="16.5" hidden="false" customHeight="true" outlineLevel="0" collapsed="false">
      <c r="A137" s="754" t="s">
        <v>2298</v>
      </c>
    </row>
    <row r="138" customFormat="false" ht="13.5" hidden="false" customHeight="true" outlineLevel="0" collapsed="false">
      <c r="A138" s="754" t="s">
        <v>2202</v>
      </c>
    </row>
    <row r="139" customFormat="false" ht="16.5" hidden="false" customHeight="true" outlineLevel="0" collapsed="false">
      <c r="A139" s="754" t="s">
        <v>2299</v>
      </c>
    </row>
    <row r="140" customFormat="false" ht="16.5" hidden="false" customHeight="true" outlineLevel="0" collapsed="false">
      <c r="A140" s="756" t="s">
        <v>2300</v>
      </c>
    </row>
    <row r="141" customFormat="false" ht="16.5" hidden="false" customHeight="true" outlineLevel="0" collapsed="false">
      <c r="A141" s="756" t="s">
        <v>2301</v>
      </c>
    </row>
    <row r="142" customFormat="false" ht="16.5" hidden="false" customHeight="true" outlineLevel="0" collapsed="false">
      <c r="A142" s="756" t="s">
        <v>2302</v>
      </c>
    </row>
    <row r="143" customFormat="false" ht="13.5" hidden="false" customHeight="true" outlineLevel="0" collapsed="false">
      <c r="A143" s="754" t="s">
        <v>2202</v>
      </c>
    </row>
    <row r="145" customFormat="false" ht="16.5" hidden="false" customHeight="true" outlineLevel="0" collapsed="false">
      <c r="A145" s="756" t="s">
        <v>2303</v>
      </c>
    </row>
    <row r="146" customFormat="false" ht="16.5" hidden="false" customHeight="true" outlineLevel="0" collapsed="false">
      <c r="A146" s="754" t="s">
        <v>2304</v>
      </c>
    </row>
    <row r="147" customFormat="false" ht="16.5" hidden="false" customHeight="true" outlineLevel="0" collapsed="false">
      <c r="A147" s="756" t="s">
        <v>2305</v>
      </c>
    </row>
    <row r="148" customFormat="false" ht="16.5" hidden="false" customHeight="true" outlineLevel="0" collapsed="false">
      <c r="A148" s="756" t="s">
        <v>2306</v>
      </c>
    </row>
    <row r="149" customFormat="false" ht="16.5" hidden="false" customHeight="true" outlineLevel="0" collapsed="false">
      <c r="A149" s="754" t="s">
        <v>2307</v>
      </c>
    </row>
    <row r="150" customFormat="false" ht="16.5" hidden="false" customHeight="true" outlineLevel="0" collapsed="false">
      <c r="A150" s="754" t="s">
        <v>2308</v>
      </c>
    </row>
    <row r="151" customFormat="false" ht="16.5" hidden="false" customHeight="true" outlineLevel="0" collapsed="false">
      <c r="A151" s="754" t="s">
        <v>2309</v>
      </c>
    </row>
    <row r="152" customFormat="false" ht="16.5" hidden="false" customHeight="true" outlineLevel="0" collapsed="false">
      <c r="A152" s="754" t="s">
        <v>2310</v>
      </c>
    </row>
    <row r="153" customFormat="false" ht="16.5" hidden="false" customHeight="true" outlineLevel="0" collapsed="false">
      <c r="A153" s="754" t="s">
        <v>2311</v>
      </c>
    </row>
    <row r="154" customFormat="false" ht="16.5" hidden="false" customHeight="true" outlineLevel="0" collapsed="false">
      <c r="A154" s="754" t="s">
        <v>2312</v>
      </c>
    </row>
    <row r="155" customFormat="false" ht="16.5" hidden="false" customHeight="true" outlineLevel="0" collapsed="false">
      <c r="A155" s="754" t="s">
        <v>2313</v>
      </c>
    </row>
    <row r="156" customFormat="false" ht="16.5" hidden="false" customHeight="true" outlineLevel="0" collapsed="false">
      <c r="A156" s="754" t="s">
        <v>2314</v>
      </c>
    </row>
    <row r="157" customFormat="false" ht="16.5" hidden="false" customHeight="true" outlineLevel="0" collapsed="false">
      <c r="A157" s="756" t="s">
        <v>2315</v>
      </c>
    </row>
    <row r="158" customFormat="false" ht="13.5" hidden="false" customHeight="true" outlineLevel="0" collapsed="false">
      <c r="A158" s="754" t="s">
        <v>2202</v>
      </c>
    </row>
    <row r="159" customFormat="false" ht="16.5" hidden="false" customHeight="true" outlineLevel="0" collapsed="false">
      <c r="A159" s="754" t="s">
        <v>2316</v>
      </c>
    </row>
    <row r="160" customFormat="false" ht="13.5" hidden="false" customHeight="true" outlineLevel="0" collapsed="false">
      <c r="A160" s="754" t="s">
        <v>2202</v>
      </c>
    </row>
    <row r="161" customFormat="false" ht="16.5" hidden="false" customHeight="true" outlineLevel="0" collapsed="false">
      <c r="A161" s="754" t="s">
        <v>2317</v>
      </c>
    </row>
    <row r="163" customFormat="false" ht="16.5" hidden="false" customHeight="true" outlineLevel="0" collapsed="false">
      <c r="A163" s="756" t="s">
        <v>2318</v>
      </c>
    </row>
    <row r="164" customFormat="false" ht="16.5" hidden="false" customHeight="true" outlineLevel="0" collapsed="false">
      <c r="A164" s="754" t="s">
        <v>2319</v>
      </c>
    </row>
    <row r="165" customFormat="false" ht="16.5" hidden="false" customHeight="true" outlineLevel="0" collapsed="false">
      <c r="A165" s="756" t="s">
        <v>2320</v>
      </c>
    </row>
    <row r="166" customFormat="false" ht="16.5" hidden="false" customHeight="true" outlineLevel="0" collapsed="false">
      <c r="A166" s="754" t="s">
        <v>2321</v>
      </c>
    </row>
    <row r="167" customFormat="false" ht="16.5" hidden="false" customHeight="true" outlineLevel="0" collapsed="false">
      <c r="A167" s="754" t="s">
        <v>2322</v>
      </c>
    </row>
    <row r="168" customFormat="false" ht="16.5" hidden="false" customHeight="true" outlineLevel="0" collapsed="false">
      <c r="A168" s="754" t="s">
        <v>2323</v>
      </c>
    </row>
    <row r="169" customFormat="false" ht="16.5" hidden="false" customHeight="true" outlineLevel="0" collapsed="false">
      <c r="A169" s="756" t="s">
        <v>2324</v>
      </c>
    </row>
    <row r="170" customFormat="false" ht="16.5" hidden="false" customHeight="true" outlineLevel="0" collapsed="false">
      <c r="A170" s="756" t="s">
        <v>2325</v>
      </c>
    </row>
    <row r="171" customFormat="false" ht="16.5" hidden="false" customHeight="true" outlineLevel="0" collapsed="false">
      <c r="A171" s="756" t="s">
        <v>2326</v>
      </c>
    </row>
    <row r="172" customFormat="false" ht="16.5" hidden="false" customHeight="true" outlineLevel="0" collapsed="false">
      <c r="A172" s="754" t="s">
        <v>2327</v>
      </c>
    </row>
    <row r="173" customFormat="false" ht="16.5" hidden="false" customHeight="true" outlineLevel="0" collapsed="false">
      <c r="A173" s="754" t="s">
        <v>2328</v>
      </c>
    </row>
    <row r="174" customFormat="false" ht="16.5" hidden="false" customHeight="true" outlineLevel="0" collapsed="false">
      <c r="A174" s="754" t="s">
        <v>2329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N15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K25" activeCellId="0" sqref="K25"/>
    </sheetView>
  </sheetViews>
  <sheetFormatPr defaultColWidth="9" defaultRowHeight="30.75" zeroHeight="false" outlineLevelRow="0" outlineLevelCol="0"/>
  <cols>
    <col collapsed="false" customWidth="true" hidden="false" outlineLevel="0" max="1" min="1" style="894" width="20"/>
    <col collapsed="false" customWidth="true" hidden="false" outlineLevel="0" max="2" min="2" style="754" width="12.88"/>
    <col collapsed="false" customWidth="true" hidden="false" outlineLevel="0" max="3" min="3" style="781" width="13.13"/>
    <col collapsed="false" customWidth="true" hidden="false" outlineLevel="0" max="4" min="4" style="781" width="8.63"/>
    <col collapsed="false" customWidth="true" hidden="false" outlineLevel="0" max="5" min="5" style="781" width="16"/>
    <col collapsed="false" customWidth="true" hidden="false" outlineLevel="0" max="6" min="6" style="781" width="7"/>
    <col collapsed="false" customWidth="true" hidden="false" outlineLevel="0" max="7" min="7" style="895" width="15.63"/>
    <col collapsed="false" customWidth="true" hidden="false" outlineLevel="0" max="8" min="8" style="895" width="18.5"/>
    <col collapsed="false" customWidth="true" hidden="false" outlineLevel="0" max="9" min="9" style="896" width="14.13"/>
    <col collapsed="false" customWidth="true" hidden="false" outlineLevel="0" max="10" min="10" style="897" width="8.63"/>
    <col collapsed="false" customWidth="true" hidden="false" outlineLevel="0" max="11" min="11" style="781" width="83.13"/>
    <col collapsed="false" customWidth="true" hidden="false" outlineLevel="0" max="12" min="12" style="834" width="136.13"/>
    <col collapsed="false" customWidth="true" hidden="false" outlineLevel="0" max="13" min="13" style="754" width="1.63"/>
    <col collapsed="false" customWidth="true" hidden="false" outlineLevel="0" max="14" min="14" style="754" width="21.38"/>
    <col collapsed="false" customWidth="true" hidden="false" outlineLevel="0" max="15" min="15" style="754" width="9.13"/>
    <col collapsed="false" customWidth="false" hidden="false" outlineLevel="0" max="16384" min="16" style="754" width="9"/>
  </cols>
  <sheetData>
    <row r="1" s="904" customFormat="true" ht="30.75" hidden="false" customHeight="true" outlineLevel="0" collapsed="false">
      <c r="A1" s="898" t="s">
        <v>1350</v>
      </c>
      <c r="B1" s="899" t="s">
        <v>2352</v>
      </c>
      <c r="C1" s="899" t="s">
        <v>2353</v>
      </c>
      <c r="D1" s="899" t="s">
        <v>59</v>
      </c>
      <c r="E1" s="899" t="s">
        <v>3016</v>
      </c>
      <c r="F1" s="899" t="s">
        <v>1355</v>
      </c>
      <c r="G1" s="900" t="s">
        <v>1363</v>
      </c>
      <c r="H1" s="900" t="s">
        <v>3017</v>
      </c>
      <c r="I1" s="900" t="s">
        <v>2355</v>
      </c>
      <c r="J1" s="901" t="s">
        <v>3018</v>
      </c>
      <c r="K1" s="902" t="s">
        <v>3019</v>
      </c>
      <c r="L1" s="903" t="s">
        <v>3020</v>
      </c>
    </row>
    <row r="2" customFormat="false" ht="30.75" hidden="false" customHeight="true" outlineLevel="0" collapsed="false">
      <c r="A2" s="747" t="s">
        <v>3021</v>
      </c>
      <c r="B2" s="774" t="n">
        <v>41661</v>
      </c>
      <c r="C2" s="749" t="s">
        <v>2358</v>
      </c>
      <c r="D2" s="749" t="s">
        <v>2788</v>
      </c>
      <c r="E2" s="749" t="s">
        <v>2828</v>
      </c>
      <c r="F2" s="905" t="s">
        <v>1267</v>
      </c>
      <c r="G2" s="906" t="n">
        <v>37500000</v>
      </c>
      <c r="H2" s="906" t="n">
        <v>102</v>
      </c>
      <c r="I2" s="906" t="n">
        <f aca="false">G2/H2</f>
        <v>367647.058823529</v>
      </c>
      <c r="J2" s="907" t="n">
        <v>1</v>
      </c>
      <c r="K2" s="908" t="s">
        <v>3022</v>
      </c>
      <c r="L2" s="909" t="s">
        <v>3023</v>
      </c>
    </row>
    <row r="3" customFormat="false" ht="30.75" hidden="false" customHeight="true" outlineLevel="0" collapsed="false">
      <c r="A3" s="747" t="s">
        <v>3021</v>
      </c>
      <c r="B3" s="774" t="n">
        <v>41767</v>
      </c>
      <c r="C3" s="749" t="s">
        <v>2344</v>
      </c>
      <c r="D3" s="749" t="s">
        <v>2550</v>
      </c>
      <c r="E3" s="749" t="s">
        <v>2774</v>
      </c>
      <c r="F3" s="905" t="s">
        <v>1267</v>
      </c>
      <c r="G3" s="906" t="n">
        <v>43830000</v>
      </c>
      <c r="H3" s="906" t="n">
        <v>102</v>
      </c>
      <c r="I3" s="906" t="n">
        <f aca="false">G3/H3</f>
        <v>429705.882352941</v>
      </c>
      <c r="J3" s="907" t="n">
        <v>1</v>
      </c>
      <c r="K3" s="908" t="s">
        <v>3022</v>
      </c>
      <c r="L3" s="909" t="s">
        <v>3024</v>
      </c>
    </row>
    <row r="4" customFormat="false" ht="30.75" hidden="false" customHeight="true" outlineLevel="0" collapsed="false">
      <c r="A4" s="747" t="s">
        <v>3021</v>
      </c>
      <c r="B4" s="774" t="n">
        <v>41827</v>
      </c>
      <c r="C4" s="749" t="s">
        <v>1371</v>
      </c>
      <c r="D4" s="749" t="s">
        <v>3025</v>
      </c>
      <c r="E4" s="749" t="s">
        <v>2683</v>
      </c>
      <c r="F4" s="905" t="s">
        <v>1267</v>
      </c>
      <c r="G4" s="906" t="n">
        <v>47000000</v>
      </c>
      <c r="H4" s="906" t="n">
        <v>102</v>
      </c>
      <c r="I4" s="906" t="n">
        <f aca="false">G4/H4</f>
        <v>460784.31372549</v>
      </c>
      <c r="J4" s="907" t="n">
        <v>1</v>
      </c>
      <c r="K4" s="908" t="s">
        <v>3022</v>
      </c>
      <c r="L4" s="909" t="s">
        <v>3026</v>
      </c>
      <c r="N4" s="756" t="s">
        <v>3027</v>
      </c>
    </row>
    <row r="5" customFormat="false" ht="30.75" hidden="false" customHeight="true" outlineLevel="0" collapsed="false">
      <c r="A5" s="747" t="s">
        <v>3021</v>
      </c>
      <c r="B5" s="774" t="n">
        <v>41855</v>
      </c>
      <c r="C5" s="749" t="s">
        <v>2372</v>
      </c>
      <c r="D5" s="749" t="s">
        <v>2826</v>
      </c>
      <c r="E5" s="749" t="s">
        <v>2374</v>
      </c>
      <c r="F5" s="798" t="s">
        <v>1267</v>
      </c>
      <c r="G5" s="776" t="n">
        <v>75700000</v>
      </c>
      <c r="H5" s="906" t="n">
        <v>102</v>
      </c>
      <c r="I5" s="906" t="n">
        <f aca="false">G5/H5</f>
        <v>742156.862745098</v>
      </c>
      <c r="J5" s="907" t="n">
        <v>1</v>
      </c>
      <c r="K5" s="908" t="s">
        <v>3022</v>
      </c>
      <c r="L5" s="908" t="s">
        <v>3028</v>
      </c>
    </row>
    <row r="6" customFormat="false" ht="30.75" hidden="false" customHeight="true" outlineLevel="0" collapsed="false">
      <c r="A6" s="747" t="s">
        <v>3021</v>
      </c>
      <c r="B6" s="774" t="n">
        <v>42131</v>
      </c>
      <c r="C6" s="910" t="s">
        <v>1366</v>
      </c>
      <c r="D6" s="749" t="s">
        <v>2413</v>
      </c>
      <c r="E6" s="749" t="s">
        <v>2791</v>
      </c>
      <c r="F6" s="798" t="s">
        <v>1267</v>
      </c>
      <c r="G6" s="776" t="n">
        <v>239400000</v>
      </c>
      <c r="H6" s="906" t="n">
        <v>119</v>
      </c>
      <c r="I6" s="906" t="n">
        <v>2011764.70588235</v>
      </c>
      <c r="J6" s="907" t="n">
        <v>1</v>
      </c>
      <c r="K6" s="749" t="s">
        <v>3022</v>
      </c>
      <c r="L6" s="911" t="s">
        <v>3029</v>
      </c>
    </row>
    <row r="7" customFormat="false" ht="30.75" hidden="false" customHeight="true" outlineLevel="0" collapsed="false">
      <c r="A7" s="747" t="s">
        <v>3021</v>
      </c>
      <c r="B7" s="774" t="n">
        <v>42131</v>
      </c>
      <c r="C7" s="749" t="s">
        <v>1366</v>
      </c>
      <c r="D7" s="749" t="s">
        <v>2413</v>
      </c>
      <c r="E7" s="749" t="s">
        <v>2791</v>
      </c>
      <c r="F7" s="906" t="s">
        <v>1267</v>
      </c>
      <c r="G7" s="776" t="n">
        <v>239400000</v>
      </c>
      <c r="H7" s="906" t="n">
        <v>119</v>
      </c>
      <c r="I7" s="906" t="n">
        <v>2011764.70588235</v>
      </c>
      <c r="J7" s="912" t="n">
        <v>1</v>
      </c>
      <c r="K7" s="749" t="s">
        <v>3022</v>
      </c>
      <c r="L7" s="911" t="s">
        <v>3029</v>
      </c>
    </row>
    <row r="8" customFormat="false" ht="30.75" hidden="false" customHeight="true" outlineLevel="0" collapsed="false">
      <c r="A8" s="747" t="s">
        <v>3021</v>
      </c>
      <c r="B8" s="774" t="n">
        <v>42131</v>
      </c>
      <c r="C8" s="749" t="s">
        <v>1366</v>
      </c>
      <c r="D8" s="749" t="s">
        <v>2413</v>
      </c>
      <c r="E8" s="749" t="s">
        <v>2791</v>
      </c>
      <c r="F8" s="798" t="s">
        <v>1267</v>
      </c>
      <c r="G8" s="776" t="n">
        <v>239400000</v>
      </c>
      <c r="H8" s="906" t="n">
        <v>119</v>
      </c>
      <c r="I8" s="906" t="n">
        <v>2011764.70588235</v>
      </c>
      <c r="J8" s="912" t="n">
        <v>1</v>
      </c>
      <c r="K8" s="749" t="s">
        <v>3022</v>
      </c>
      <c r="L8" s="908" t="s">
        <v>3029</v>
      </c>
    </row>
    <row r="9" customFormat="false" ht="30.75" hidden="false" customHeight="true" outlineLevel="0" collapsed="false">
      <c r="A9" s="747" t="s">
        <v>3021</v>
      </c>
      <c r="B9" s="774" t="n">
        <v>42131</v>
      </c>
      <c r="C9" s="749" t="s">
        <v>1366</v>
      </c>
      <c r="D9" s="749" t="s">
        <v>2413</v>
      </c>
      <c r="E9" s="749" t="s">
        <v>2791</v>
      </c>
      <c r="F9" s="798" t="s">
        <v>1267</v>
      </c>
      <c r="G9" s="776" t="n">
        <v>239400000</v>
      </c>
      <c r="H9" s="906" t="n">
        <v>119</v>
      </c>
      <c r="I9" s="906" t="n">
        <v>2011764.70588235</v>
      </c>
      <c r="J9" s="912" t="n">
        <v>1</v>
      </c>
      <c r="K9" s="749" t="s">
        <v>3022</v>
      </c>
      <c r="L9" s="908" t="s">
        <v>3029</v>
      </c>
    </row>
    <row r="10" customFormat="false" ht="30.75" hidden="false" customHeight="true" outlineLevel="0" collapsed="false">
      <c r="A10" s="747" t="s">
        <v>3021</v>
      </c>
      <c r="B10" s="774" t="n">
        <v>42152</v>
      </c>
      <c r="C10" s="749" t="s">
        <v>3030</v>
      </c>
      <c r="D10" s="749" t="s">
        <v>2834</v>
      </c>
      <c r="E10" s="749" t="s">
        <v>2437</v>
      </c>
      <c r="F10" s="798" t="s">
        <v>1267</v>
      </c>
      <c r="G10" s="776" t="n">
        <v>20000000</v>
      </c>
      <c r="H10" s="906" t="n">
        <v>124</v>
      </c>
      <c r="I10" s="906" t="n">
        <v>161290.322580645</v>
      </c>
      <c r="J10" s="907" t="n">
        <v>1</v>
      </c>
      <c r="K10" s="749" t="s">
        <v>3022</v>
      </c>
      <c r="L10" s="911" t="s">
        <v>3031</v>
      </c>
    </row>
    <row r="11" customFormat="false" ht="30.75" hidden="false" customHeight="true" outlineLevel="0" collapsed="false">
      <c r="A11" s="747" t="s">
        <v>3021</v>
      </c>
      <c r="B11" s="774" t="n">
        <v>42312</v>
      </c>
      <c r="C11" s="749" t="s">
        <v>2900</v>
      </c>
      <c r="D11" s="749" t="s">
        <v>2901</v>
      </c>
      <c r="E11" s="749" t="s">
        <v>2865</v>
      </c>
      <c r="F11" s="798" t="s">
        <v>1267</v>
      </c>
      <c r="G11" s="776" t="n">
        <v>66000000</v>
      </c>
      <c r="H11" s="906" t="n">
        <v>121</v>
      </c>
      <c r="I11" s="906" t="n">
        <v>545454.545454545</v>
      </c>
      <c r="J11" s="907" t="n">
        <v>1</v>
      </c>
      <c r="K11" s="749" t="s">
        <v>3022</v>
      </c>
      <c r="L11" s="911" t="s">
        <v>3032</v>
      </c>
    </row>
    <row r="12" customFormat="false" ht="30.75" hidden="false" customHeight="true" outlineLevel="0" collapsed="false">
      <c r="A12" s="747" t="s">
        <v>3021</v>
      </c>
      <c r="B12" s="774" t="n">
        <v>42340</v>
      </c>
      <c r="C12" s="749" t="s">
        <v>2657</v>
      </c>
      <c r="D12" s="749" t="s">
        <v>3033</v>
      </c>
      <c r="E12" s="749" t="s">
        <v>2514</v>
      </c>
      <c r="F12" s="798" t="s">
        <v>1267</v>
      </c>
      <c r="G12" s="776" t="n">
        <v>66000000</v>
      </c>
      <c r="H12" s="906" t="n">
        <v>121</v>
      </c>
      <c r="I12" s="906" t="n">
        <v>545454.545454545</v>
      </c>
      <c r="J12" s="913" t="n">
        <v>1</v>
      </c>
      <c r="K12" s="749" t="s">
        <v>3022</v>
      </c>
      <c r="L12" s="908" t="s">
        <v>3032</v>
      </c>
    </row>
    <row r="13" customFormat="false" ht="30.75" hidden="false" customHeight="true" outlineLevel="0" collapsed="false">
      <c r="A13" s="747" t="s">
        <v>3021</v>
      </c>
      <c r="B13" s="774" t="n">
        <v>42353</v>
      </c>
      <c r="C13" s="749" t="s">
        <v>2430</v>
      </c>
      <c r="D13" s="749" t="s">
        <v>3034</v>
      </c>
      <c r="E13" s="749" t="s">
        <v>2556</v>
      </c>
      <c r="F13" s="798" t="s">
        <v>1267</v>
      </c>
      <c r="G13" s="776" t="n">
        <v>36000000</v>
      </c>
      <c r="H13" s="906" t="n">
        <v>121.91</v>
      </c>
      <c r="I13" s="906" t="n">
        <v>295299.811336232</v>
      </c>
      <c r="J13" s="913" t="n">
        <v>1</v>
      </c>
      <c r="K13" s="749" t="s">
        <v>3022</v>
      </c>
      <c r="L13" s="911" t="s">
        <v>3035</v>
      </c>
    </row>
    <row r="14" customFormat="false" ht="30.75" hidden="false" customHeight="true" outlineLevel="0" collapsed="false">
      <c r="A14" s="747" t="s">
        <v>3021</v>
      </c>
      <c r="B14" s="774" t="n">
        <v>42369</v>
      </c>
      <c r="C14" s="749" t="s">
        <v>124</v>
      </c>
      <c r="D14" s="749" t="s">
        <v>3036</v>
      </c>
      <c r="E14" s="749" t="s">
        <v>2797</v>
      </c>
      <c r="F14" s="798" t="s">
        <v>1267</v>
      </c>
      <c r="G14" s="776" t="n">
        <v>54000000</v>
      </c>
      <c r="H14" s="906" t="n">
        <v>121.91</v>
      </c>
      <c r="I14" s="906" t="n">
        <v>442949.717004348</v>
      </c>
      <c r="J14" s="914" t="n">
        <v>1</v>
      </c>
      <c r="K14" s="749" t="s">
        <v>3022</v>
      </c>
      <c r="L14" s="911" t="s">
        <v>3037</v>
      </c>
    </row>
    <row r="15" customFormat="false" ht="30.75" hidden="false" customHeight="true" outlineLevel="0" collapsed="false">
      <c r="A15" s="782"/>
      <c r="B15" s="774"/>
      <c r="C15" s="798"/>
      <c r="D15" s="798"/>
      <c r="E15" s="798"/>
      <c r="F15" s="798"/>
      <c r="G15" s="776"/>
      <c r="H15" s="906"/>
      <c r="I15" s="906"/>
      <c r="J15" s="907"/>
      <c r="K15" s="798"/>
      <c r="L15" s="911"/>
    </row>
    <row r="16" customFormat="false" ht="30.75" hidden="false" customHeight="true" outlineLevel="0" collapsed="false">
      <c r="A16" s="782"/>
      <c r="B16" s="774"/>
      <c r="C16" s="798"/>
      <c r="D16" s="798"/>
      <c r="E16" s="798"/>
      <c r="F16" s="798"/>
      <c r="G16" s="776"/>
      <c r="H16" s="906"/>
      <c r="I16" s="906"/>
      <c r="J16" s="907"/>
      <c r="K16" s="798"/>
      <c r="L16" s="911"/>
    </row>
    <row r="17" customFormat="false" ht="30.75" hidden="false" customHeight="true" outlineLevel="0" collapsed="false">
      <c r="A17" s="747" t="s">
        <v>3021</v>
      </c>
      <c r="B17" s="774" t="n">
        <v>45181</v>
      </c>
      <c r="C17" s="749" t="s">
        <v>2358</v>
      </c>
      <c r="D17" s="749" t="s">
        <v>2788</v>
      </c>
      <c r="E17" s="749" t="s">
        <v>3038</v>
      </c>
      <c r="F17" s="798" t="s">
        <v>1267</v>
      </c>
      <c r="G17" s="776" t="n">
        <v>300000000</v>
      </c>
      <c r="H17" s="906" t="n">
        <v>146</v>
      </c>
      <c r="I17" s="906" t="n">
        <f aca="false">G17/H17</f>
        <v>2054794.52054795</v>
      </c>
      <c r="J17" s="907" t="n">
        <v>1</v>
      </c>
      <c r="K17" s="749" t="s">
        <v>3039</v>
      </c>
      <c r="L17" s="911" t="s">
        <v>3039</v>
      </c>
    </row>
    <row r="18" customFormat="false" ht="30.75" hidden="false" customHeight="true" outlineLevel="0" collapsed="false">
      <c r="A18" s="782"/>
      <c r="B18" s="774"/>
      <c r="C18" s="798"/>
      <c r="D18" s="798"/>
      <c r="E18" s="798"/>
      <c r="F18" s="798"/>
      <c r="G18" s="776"/>
      <c r="H18" s="906"/>
      <c r="I18" s="906"/>
      <c r="J18" s="907"/>
      <c r="K18" s="798"/>
      <c r="L18" s="915"/>
    </row>
    <row r="19" customFormat="false" ht="30.75" hidden="false" customHeight="true" outlineLevel="0" collapsed="false">
      <c r="A19" s="782"/>
      <c r="B19" s="774"/>
      <c r="C19" s="798"/>
      <c r="D19" s="798"/>
      <c r="E19" s="798"/>
      <c r="F19" s="798"/>
      <c r="G19" s="776"/>
      <c r="H19" s="906"/>
      <c r="I19" s="906"/>
      <c r="J19" s="907"/>
      <c r="K19" s="798"/>
      <c r="L19" s="915"/>
    </row>
    <row r="20" customFormat="false" ht="30.75" hidden="false" customHeight="true" outlineLevel="0" collapsed="false">
      <c r="A20" s="782"/>
      <c r="B20" s="774"/>
      <c r="C20" s="798"/>
      <c r="D20" s="798"/>
      <c r="E20" s="798"/>
      <c r="F20" s="798"/>
      <c r="G20" s="776"/>
      <c r="H20" s="906"/>
      <c r="I20" s="906"/>
      <c r="J20" s="907"/>
      <c r="K20" s="798"/>
      <c r="L20" s="915"/>
    </row>
    <row r="21" customFormat="false" ht="30.75" hidden="false" customHeight="true" outlineLevel="0" collapsed="false">
      <c r="A21" s="782"/>
      <c r="B21" s="774"/>
      <c r="C21" s="798"/>
      <c r="D21" s="798"/>
      <c r="E21" s="798"/>
      <c r="F21" s="798"/>
      <c r="G21" s="776"/>
      <c r="H21" s="906"/>
      <c r="I21" s="906"/>
      <c r="J21" s="914"/>
      <c r="K21" s="798"/>
      <c r="L21" s="915"/>
    </row>
    <row r="22" customFormat="false" ht="30.75" hidden="false" customHeight="true" outlineLevel="0" collapsed="false">
      <c r="A22" s="782"/>
      <c r="B22" s="774"/>
      <c r="C22" s="798"/>
      <c r="D22" s="798"/>
      <c r="E22" s="798"/>
      <c r="F22" s="798"/>
      <c r="G22" s="776"/>
      <c r="H22" s="906"/>
      <c r="I22" s="906"/>
      <c r="J22" s="907"/>
      <c r="K22" s="798"/>
      <c r="L22" s="915"/>
    </row>
    <row r="23" customFormat="false" ht="30.75" hidden="false" customHeight="true" outlineLevel="0" collapsed="false">
      <c r="A23" s="782"/>
      <c r="B23" s="774"/>
      <c r="C23" s="798"/>
      <c r="D23" s="798"/>
      <c r="E23" s="798"/>
      <c r="F23" s="798"/>
      <c r="G23" s="776"/>
      <c r="H23" s="906"/>
      <c r="I23" s="906"/>
      <c r="J23" s="907"/>
      <c r="K23" s="798"/>
      <c r="L23" s="915"/>
    </row>
    <row r="24" customFormat="false" ht="30.75" hidden="false" customHeight="true" outlineLevel="0" collapsed="false">
      <c r="A24" s="782"/>
      <c r="B24" s="774"/>
      <c r="C24" s="798"/>
      <c r="D24" s="798"/>
      <c r="E24" s="798"/>
      <c r="F24" s="798"/>
      <c r="G24" s="776"/>
      <c r="H24" s="906"/>
      <c r="I24" s="906"/>
      <c r="J24" s="907"/>
      <c r="K24" s="798"/>
      <c r="L24" s="915"/>
    </row>
    <row r="25" customFormat="false" ht="30.75" hidden="false" customHeight="true" outlineLevel="0" collapsed="false">
      <c r="A25" s="782"/>
      <c r="B25" s="774"/>
      <c r="C25" s="798"/>
      <c r="D25" s="798"/>
      <c r="E25" s="798"/>
      <c r="F25" s="798"/>
      <c r="G25" s="776"/>
      <c r="H25" s="906"/>
      <c r="I25" s="906"/>
      <c r="J25" s="907"/>
      <c r="K25" s="798"/>
      <c r="L25" s="915"/>
    </row>
    <row r="26" customFormat="false" ht="30.75" hidden="false" customHeight="true" outlineLevel="0" collapsed="false">
      <c r="A26" s="782"/>
      <c r="B26" s="774"/>
      <c r="C26" s="798"/>
      <c r="D26" s="798"/>
      <c r="E26" s="798"/>
      <c r="F26" s="798"/>
      <c r="G26" s="776"/>
      <c r="H26" s="906"/>
      <c r="I26" s="906"/>
      <c r="J26" s="912"/>
      <c r="K26" s="798"/>
      <c r="L26" s="909"/>
      <c r="M26" s="916"/>
    </row>
    <row r="27" customFormat="false" ht="30.75" hidden="false" customHeight="true" outlineLevel="0" collapsed="false">
      <c r="A27" s="782"/>
      <c r="B27" s="774"/>
      <c r="C27" s="798"/>
      <c r="D27" s="798"/>
      <c r="E27" s="798"/>
      <c r="F27" s="798"/>
      <c r="G27" s="776"/>
      <c r="H27" s="906"/>
      <c r="I27" s="906"/>
      <c r="J27" s="912"/>
      <c r="K27" s="798"/>
      <c r="L27" s="909"/>
      <c r="M27" s="916"/>
    </row>
    <row r="28" customFormat="false" ht="30.75" hidden="false" customHeight="true" outlineLevel="0" collapsed="false">
      <c r="A28" s="782"/>
      <c r="B28" s="774"/>
      <c r="C28" s="798"/>
      <c r="D28" s="798"/>
      <c r="E28" s="798"/>
      <c r="F28" s="798"/>
      <c r="G28" s="776"/>
      <c r="H28" s="906"/>
      <c r="I28" s="906"/>
      <c r="J28" s="912"/>
      <c r="K28" s="798"/>
      <c r="L28" s="909"/>
      <c r="M28" s="916"/>
    </row>
    <row r="29" customFormat="false" ht="30.75" hidden="false" customHeight="true" outlineLevel="0" collapsed="false">
      <c r="A29" s="782"/>
      <c r="B29" s="774"/>
      <c r="C29" s="798"/>
      <c r="D29" s="798"/>
      <c r="E29" s="798"/>
      <c r="F29" s="798"/>
      <c r="G29" s="776"/>
      <c r="H29" s="906"/>
      <c r="I29" s="906"/>
      <c r="J29" s="912"/>
      <c r="K29" s="798"/>
      <c r="L29" s="909"/>
      <c r="M29" s="916"/>
    </row>
    <row r="30" customFormat="false" ht="30.75" hidden="false" customHeight="true" outlineLevel="0" collapsed="false">
      <c r="A30" s="782"/>
      <c r="B30" s="774"/>
      <c r="C30" s="798"/>
      <c r="D30" s="798"/>
      <c r="E30" s="798"/>
      <c r="F30" s="798"/>
      <c r="G30" s="776"/>
      <c r="H30" s="906"/>
      <c r="I30" s="906"/>
      <c r="J30" s="912"/>
      <c r="K30" s="798"/>
      <c r="L30" s="909"/>
      <c r="M30" s="916"/>
    </row>
    <row r="31" customFormat="false" ht="30.75" hidden="false" customHeight="true" outlineLevel="0" collapsed="false">
      <c r="A31" s="782"/>
      <c r="B31" s="774"/>
      <c r="C31" s="798"/>
      <c r="D31" s="798"/>
      <c r="E31" s="798"/>
      <c r="F31" s="798"/>
      <c r="G31" s="776"/>
      <c r="H31" s="906"/>
      <c r="I31" s="906"/>
      <c r="J31" s="912"/>
      <c r="K31" s="798"/>
      <c r="L31" s="909"/>
      <c r="M31" s="916"/>
    </row>
    <row r="32" customFormat="false" ht="30.75" hidden="false" customHeight="true" outlineLevel="0" collapsed="false">
      <c r="A32" s="782"/>
      <c r="B32" s="774"/>
      <c r="C32" s="798"/>
      <c r="D32" s="798"/>
      <c r="E32" s="798"/>
      <c r="F32" s="798"/>
      <c r="G32" s="776"/>
      <c r="H32" s="906"/>
      <c r="I32" s="906"/>
      <c r="J32" s="912"/>
      <c r="K32" s="798"/>
      <c r="L32" s="909"/>
      <c r="M32" s="916"/>
    </row>
    <row r="33" customFormat="false" ht="30.75" hidden="false" customHeight="true" outlineLevel="0" collapsed="false">
      <c r="A33" s="782"/>
      <c r="B33" s="774"/>
      <c r="C33" s="798"/>
      <c r="D33" s="798"/>
      <c r="E33" s="798"/>
      <c r="F33" s="798"/>
      <c r="G33" s="776"/>
      <c r="H33" s="906"/>
      <c r="I33" s="906"/>
      <c r="J33" s="912"/>
      <c r="K33" s="798"/>
      <c r="L33" s="909"/>
      <c r="M33" s="916"/>
    </row>
    <row r="34" customFormat="false" ht="30.75" hidden="false" customHeight="true" outlineLevel="0" collapsed="false">
      <c r="A34" s="782"/>
      <c r="B34" s="774"/>
      <c r="C34" s="798"/>
      <c r="D34" s="798"/>
      <c r="E34" s="798"/>
      <c r="F34" s="798"/>
      <c r="G34" s="776"/>
      <c r="H34" s="906"/>
      <c r="I34" s="906"/>
      <c r="J34" s="912"/>
      <c r="K34" s="798"/>
      <c r="L34" s="909"/>
      <c r="M34" s="916"/>
    </row>
    <row r="35" customFormat="false" ht="30.75" hidden="false" customHeight="true" outlineLevel="0" collapsed="false">
      <c r="A35" s="782"/>
      <c r="B35" s="774"/>
      <c r="C35" s="798"/>
      <c r="D35" s="798"/>
      <c r="E35" s="798"/>
      <c r="F35" s="798"/>
      <c r="G35" s="776"/>
      <c r="H35" s="906"/>
      <c r="I35" s="906"/>
      <c r="J35" s="912"/>
      <c r="K35" s="798"/>
      <c r="L35" s="909"/>
      <c r="M35" s="916"/>
    </row>
    <row r="36" customFormat="false" ht="30.75" hidden="false" customHeight="true" outlineLevel="0" collapsed="false">
      <c r="A36" s="782"/>
      <c r="B36" s="774"/>
      <c r="C36" s="798"/>
      <c r="D36" s="798"/>
      <c r="E36" s="798"/>
      <c r="F36" s="798"/>
      <c r="G36" s="776"/>
      <c r="H36" s="906"/>
      <c r="I36" s="906"/>
      <c r="J36" s="912"/>
      <c r="K36" s="798"/>
      <c r="L36" s="909"/>
      <c r="M36" s="916"/>
    </row>
    <row r="37" customFormat="false" ht="30.75" hidden="false" customHeight="true" outlineLevel="0" collapsed="false">
      <c r="A37" s="782"/>
      <c r="B37" s="774"/>
      <c r="C37" s="798"/>
      <c r="D37" s="798"/>
      <c r="E37" s="798"/>
      <c r="F37" s="798"/>
      <c r="G37" s="776"/>
      <c r="H37" s="906"/>
      <c r="I37" s="906"/>
      <c r="J37" s="912"/>
      <c r="K37" s="798"/>
      <c r="L37" s="909"/>
      <c r="M37" s="916"/>
    </row>
    <row r="38" customFormat="false" ht="30.75" hidden="false" customHeight="true" outlineLevel="0" collapsed="false">
      <c r="A38" s="782"/>
      <c r="B38" s="774"/>
      <c r="C38" s="798"/>
      <c r="D38" s="798"/>
      <c r="E38" s="798"/>
      <c r="F38" s="798"/>
      <c r="G38" s="776"/>
      <c r="H38" s="906"/>
      <c r="I38" s="906"/>
      <c r="J38" s="912"/>
      <c r="K38" s="798"/>
      <c r="L38" s="909"/>
      <c r="M38" s="916"/>
    </row>
    <row r="39" customFormat="false" ht="30.75" hidden="false" customHeight="true" outlineLevel="0" collapsed="false">
      <c r="A39" s="782"/>
      <c r="B39" s="774"/>
      <c r="C39" s="798"/>
      <c r="D39" s="798"/>
      <c r="E39" s="798"/>
      <c r="F39" s="798"/>
      <c r="G39" s="776"/>
      <c r="H39" s="906"/>
      <c r="I39" s="906"/>
      <c r="J39" s="912"/>
      <c r="K39" s="798"/>
      <c r="L39" s="909"/>
      <c r="M39" s="916"/>
    </row>
    <row r="40" customFormat="false" ht="30.75" hidden="false" customHeight="true" outlineLevel="0" collapsed="false">
      <c r="A40" s="782"/>
      <c r="B40" s="774"/>
      <c r="C40" s="798"/>
      <c r="D40" s="798"/>
      <c r="E40" s="798"/>
      <c r="F40" s="798"/>
      <c r="G40" s="776"/>
      <c r="H40" s="906"/>
      <c r="I40" s="906"/>
      <c r="J40" s="912"/>
      <c r="K40" s="798"/>
      <c r="L40" s="909"/>
      <c r="M40" s="916"/>
    </row>
    <row r="41" customFormat="false" ht="30.75" hidden="false" customHeight="true" outlineLevel="0" collapsed="false">
      <c r="A41" s="782"/>
      <c r="B41" s="774"/>
      <c r="C41" s="798"/>
      <c r="D41" s="798"/>
      <c r="E41" s="798"/>
      <c r="F41" s="798"/>
      <c r="G41" s="776"/>
      <c r="H41" s="906"/>
      <c r="I41" s="906"/>
      <c r="J41" s="912"/>
      <c r="K41" s="798"/>
      <c r="L41" s="909"/>
      <c r="M41" s="916"/>
    </row>
    <row r="42" customFormat="false" ht="30.75" hidden="false" customHeight="true" outlineLevel="0" collapsed="false">
      <c r="A42" s="782"/>
      <c r="B42" s="774"/>
      <c r="C42" s="798"/>
      <c r="D42" s="798"/>
      <c r="E42" s="798"/>
      <c r="F42" s="798"/>
      <c r="G42" s="776"/>
      <c r="H42" s="906"/>
      <c r="I42" s="906"/>
      <c r="J42" s="912"/>
      <c r="K42" s="798"/>
      <c r="L42" s="908"/>
      <c r="M42" s="916"/>
    </row>
    <row r="43" customFormat="false" ht="30.75" hidden="false" customHeight="true" outlineLevel="0" collapsed="false">
      <c r="A43" s="782"/>
      <c r="B43" s="774"/>
      <c r="C43" s="798"/>
      <c r="D43" s="798"/>
      <c r="E43" s="798"/>
      <c r="F43" s="798"/>
      <c r="G43" s="776"/>
      <c r="H43" s="906"/>
      <c r="I43" s="906"/>
      <c r="J43" s="912"/>
      <c r="K43" s="798"/>
      <c r="L43" s="908"/>
      <c r="M43" s="916"/>
    </row>
    <row r="44" customFormat="false" ht="30.75" hidden="false" customHeight="true" outlineLevel="0" collapsed="false">
      <c r="A44" s="782"/>
      <c r="B44" s="774"/>
      <c r="C44" s="798"/>
      <c r="D44" s="798"/>
      <c r="E44" s="798"/>
      <c r="F44" s="798"/>
      <c r="G44" s="776"/>
      <c r="H44" s="906"/>
      <c r="I44" s="906"/>
      <c r="J44" s="912"/>
      <c r="K44" s="798"/>
      <c r="L44" s="917"/>
      <c r="M44" s="916"/>
    </row>
    <row r="45" customFormat="false" ht="30.75" hidden="false" customHeight="true" outlineLevel="0" collapsed="false">
      <c r="A45" s="782"/>
      <c r="B45" s="774"/>
      <c r="C45" s="798"/>
      <c r="D45" s="798"/>
      <c r="E45" s="798"/>
      <c r="F45" s="798"/>
      <c r="G45" s="776"/>
      <c r="H45" s="906"/>
      <c r="I45" s="906"/>
      <c r="J45" s="912"/>
      <c r="K45" s="798"/>
      <c r="L45" s="908"/>
      <c r="M45" s="916"/>
    </row>
    <row r="46" customFormat="false" ht="30.75" hidden="false" customHeight="true" outlineLevel="0" collapsed="false">
      <c r="A46" s="782"/>
      <c r="B46" s="774"/>
      <c r="C46" s="798"/>
      <c r="D46" s="798"/>
      <c r="E46" s="798"/>
      <c r="F46" s="798"/>
      <c r="G46" s="776"/>
      <c r="H46" s="906"/>
      <c r="I46" s="906"/>
      <c r="J46" s="912"/>
      <c r="K46" s="798"/>
      <c r="L46" s="908"/>
      <c r="M46" s="916"/>
    </row>
    <row r="47" customFormat="false" ht="30.75" hidden="false" customHeight="true" outlineLevel="0" collapsed="false">
      <c r="A47" s="782"/>
      <c r="B47" s="774"/>
      <c r="C47" s="798"/>
      <c r="D47" s="798"/>
      <c r="E47" s="798"/>
      <c r="F47" s="798"/>
      <c r="G47" s="776"/>
      <c r="H47" s="906"/>
      <c r="I47" s="906"/>
      <c r="J47" s="912"/>
      <c r="K47" s="798"/>
      <c r="L47" s="908"/>
      <c r="M47" s="916"/>
    </row>
    <row r="48" customFormat="false" ht="30.75" hidden="false" customHeight="true" outlineLevel="0" collapsed="false">
      <c r="A48" s="782"/>
      <c r="B48" s="774"/>
      <c r="C48" s="798"/>
      <c r="D48" s="798"/>
      <c r="E48" s="798"/>
      <c r="F48" s="798"/>
      <c r="G48" s="776"/>
      <c r="H48" s="906"/>
      <c r="I48" s="906"/>
      <c r="J48" s="912"/>
      <c r="K48" s="798"/>
      <c r="L48" s="908"/>
      <c r="M48" s="916"/>
    </row>
    <row r="49" customFormat="false" ht="30.75" hidden="false" customHeight="true" outlineLevel="0" collapsed="false">
      <c r="A49" s="782"/>
      <c r="B49" s="774"/>
      <c r="C49" s="798"/>
      <c r="D49" s="798"/>
      <c r="E49" s="798"/>
      <c r="F49" s="798"/>
      <c r="G49" s="776"/>
      <c r="H49" s="906"/>
      <c r="I49" s="906"/>
      <c r="J49" s="912"/>
      <c r="K49" s="798"/>
      <c r="L49" s="908"/>
      <c r="M49" s="916"/>
    </row>
    <row r="50" customFormat="false" ht="30.75" hidden="false" customHeight="true" outlineLevel="0" collapsed="false">
      <c r="A50" s="782"/>
      <c r="B50" s="774"/>
      <c r="C50" s="798"/>
      <c r="D50" s="798"/>
      <c r="E50" s="798"/>
      <c r="F50" s="798"/>
      <c r="G50" s="776"/>
      <c r="H50" s="776"/>
      <c r="I50" s="776"/>
      <c r="J50" s="912"/>
      <c r="K50" s="798"/>
      <c r="L50" s="908"/>
      <c r="M50" s="916"/>
    </row>
    <row r="51" customFormat="false" ht="30.75" hidden="false" customHeight="true" outlineLevel="0" collapsed="false">
      <c r="A51" s="782"/>
      <c r="B51" s="774"/>
      <c r="C51" s="798"/>
      <c r="D51" s="798"/>
      <c r="E51" s="798"/>
      <c r="F51" s="798"/>
      <c r="G51" s="776"/>
      <c r="H51" s="906"/>
      <c r="I51" s="906"/>
      <c r="J51" s="913"/>
      <c r="K51" s="798"/>
      <c r="L51" s="908"/>
      <c r="M51" s="916"/>
    </row>
    <row r="52" customFormat="false" ht="30.75" hidden="false" customHeight="true" outlineLevel="0" collapsed="false">
      <c r="A52" s="782"/>
      <c r="B52" s="774"/>
      <c r="C52" s="798"/>
      <c r="D52" s="798"/>
      <c r="E52" s="798"/>
      <c r="F52" s="798"/>
      <c r="G52" s="776"/>
      <c r="H52" s="906"/>
      <c r="I52" s="906"/>
      <c r="J52" s="913"/>
      <c r="K52" s="798"/>
      <c r="L52" s="908"/>
      <c r="M52" s="916"/>
    </row>
    <row r="53" customFormat="false" ht="30.75" hidden="false" customHeight="true" outlineLevel="0" collapsed="false">
      <c r="A53" s="782"/>
      <c r="B53" s="774"/>
      <c r="C53" s="798"/>
      <c r="D53" s="798"/>
      <c r="E53" s="798"/>
      <c r="F53" s="798"/>
      <c r="G53" s="776"/>
      <c r="H53" s="776"/>
      <c r="I53" s="776"/>
      <c r="J53" s="913"/>
      <c r="K53" s="798"/>
      <c r="L53" s="908"/>
      <c r="M53" s="916"/>
    </row>
    <row r="54" customFormat="false" ht="30.75" hidden="false" customHeight="true" outlineLevel="0" collapsed="false">
      <c r="A54" s="782"/>
      <c r="B54" s="774"/>
      <c r="C54" s="798"/>
      <c r="D54" s="798"/>
      <c r="E54" s="798"/>
      <c r="F54" s="798"/>
      <c r="G54" s="776"/>
      <c r="H54" s="776"/>
      <c r="I54" s="776"/>
      <c r="J54" s="913"/>
      <c r="K54" s="798"/>
      <c r="L54" s="908"/>
      <c r="M54" s="916"/>
    </row>
    <row r="55" customFormat="false" ht="30.75" hidden="false" customHeight="true" outlineLevel="0" collapsed="false">
      <c r="A55" s="782"/>
      <c r="B55" s="774"/>
      <c r="C55" s="798"/>
      <c r="D55" s="798"/>
      <c r="E55" s="798"/>
      <c r="F55" s="798"/>
      <c r="G55" s="776"/>
      <c r="H55" s="776"/>
      <c r="I55" s="906"/>
      <c r="J55" s="913"/>
      <c r="K55" s="798"/>
      <c r="L55" s="911"/>
    </row>
    <row r="56" customFormat="false" ht="30.75" hidden="false" customHeight="true" outlineLevel="0" collapsed="false">
      <c r="A56" s="782"/>
      <c r="B56" s="774"/>
      <c r="C56" s="798"/>
      <c r="D56" s="798"/>
      <c r="E56" s="798"/>
      <c r="F56" s="798"/>
      <c r="G56" s="776"/>
      <c r="H56" s="776"/>
      <c r="I56" s="906"/>
      <c r="J56" s="913"/>
      <c r="K56" s="798"/>
      <c r="L56" s="911"/>
    </row>
    <row r="57" customFormat="false" ht="30.75" hidden="false" customHeight="true" outlineLevel="0" collapsed="false">
      <c r="A57" s="782"/>
      <c r="B57" s="774"/>
      <c r="C57" s="798"/>
      <c r="D57" s="798"/>
      <c r="E57" s="776"/>
      <c r="F57" s="798"/>
      <c r="G57" s="776"/>
      <c r="H57" s="776"/>
      <c r="I57" s="906"/>
      <c r="J57" s="913"/>
      <c r="K57" s="798"/>
      <c r="L57" s="911"/>
    </row>
    <row r="58" customFormat="false" ht="30.75" hidden="false" customHeight="true" outlineLevel="0" collapsed="false">
      <c r="A58" s="782"/>
      <c r="B58" s="774"/>
      <c r="C58" s="798"/>
      <c r="D58" s="798"/>
      <c r="E58" s="798"/>
      <c r="F58" s="798"/>
      <c r="G58" s="776"/>
      <c r="H58" s="776"/>
      <c r="I58" s="906"/>
      <c r="J58" s="914"/>
      <c r="K58" s="798"/>
      <c r="L58" s="918"/>
    </row>
    <row r="59" customFormat="false" ht="30.75" hidden="false" customHeight="true" outlineLevel="0" collapsed="false">
      <c r="A59" s="782"/>
      <c r="B59" s="774"/>
      <c r="C59" s="798"/>
      <c r="D59" s="798"/>
      <c r="E59" s="822"/>
      <c r="F59" s="798"/>
      <c r="G59" s="776"/>
      <c r="H59" s="776"/>
      <c r="I59" s="906"/>
      <c r="J59" s="914"/>
      <c r="K59" s="798"/>
      <c r="L59" s="911"/>
    </row>
    <row r="60" customFormat="false" ht="30.75" hidden="false" customHeight="true" outlineLevel="0" collapsed="false">
      <c r="A60" s="782"/>
      <c r="B60" s="774"/>
      <c r="C60" s="798"/>
      <c r="D60" s="798"/>
      <c r="E60" s="798"/>
      <c r="F60" s="798"/>
      <c r="G60" s="776"/>
      <c r="H60" s="776"/>
      <c r="I60" s="906"/>
      <c r="J60" s="914"/>
      <c r="K60" s="798"/>
      <c r="L60" s="911"/>
    </row>
    <row r="61" customFormat="false" ht="30.75" hidden="false" customHeight="true" outlineLevel="0" collapsed="false">
      <c r="A61" s="782"/>
      <c r="B61" s="774"/>
      <c r="C61" s="798"/>
      <c r="D61" s="798"/>
      <c r="E61" s="798"/>
      <c r="F61" s="798"/>
      <c r="G61" s="776"/>
      <c r="H61" s="776"/>
      <c r="I61" s="906"/>
      <c r="J61" s="914"/>
      <c r="K61" s="798"/>
      <c r="L61" s="911"/>
    </row>
    <row r="62" customFormat="false" ht="30.75" hidden="false" customHeight="true" outlineLevel="0" collapsed="false">
      <c r="A62" s="782"/>
      <c r="B62" s="774"/>
      <c r="C62" s="798"/>
      <c r="D62" s="798"/>
      <c r="E62" s="798"/>
      <c r="F62" s="798"/>
      <c r="G62" s="776"/>
      <c r="H62" s="776"/>
      <c r="I62" s="906"/>
      <c r="J62" s="914"/>
      <c r="K62" s="798"/>
      <c r="L62" s="911"/>
    </row>
    <row r="63" customFormat="false" ht="30.75" hidden="false" customHeight="true" outlineLevel="0" collapsed="false">
      <c r="A63" s="782"/>
      <c r="B63" s="774"/>
      <c r="C63" s="798"/>
      <c r="D63" s="798"/>
      <c r="E63" s="798"/>
      <c r="F63" s="798"/>
      <c r="G63" s="776"/>
      <c r="H63" s="776"/>
      <c r="I63" s="906"/>
      <c r="J63" s="914"/>
      <c r="K63" s="798"/>
      <c r="L63" s="911"/>
    </row>
    <row r="64" customFormat="false" ht="30.75" hidden="false" customHeight="true" outlineLevel="0" collapsed="false">
      <c r="A64" s="782"/>
      <c r="B64" s="774"/>
      <c r="C64" s="798"/>
      <c r="D64" s="798"/>
      <c r="E64" s="798"/>
      <c r="F64" s="798"/>
      <c r="G64" s="776"/>
      <c r="H64" s="776"/>
      <c r="I64" s="906"/>
      <c r="J64" s="914"/>
      <c r="K64" s="798"/>
      <c r="L64" s="911"/>
    </row>
    <row r="65" customFormat="false" ht="30.75" hidden="false" customHeight="true" outlineLevel="0" collapsed="false">
      <c r="A65" s="782"/>
      <c r="B65" s="774"/>
      <c r="C65" s="798"/>
      <c r="D65" s="798"/>
      <c r="E65" s="798"/>
      <c r="F65" s="798"/>
      <c r="G65" s="776"/>
      <c r="H65" s="776"/>
      <c r="I65" s="776"/>
      <c r="J65" s="914"/>
      <c r="K65" s="798"/>
      <c r="L65" s="911"/>
    </row>
    <row r="66" customFormat="false" ht="30.75" hidden="false" customHeight="true" outlineLevel="0" collapsed="false">
      <c r="A66" s="782"/>
      <c r="B66" s="774"/>
      <c r="C66" s="798"/>
      <c r="D66" s="798"/>
      <c r="E66" s="798"/>
      <c r="F66" s="798"/>
      <c r="G66" s="776"/>
      <c r="H66" s="776"/>
      <c r="I66" s="776"/>
      <c r="J66" s="914"/>
      <c r="K66" s="798"/>
      <c r="L66" s="911"/>
    </row>
    <row r="67" customFormat="false" ht="30.75" hidden="false" customHeight="true" outlineLevel="0" collapsed="false">
      <c r="A67" s="782"/>
      <c r="B67" s="774"/>
      <c r="C67" s="798"/>
      <c r="D67" s="798"/>
      <c r="E67" s="798"/>
      <c r="F67" s="798"/>
      <c r="G67" s="776"/>
      <c r="H67" s="776"/>
      <c r="I67" s="776"/>
      <c r="J67" s="914"/>
      <c r="K67" s="798"/>
      <c r="L67" s="911"/>
    </row>
    <row r="68" customFormat="false" ht="30.75" hidden="false" customHeight="true" outlineLevel="0" collapsed="false">
      <c r="A68" s="782"/>
      <c r="B68" s="774"/>
      <c r="C68" s="798"/>
      <c r="D68" s="798"/>
      <c r="E68" s="798"/>
      <c r="F68" s="798"/>
      <c r="G68" s="776"/>
      <c r="H68" s="776"/>
      <c r="I68" s="906"/>
      <c r="J68" s="914"/>
      <c r="K68" s="798"/>
      <c r="L68" s="911"/>
    </row>
    <row r="69" customFormat="false" ht="30.75" hidden="false" customHeight="true" outlineLevel="0" collapsed="false">
      <c r="A69" s="782"/>
      <c r="B69" s="774"/>
      <c r="C69" s="798"/>
      <c r="D69" s="798"/>
      <c r="E69" s="798"/>
      <c r="F69" s="798"/>
      <c r="G69" s="776"/>
      <c r="H69" s="776"/>
      <c r="I69" s="906"/>
      <c r="J69" s="914"/>
      <c r="K69" s="798"/>
      <c r="L69" s="918"/>
    </row>
    <row r="70" customFormat="false" ht="30.75" hidden="false" customHeight="true" outlineLevel="0" collapsed="false">
      <c r="A70" s="782"/>
      <c r="B70" s="774"/>
      <c r="C70" s="798"/>
      <c r="D70" s="798"/>
      <c r="E70" s="798"/>
      <c r="F70" s="798"/>
      <c r="G70" s="776"/>
      <c r="H70" s="776"/>
      <c r="I70" s="906"/>
      <c r="J70" s="914"/>
      <c r="K70" s="798"/>
      <c r="L70" s="911"/>
    </row>
    <row r="71" customFormat="false" ht="30.75" hidden="false" customHeight="true" outlineLevel="0" collapsed="false">
      <c r="A71" s="782"/>
      <c r="B71" s="774"/>
      <c r="C71" s="798"/>
      <c r="D71" s="798"/>
      <c r="E71" s="798"/>
      <c r="F71" s="798"/>
      <c r="G71" s="776"/>
      <c r="H71" s="776"/>
      <c r="I71" s="906"/>
      <c r="J71" s="914"/>
      <c r="K71" s="798"/>
      <c r="L71" s="911"/>
    </row>
    <row r="72" customFormat="false" ht="30.75" hidden="false" customHeight="true" outlineLevel="0" collapsed="false">
      <c r="A72" s="782"/>
      <c r="B72" s="774"/>
      <c r="C72" s="798"/>
      <c r="D72" s="798"/>
      <c r="E72" s="798"/>
      <c r="F72" s="798"/>
      <c r="G72" s="776"/>
      <c r="H72" s="776"/>
      <c r="I72" s="906"/>
      <c r="J72" s="914"/>
      <c r="K72" s="798"/>
      <c r="L72" s="911"/>
    </row>
    <row r="73" customFormat="false" ht="30.75" hidden="false" customHeight="true" outlineLevel="0" collapsed="false">
      <c r="A73" s="782"/>
      <c r="B73" s="774"/>
      <c r="C73" s="798"/>
      <c r="D73" s="798"/>
      <c r="E73" s="798"/>
      <c r="F73" s="798"/>
      <c r="G73" s="776"/>
      <c r="H73" s="776"/>
      <c r="I73" s="906"/>
      <c r="J73" s="914"/>
      <c r="K73" s="798"/>
      <c r="L73" s="911"/>
    </row>
    <row r="74" customFormat="false" ht="30.75" hidden="false" customHeight="true" outlineLevel="0" collapsed="false">
      <c r="A74" s="782"/>
      <c r="B74" s="774"/>
      <c r="C74" s="798"/>
      <c r="D74" s="798"/>
      <c r="E74" s="798"/>
      <c r="F74" s="798"/>
      <c r="G74" s="776"/>
      <c r="H74" s="776"/>
      <c r="I74" s="906"/>
      <c r="J74" s="914"/>
      <c r="K74" s="798"/>
      <c r="L74" s="918"/>
    </row>
    <row r="75" customFormat="false" ht="30.75" hidden="false" customHeight="true" outlineLevel="0" collapsed="false">
      <c r="A75" s="782"/>
      <c r="B75" s="774"/>
      <c r="C75" s="798"/>
      <c r="D75" s="798"/>
      <c r="E75" s="798"/>
      <c r="F75" s="798"/>
      <c r="G75" s="776"/>
      <c r="H75" s="776"/>
      <c r="I75" s="906"/>
      <c r="J75" s="914"/>
      <c r="K75" s="798"/>
      <c r="L75" s="911"/>
    </row>
    <row r="76" customFormat="false" ht="30.75" hidden="false" customHeight="true" outlineLevel="0" collapsed="false">
      <c r="A76" s="782"/>
      <c r="B76" s="774"/>
      <c r="C76" s="798"/>
      <c r="D76" s="798"/>
      <c r="E76" s="798"/>
      <c r="F76" s="798"/>
      <c r="G76" s="776"/>
      <c r="H76" s="776"/>
      <c r="I76" s="906"/>
      <c r="J76" s="914"/>
      <c r="K76" s="798"/>
      <c r="L76" s="911"/>
    </row>
    <row r="77" customFormat="false" ht="30.75" hidden="false" customHeight="true" outlineLevel="0" collapsed="false">
      <c r="A77" s="782"/>
      <c r="B77" s="774"/>
      <c r="C77" s="798"/>
      <c r="D77" s="798"/>
      <c r="E77" s="798"/>
      <c r="F77" s="798"/>
      <c r="G77" s="776"/>
      <c r="H77" s="776"/>
      <c r="I77" s="906"/>
      <c r="J77" s="914"/>
      <c r="K77" s="798"/>
      <c r="L77" s="918"/>
    </row>
    <row r="78" customFormat="false" ht="30.75" hidden="false" customHeight="true" outlineLevel="0" collapsed="false">
      <c r="A78" s="782"/>
      <c r="B78" s="774"/>
      <c r="C78" s="798"/>
      <c r="D78" s="798"/>
      <c r="E78" s="798"/>
      <c r="F78" s="798"/>
      <c r="G78" s="776"/>
      <c r="H78" s="776"/>
      <c r="I78" s="906"/>
      <c r="J78" s="914"/>
      <c r="K78" s="798"/>
      <c r="L78" s="911"/>
    </row>
    <row r="79" customFormat="false" ht="30.75" hidden="false" customHeight="true" outlineLevel="0" collapsed="false">
      <c r="A79" s="782"/>
      <c r="B79" s="774"/>
      <c r="C79" s="798"/>
      <c r="D79" s="798"/>
      <c r="E79" s="798"/>
      <c r="F79" s="798"/>
      <c r="G79" s="776"/>
      <c r="H79" s="776"/>
      <c r="I79" s="906"/>
      <c r="J79" s="914"/>
      <c r="K79" s="798"/>
      <c r="L79" s="911"/>
    </row>
    <row r="80" customFormat="false" ht="30.75" hidden="false" customHeight="true" outlineLevel="0" collapsed="false">
      <c r="A80" s="782"/>
      <c r="B80" s="798"/>
      <c r="C80" s="798"/>
      <c r="D80" s="798"/>
      <c r="E80" s="798"/>
      <c r="F80" s="798"/>
      <c r="G80" s="776"/>
      <c r="H80" s="776"/>
      <c r="I80" s="906"/>
      <c r="J80" s="907"/>
      <c r="K80" s="798"/>
      <c r="L80" s="911"/>
    </row>
    <row r="81" customFormat="false" ht="30.75" hidden="false" customHeight="true" outlineLevel="0" collapsed="false">
      <c r="A81" s="782"/>
      <c r="B81" s="798"/>
      <c r="C81" s="798"/>
      <c r="D81" s="798"/>
      <c r="E81" s="798"/>
      <c r="F81" s="798"/>
      <c r="G81" s="776"/>
      <c r="H81" s="776"/>
      <c r="I81" s="906"/>
      <c r="J81" s="907"/>
      <c r="K81" s="798"/>
      <c r="L81" s="911"/>
    </row>
    <row r="82" customFormat="false" ht="30.75" hidden="false" customHeight="true" outlineLevel="0" collapsed="false">
      <c r="A82" s="782"/>
      <c r="B82" s="798"/>
      <c r="C82" s="798"/>
      <c r="D82" s="798"/>
      <c r="E82" s="798"/>
      <c r="F82" s="798"/>
      <c r="G82" s="776"/>
      <c r="H82" s="776"/>
      <c r="I82" s="906"/>
      <c r="J82" s="907"/>
      <c r="K82" s="798"/>
      <c r="L82" s="911"/>
    </row>
    <row r="83" customFormat="false" ht="30.75" hidden="false" customHeight="true" outlineLevel="0" collapsed="false">
      <c r="A83" s="782"/>
      <c r="B83" s="798"/>
      <c r="C83" s="798"/>
      <c r="D83" s="798"/>
      <c r="E83" s="798"/>
      <c r="F83" s="798"/>
      <c r="G83" s="776"/>
      <c r="H83" s="776"/>
      <c r="I83" s="906"/>
      <c r="J83" s="907"/>
      <c r="K83" s="798"/>
      <c r="L83" s="911"/>
    </row>
    <row r="84" customFormat="false" ht="30.75" hidden="false" customHeight="true" outlineLevel="0" collapsed="false">
      <c r="A84" s="782"/>
      <c r="B84" s="798"/>
      <c r="C84" s="798"/>
      <c r="D84" s="798"/>
      <c r="E84" s="798"/>
      <c r="F84" s="798"/>
      <c r="G84" s="776"/>
      <c r="H84" s="776"/>
      <c r="I84" s="906"/>
      <c r="J84" s="907"/>
      <c r="K84" s="798"/>
      <c r="L84" s="911"/>
    </row>
    <row r="85" customFormat="false" ht="30.75" hidden="false" customHeight="true" outlineLevel="0" collapsed="false">
      <c r="A85" s="782"/>
      <c r="B85" s="798"/>
      <c r="C85" s="798"/>
      <c r="D85" s="798"/>
      <c r="E85" s="798"/>
      <c r="F85" s="798"/>
      <c r="G85" s="776"/>
      <c r="H85" s="776"/>
      <c r="I85" s="906"/>
      <c r="J85" s="907"/>
      <c r="K85" s="798"/>
      <c r="L85" s="911"/>
    </row>
    <row r="86" customFormat="false" ht="30.75" hidden="false" customHeight="true" outlineLevel="0" collapsed="false">
      <c r="A86" s="782"/>
      <c r="B86" s="798"/>
      <c r="C86" s="798"/>
      <c r="D86" s="798"/>
      <c r="E86" s="798"/>
      <c r="F86" s="798"/>
      <c r="G86" s="776"/>
      <c r="H86" s="776"/>
      <c r="I86" s="906"/>
      <c r="J86" s="907"/>
      <c r="K86" s="798"/>
      <c r="L86" s="911"/>
    </row>
    <row r="87" customFormat="false" ht="30.75" hidden="false" customHeight="true" outlineLevel="0" collapsed="false">
      <c r="A87" s="782"/>
      <c r="B87" s="798"/>
      <c r="C87" s="798"/>
      <c r="D87" s="798"/>
      <c r="E87" s="798"/>
      <c r="F87" s="798"/>
      <c r="G87" s="776"/>
      <c r="H87" s="776"/>
      <c r="I87" s="906"/>
      <c r="J87" s="907"/>
      <c r="K87" s="798"/>
      <c r="L87" s="911"/>
    </row>
    <row r="88" customFormat="false" ht="30.75" hidden="false" customHeight="true" outlineLevel="0" collapsed="false">
      <c r="A88" s="782"/>
      <c r="B88" s="798"/>
      <c r="C88" s="798"/>
      <c r="D88" s="798"/>
      <c r="E88" s="798"/>
      <c r="F88" s="798"/>
      <c r="G88" s="776"/>
      <c r="H88" s="776"/>
      <c r="I88" s="906"/>
      <c r="J88" s="907"/>
      <c r="K88" s="798"/>
      <c r="L88" s="911"/>
    </row>
    <row r="89" customFormat="false" ht="30.75" hidden="false" customHeight="true" outlineLevel="0" collapsed="false">
      <c r="A89" s="782"/>
      <c r="B89" s="798"/>
      <c r="C89" s="798"/>
      <c r="D89" s="798"/>
      <c r="E89" s="798"/>
      <c r="F89" s="798"/>
      <c r="G89" s="776"/>
      <c r="H89" s="776"/>
      <c r="I89" s="906"/>
      <c r="J89" s="907"/>
      <c r="K89" s="798"/>
      <c r="L89" s="911"/>
    </row>
    <row r="90" customFormat="false" ht="30.75" hidden="false" customHeight="true" outlineLevel="0" collapsed="false">
      <c r="A90" s="782"/>
      <c r="B90" s="798"/>
      <c r="C90" s="798"/>
      <c r="D90" s="798"/>
      <c r="E90" s="798"/>
      <c r="F90" s="798"/>
      <c r="G90" s="776"/>
      <c r="H90" s="776"/>
      <c r="I90" s="906"/>
      <c r="J90" s="907"/>
      <c r="K90" s="798"/>
      <c r="L90" s="911"/>
    </row>
    <row r="91" customFormat="false" ht="30.75" hidden="false" customHeight="true" outlineLevel="0" collapsed="false">
      <c r="A91" s="782"/>
      <c r="B91" s="798"/>
      <c r="C91" s="798"/>
      <c r="D91" s="798"/>
      <c r="E91" s="798"/>
      <c r="F91" s="798"/>
      <c r="G91" s="776"/>
      <c r="H91" s="776"/>
      <c r="I91" s="906"/>
      <c r="J91" s="907"/>
      <c r="K91" s="798"/>
      <c r="L91" s="911"/>
    </row>
    <row r="92" customFormat="false" ht="30.75" hidden="false" customHeight="true" outlineLevel="0" collapsed="false">
      <c r="A92" s="782"/>
      <c r="B92" s="798"/>
      <c r="C92" s="798"/>
      <c r="D92" s="798"/>
      <c r="E92" s="798"/>
      <c r="F92" s="798"/>
      <c r="G92" s="776"/>
      <c r="H92" s="776"/>
      <c r="I92" s="906"/>
      <c r="J92" s="907"/>
      <c r="K92" s="798"/>
      <c r="L92" s="911"/>
    </row>
    <row r="93" customFormat="false" ht="30.75" hidden="false" customHeight="true" outlineLevel="0" collapsed="false">
      <c r="A93" s="782"/>
      <c r="B93" s="798"/>
      <c r="C93" s="798"/>
      <c r="D93" s="798"/>
      <c r="E93" s="798"/>
      <c r="F93" s="798"/>
      <c r="G93" s="776"/>
      <c r="H93" s="776"/>
      <c r="I93" s="906"/>
      <c r="J93" s="907"/>
      <c r="K93" s="798"/>
      <c r="L93" s="911"/>
    </row>
    <row r="94" customFormat="false" ht="30.75" hidden="false" customHeight="true" outlineLevel="0" collapsed="false">
      <c r="A94" s="782"/>
      <c r="B94" s="798"/>
      <c r="C94" s="798"/>
      <c r="D94" s="798"/>
      <c r="E94" s="798"/>
      <c r="F94" s="798"/>
      <c r="G94" s="776"/>
      <c r="H94" s="776"/>
      <c r="I94" s="906"/>
      <c r="J94" s="907"/>
      <c r="K94" s="798"/>
      <c r="L94" s="911"/>
    </row>
    <row r="95" customFormat="false" ht="30.75" hidden="false" customHeight="true" outlineLevel="0" collapsed="false">
      <c r="A95" s="782"/>
      <c r="B95" s="798"/>
      <c r="C95" s="798"/>
      <c r="D95" s="798"/>
      <c r="E95" s="798"/>
      <c r="F95" s="798"/>
      <c r="G95" s="776"/>
      <c r="H95" s="776"/>
      <c r="I95" s="906"/>
      <c r="J95" s="907"/>
      <c r="K95" s="798"/>
      <c r="L95" s="911"/>
    </row>
    <row r="96" customFormat="false" ht="30.75" hidden="false" customHeight="true" outlineLevel="0" collapsed="false">
      <c r="A96" s="782"/>
      <c r="B96" s="798"/>
      <c r="C96" s="798"/>
      <c r="D96" s="798"/>
      <c r="E96" s="798"/>
      <c r="F96" s="798"/>
      <c r="G96" s="776"/>
      <c r="H96" s="776"/>
      <c r="I96" s="906"/>
      <c r="J96" s="907"/>
      <c r="K96" s="798"/>
      <c r="L96" s="911"/>
    </row>
    <row r="97" customFormat="false" ht="30.75" hidden="false" customHeight="true" outlineLevel="0" collapsed="false">
      <c r="A97" s="782"/>
      <c r="B97" s="798"/>
      <c r="C97" s="798"/>
      <c r="D97" s="798"/>
      <c r="E97" s="798"/>
      <c r="F97" s="798"/>
      <c r="G97" s="776"/>
      <c r="H97" s="776"/>
      <c r="I97" s="906"/>
      <c r="J97" s="907"/>
      <c r="K97" s="798"/>
      <c r="L97" s="911"/>
    </row>
    <row r="98" customFormat="false" ht="30.75" hidden="false" customHeight="true" outlineLevel="0" collapsed="false">
      <c r="A98" s="782"/>
      <c r="B98" s="798"/>
      <c r="C98" s="798"/>
      <c r="D98" s="798"/>
      <c r="E98" s="798"/>
      <c r="F98" s="798"/>
      <c r="G98" s="776"/>
      <c r="H98" s="776"/>
      <c r="I98" s="906"/>
      <c r="J98" s="907"/>
      <c r="K98" s="798"/>
      <c r="L98" s="911"/>
    </row>
    <row r="99" customFormat="false" ht="30.75" hidden="false" customHeight="true" outlineLevel="0" collapsed="false">
      <c r="A99" s="782"/>
      <c r="B99" s="798"/>
      <c r="C99" s="798"/>
      <c r="D99" s="798"/>
      <c r="E99" s="798"/>
      <c r="F99" s="798"/>
      <c r="G99" s="776"/>
      <c r="H99" s="776"/>
      <c r="I99" s="906"/>
      <c r="J99" s="907"/>
      <c r="K99" s="798"/>
      <c r="L99" s="911"/>
    </row>
    <row r="100" customFormat="false" ht="30.75" hidden="false" customHeight="true" outlineLevel="0" collapsed="false">
      <c r="A100" s="782"/>
      <c r="B100" s="798"/>
      <c r="C100" s="798"/>
      <c r="D100" s="798"/>
      <c r="E100" s="798"/>
      <c r="F100" s="798"/>
      <c r="G100" s="776"/>
      <c r="H100" s="776"/>
      <c r="I100" s="906"/>
      <c r="J100" s="907"/>
      <c r="K100" s="798"/>
      <c r="L100" s="911"/>
    </row>
    <row r="101" customFormat="false" ht="30.75" hidden="false" customHeight="true" outlineLevel="0" collapsed="false">
      <c r="A101" s="782"/>
      <c r="B101" s="798"/>
      <c r="C101" s="798"/>
      <c r="D101" s="798"/>
      <c r="E101" s="798"/>
      <c r="F101" s="798"/>
      <c r="G101" s="776"/>
      <c r="H101" s="776"/>
      <c r="I101" s="906"/>
      <c r="J101" s="907"/>
      <c r="K101" s="798"/>
      <c r="L101" s="911"/>
    </row>
    <row r="102" customFormat="false" ht="30.75" hidden="false" customHeight="true" outlineLevel="0" collapsed="false">
      <c r="A102" s="782"/>
      <c r="B102" s="798"/>
      <c r="C102" s="798"/>
      <c r="D102" s="798"/>
      <c r="E102" s="798"/>
      <c r="F102" s="798"/>
      <c r="G102" s="776"/>
      <c r="H102" s="776"/>
      <c r="I102" s="906"/>
      <c r="J102" s="907"/>
      <c r="K102" s="798"/>
      <c r="L102" s="911"/>
    </row>
    <row r="103" customFormat="false" ht="30.75" hidden="false" customHeight="true" outlineLevel="0" collapsed="false">
      <c r="A103" s="782"/>
      <c r="B103" s="798"/>
      <c r="C103" s="798"/>
      <c r="D103" s="798"/>
      <c r="E103" s="798"/>
      <c r="F103" s="798"/>
      <c r="G103" s="776"/>
      <c r="H103" s="776"/>
      <c r="I103" s="906"/>
      <c r="J103" s="907"/>
      <c r="K103" s="798"/>
      <c r="L103" s="911"/>
    </row>
    <row r="104" customFormat="false" ht="30.75" hidden="false" customHeight="true" outlineLevel="0" collapsed="false">
      <c r="A104" s="782"/>
      <c r="B104" s="798"/>
      <c r="C104" s="798"/>
      <c r="D104" s="798"/>
      <c r="E104" s="798"/>
      <c r="F104" s="798"/>
      <c r="G104" s="776"/>
      <c r="H104" s="776"/>
      <c r="I104" s="906"/>
      <c r="J104" s="907"/>
      <c r="K104" s="798"/>
      <c r="L104" s="911"/>
    </row>
    <row r="105" customFormat="false" ht="30.75" hidden="false" customHeight="true" outlineLevel="0" collapsed="false">
      <c r="A105" s="782"/>
      <c r="B105" s="798"/>
      <c r="C105" s="798"/>
      <c r="D105" s="798"/>
      <c r="E105" s="798"/>
      <c r="F105" s="798"/>
      <c r="G105" s="776"/>
      <c r="H105" s="776"/>
      <c r="I105" s="906"/>
      <c r="J105" s="907"/>
      <c r="K105" s="798"/>
      <c r="L105" s="911"/>
    </row>
    <row r="106" customFormat="false" ht="30.75" hidden="false" customHeight="true" outlineLevel="0" collapsed="false">
      <c r="A106" s="782"/>
      <c r="B106" s="798"/>
      <c r="C106" s="798"/>
      <c r="D106" s="798"/>
      <c r="E106" s="798"/>
      <c r="F106" s="798"/>
      <c r="G106" s="776"/>
      <c r="H106" s="776"/>
      <c r="I106" s="906"/>
      <c r="J106" s="907"/>
      <c r="K106" s="798"/>
      <c r="L106" s="911"/>
    </row>
    <row r="107" customFormat="false" ht="30.75" hidden="false" customHeight="true" outlineLevel="0" collapsed="false">
      <c r="A107" s="782"/>
      <c r="B107" s="798"/>
      <c r="C107" s="798"/>
      <c r="D107" s="798"/>
      <c r="E107" s="798"/>
      <c r="F107" s="798"/>
      <c r="G107" s="776"/>
      <c r="H107" s="776"/>
      <c r="I107" s="906"/>
      <c r="J107" s="907"/>
      <c r="K107" s="798"/>
      <c r="L107" s="911"/>
    </row>
    <row r="108" customFormat="false" ht="30.75" hidden="false" customHeight="true" outlineLevel="0" collapsed="false">
      <c r="A108" s="782"/>
      <c r="B108" s="798"/>
      <c r="C108" s="798"/>
      <c r="D108" s="798"/>
      <c r="E108" s="798"/>
      <c r="F108" s="798"/>
      <c r="G108" s="776"/>
      <c r="H108" s="776"/>
      <c r="I108" s="906"/>
      <c r="J108" s="907"/>
      <c r="K108" s="798"/>
      <c r="L108" s="911"/>
    </row>
    <row r="109" customFormat="false" ht="30.75" hidden="false" customHeight="true" outlineLevel="0" collapsed="false">
      <c r="A109" s="782"/>
      <c r="B109" s="798"/>
      <c r="C109" s="798"/>
      <c r="D109" s="798"/>
      <c r="E109" s="798"/>
      <c r="F109" s="798"/>
      <c r="G109" s="776"/>
      <c r="H109" s="776"/>
      <c r="I109" s="906"/>
      <c r="J109" s="907"/>
      <c r="K109" s="798"/>
      <c r="L109" s="911"/>
    </row>
    <row r="110" customFormat="false" ht="30.75" hidden="false" customHeight="true" outlineLevel="0" collapsed="false">
      <c r="A110" s="782"/>
      <c r="B110" s="798"/>
      <c r="C110" s="798"/>
      <c r="D110" s="798"/>
      <c r="E110" s="798"/>
      <c r="F110" s="798"/>
      <c r="G110" s="776"/>
      <c r="H110" s="776"/>
      <c r="I110" s="906"/>
      <c r="J110" s="907"/>
      <c r="K110" s="798"/>
      <c r="L110" s="911"/>
    </row>
    <row r="111" customFormat="false" ht="30.75" hidden="false" customHeight="true" outlineLevel="0" collapsed="false">
      <c r="A111" s="782"/>
      <c r="B111" s="798"/>
      <c r="C111" s="798"/>
      <c r="D111" s="798"/>
      <c r="E111" s="798"/>
      <c r="F111" s="798"/>
      <c r="G111" s="776"/>
      <c r="H111" s="776"/>
      <c r="I111" s="906"/>
      <c r="J111" s="907"/>
      <c r="K111" s="798"/>
      <c r="L111" s="911"/>
    </row>
    <row r="112" customFormat="false" ht="30.75" hidden="false" customHeight="true" outlineLevel="0" collapsed="false">
      <c r="A112" s="782"/>
      <c r="B112" s="798"/>
      <c r="C112" s="798"/>
      <c r="D112" s="798"/>
      <c r="E112" s="798"/>
      <c r="F112" s="798"/>
      <c r="G112" s="776"/>
      <c r="H112" s="776"/>
      <c r="I112" s="906"/>
      <c r="J112" s="907"/>
      <c r="K112" s="798"/>
      <c r="L112" s="911"/>
    </row>
    <row r="113" customFormat="false" ht="30.75" hidden="false" customHeight="true" outlineLevel="0" collapsed="false">
      <c r="A113" s="782"/>
      <c r="B113" s="798"/>
      <c r="C113" s="798"/>
      <c r="D113" s="798"/>
      <c r="E113" s="798"/>
      <c r="F113" s="798"/>
      <c r="G113" s="776"/>
      <c r="H113" s="776"/>
      <c r="I113" s="906"/>
      <c r="J113" s="907"/>
      <c r="K113" s="798"/>
      <c r="L113" s="911"/>
    </row>
    <row r="114" customFormat="false" ht="30.75" hidden="false" customHeight="true" outlineLevel="0" collapsed="false">
      <c r="A114" s="782"/>
      <c r="B114" s="798"/>
      <c r="C114" s="798"/>
      <c r="D114" s="798"/>
      <c r="E114" s="798"/>
      <c r="F114" s="798"/>
      <c r="G114" s="776"/>
      <c r="H114" s="776"/>
      <c r="I114" s="906"/>
      <c r="J114" s="907"/>
      <c r="K114" s="798"/>
      <c r="L114" s="911"/>
    </row>
    <row r="115" customFormat="false" ht="30.75" hidden="false" customHeight="true" outlineLevel="0" collapsed="false">
      <c r="A115" s="782"/>
      <c r="B115" s="798"/>
      <c r="C115" s="798"/>
      <c r="D115" s="798"/>
      <c r="E115" s="798"/>
      <c r="F115" s="798"/>
      <c r="G115" s="776"/>
      <c r="H115" s="776"/>
      <c r="I115" s="906"/>
      <c r="J115" s="907"/>
      <c r="K115" s="798"/>
      <c r="L115" s="911"/>
    </row>
    <row r="116" customFormat="false" ht="30.75" hidden="false" customHeight="true" outlineLevel="0" collapsed="false">
      <c r="A116" s="782"/>
      <c r="B116" s="798"/>
      <c r="C116" s="798"/>
      <c r="D116" s="798"/>
      <c r="E116" s="798"/>
      <c r="F116" s="798"/>
      <c r="G116" s="776"/>
      <c r="H116" s="776"/>
      <c r="I116" s="906"/>
      <c r="J116" s="907"/>
      <c r="K116" s="798"/>
      <c r="L116" s="911"/>
    </row>
    <row r="117" customFormat="false" ht="30.75" hidden="false" customHeight="true" outlineLevel="0" collapsed="false">
      <c r="A117" s="782"/>
      <c r="B117" s="798"/>
      <c r="C117" s="798"/>
      <c r="D117" s="798"/>
      <c r="E117" s="798"/>
      <c r="F117" s="798"/>
      <c r="G117" s="776"/>
      <c r="H117" s="776"/>
      <c r="I117" s="906"/>
      <c r="J117" s="907"/>
      <c r="K117" s="798"/>
      <c r="L117" s="911"/>
    </row>
    <row r="118" customFormat="false" ht="30.75" hidden="false" customHeight="true" outlineLevel="0" collapsed="false">
      <c r="A118" s="782"/>
      <c r="B118" s="798"/>
      <c r="C118" s="798"/>
      <c r="D118" s="798"/>
      <c r="E118" s="798"/>
      <c r="F118" s="798"/>
      <c r="G118" s="776"/>
      <c r="H118" s="776"/>
      <c r="I118" s="906"/>
      <c r="J118" s="907"/>
      <c r="K118" s="798"/>
      <c r="L118" s="911"/>
    </row>
    <row r="119" customFormat="false" ht="30.75" hidden="false" customHeight="true" outlineLevel="0" collapsed="false">
      <c r="A119" s="782"/>
      <c r="B119" s="798"/>
      <c r="C119" s="798"/>
      <c r="D119" s="798"/>
      <c r="E119" s="798"/>
      <c r="F119" s="798"/>
      <c r="G119" s="776"/>
      <c r="H119" s="776"/>
      <c r="I119" s="906"/>
      <c r="J119" s="907"/>
      <c r="K119" s="798"/>
      <c r="L119" s="911"/>
    </row>
    <row r="120" customFormat="false" ht="30.75" hidden="false" customHeight="true" outlineLevel="0" collapsed="false">
      <c r="A120" s="782"/>
      <c r="B120" s="798"/>
      <c r="C120" s="798"/>
      <c r="D120" s="798"/>
      <c r="E120" s="798"/>
      <c r="F120" s="798"/>
      <c r="G120" s="776"/>
      <c r="H120" s="776"/>
      <c r="I120" s="906"/>
      <c r="J120" s="907"/>
      <c r="K120" s="798"/>
      <c r="L120" s="911"/>
    </row>
    <row r="121" customFormat="false" ht="30.75" hidden="false" customHeight="true" outlineLevel="0" collapsed="false">
      <c r="A121" s="782"/>
      <c r="B121" s="798"/>
      <c r="C121" s="798"/>
      <c r="D121" s="798"/>
      <c r="E121" s="798"/>
      <c r="F121" s="798"/>
      <c r="G121" s="776"/>
      <c r="H121" s="776"/>
      <c r="I121" s="906"/>
      <c r="J121" s="907"/>
      <c r="K121" s="798"/>
      <c r="L121" s="911"/>
    </row>
    <row r="122" customFormat="false" ht="30.75" hidden="false" customHeight="true" outlineLevel="0" collapsed="false">
      <c r="A122" s="782"/>
      <c r="B122" s="798"/>
      <c r="C122" s="798"/>
      <c r="D122" s="798"/>
      <c r="E122" s="798"/>
      <c r="F122" s="798"/>
      <c r="G122" s="776"/>
      <c r="H122" s="776"/>
      <c r="I122" s="906"/>
      <c r="J122" s="907"/>
      <c r="K122" s="798"/>
      <c r="L122" s="911"/>
    </row>
    <row r="123" customFormat="false" ht="30.75" hidden="false" customHeight="true" outlineLevel="0" collapsed="false">
      <c r="A123" s="782"/>
      <c r="B123" s="798"/>
      <c r="C123" s="798"/>
      <c r="D123" s="798"/>
      <c r="E123" s="798"/>
      <c r="F123" s="798"/>
      <c r="G123" s="776"/>
      <c r="H123" s="776"/>
      <c r="I123" s="906"/>
      <c r="J123" s="907"/>
      <c r="K123" s="798"/>
      <c r="L123" s="911"/>
    </row>
    <row r="124" customFormat="false" ht="30.75" hidden="false" customHeight="true" outlineLevel="0" collapsed="false">
      <c r="A124" s="782"/>
      <c r="B124" s="798"/>
      <c r="C124" s="798"/>
      <c r="D124" s="798"/>
      <c r="E124" s="798"/>
      <c r="F124" s="798"/>
      <c r="G124" s="776"/>
      <c r="H124" s="776"/>
      <c r="I124" s="906"/>
      <c r="J124" s="907"/>
      <c r="K124" s="798"/>
      <c r="L124" s="911"/>
    </row>
    <row r="125" customFormat="false" ht="30.75" hidden="false" customHeight="true" outlineLevel="0" collapsed="false">
      <c r="A125" s="782"/>
      <c r="B125" s="798"/>
      <c r="C125" s="798"/>
      <c r="D125" s="798"/>
      <c r="E125" s="798"/>
      <c r="F125" s="798"/>
      <c r="G125" s="776"/>
      <c r="H125" s="776"/>
      <c r="I125" s="906"/>
      <c r="J125" s="907"/>
      <c r="K125" s="798"/>
      <c r="L125" s="911"/>
    </row>
    <row r="126" customFormat="false" ht="30.75" hidden="false" customHeight="true" outlineLevel="0" collapsed="false">
      <c r="A126" s="782"/>
      <c r="B126" s="798"/>
      <c r="C126" s="798"/>
      <c r="D126" s="798"/>
      <c r="E126" s="798"/>
      <c r="F126" s="798"/>
      <c r="G126" s="776"/>
      <c r="H126" s="776"/>
      <c r="I126" s="906"/>
      <c r="J126" s="907"/>
      <c r="K126" s="798"/>
      <c r="L126" s="911"/>
    </row>
    <row r="127" customFormat="false" ht="30.75" hidden="false" customHeight="true" outlineLevel="0" collapsed="false">
      <c r="A127" s="782"/>
      <c r="B127" s="798"/>
      <c r="C127" s="798"/>
      <c r="D127" s="798"/>
      <c r="E127" s="798"/>
      <c r="F127" s="798"/>
      <c r="G127" s="776"/>
      <c r="H127" s="776"/>
      <c r="I127" s="906"/>
      <c r="J127" s="907"/>
      <c r="K127" s="798"/>
      <c r="L127" s="911"/>
    </row>
    <row r="128" customFormat="false" ht="30.75" hidden="false" customHeight="true" outlineLevel="0" collapsed="false">
      <c r="A128" s="782"/>
      <c r="B128" s="798"/>
      <c r="C128" s="798"/>
      <c r="D128" s="798"/>
      <c r="E128" s="798"/>
      <c r="F128" s="798"/>
      <c r="G128" s="776"/>
      <c r="H128" s="776"/>
      <c r="I128" s="906"/>
      <c r="J128" s="907"/>
      <c r="K128" s="798"/>
      <c r="L128" s="911"/>
    </row>
    <row r="129" customFormat="false" ht="30.75" hidden="false" customHeight="true" outlineLevel="0" collapsed="false">
      <c r="A129" s="782"/>
      <c r="B129" s="798"/>
      <c r="C129" s="798"/>
      <c r="D129" s="798"/>
      <c r="E129" s="798"/>
      <c r="F129" s="798"/>
      <c r="G129" s="776"/>
      <c r="H129" s="776"/>
      <c r="I129" s="906"/>
      <c r="J129" s="907"/>
      <c r="K129" s="798"/>
      <c r="L129" s="911"/>
    </row>
    <row r="130" customFormat="false" ht="30.75" hidden="false" customHeight="true" outlineLevel="0" collapsed="false">
      <c r="A130" s="782"/>
      <c r="B130" s="798"/>
      <c r="C130" s="798"/>
      <c r="D130" s="798"/>
      <c r="E130" s="798"/>
      <c r="F130" s="798"/>
      <c r="G130" s="776"/>
      <c r="H130" s="776"/>
      <c r="I130" s="906"/>
      <c r="J130" s="907"/>
      <c r="K130" s="798"/>
      <c r="L130" s="911"/>
    </row>
    <row r="131" customFormat="false" ht="30.75" hidden="false" customHeight="true" outlineLevel="0" collapsed="false">
      <c r="A131" s="782"/>
      <c r="B131" s="798"/>
      <c r="C131" s="798"/>
      <c r="D131" s="798"/>
      <c r="E131" s="798"/>
      <c r="F131" s="798"/>
      <c r="G131" s="776"/>
      <c r="H131" s="776"/>
      <c r="I131" s="906"/>
      <c r="J131" s="907"/>
      <c r="K131" s="798"/>
      <c r="L131" s="911"/>
    </row>
    <row r="132" customFormat="false" ht="30.75" hidden="false" customHeight="true" outlineLevel="0" collapsed="false">
      <c r="A132" s="782"/>
      <c r="B132" s="798"/>
      <c r="C132" s="798"/>
      <c r="D132" s="798"/>
      <c r="E132" s="798"/>
      <c r="F132" s="798"/>
      <c r="G132" s="776"/>
      <c r="H132" s="776"/>
      <c r="I132" s="906"/>
      <c r="J132" s="907"/>
      <c r="K132" s="798"/>
      <c r="L132" s="911"/>
    </row>
    <row r="133" customFormat="false" ht="30.75" hidden="false" customHeight="true" outlineLevel="0" collapsed="false">
      <c r="A133" s="782"/>
      <c r="B133" s="798"/>
      <c r="C133" s="798"/>
      <c r="D133" s="798"/>
      <c r="E133" s="798"/>
      <c r="F133" s="798"/>
      <c r="G133" s="776"/>
      <c r="H133" s="776"/>
      <c r="I133" s="906"/>
      <c r="J133" s="907"/>
      <c r="K133" s="798"/>
      <c r="L133" s="911"/>
    </row>
    <row r="134" customFormat="false" ht="30.75" hidden="false" customHeight="true" outlineLevel="0" collapsed="false">
      <c r="A134" s="782"/>
      <c r="B134" s="798"/>
      <c r="C134" s="798"/>
      <c r="D134" s="798"/>
      <c r="E134" s="798"/>
      <c r="F134" s="798"/>
      <c r="G134" s="776"/>
      <c r="H134" s="776"/>
      <c r="I134" s="906"/>
      <c r="J134" s="907"/>
      <c r="K134" s="798"/>
      <c r="L134" s="911"/>
    </row>
    <row r="135" customFormat="false" ht="30.75" hidden="false" customHeight="true" outlineLevel="0" collapsed="false">
      <c r="A135" s="782"/>
      <c r="B135" s="798"/>
      <c r="C135" s="798"/>
      <c r="D135" s="798"/>
      <c r="E135" s="798"/>
      <c r="F135" s="798"/>
      <c r="G135" s="776"/>
      <c r="H135" s="776"/>
      <c r="I135" s="906"/>
      <c r="J135" s="907"/>
      <c r="K135" s="798"/>
      <c r="L135" s="911"/>
    </row>
    <row r="136" customFormat="false" ht="30.75" hidden="false" customHeight="true" outlineLevel="0" collapsed="false">
      <c r="A136" s="782"/>
      <c r="B136" s="798"/>
      <c r="C136" s="798"/>
      <c r="D136" s="798"/>
      <c r="E136" s="798"/>
      <c r="F136" s="798"/>
      <c r="G136" s="776"/>
      <c r="H136" s="776"/>
      <c r="I136" s="906"/>
      <c r="J136" s="907"/>
      <c r="K136" s="798"/>
      <c r="L136" s="911"/>
    </row>
    <row r="137" customFormat="false" ht="30.75" hidden="false" customHeight="true" outlineLevel="0" collapsed="false">
      <c r="A137" s="782"/>
      <c r="B137" s="798"/>
      <c r="C137" s="798"/>
      <c r="D137" s="798"/>
      <c r="E137" s="798"/>
      <c r="F137" s="798"/>
      <c r="G137" s="776"/>
      <c r="H137" s="776"/>
      <c r="I137" s="906"/>
      <c r="J137" s="907"/>
      <c r="K137" s="798"/>
      <c r="L137" s="911"/>
    </row>
    <row r="138" customFormat="false" ht="30.75" hidden="false" customHeight="true" outlineLevel="0" collapsed="false">
      <c r="A138" s="782"/>
      <c r="B138" s="798"/>
      <c r="C138" s="798"/>
      <c r="D138" s="798"/>
      <c r="E138" s="798"/>
      <c r="F138" s="798"/>
      <c r="G138" s="776"/>
      <c r="H138" s="776"/>
      <c r="I138" s="906"/>
      <c r="J138" s="907"/>
      <c r="K138" s="798"/>
      <c r="L138" s="911"/>
    </row>
    <row r="139" customFormat="false" ht="30.75" hidden="false" customHeight="true" outlineLevel="0" collapsed="false">
      <c r="A139" s="782"/>
      <c r="B139" s="798"/>
      <c r="C139" s="798"/>
      <c r="D139" s="798"/>
      <c r="E139" s="798"/>
      <c r="F139" s="798"/>
      <c r="G139" s="776"/>
      <c r="H139" s="776"/>
      <c r="I139" s="906"/>
      <c r="J139" s="907"/>
      <c r="K139" s="798"/>
      <c r="L139" s="911"/>
    </row>
    <row r="140" customFormat="false" ht="30.75" hidden="false" customHeight="true" outlineLevel="0" collapsed="false">
      <c r="A140" s="782"/>
      <c r="B140" s="798"/>
      <c r="C140" s="798"/>
      <c r="D140" s="798"/>
      <c r="E140" s="798"/>
      <c r="F140" s="798"/>
      <c r="G140" s="776"/>
      <c r="H140" s="776"/>
      <c r="I140" s="906"/>
      <c r="J140" s="907"/>
      <c r="K140" s="798"/>
      <c r="L140" s="911"/>
    </row>
    <row r="141" customFormat="false" ht="30.75" hidden="false" customHeight="true" outlineLevel="0" collapsed="false">
      <c r="A141" s="782"/>
      <c r="B141" s="798"/>
      <c r="C141" s="798"/>
      <c r="D141" s="798"/>
      <c r="E141" s="798"/>
      <c r="F141" s="798"/>
      <c r="G141" s="776"/>
      <c r="H141" s="776"/>
      <c r="I141" s="906"/>
      <c r="J141" s="907"/>
      <c r="K141" s="798"/>
      <c r="L141" s="911"/>
    </row>
    <row r="142" customFormat="false" ht="30.75" hidden="false" customHeight="true" outlineLevel="0" collapsed="false">
      <c r="A142" s="782"/>
      <c r="B142" s="798"/>
      <c r="C142" s="798"/>
      <c r="D142" s="798"/>
      <c r="E142" s="798"/>
      <c r="F142" s="798"/>
      <c r="G142" s="776"/>
      <c r="H142" s="776"/>
      <c r="I142" s="906"/>
      <c r="J142" s="907"/>
      <c r="K142" s="798"/>
      <c r="L142" s="911"/>
    </row>
    <row r="143" customFormat="false" ht="30.75" hidden="false" customHeight="true" outlineLevel="0" collapsed="false">
      <c r="A143" s="782"/>
      <c r="B143" s="798"/>
      <c r="C143" s="798"/>
      <c r="D143" s="798"/>
      <c r="E143" s="798"/>
      <c r="F143" s="798"/>
      <c r="G143" s="776"/>
      <c r="H143" s="776"/>
      <c r="I143" s="906"/>
      <c r="J143" s="907"/>
      <c r="K143" s="798"/>
      <c r="L143" s="911"/>
    </row>
    <row r="144" customFormat="false" ht="30.75" hidden="false" customHeight="true" outlineLevel="0" collapsed="false">
      <c r="A144" s="782"/>
      <c r="B144" s="798"/>
      <c r="C144" s="798"/>
      <c r="D144" s="798"/>
      <c r="E144" s="798"/>
      <c r="F144" s="798"/>
      <c r="G144" s="776"/>
      <c r="H144" s="776"/>
      <c r="I144" s="906"/>
      <c r="J144" s="907"/>
      <c r="K144" s="798"/>
      <c r="L144" s="911"/>
    </row>
    <row r="145" customFormat="false" ht="30.75" hidden="false" customHeight="true" outlineLevel="0" collapsed="false">
      <c r="A145" s="782"/>
      <c r="B145" s="798"/>
      <c r="C145" s="798"/>
      <c r="D145" s="798"/>
      <c r="E145" s="798"/>
      <c r="F145" s="798"/>
      <c r="G145" s="776"/>
      <c r="H145" s="776"/>
      <c r="I145" s="906"/>
      <c r="J145" s="907"/>
      <c r="K145" s="798"/>
      <c r="L145" s="911"/>
    </row>
    <row r="146" customFormat="false" ht="30.75" hidden="false" customHeight="true" outlineLevel="0" collapsed="false">
      <c r="A146" s="782"/>
      <c r="B146" s="798"/>
      <c r="C146" s="798"/>
      <c r="D146" s="798"/>
      <c r="E146" s="798"/>
      <c r="F146" s="798"/>
      <c r="G146" s="776"/>
      <c r="H146" s="776"/>
      <c r="I146" s="906"/>
      <c r="J146" s="907"/>
      <c r="K146" s="798"/>
      <c r="L146" s="911"/>
    </row>
    <row r="147" customFormat="false" ht="30.75" hidden="false" customHeight="true" outlineLevel="0" collapsed="false">
      <c r="A147" s="782"/>
      <c r="B147" s="798"/>
      <c r="C147" s="798"/>
      <c r="D147" s="798"/>
      <c r="E147" s="798"/>
      <c r="F147" s="798"/>
      <c r="G147" s="776"/>
      <c r="H147" s="776"/>
      <c r="I147" s="906"/>
      <c r="J147" s="907"/>
      <c r="K147" s="798"/>
      <c r="L147" s="911"/>
    </row>
    <row r="148" customFormat="false" ht="30.75" hidden="false" customHeight="true" outlineLevel="0" collapsed="false">
      <c r="A148" s="782"/>
      <c r="B148" s="798"/>
      <c r="C148" s="798"/>
      <c r="D148" s="798"/>
      <c r="E148" s="798"/>
      <c r="F148" s="798"/>
      <c r="G148" s="776"/>
      <c r="H148" s="776"/>
      <c r="I148" s="906"/>
      <c r="J148" s="907"/>
      <c r="K148" s="798"/>
      <c r="L148" s="911"/>
    </row>
    <row r="149" customFormat="false" ht="30.75" hidden="false" customHeight="true" outlineLevel="0" collapsed="false">
      <c r="A149" s="782"/>
      <c r="B149" s="798"/>
      <c r="C149" s="798"/>
      <c r="D149" s="798"/>
      <c r="E149" s="798"/>
      <c r="F149" s="798"/>
      <c r="G149" s="776"/>
      <c r="H149" s="776"/>
      <c r="I149" s="906"/>
      <c r="J149" s="907"/>
      <c r="K149" s="798"/>
      <c r="L149" s="911"/>
    </row>
    <row r="150" customFormat="false" ht="30.75" hidden="false" customHeight="true" outlineLevel="0" collapsed="false">
      <c r="A150" s="782"/>
      <c r="B150" s="798"/>
      <c r="C150" s="798"/>
      <c r="D150" s="798"/>
      <c r="E150" s="798"/>
      <c r="F150" s="798"/>
      <c r="G150" s="776"/>
      <c r="H150" s="776"/>
      <c r="I150" s="906"/>
      <c r="J150" s="907"/>
      <c r="K150" s="798"/>
      <c r="L150" s="911"/>
    </row>
    <row r="151" customFormat="false" ht="30.75" hidden="false" customHeight="true" outlineLevel="0" collapsed="false">
      <c r="A151" s="782"/>
      <c r="B151" s="798"/>
      <c r="C151" s="798"/>
      <c r="D151" s="798"/>
      <c r="E151" s="798"/>
      <c r="F151" s="798"/>
      <c r="G151" s="776"/>
      <c r="H151" s="776"/>
      <c r="I151" s="906"/>
      <c r="J151" s="907"/>
      <c r="K151" s="798"/>
      <c r="L151" s="911"/>
    </row>
  </sheetData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5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34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894" width="12.75"/>
    <col collapsed="false" customWidth="true" hidden="false" outlineLevel="0" max="2" min="2" style="754" width="13.38"/>
    <col collapsed="false" customWidth="true" hidden="false" outlineLevel="0" max="3" min="3" style="781" width="15.88"/>
    <col collapsed="false" customWidth="true" hidden="false" outlineLevel="0" max="4" min="4" style="781" width="10.5"/>
    <col collapsed="false" customWidth="true" hidden="false" outlineLevel="0" max="5" min="5" style="781" width="23.25"/>
    <col collapsed="false" customWidth="true" hidden="false" outlineLevel="0" max="6" min="6" style="781" width="6"/>
    <col collapsed="false" customWidth="true" hidden="false" outlineLevel="0" max="7" min="7" style="895" width="20.63"/>
    <col collapsed="false" customWidth="true" hidden="false" outlineLevel="0" max="8" min="8" style="896" width="20.75"/>
    <col collapsed="false" customWidth="true" hidden="false" outlineLevel="0" max="9" min="9" style="919" width="11.13"/>
    <col collapsed="false" customWidth="true" hidden="false" outlineLevel="0" max="11" min="10" style="781" width="12"/>
    <col collapsed="false" customWidth="true" hidden="false" outlineLevel="0" max="12" min="12" style="781" width="13.25"/>
    <col collapsed="false" customWidth="true" hidden="false" outlineLevel="0" max="13" min="13" style="781" width="13.88"/>
    <col collapsed="false" customWidth="true" hidden="false" outlineLevel="0" max="14" min="14" style="781" width="11"/>
    <col collapsed="false" customWidth="true" hidden="false" outlineLevel="0" max="15" min="15" style="754" width="7.88"/>
    <col collapsed="false" customWidth="true" hidden="false" outlineLevel="0" max="16" min="16" style="754" width="9.13"/>
    <col collapsed="false" customWidth="false" hidden="false" outlineLevel="0" max="256" min="17" style="754" width="9"/>
    <col collapsed="false" customWidth="true" hidden="false" outlineLevel="0" max="257" min="257" style="754" width="12.75"/>
    <col collapsed="false" customWidth="true" hidden="false" outlineLevel="0" max="258" min="258" style="754" width="13.38"/>
    <col collapsed="false" customWidth="true" hidden="false" outlineLevel="0" max="259" min="259" style="754" width="15.88"/>
    <col collapsed="false" customWidth="true" hidden="false" outlineLevel="0" max="260" min="260" style="754" width="10.5"/>
    <col collapsed="false" customWidth="true" hidden="false" outlineLevel="0" max="261" min="261" style="754" width="23.25"/>
    <col collapsed="false" customWidth="true" hidden="false" outlineLevel="0" max="262" min="262" style="754" width="6"/>
    <col collapsed="false" customWidth="true" hidden="false" outlineLevel="0" max="263" min="263" style="754" width="20.63"/>
    <col collapsed="false" customWidth="true" hidden="false" outlineLevel="0" max="264" min="264" style="754" width="20.75"/>
    <col collapsed="false" customWidth="true" hidden="false" outlineLevel="0" max="265" min="265" style="754" width="11.13"/>
    <col collapsed="false" customWidth="true" hidden="false" outlineLevel="0" max="267" min="266" style="754" width="12"/>
    <col collapsed="false" customWidth="true" hidden="false" outlineLevel="0" max="268" min="268" style="754" width="13.25"/>
    <col collapsed="false" customWidth="true" hidden="false" outlineLevel="0" max="269" min="269" style="754" width="13.88"/>
    <col collapsed="false" customWidth="true" hidden="false" outlineLevel="0" max="270" min="270" style="754" width="11"/>
    <col collapsed="false" customWidth="true" hidden="false" outlineLevel="0" max="271" min="271" style="754" width="7.88"/>
    <col collapsed="false" customWidth="true" hidden="false" outlineLevel="0" max="272" min="272" style="754" width="9.13"/>
    <col collapsed="false" customWidth="false" hidden="false" outlineLevel="0" max="512" min="273" style="754" width="9"/>
    <col collapsed="false" customWidth="true" hidden="false" outlineLevel="0" max="513" min="513" style="754" width="12.75"/>
    <col collapsed="false" customWidth="true" hidden="false" outlineLevel="0" max="514" min="514" style="754" width="13.38"/>
    <col collapsed="false" customWidth="true" hidden="false" outlineLevel="0" max="515" min="515" style="754" width="15.88"/>
    <col collapsed="false" customWidth="true" hidden="false" outlineLevel="0" max="516" min="516" style="754" width="10.5"/>
    <col collapsed="false" customWidth="true" hidden="false" outlineLevel="0" max="517" min="517" style="754" width="23.25"/>
    <col collapsed="false" customWidth="true" hidden="false" outlineLevel="0" max="518" min="518" style="754" width="6"/>
    <col collapsed="false" customWidth="true" hidden="false" outlineLevel="0" max="519" min="519" style="754" width="20.63"/>
    <col collapsed="false" customWidth="true" hidden="false" outlineLevel="0" max="520" min="520" style="754" width="20.75"/>
    <col collapsed="false" customWidth="true" hidden="false" outlineLevel="0" max="521" min="521" style="754" width="11.13"/>
    <col collapsed="false" customWidth="true" hidden="false" outlineLevel="0" max="523" min="522" style="754" width="12"/>
    <col collapsed="false" customWidth="true" hidden="false" outlineLevel="0" max="524" min="524" style="754" width="13.25"/>
    <col collapsed="false" customWidth="true" hidden="false" outlineLevel="0" max="525" min="525" style="754" width="13.88"/>
    <col collapsed="false" customWidth="true" hidden="false" outlineLevel="0" max="526" min="526" style="754" width="11"/>
    <col collapsed="false" customWidth="true" hidden="false" outlineLevel="0" max="527" min="527" style="754" width="7.88"/>
    <col collapsed="false" customWidth="true" hidden="false" outlineLevel="0" max="528" min="528" style="754" width="9.13"/>
    <col collapsed="false" customWidth="false" hidden="false" outlineLevel="0" max="768" min="529" style="754" width="9"/>
    <col collapsed="false" customWidth="true" hidden="false" outlineLevel="0" max="769" min="769" style="754" width="12.75"/>
    <col collapsed="false" customWidth="true" hidden="false" outlineLevel="0" max="770" min="770" style="754" width="13.38"/>
    <col collapsed="false" customWidth="true" hidden="false" outlineLevel="0" max="771" min="771" style="754" width="15.88"/>
    <col collapsed="false" customWidth="true" hidden="false" outlineLevel="0" max="772" min="772" style="754" width="10.5"/>
    <col collapsed="false" customWidth="true" hidden="false" outlineLevel="0" max="773" min="773" style="754" width="23.25"/>
    <col collapsed="false" customWidth="true" hidden="false" outlineLevel="0" max="774" min="774" style="754" width="6"/>
    <col collapsed="false" customWidth="true" hidden="false" outlineLevel="0" max="775" min="775" style="754" width="20.63"/>
    <col collapsed="false" customWidth="true" hidden="false" outlineLevel="0" max="776" min="776" style="754" width="20.75"/>
    <col collapsed="false" customWidth="true" hidden="false" outlineLevel="0" max="777" min="777" style="754" width="11.13"/>
    <col collapsed="false" customWidth="true" hidden="false" outlineLevel="0" max="779" min="778" style="754" width="12"/>
    <col collapsed="false" customWidth="true" hidden="false" outlineLevel="0" max="780" min="780" style="754" width="13.25"/>
    <col collapsed="false" customWidth="true" hidden="false" outlineLevel="0" max="781" min="781" style="754" width="13.88"/>
    <col collapsed="false" customWidth="true" hidden="false" outlineLevel="0" max="782" min="782" style="754" width="11"/>
    <col collapsed="false" customWidth="true" hidden="false" outlineLevel="0" max="783" min="783" style="754" width="7.88"/>
    <col collapsed="false" customWidth="true" hidden="false" outlineLevel="0" max="784" min="784" style="754" width="9.13"/>
    <col collapsed="false" customWidth="false" hidden="false" outlineLevel="0" max="1024" min="785" style="754" width="9"/>
    <col collapsed="false" customWidth="true" hidden="false" outlineLevel="0" max="1025" min="1025" style="754" width="12.75"/>
    <col collapsed="false" customWidth="true" hidden="false" outlineLevel="0" max="1026" min="1026" style="754" width="13.38"/>
    <col collapsed="false" customWidth="true" hidden="false" outlineLevel="0" max="1027" min="1027" style="754" width="15.88"/>
    <col collapsed="false" customWidth="true" hidden="false" outlineLevel="0" max="1028" min="1028" style="754" width="10.5"/>
    <col collapsed="false" customWidth="true" hidden="false" outlineLevel="0" max="1029" min="1029" style="754" width="23.25"/>
    <col collapsed="false" customWidth="true" hidden="false" outlineLevel="0" max="1030" min="1030" style="754" width="6"/>
    <col collapsed="false" customWidth="true" hidden="false" outlineLevel="0" max="1031" min="1031" style="754" width="20.63"/>
    <col collapsed="false" customWidth="true" hidden="false" outlineLevel="0" max="1032" min="1032" style="754" width="20.75"/>
    <col collapsed="false" customWidth="true" hidden="false" outlineLevel="0" max="1033" min="1033" style="754" width="11.13"/>
    <col collapsed="false" customWidth="true" hidden="false" outlineLevel="0" max="1035" min="1034" style="754" width="12"/>
    <col collapsed="false" customWidth="true" hidden="false" outlineLevel="0" max="1036" min="1036" style="754" width="13.25"/>
    <col collapsed="false" customWidth="true" hidden="false" outlineLevel="0" max="1037" min="1037" style="754" width="13.88"/>
    <col collapsed="false" customWidth="true" hidden="false" outlineLevel="0" max="1038" min="1038" style="754" width="11"/>
    <col collapsed="false" customWidth="true" hidden="false" outlineLevel="0" max="1039" min="1039" style="754" width="7.88"/>
    <col collapsed="false" customWidth="true" hidden="false" outlineLevel="0" max="1040" min="1040" style="754" width="9.13"/>
    <col collapsed="false" customWidth="false" hidden="false" outlineLevel="0" max="1280" min="1041" style="754" width="9"/>
    <col collapsed="false" customWidth="true" hidden="false" outlineLevel="0" max="1281" min="1281" style="754" width="12.75"/>
    <col collapsed="false" customWidth="true" hidden="false" outlineLevel="0" max="1282" min="1282" style="754" width="13.38"/>
    <col collapsed="false" customWidth="true" hidden="false" outlineLevel="0" max="1283" min="1283" style="754" width="15.88"/>
    <col collapsed="false" customWidth="true" hidden="false" outlineLevel="0" max="1284" min="1284" style="754" width="10.5"/>
    <col collapsed="false" customWidth="true" hidden="false" outlineLevel="0" max="1285" min="1285" style="754" width="23.25"/>
    <col collapsed="false" customWidth="true" hidden="false" outlineLevel="0" max="1286" min="1286" style="754" width="6"/>
    <col collapsed="false" customWidth="true" hidden="false" outlineLevel="0" max="1287" min="1287" style="754" width="20.63"/>
    <col collapsed="false" customWidth="true" hidden="false" outlineLevel="0" max="1288" min="1288" style="754" width="20.75"/>
    <col collapsed="false" customWidth="true" hidden="false" outlineLevel="0" max="1289" min="1289" style="754" width="11.13"/>
    <col collapsed="false" customWidth="true" hidden="false" outlineLevel="0" max="1291" min="1290" style="754" width="12"/>
    <col collapsed="false" customWidth="true" hidden="false" outlineLevel="0" max="1292" min="1292" style="754" width="13.25"/>
    <col collapsed="false" customWidth="true" hidden="false" outlineLevel="0" max="1293" min="1293" style="754" width="13.88"/>
    <col collapsed="false" customWidth="true" hidden="false" outlineLevel="0" max="1294" min="1294" style="754" width="11"/>
    <col collapsed="false" customWidth="true" hidden="false" outlineLevel="0" max="1295" min="1295" style="754" width="7.88"/>
    <col collapsed="false" customWidth="true" hidden="false" outlineLevel="0" max="1296" min="1296" style="754" width="9.13"/>
    <col collapsed="false" customWidth="false" hidden="false" outlineLevel="0" max="1536" min="1297" style="754" width="9"/>
    <col collapsed="false" customWidth="true" hidden="false" outlineLevel="0" max="1537" min="1537" style="754" width="12.75"/>
    <col collapsed="false" customWidth="true" hidden="false" outlineLevel="0" max="1538" min="1538" style="754" width="13.38"/>
    <col collapsed="false" customWidth="true" hidden="false" outlineLevel="0" max="1539" min="1539" style="754" width="15.88"/>
    <col collapsed="false" customWidth="true" hidden="false" outlineLevel="0" max="1540" min="1540" style="754" width="10.5"/>
    <col collapsed="false" customWidth="true" hidden="false" outlineLevel="0" max="1541" min="1541" style="754" width="23.25"/>
    <col collapsed="false" customWidth="true" hidden="false" outlineLevel="0" max="1542" min="1542" style="754" width="6"/>
    <col collapsed="false" customWidth="true" hidden="false" outlineLevel="0" max="1543" min="1543" style="754" width="20.63"/>
    <col collapsed="false" customWidth="true" hidden="false" outlineLevel="0" max="1544" min="1544" style="754" width="20.75"/>
    <col collapsed="false" customWidth="true" hidden="false" outlineLevel="0" max="1545" min="1545" style="754" width="11.13"/>
    <col collapsed="false" customWidth="true" hidden="false" outlineLevel="0" max="1547" min="1546" style="754" width="12"/>
    <col collapsed="false" customWidth="true" hidden="false" outlineLevel="0" max="1548" min="1548" style="754" width="13.25"/>
    <col collapsed="false" customWidth="true" hidden="false" outlineLevel="0" max="1549" min="1549" style="754" width="13.88"/>
    <col collapsed="false" customWidth="true" hidden="false" outlineLevel="0" max="1550" min="1550" style="754" width="11"/>
    <col collapsed="false" customWidth="true" hidden="false" outlineLevel="0" max="1551" min="1551" style="754" width="7.88"/>
    <col collapsed="false" customWidth="true" hidden="false" outlineLevel="0" max="1552" min="1552" style="754" width="9.13"/>
    <col collapsed="false" customWidth="false" hidden="false" outlineLevel="0" max="1792" min="1553" style="754" width="9"/>
    <col collapsed="false" customWidth="true" hidden="false" outlineLevel="0" max="1793" min="1793" style="754" width="12.75"/>
    <col collapsed="false" customWidth="true" hidden="false" outlineLevel="0" max="1794" min="1794" style="754" width="13.38"/>
    <col collapsed="false" customWidth="true" hidden="false" outlineLevel="0" max="1795" min="1795" style="754" width="15.88"/>
    <col collapsed="false" customWidth="true" hidden="false" outlineLevel="0" max="1796" min="1796" style="754" width="10.5"/>
    <col collapsed="false" customWidth="true" hidden="false" outlineLevel="0" max="1797" min="1797" style="754" width="23.25"/>
    <col collapsed="false" customWidth="true" hidden="false" outlineLevel="0" max="1798" min="1798" style="754" width="6"/>
    <col collapsed="false" customWidth="true" hidden="false" outlineLevel="0" max="1799" min="1799" style="754" width="20.63"/>
    <col collapsed="false" customWidth="true" hidden="false" outlineLevel="0" max="1800" min="1800" style="754" width="20.75"/>
    <col collapsed="false" customWidth="true" hidden="false" outlineLevel="0" max="1801" min="1801" style="754" width="11.13"/>
    <col collapsed="false" customWidth="true" hidden="false" outlineLevel="0" max="1803" min="1802" style="754" width="12"/>
    <col collapsed="false" customWidth="true" hidden="false" outlineLevel="0" max="1804" min="1804" style="754" width="13.25"/>
    <col collapsed="false" customWidth="true" hidden="false" outlineLevel="0" max="1805" min="1805" style="754" width="13.88"/>
    <col collapsed="false" customWidth="true" hidden="false" outlineLevel="0" max="1806" min="1806" style="754" width="11"/>
    <col collapsed="false" customWidth="true" hidden="false" outlineLevel="0" max="1807" min="1807" style="754" width="7.88"/>
    <col collapsed="false" customWidth="true" hidden="false" outlineLevel="0" max="1808" min="1808" style="754" width="9.13"/>
    <col collapsed="false" customWidth="false" hidden="false" outlineLevel="0" max="2048" min="1809" style="754" width="9"/>
    <col collapsed="false" customWidth="true" hidden="false" outlineLevel="0" max="2049" min="2049" style="754" width="12.75"/>
    <col collapsed="false" customWidth="true" hidden="false" outlineLevel="0" max="2050" min="2050" style="754" width="13.38"/>
    <col collapsed="false" customWidth="true" hidden="false" outlineLevel="0" max="2051" min="2051" style="754" width="15.88"/>
    <col collapsed="false" customWidth="true" hidden="false" outlineLevel="0" max="2052" min="2052" style="754" width="10.5"/>
    <col collapsed="false" customWidth="true" hidden="false" outlineLevel="0" max="2053" min="2053" style="754" width="23.25"/>
    <col collapsed="false" customWidth="true" hidden="false" outlineLevel="0" max="2054" min="2054" style="754" width="6"/>
    <col collapsed="false" customWidth="true" hidden="false" outlineLevel="0" max="2055" min="2055" style="754" width="20.63"/>
    <col collapsed="false" customWidth="true" hidden="false" outlineLevel="0" max="2056" min="2056" style="754" width="20.75"/>
    <col collapsed="false" customWidth="true" hidden="false" outlineLevel="0" max="2057" min="2057" style="754" width="11.13"/>
    <col collapsed="false" customWidth="true" hidden="false" outlineLevel="0" max="2059" min="2058" style="754" width="12"/>
    <col collapsed="false" customWidth="true" hidden="false" outlineLevel="0" max="2060" min="2060" style="754" width="13.25"/>
    <col collapsed="false" customWidth="true" hidden="false" outlineLevel="0" max="2061" min="2061" style="754" width="13.88"/>
    <col collapsed="false" customWidth="true" hidden="false" outlineLevel="0" max="2062" min="2062" style="754" width="11"/>
    <col collapsed="false" customWidth="true" hidden="false" outlineLevel="0" max="2063" min="2063" style="754" width="7.88"/>
    <col collapsed="false" customWidth="true" hidden="false" outlineLevel="0" max="2064" min="2064" style="754" width="9.13"/>
    <col collapsed="false" customWidth="false" hidden="false" outlineLevel="0" max="2304" min="2065" style="754" width="9"/>
    <col collapsed="false" customWidth="true" hidden="false" outlineLevel="0" max="2305" min="2305" style="754" width="12.75"/>
    <col collapsed="false" customWidth="true" hidden="false" outlineLevel="0" max="2306" min="2306" style="754" width="13.38"/>
    <col collapsed="false" customWidth="true" hidden="false" outlineLevel="0" max="2307" min="2307" style="754" width="15.88"/>
    <col collapsed="false" customWidth="true" hidden="false" outlineLevel="0" max="2308" min="2308" style="754" width="10.5"/>
    <col collapsed="false" customWidth="true" hidden="false" outlineLevel="0" max="2309" min="2309" style="754" width="23.25"/>
    <col collapsed="false" customWidth="true" hidden="false" outlineLevel="0" max="2310" min="2310" style="754" width="6"/>
    <col collapsed="false" customWidth="true" hidden="false" outlineLevel="0" max="2311" min="2311" style="754" width="20.63"/>
    <col collapsed="false" customWidth="true" hidden="false" outlineLevel="0" max="2312" min="2312" style="754" width="20.75"/>
    <col collapsed="false" customWidth="true" hidden="false" outlineLevel="0" max="2313" min="2313" style="754" width="11.13"/>
    <col collapsed="false" customWidth="true" hidden="false" outlineLevel="0" max="2315" min="2314" style="754" width="12"/>
    <col collapsed="false" customWidth="true" hidden="false" outlineLevel="0" max="2316" min="2316" style="754" width="13.25"/>
    <col collapsed="false" customWidth="true" hidden="false" outlineLevel="0" max="2317" min="2317" style="754" width="13.88"/>
    <col collapsed="false" customWidth="true" hidden="false" outlineLevel="0" max="2318" min="2318" style="754" width="11"/>
    <col collapsed="false" customWidth="true" hidden="false" outlineLevel="0" max="2319" min="2319" style="754" width="7.88"/>
    <col collapsed="false" customWidth="true" hidden="false" outlineLevel="0" max="2320" min="2320" style="754" width="9.13"/>
    <col collapsed="false" customWidth="false" hidden="false" outlineLevel="0" max="2560" min="2321" style="754" width="9"/>
    <col collapsed="false" customWidth="true" hidden="false" outlineLevel="0" max="2561" min="2561" style="754" width="12.75"/>
    <col collapsed="false" customWidth="true" hidden="false" outlineLevel="0" max="2562" min="2562" style="754" width="13.38"/>
    <col collapsed="false" customWidth="true" hidden="false" outlineLevel="0" max="2563" min="2563" style="754" width="15.88"/>
    <col collapsed="false" customWidth="true" hidden="false" outlineLevel="0" max="2564" min="2564" style="754" width="10.5"/>
    <col collapsed="false" customWidth="true" hidden="false" outlineLevel="0" max="2565" min="2565" style="754" width="23.25"/>
    <col collapsed="false" customWidth="true" hidden="false" outlineLevel="0" max="2566" min="2566" style="754" width="6"/>
    <col collapsed="false" customWidth="true" hidden="false" outlineLevel="0" max="2567" min="2567" style="754" width="20.63"/>
    <col collapsed="false" customWidth="true" hidden="false" outlineLevel="0" max="2568" min="2568" style="754" width="20.75"/>
    <col collapsed="false" customWidth="true" hidden="false" outlineLevel="0" max="2569" min="2569" style="754" width="11.13"/>
    <col collapsed="false" customWidth="true" hidden="false" outlineLevel="0" max="2571" min="2570" style="754" width="12"/>
    <col collapsed="false" customWidth="true" hidden="false" outlineLevel="0" max="2572" min="2572" style="754" width="13.25"/>
    <col collapsed="false" customWidth="true" hidden="false" outlineLevel="0" max="2573" min="2573" style="754" width="13.88"/>
    <col collapsed="false" customWidth="true" hidden="false" outlineLevel="0" max="2574" min="2574" style="754" width="11"/>
    <col collapsed="false" customWidth="true" hidden="false" outlineLevel="0" max="2575" min="2575" style="754" width="7.88"/>
    <col collapsed="false" customWidth="true" hidden="false" outlineLevel="0" max="2576" min="2576" style="754" width="9.13"/>
    <col collapsed="false" customWidth="false" hidden="false" outlineLevel="0" max="2816" min="2577" style="754" width="9"/>
    <col collapsed="false" customWidth="true" hidden="false" outlineLevel="0" max="2817" min="2817" style="754" width="12.75"/>
    <col collapsed="false" customWidth="true" hidden="false" outlineLevel="0" max="2818" min="2818" style="754" width="13.38"/>
    <col collapsed="false" customWidth="true" hidden="false" outlineLevel="0" max="2819" min="2819" style="754" width="15.88"/>
    <col collapsed="false" customWidth="true" hidden="false" outlineLevel="0" max="2820" min="2820" style="754" width="10.5"/>
    <col collapsed="false" customWidth="true" hidden="false" outlineLevel="0" max="2821" min="2821" style="754" width="23.25"/>
    <col collapsed="false" customWidth="true" hidden="false" outlineLevel="0" max="2822" min="2822" style="754" width="6"/>
    <col collapsed="false" customWidth="true" hidden="false" outlineLevel="0" max="2823" min="2823" style="754" width="20.63"/>
    <col collapsed="false" customWidth="true" hidden="false" outlineLevel="0" max="2824" min="2824" style="754" width="20.75"/>
    <col collapsed="false" customWidth="true" hidden="false" outlineLevel="0" max="2825" min="2825" style="754" width="11.13"/>
    <col collapsed="false" customWidth="true" hidden="false" outlineLevel="0" max="2827" min="2826" style="754" width="12"/>
    <col collapsed="false" customWidth="true" hidden="false" outlineLevel="0" max="2828" min="2828" style="754" width="13.25"/>
    <col collapsed="false" customWidth="true" hidden="false" outlineLevel="0" max="2829" min="2829" style="754" width="13.88"/>
    <col collapsed="false" customWidth="true" hidden="false" outlineLevel="0" max="2830" min="2830" style="754" width="11"/>
    <col collapsed="false" customWidth="true" hidden="false" outlineLevel="0" max="2831" min="2831" style="754" width="7.88"/>
    <col collapsed="false" customWidth="true" hidden="false" outlineLevel="0" max="2832" min="2832" style="754" width="9.13"/>
    <col collapsed="false" customWidth="false" hidden="false" outlineLevel="0" max="3072" min="2833" style="754" width="9"/>
    <col collapsed="false" customWidth="true" hidden="false" outlineLevel="0" max="3073" min="3073" style="754" width="12.75"/>
    <col collapsed="false" customWidth="true" hidden="false" outlineLevel="0" max="3074" min="3074" style="754" width="13.38"/>
    <col collapsed="false" customWidth="true" hidden="false" outlineLevel="0" max="3075" min="3075" style="754" width="15.88"/>
    <col collapsed="false" customWidth="true" hidden="false" outlineLevel="0" max="3076" min="3076" style="754" width="10.5"/>
    <col collapsed="false" customWidth="true" hidden="false" outlineLevel="0" max="3077" min="3077" style="754" width="23.25"/>
    <col collapsed="false" customWidth="true" hidden="false" outlineLevel="0" max="3078" min="3078" style="754" width="6"/>
    <col collapsed="false" customWidth="true" hidden="false" outlineLevel="0" max="3079" min="3079" style="754" width="20.63"/>
    <col collapsed="false" customWidth="true" hidden="false" outlineLevel="0" max="3080" min="3080" style="754" width="20.75"/>
    <col collapsed="false" customWidth="true" hidden="false" outlineLevel="0" max="3081" min="3081" style="754" width="11.13"/>
    <col collapsed="false" customWidth="true" hidden="false" outlineLevel="0" max="3083" min="3082" style="754" width="12"/>
    <col collapsed="false" customWidth="true" hidden="false" outlineLevel="0" max="3084" min="3084" style="754" width="13.25"/>
    <col collapsed="false" customWidth="true" hidden="false" outlineLevel="0" max="3085" min="3085" style="754" width="13.88"/>
    <col collapsed="false" customWidth="true" hidden="false" outlineLevel="0" max="3086" min="3086" style="754" width="11"/>
    <col collapsed="false" customWidth="true" hidden="false" outlineLevel="0" max="3087" min="3087" style="754" width="7.88"/>
    <col collapsed="false" customWidth="true" hidden="false" outlineLevel="0" max="3088" min="3088" style="754" width="9.13"/>
    <col collapsed="false" customWidth="false" hidden="false" outlineLevel="0" max="3328" min="3089" style="754" width="9"/>
    <col collapsed="false" customWidth="true" hidden="false" outlineLevel="0" max="3329" min="3329" style="754" width="12.75"/>
    <col collapsed="false" customWidth="true" hidden="false" outlineLevel="0" max="3330" min="3330" style="754" width="13.38"/>
    <col collapsed="false" customWidth="true" hidden="false" outlineLevel="0" max="3331" min="3331" style="754" width="15.88"/>
    <col collapsed="false" customWidth="true" hidden="false" outlineLevel="0" max="3332" min="3332" style="754" width="10.5"/>
    <col collapsed="false" customWidth="true" hidden="false" outlineLevel="0" max="3333" min="3333" style="754" width="23.25"/>
    <col collapsed="false" customWidth="true" hidden="false" outlineLevel="0" max="3334" min="3334" style="754" width="6"/>
    <col collapsed="false" customWidth="true" hidden="false" outlineLevel="0" max="3335" min="3335" style="754" width="20.63"/>
    <col collapsed="false" customWidth="true" hidden="false" outlineLevel="0" max="3336" min="3336" style="754" width="20.75"/>
    <col collapsed="false" customWidth="true" hidden="false" outlineLevel="0" max="3337" min="3337" style="754" width="11.13"/>
    <col collapsed="false" customWidth="true" hidden="false" outlineLevel="0" max="3339" min="3338" style="754" width="12"/>
    <col collapsed="false" customWidth="true" hidden="false" outlineLevel="0" max="3340" min="3340" style="754" width="13.25"/>
    <col collapsed="false" customWidth="true" hidden="false" outlineLevel="0" max="3341" min="3341" style="754" width="13.88"/>
    <col collapsed="false" customWidth="true" hidden="false" outlineLevel="0" max="3342" min="3342" style="754" width="11"/>
    <col collapsed="false" customWidth="true" hidden="false" outlineLevel="0" max="3343" min="3343" style="754" width="7.88"/>
    <col collapsed="false" customWidth="true" hidden="false" outlineLevel="0" max="3344" min="3344" style="754" width="9.13"/>
    <col collapsed="false" customWidth="false" hidden="false" outlineLevel="0" max="3584" min="3345" style="754" width="9"/>
    <col collapsed="false" customWidth="true" hidden="false" outlineLevel="0" max="3585" min="3585" style="754" width="12.75"/>
    <col collapsed="false" customWidth="true" hidden="false" outlineLevel="0" max="3586" min="3586" style="754" width="13.38"/>
    <col collapsed="false" customWidth="true" hidden="false" outlineLevel="0" max="3587" min="3587" style="754" width="15.88"/>
    <col collapsed="false" customWidth="true" hidden="false" outlineLevel="0" max="3588" min="3588" style="754" width="10.5"/>
    <col collapsed="false" customWidth="true" hidden="false" outlineLevel="0" max="3589" min="3589" style="754" width="23.25"/>
    <col collapsed="false" customWidth="true" hidden="false" outlineLevel="0" max="3590" min="3590" style="754" width="6"/>
    <col collapsed="false" customWidth="true" hidden="false" outlineLevel="0" max="3591" min="3591" style="754" width="20.63"/>
    <col collapsed="false" customWidth="true" hidden="false" outlineLevel="0" max="3592" min="3592" style="754" width="20.75"/>
    <col collapsed="false" customWidth="true" hidden="false" outlineLevel="0" max="3593" min="3593" style="754" width="11.13"/>
    <col collapsed="false" customWidth="true" hidden="false" outlineLevel="0" max="3595" min="3594" style="754" width="12"/>
    <col collapsed="false" customWidth="true" hidden="false" outlineLevel="0" max="3596" min="3596" style="754" width="13.25"/>
    <col collapsed="false" customWidth="true" hidden="false" outlineLevel="0" max="3597" min="3597" style="754" width="13.88"/>
    <col collapsed="false" customWidth="true" hidden="false" outlineLevel="0" max="3598" min="3598" style="754" width="11"/>
    <col collapsed="false" customWidth="true" hidden="false" outlineLevel="0" max="3599" min="3599" style="754" width="7.88"/>
    <col collapsed="false" customWidth="true" hidden="false" outlineLevel="0" max="3600" min="3600" style="754" width="9.13"/>
    <col collapsed="false" customWidth="false" hidden="false" outlineLevel="0" max="3840" min="3601" style="754" width="9"/>
    <col collapsed="false" customWidth="true" hidden="false" outlineLevel="0" max="3841" min="3841" style="754" width="12.75"/>
    <col collapsed="false" customWidth="true" hidden="false" outlineLevel="0" max="3842" min="3842" style="754" width="13.38"/>
    <col collapsed="false" customWidth="true" hidden="false" outlineLevel="0" max="3843" min="3843" style="754" width="15.88"/>
    <col collapsed="false" customWidth="true" hidden="false" outlineLevel="0" max="3844" min="3844" style="754" width="10.5"/>
    <col collapsed="false" customWidth="true" hidden="false" outlineLevel="0" max="3845" min="3845" style="754" width="23.25"/>
    <col collapsed="false" customWidth="true" hidden="false" outlineLevel="0" max="3846" min="3846" style="754" width="6"/>
    <col collapsed="false" customWidth="true" hidden="false" outlineLevel="0" max="3847" min="3847" style="754" width="20.63"/>
    <col collapsed="false" customWidth="true" hidden="false" outlineLevel="0" max="3848" min="3848" style="754" width="20.75"/>
    <col collapsed="false" customWidth="true" hidden="false" outlineLevel="0" max="3849" min="3849" style="754" width="11.13"/>
    <col collapsed="false" customWidth="true" hidden="false" outlineLevel="0" max="3851" min="3850" style="754" width="12"/>
    <col collapsed="false" customWidth="true" hidden="false" outlineLevel="0" max="3852" min="3852" style="754" width="13.25"/>
    <col collapsed="false" customWidth="true" hidden="false" outlineLevel="0" max="3853" min="3853" style="754" width="13.88"/>
    <col collapsed="false" customWidth="true" hidden="false" outlineLevel="0" max="3854" min="3854" style="754" width="11"/>
    <col collapsed="false" customWidth="true" hidden="false" outlineLevel="0" max="3855" min="3855" style="754" width="7.88"/>
    <col collapsed="false" customWidth="true" hidden="false" outlineLevel="0" max="3856" min="3856" style="754" width="9.13"/>
    <col collapsed="false" customWidth="false" hidden="false" outlineLevel="0" max="4096" min="3857" style="754" width="9"/>
    <col collapsed="false" customWidth="true" hidden="false" outlineLevel="0" max="4097" min="4097" style="754" width="12.75"/>
    <col collapsed="false" customWidth="true" hidden="false" outlineLevel="0" max="4098" min="4098" style="754" width="13.38"/>
    <col collapsed="false" customWidth="true" hidden="false" outlineLevel="0" max="4099" min="4099" style="754" width="15.88"/>
    <col collapsed="false" customWidth="true" hidden="false" outlineLevel="0" max="4100" min="4100" style="754" width="10.5"/>
    <col collapsed="false" customWidth="true" hidden="false" outlineLevel="0" max="4101" min="4101" style="754" width="23.25"/>
    <col collapsed="false" customWidth="true" hidden="false" outlineLevel="0" max="4102" min="4102" style="754" width="6"/>
    <col collapsed="false" customWidth="true" hidden="false" outlineLevel="0" max="4103" min="4103" style="754" width="20.63"/>
    <col collapsed="false" customWidth="true" hidden="false" outlineLevel="0" max="4104" min="4104" style="754" width="20.75"/>
    <col collapsed="false" customWidth="true" hidden="false" outlineLevel="0" max="4105" min="4105" style="754" width="11.13"/>
    <col collapsed="false" customWidth="true" hidden="false" outlineLevel="0" max="4107" min="4106" style="754" width="12"/>
    <col collapsed="false" customWidth="true" hidden="false" outlineLevel="0" max="4108" min="4108" style="754" width="13.25"/>
    <col collapsed="false" customWidth="true" hidden="false" outlineLevel="0" max="4109" min="4109" style="754" width="13.88"/>
    <col collapsed="false" customWidth="true" hidden="false" outlineLevel="0" max="4110" min="4110" style="754" width="11"/>
    <col collapsed="false" customWidth="true" hidden="false" outlineLevel="0" max="4111" min="4111" style="754" width="7.88"/>
    <col collapsed="false" customWidth="true" hidden="false" outlineLevel="0" max="4112" min="4112" style="754" width="9.13"/>
    <col collapsed="false" customWidth="false" hidden="false" outlineLevel="0" max="4352" min="4113" style="754" width="9"/>
    <col collapsed="false" customWidth="true" hidden="false" outlineLevel="0" max="4353" min="4353" style="754" width="12.75"/>
    <col collapsed="false" customWidth="true" hidden="false" outlineLevel="0" max="4354" min="4354" style="754" width="13.38"/>
    <col collapsed="false" customWidth="true" hidden="false" outlineLevel="0" max="4355" min="4355" style="754" width="15.88"/>
    <col collapsed="false" customWidth="true" hidden="false" outlineLevel="0" max="4356" min="4356" style="754" width="10.5"/>
    <col collapsed="false" customWidth="true" hidden="false" outlineLevel="0" max="4357" min="4357" style="754" width="23.25"/>
    <col collapsed="false" customWidth="true" hidden="false" outlineLevel="0" max="4358" min="4358" style="754" width="6"/>
    <col collapsed="false" customWidth="true" hidden="false" outlineLevel="0" max="4359" min="4359" style="754" width="20.63"/>
    <col collapsed="false" customWidth="true" hidden="false" outlineLevel="0" max="4360" min="4360" style="754" width="20.75"/>
    <col collapsed="false" customWidth="true" hidden="false" outlineLevel="0" max="4361" min="4361" style="754" width="11.13"/>
    <col collapsed="false" customWidth="true" hidden="false" outlineLevel="0" max="4363" min="4362" style="754" width="12"/>
    <col collapsed="false" customWidth="true" hidden="false" outlineLevel="0" max="4364" min="4364" style="754" width="13.25"/>
    <col collapsed="false" customWidth="true" hidden="false" outlineLevel="0" max="4365" min="4365" style="754" width="13.88"/>
    <col collapsed="false" customWidth="true" hidden="false" outlineLevel="0" max="4366" min="4366" style="754" width="11"/>
    <col collapsed="false" customWidth="true" hidden="false" outlineLevel="0" max="4367" min="4367" style="754" width="7.88"/>
    <col collapsed="false" customWidth="true" hidden="false" outlineLevel="0" max="4368" min="4368" style="754" width="9.13"/>
    <col collapsed="false" customWidth="false" hidden="false" outlineLevel="0" max="4608" min="4369" style="754" width="9"/>
    <col collapsed="false" customWidth="true" hidden="false" outlineLevel="0" max="4609" min="4609" style="754" width="12.75"/>
    <col collapsed="false" customWidth="true" hidden="false" outlineLevel="0" max="4610" min="4610" style="754" width="13.38"/>
    <col collapsed="false" customWidth="true" hidden="false" outlineLevel="0" max="4611" min="4611" style="754" width="15.88"/>
    <col collapsed="false" customWidth="true" hidden="false" outlineLevel="0" max="4612" min="4612" style="754" width="10.5"/>
    <col collapsed="false" customWidth="true" hidden="false" outlineLevel="0" max="4613" min="4613" style="754" width="23.25"/>
    <col collapsed="false" customWidth="true" hidden="false" outlineLevel="0" max="4614" min="4614" style="754" width="6"/>
    <col collapsed="false" customWidth="true" hidden="false" outlineLevel="0" max="4615" min="4615" style="754" width="20.63"/>
    <col collapsed="false" customWidth="true" hidden="false" outlineLevel="0" max="4616" min="4616" style="754" width="20.75"/>
    <col collapsed="false" customWidth="true" hidden="false" outlineLevel="0" max="4617" min="4617" style="754" width="11.13"/>
    <col collapsed="false" customWidth="true" hidden="false" outlineLevel="0" max="4619" min="4618" style="754" width="12"/>
    <col collapsed="false" customWidth="true" hidden="false" outlineLevel="0" max="4620" min="4620" style="754" width="13.25"/>
    <col collapsed="false" customWidth="true" hidden="false" outlineLevel="0" max="4621" min="4621" style="754" width="13.88"/>
    <col collapsed="false" customWidth="true" hidden="false" outlineLevel="0" max="4622" min="4622" style="754" width="11"/>
    <col collapsed="false" customWidth="true" hidden="false" outlineLevel="0" max="4623" min="4623" style="754" width="7.88"/>
    <col collapsed="false" customWidth="true" hidden="false" outlineLevel="0" max="4624" min="4624" style="754" width="9.13"/>
    <col collapsed="false" customWidth="false" hidden="false" outlineLevel="0" max="4864" min="4625" style="754" width="9"/>
    <col collapsed="false" customWidth="true" hidden="false" outlineLevel="0" max="4865" min="4865" style="754" width="12.75"/>
    <col collapsed="false" customWidth="true" hidden="false" outlineLevel="0" max="4866" min="4866" style="754" width="13.38"/>
    <col collapsed="false" customWidth="true" hidden="false" outlineLevel="0" max="4867" min="4867" style="754" width="15.88"/>
    <col collapsed="false" customWidth="true" hidden="false" outlineLevel="0" max="4868" min="4868" style="754" width="10.5"/>
    <col collapsed="false" customWidth="true" hidden="false" outlineLevel="0" max="4869" min="4869" style="754" width="23.25"/>
    <col collapsed="false" customWidth="true" hidden="false" outlineLevel="0" max="4870" min="4870" style="754" width="6"/>
    <col collapsed="false" customWidth="true" hidden="false" outlineLevel="0" max="4871" min="4871" style="754" width="20.63"/>
    <col collapsed="false" customWidth="true" hidden="false" outlineLevel="0" max="4872" min="4872" style="754" width="20.75"/>
    <col collapsed="false" customWidth="true" hidden="false" outlineLevel="0" max="4873" min="4873" style="754" width="11.13"/>
    <col collapsed="false" customWidth="true" hidden="false" outlineLevel="0" max="4875" min="4874" style="754" width="12"/>
    <col collapsed="false" customWidth="true" hidden="false" outlineLevel="0" max="4876" min="4876" style="754" width="13.25"/>
    <col collapsed="false" customWidth="true" hidden="false" outlineLevel="0" max="4877" min="4877" style="754" width="13.88"/>
    <col collapsed="false" customWidth="true" hidden="false" outlineLevel="0" max="4878" min="4878" style="754" width="11"/>
    <col collapsed="false" customWidth="true" hidden="false" outlineLevel="0" max="4879" min="4879" style="754" width="7.88"/>
    <col collapsed="false" customWidth="true" hidden="false" outlineLevel="0" max="4880" min="4880" style="754" width="9.13"/>
    <col collapsed="false" customWidth="false" hidden="false" outlineLevel="0" max="5120" min="4881" style="754" width="9"/>
    <col collapsed="false" customWidth="true" hidden="false" outlineLevel="0" max="5121" min="5121" style="754" width="12.75"/>
    <col collapsed="false" customWidth="true" hidden="false" outlineLevel="0" max="5122" min="5122" style="754" width="13.38"/>
    <col collapsed="false" customWidth="true" hidden="false" outlineLevel="0" max="5123" min="5123" style="754" width="15.88"/>
    <col collapsed="false" customWidth="true" hidden="false" outlineLevel="0" max="5124" min="5124" style="754" width="10.5"/>
    <col collapsed="false" customWidth="true" hidden="false" outlineLevel="0" max="5125" min="5125" style="754" width="23.25"/>
    <col collapsed="false" customWidth="true" hidden="false" outlineLevel="0" max="5126" min="5126" style="754" width="6"/>
    <col collapsed="false" customWidth="true" hidden="false" outlineLevel="0" max="5127" min="5127" style="754" width="20.63"/>
    <col collapsed="false" customWidth="true" hidden="false" outlineLevel="0" max="5128" min="5128" style="754" width="20.75"/>
    <col collapsed="false" customWidth="true" hidden="false" outlineLevel="0" max="5129" min="5129" style="754" width="11.13"/>
    <col collapsed="false" customWidth="true" hidden="false" outlineLevel="0" max="5131" min="5130" style="754" width="12"/>
    <col collapsed="false" customWidth="true" hidden="false" outlineLevel="0" max="5132" min="5132" style="754" width="13.25"/>
    <col collapsed="false" customWidth="true" hidden="false" outlineLevel="0" max="5133" min="5133" style="754" width="13.88"/>
    <col collapsed="false" customWidth="true" hidden="false" outlineLevel="0" max="5134" min="5134" style="754" width="11"/>
    <col collapsed="false" customWidth="true" hidden="false" outlineLevel="0" max="5135" min="5135" style="754" width="7.88"/>
    <col collapsed="false" customWidth="true" hidden="false" outlineLevel="0" max="5136" min="5136" style="754" width="9.13"/>
    <col collapsed="false" customWidth="false" hidden="false" outlineLevel="0" max="5376" min="5137" style="754" width="9"/>
    <col collapsed="false" customWidth="true" hidden="false" outlineLevel="0" max="5377" min="5377" style="754" width="12.75"/>
    <col collapsed="false" customWidth="true" hidden="false" outlineLevel="0" max="5378" min="5378" style="754" width="13.38"/>
    <col collapsed="false" customWidth="true" hidden="false" outlineLevel="0" max="5379" min="5379" style="754" width="15.88"/>
    <col collapsed="false" customWidth="true" hidden="false" outlineLevel="0" max="5380" min="5380" style="754" width="10.5"/>
    <col collapsed="false" customWidth="true" hidden="false" outlineLevel="0" max="5381" min="5381" style="754" width="23.25"/>
    <col collapsed="false" customWidth="true" hidden="false" outlineLevel="0" max="5382" min="5382" style="754" width="6"/>
    <col collapsed="false" customWidth="true" hidden="false" outlineLevel="0" max="5383" min="5383" style="754" width="20.63"/>
    <col collapsed="false" customWidth="true" hidden="false" outlineLevel="0" max="5384" min="5384" style="754" width="20.75"/>
    <col collapsed="false" customWidth="true" hidden="false" outlineLevel="0" max="5385" min="5385" style="754" width="11.13"/>
    <col collapsed="false" customWidth="true" hidden="false" outlineLevel="0" max="5387" min="5386" style="754" width="12"/>
    <col collapsed="false" customWidth="true" hidden="false" outlineLevel="0" max="5388" min="5388" style="754" width="13.25"/>
    <col collapsed="false" customWidth="true" hidden="false" outlineLevel="0" max="5389" min="5389" style="754" width="13.88"/>
    <col collapsed="false" customWidth="true" hidden="false" outlineLevel="0" max="5390" min="5390" style="754" width="11"/>
    <col collapsed="false" customWidth="true" hidden="false" outlineLevel="0" max="5391" min="5391" style="754" width="7.88"/>
    <col collapsed="false" customWidth="true" hidden="false" outlineLevel="0" max="5392" min="5392" style="754" width="9.13"/>
    <col collapsed="false" customWidth="false" hidden="false" outlineLevel="0" max="5632" min="5393" style="754" width="9"/>
    <col collapsed="false" customWidth="true" hidden="false" outlineLevel="0" max="5633" min="5633" style="754" width="12.75"/>
    <col collapsed="false" customWidth="true" hidden="false" outlineLevel="0" max="5634" min="5634" style="754" width="13.38"/>
    <col collapsed="false" customWidth="true" hidden="false" outlineLevel="0" max="5635" min="5635" style="754" width="15.88"/>
    <col collapsed="false" customWidth="true" hidden="false" outlineLevel="0" max="5636" min="5636" style="754" width="10.5"/>
    <col collapsed="false" customWidth="true" hidden="false" outlineLevel="0" max="5637" min="5637" style="754" width="23.25"/>
    <col collapsed="false" customWidth="true" hidden="false" outlineLevel="0" max="5638" min="5638" style="754" width="6"/>
    <col collapsed="false" customWidth="true" hidden="false" outlineLevel="0" max="5639" min="5639" style="754" width="20.63"/>
    <col collapsed="false" customWidth="true" hidden="false" outlineLevel="0" max="5640" min="5640" style="754" width="20.75"/>
    <col collapsed="false" customWidth="true" hidden="false" outlineLevel="0" max="5641" min="5641" style="754" width="11.13"/>
    <col collapsed="false" customWidth="true" hidden="false" outlineLevel="0" max="5643" min="5642" style="754" width="12"/>
    <col collapsed="false" customWidth="true" hidden="false" outlineLevel="0" max="5644" min="5644" style="754" width="13.25"/>
    <col collapsed="false" customWidth="true" hidden="false" outlineLevel="0" max="5645" min="5645" style="754" width="13.88"/>
    <col collapsed="false" customWidth="true" hidden="false" outlineLevel="0" max="5646" min="5646" style="754" width="11"/>
    <col collapsed="false" customWidth="true" hidden="false" outlineLevel="0" max="5647" min="5647" style="754" width="7.88"/>
    <col collapsed="false" customWidth="true" hidden="false" outlineLevel="0" max="5648" min="5648" style="754" width="9.13"/>
    <col collapsed="false" customWidth="false" hidden="false" outlineLevel="0" max="5888" min="5649" style="754" width="9"/>
    <col collapsed="false" customWidth="true" hidden="false" outlineLevel="0" max="5889" min="5889" style="754" width="12.75"/>
    <col collapsed="false" customWidth="true" hidden="false" outlineLevel="0" max="5890" min="5890" style="754" width="13.38"/>
    <col collapsed="false" customWidth="true" hidden="false" outlineLevel="0" max="5891" min="5891" style="754" width="15.88"/>
    <col collapsed="false" customWidth="true" hidden="false" outlineLevel="0" max="5892" min="5892" style="754" width="10.5"/>
    <col collapsed="false" customWidth="true" hidden="false" outlineLevel="0" max="5893" min="5893" style="754" width="23.25"/>
    <col collapsed="false" customWidth="true" hidden="false" outlineLevel="0" max="5894" min="5894" style="754" width="6"/>
    <col collapsed="false" customWidth="true" hidden="false" outlineLevel="0" max="5895" min="5895" style="754" width="20.63"/>
    <col collapsed="false" customWidth="true" hidden="false" outlineLevel="0" max="5896" min="5896" style="754" width="20.75"/>
    <col collapsed="false" customWidth="true" hidden="false" outlineLevel="0" max="5897" min="5897" style="754" width="11.13"/>
    <col collapsed="false" customWidth="true" hidden="false" outlineLevel="0" max="5899" min="5898" style="754" width="12"/>
    <col collapsed="false" customWidth="true" hidden="false" outlineLevel="0" max="5900" min="5900" style="754" width="13.25"/>
    <col collapsed="false" customWidth="true" hidden="false" outlineLevel="0" max="5901" min="5901" style="754" width="13.88"/>
    <col collapsed="false" customWidth="true" hidden="false" outlineLevel="0" max="5902" min="5902" style="754" width="11"/>
    <col collapsed="false" customWidth="true" hidden="false" outlineLevel="0" max="5903" min="5903" style="754" width="7.88"/>
    <col collapsed="false" customWidth="true" hidden="false" outlineLevel="0" max="5904" min="5904" style="754" width="9.13"/>
    <col collapsed="false" customWidth="false" hidden="false" outlineLevel="0" max="6144" min="5905" style="754" width="9"/>
    <col collapsed="false" customWidth="true" hidden="false" outlineLevel="0" max="6145" min="6145" style="754" width="12.75"/>
    <col collapsed="false" customWidth="true" hidden="false" outlineLevel="0" max="6146" min="6146" style="754" width="13.38"/>
    <col collapsed="false" customWidth="true" hidden="false" outlineLevel="0" max="6147" min="6147" style="754" width="15.88"/>
    <col collapsed="false" customWidth="true" hidden="false" outlineLevel="0" max="6148" min="6148" style="754" width="10.5"/>
    <col collapsed="false" customWidth="true" hidden="false" outlineLevel="0" max="6149" min="6149" style="754" width="23.25"/>
    <col collapsed="false" customWidth="true" hidden="false" outlineLevel="0" max="6150" min="6150" style="754" width="6"/>
    <col collapsed="false" customWidth="true" hidden="false" outlineLevel="0" max="6151" min="6151" style="754" width="20.63"/>
    <col collapsed="false" customWidth="true" hidden="false" outlineLevel="0" max="6152" min="6152" style="754" width="20.75"/>
    <col collapsed="false" customWidth="true" hidden="false" outlineLevel="0" max="6153" min="6153" style="754" width="11.13"/>
    <col collapsed="false" customWidth="true" hidden="false" outlineLevel="0" max="6155" min="6154" style="754" width="12"/>
    <col collapsed="false" customWidth="true" hidden="false" outlineLevel="0" max="6156" min="6156" style="754" width="13.25"/>
    <col collapsed="false" customWidth="true" hidden="false" outlineLevel="0" max="6157" min="6157" style="754" width="13.88"/>
    <col collapsed="false" customWidth="true" hidden="false" outlineLevel="0" max="6158" min="6158" style="754" width="11"/>
    <col collapsed="false" customWidth="true" hidden="false" outlineLevel="0" max="6159" min="6159" style="754" width="7.88"/>
    <col collapsed="false" customWidth="true" hidden="false" outlineLevel="0" max="6160" min="6160" style="754" width="9.13"/>
    <col collapsed="false" customWidth="false" hidden="false" outlineLevel="0" max="6400" min="6161" style="754" width="9"/>
    <col collapsed="false" customWidth="true" hidden="false" outlineLevel="0" max="6401" min="6401" style="754" width="12.75"/>
    <col collapsed="false" customWidth="true" hidden="false" outlineLevel="0" max="6402" min="6402" style="754" width="13.38"/>
    <col collapsed="false" customWidth="true" hidden="false" outlineLevel="0" max="6403" min="6403" style="754" width="15.88"/>
    <col collapsed="false" customWidth="true" hidden="false" outlineLevel="0" max="6404" min="6404" style="754" width="10.5"/>
    <col collapsed="false" customWidth="true" hidden="false" outlineLevel="0" max="6405" min="6405" style="754" width="23.25"/>
    <col collapsed="false" customWidth="true" hidden="false" outlineLevel="0" max="6406" min="6406" style="754" width="6"/>
    <col collapsed="false" customWidth="true" hidden="false" outlineLevel="0" max="6407" min="6407" style="754" width="20.63"/>
    <col collapsed="false" customWidth="true" hidden="false" outlineLevel="0" max="6408" min="6408" style="754" width="20.75"/>
    <col collapsed="false" customWidth="true" hidden="false" outlineLevel="0" max="6409" min="6409" style="754" width="11.13"/>
    <col collapsed="false" customWidth="true" hidden="false" outlineLevel="0" max="6411" min="6410" style="754" width="12"/>
    <col collapsed="false" customWidth="true" hidden="false" outlineLevel="0" max="6412" min="6412" style="754" width="13.25"/>
    <col collapsed="false" customWidth="true" hidden="false" outlineLevel="0" max="6413" min="6413" style="754" width="13.88"/>
    <col collapsed="false" customWidth="true" hidden="false" outlineLevel="0" max="6414" min="6414" style="754" width="11"/>
    <col collapsed="false" customWidth="true" hidden="false" outlineLevel="0" max="6415" min="6415" style="754" width="7.88"/>
    <col collapsed="false" customWidth="true" hidden="false" outlineLevel="0" max="6416" min="6416" style="754" width="9.13"/>
    <col collapsed="false" customWidth="false" hidden="false" outlineLevel="0" max="6656" min="6417" style="754" width="9"/>
    <col collapsed="false" customWidth="true" hidden="false" outlineLevel="0" max="6657" min="6657" style="754" width="12.75"/>
    <col collapsed="false" customWidth="true" hidden="false" outlineLevel="0" max="6658" min="6658" style="754" width="13.38"/>
    <col collapsed="false" customWidth="true" hidden="false" outlineLevel="0" max="6659" min="6659" style="754" width="15.88"/>
    <col collapsed="false" customWidth="true" hidden="false" outlineLevel="0" max="6660" min="6660" style="754" width="10.5"/>
    <col collapsed="false" customWidth="true" hidden="false" outlineLevel="0" max="6661" min="6661" style="754" width="23.25"/>
    <col collapsed="false" customWidth="true" hidden="false" outlineLevel="0" max="6662" min="6662" style="754" width="6"/>
    <col collapsed="false" customWidth="true" hidden="false" outlineLevel="0" max="6663" min="6663" style="754" width="20.63"/>
    <col collapsed="false" customWidth="true" hidden="false" outlineLevel="0" max="6664" min="6664" style="754" width="20.75"/>
    <col collapsed="false" customWidth="true" hidden="false" outlineLevel="0" max="6665" min="6665" style="754" width="11.13"/>
    <col collapsed="false" customWidth="true" hidden="false" outlineLevel="0" max="6667" min="6666" style="754" width="12"/>
    <col collapsed="false" customWidth="true" hidden="false" outlineLevel="0" max="6668" min="6668" style="754" width="13.25"/>
    <col collapsed="false" customWidth="true" hidden="false" outlineLevel="0" max="6669" min="6669" style="754" width="13.88"/>
    <col collapsed="false" customWidth="true" hidden="false" outlineLevel="0" max="6670" min="6670" style="754" width="11"/>
    <col collapsed="false" customWidth="true" hidden="false" outlineLevel="0" max="6671" min="6671" style="754" width="7.88"/>
    <col collapsed="false" customWidth="true" hidden="false" outlineLevel="0" max="6672" min="6672" style="754" width="9.13"/>
    <col collapsed="false" customWidth="false" hidden="false" outlineLevel="0" max="6912" min="6673" style="754" width="9"/>
    <col collapsed="false" customWidth="true" hidden="false" outlineLevel="0" max="6913" min="6913" style="754" width="12.75"/>
    <col collapsed="false" customWidth="true" hidden="false" outlineLevel="0" max="6914" min="6914" style="754" width="13.38"/>
    <col collapsed="false" customWidth="true" hidden="false" outlineLevel="0" max="6915" min="6915" style="754" width="15.88"/>
    <col collapsed="false" customWidth="true" hidden="false" outlineLevel="0" max="6916" min="6916" style="754" width="10.5"/>
    <col collapsed="false" customWidth="true" hidden="false" outlineLevel="0" max="6917" min="6917" style="754" width="23.25"/>
    <col collapsed="false" customWidth="true" hidden="false" outlineLevel="0" max="6918" min="6918" style="754" width="6"/>
    <col collapsed="false" customWidth="true" hidden="false" outlineLevel="0" max="6919" min="6919" style="754" width="20.63"/>
    <col collapsed="false" customWidth="true" hidden="false" outlineLevel="0" max="6920" min="6920" style="754" width="20.75"/>
    <col collapsed="false" customWidth="true" hidden="false" outlineLevel="0" max="6921" min="6921" style="754" width="11.13"/>
    <col collapsed="false" customWidth="true" hidden="false" outlineLevel="0" max="6923" min="6922" style="754" width="12"/>
    <col collapsed="false" customWidth="true" hidden="false" outlineLevel="0" max="6924" min="6924" style="754" width="13.25"/>
    <col collapsed="false" customWidth="true" hidden="false" outlineLevel="0" max="6925" min="6925" style="754" width="13.88"/>
    <col collapsed="false" customWidth="true" hidden="false" outlineLevel="0" max="6926" min="6926" style="754" width="11"/>
    <col collapsed="false" customWidth="true" hidden="false" outlineLevel="0" max="6927" min="6927" style="754" width="7.88"/>
    <col collapsed="false" customWidth="true" hidden="false" outlineLevel="0" max="6928" min="6928" style="754" width="9.13"/>
    <col collapsed="false" customWidth="false" hidden="false" outlineLevel="0" max="7168" min="6929" style="754" width="9"/>
    <col collapsed="false" customWidth="true" hidden="false" outlineLevel="0" max="7169" min="7169" style="754" width="12.75"/>
    <col collapsed="false" customWidth="true" hidden="false" outlineLevel="0" max="7170" min="7170" style="754" width="13.38"/>
    <col collapsed="false" customWidth="true" hidden="false" outlineLevel="0" max="7171" min="7171" style="754" width="15.88"/>
    <col collapsed="false" customWidth="true" hidden="false" outlineLevel="0" max="7172" min="7172" style="754" width="10.5"/>
    <col collapsed="false" customWidth="true" hidden="false" outlineLevel="0" max="7173" min="7173" style="754" width="23.25"/>
    <col collapsed="false" customWidth="true" hidden="false" outlineLevel="0" max="7174" min="7174" style="754" width="6"/>
    <col collapsed="false" customWidth="true" hidden="false" outlineLevel="0" max="7175" min="7175" style="754" width="20.63"/>
    <col collapsed="false" customWidth="true" hidden="false" outlineLevel="0" max="7176" min="7176" style="754" width="20.75"/>
    <col collapsed="false" customWidth="true" hidden="false" outlineLevel="0" max="7177" min="7177" style="754" width="11.13"/>
    <col collapsed="false" customWidth="true" hidden="false" outlineLevel="0" max="7179" min="7178" style="754" width="12"/>
    <col collapsed="false" customWidth="true" hidden="false" outlineLevel="0" max="7180" min="7180" style="754" width="13.25"/>
    <col collapsed="false" customWidth="true" hidden="false" outlineLevel="0" max="7181" min="7181" style="754" width="13.88"/>
    <col collapsed="false" customWidth="true" hidden="false" outlineLevel="0" max="7182" min="7182" style="754" width="11"/>
    <col collapsed="false" customWidth="true" hidden="false" outlineLevel="0" max="7183" min="7183" style="754" width="7.88"/>
    <col collapsed="false" customWidth="true" hidden="false" outlineLevel="0" max="7184" min="7184" style="754" width="9.13"/>
    <col collapsed="false" customWidth="false" hidden="false" outlineLevel="0" max="7424" min="7185" style="754" width="9"/>
    <col collapsed="false" customWidth="true" hidden="false" outlineLevel="0" max="7425" min="7425" style="754" width="12.75"/>
    <col collapsed="false" customWidth="true" hidden="false" outlineLevel="0" max="7426" min="7426" style="754" width="13.38"/>
    <col collapsed="false" customWidth="true" hidden="false" outlineLevel="0" max="7427" min="7427" style="754" width="15.88"/>
    <col collapsed="false" customWidth="true" hidden="false" outlineLevel="0" max="7428" min="7428" style="754" width="10.5"/>
    <col collapsed="false" customWidth="true" hidden="false" outlineLevel="0" max="7429" min="7429" style="754" width="23.25"/>
    <col collapsed="false" customWidth="true" hidden="false" outlineLevel="0" max="7430" min="7430" style="754" width="6"/>
    <col collapsed="false" customWidth="true" hidden="false" outlineLevel="0" max="7431" min="7431" style="754" width="20.63"/>
    <col collapsed="false" customWidth="true" hidden="false" outlineLevel="0" max="7432" min="7432" style="754" width="20.75"/>
    <col collapsed="false" customWidth="true" hidden="false" outlineLevel="0" max="7433" min="7433" style="754" width="11.13"/>
    <col collapsed="false" customWidth="true" hidden="false" outlineLevel="0" max="7435" min="7434" style="754" width="12"/>
    <col collapsed="false" customWidth="true" hidden="false" outlineLevel="0" max="7436" min="7436" style="754" width="13.25"/>
    <col collapsed="false" customWidth="true" hidden="false" outlineLevel="0" max="7437" min="7437" style="754" width="13.88"/>
    <col collapsed="false" customWidth="true" hidden="false" outlineLevel="0" max="7438" min="7438" style="754" width="11"/>
    <col collapsed="false" customWidth="true" hidden="false" outlineLevel="0" max="7439" min="7439" style="754" width="7.88"/>
    <col collapsed="false" customWidth="true" hidden="false" outlineLevel="0" max="7440" min="7440" style="754" width="9.13"/>
    <col collapsed="false" customWidth="false" hidden="false" outlineLevel="0" max="7680" min="7441" style="754" width="9"/>
    <col collapsed="false" customWidth="true" hidden="false" outlineLevel="0" max="7681" min="7681" style="754" width="12.75"/>
    <col collapsed="false" customWidth="true" hidden="false" outlineLevel="0" max="7682" min="7682" style="754" width="13.38"/>
    <col collapsed="false" customWidth="true" hidden="false" outlineLevel="0" max="7683" min="7683" style="754" width="15.88"/>
    <col collapsed="false" customWidth="true" hidden="false" outlineLevel="0" max="7684" min="7684" style="754" width="10.5"/>
    <col collapsed="false" customWidth="true" hidden="false" outlineLevel="0" max="7685" min="7685" style="754" width="23.25"/>
    <col collapsed="false" customWidth="true" hidden="false" outlineLevel="0" max="7686" min="7686" style="754" width="6"/>
    <col collapsed="false" customWidth="true" hidden="false" outlineLevel="0" max="7687" min="7687" style="754" width="20.63"/>
    <col collapsed="false" customWidth="true" hidden="false" outlineLevel="0" max="7688" min="7688" style="754" width="20.75"/>
    <col collapsed="false" customWidth="true" hidden="false" outlineLevel="0" max="7689" min="7689" style="754" width="11.13"/>
    <col collapsed="false" customWidth="true" hidden="false" outlineLevel="0" max="7691" min="7690" style="754" width="12"/>
    <col collapsed="false" customWidth="true" hidden="false" outlineLevel="0" max="7692" min="7692" style="754" width="13.25"/>
    <col collapsed="false" customWidth="true" hidden="false" outlineLevel="0" max="7693" min="7693" style="754" width="13.88"/>
    <col collapsed="false" customWidth="true" hidden="false" outlineLevel="0" max="7694" min="7694" style="754" width="11"/>
    <col collapsed="false" customWidth="true" hidden="false" outlineLevel="0" max="7695" min="7695" style="754" width="7.88"/>
    <col collapsed="false" customWidth="true" hidden="false" outlineLevel="0" max="7696" min="7696" style="754" width="9.13"/>
    <col collapsed="false" customWidth="false" hidden="false" outlineLevel="0" max="7936" min="7697" style="754" width="9"/>
    <col collapsed="false" customWidth="true" hidden="false" outlineLevel="0" max="7937" min="7937" style="754" width="12.75"/>
    <col collapsed="false" customWidth="true" hidden="false" outlineLevel="0" max="7938" min="7938" style="754" width="13.38"/>
    <col collapsed="false" customWidth="true" hidden="false" outlineLevel="0" max="7939" min="7939" style="754" width="15.88"/>
    <col collapsed="false" customWidth="true" hidden="false" outlineLevel="0" max="7940" min="7940" style="754" width="10.5"/>
    <col collapsed="false" customWidth="true" hidden="false" outlineLevel="0" max="7941" min="7941" style="754" width="23.25"/>
    <col collapsed="false" customWidth="true" hidden="false" outlineLevel="0" max="7942" min="7942" style="754" width="6"/>
    <col collapsed="false" customWidth="true" hidden="false" outlineLevel="0" max="7943" min="7943" style="754" width="20.63"/>
    <col collapsed="false" customWidth="true" hidden="false" outlineLevel="0" max="7944" min="7944" style="754" width="20.75"/>
    <col collapsed="false" customWidth="true" hidden="false" outlineLevel="0" max="7945" min="7945" style="754" width="11.13"/>
    <col collapsed="false" customWidth="true" hidden="false" outlineLevel="0" max="7947" min="7946" style="754" width="12"/>
    <col collapsed="false" customWidth="true" hidden="false" outlineLevel="0" max="7948" min="7948" style="754" width="13.25"/>
    <col collapsed="false" customWidth="true" hidden="false" outlineLevel="0" max="7949" min="7949" style="754" width="13.88"/>
    <col collapsed="false" customWidth="true" hidden="false" outlineLevel="0" max="7950" min="7950" style="754" width="11"/>
    <col collapsed="false" customWidth="true" hidden="false" outlineLevel="0" max="7951" min="7951" style="754" width="7.88"/>
    <col collapsed="false" customWidth="true" hidden="false" outlineLevel="0" max="7952" min="7952" style="754" width="9.13"/>
    <col collapsed="false" customWidth="false" hidden="false" outlineLevel="0" max="8192" min="7953" style="754" width="9"/>
    <col collapsed="false" customWidth="true" hidden="false" outlineLevel="0" max="8193" min="8193" style="754" width="12.75"/>
    <col collapsed="false" customWidth="true" hidden="false" outlineLevel="0" max="8194" min="8194" style="754" width="13.38"/>
    <col collapsed="false" customWidth="true" hidden="false" outlineLevel="0" max="8195" min="8195" style="754" width="15.88"/>
    <col collapsed="false" customWidth="true" hidden="false" outlineLevel="0" max="8196" min="8196" style="754" width="10.5"/>
    <col collapsed="false" customWidth="true" hidden="false" outlineLevel="0" max="8197" min="8197" style="754" width="23.25"/>
    <col collapsed="false" customWidth="true" hidden="false" outlineLevel="0" max="8198" min="8198" style="754" width="6"/>
    <col collapsed="false" customWidth="true" hidden="false" outlineLevel="0" max="8199" min="8199" style="754" width="20.63"/>
    <col collapsed="false" customWidth="true" hidden="false" outlineLevel="0" max="8200" min="8200" style="754" width="20.75"/>
    <col collapsed="false" customWidth="true" hidden="false" outlineLevel="0" max="8201" min="8201" style="754" width="11.13"/>
    <col collapsed="false" customWidth="true" hidden="false" outlineLevel="0" max="8203" min="8202" style="754" width="12"/>
    <col collapsed="false" customWidth="true" hidden="false" outlineLevel="0" max="8204" min="8204" style="754" width="13.25"/>
    <col collapsed="false" customWidth="true" hidden="false" outlineLevel="0" max="8205" min="8205" style="754" width="13.88"/>
    <col collapsed="false" customWidth="true" hidden="false" outlineLevel="0" max="8206" min="8206" style="754" width="11"/>
    <col collapsed="false" customWidth="true" hidden="false" outlineLevel="0" max="8207" min="8207" style="754" width="7.88"/>
    <col collapsed="false" customWidth="true" hidden="false" outlineLevel="0" max="8208" min="8208" style="754" width="9.13"/>
    <col collapsed="false" customWidth="false" hidden="false" outlineLevel="0" max="8448" min="8209" style="754" width="9"/>
    <col collapsed="false" customWidth="true" hidden="false" outlineLevel="0" max="8449" min="8449" style="754" width="12.75"/>
    <col collapsed="false" customWidth="true" hidden="false" outlineLevel="0" max="8450" min="8450" style="754" width="13.38"/>
    <col collapsed="false" customWidth="true" hidden="false" outlineLevel="0" max="8451" min="8451" style="754" width="15.88"/>
    <col collapsed="false" customWidth="true" hidden="false" outlineLevel="0" max="8452" min="8452" style="754" width="10.5"/>
    <col collapsed="false" customWidth="true" hidden="false" outlineLevel="0" max="8453" min="8453" style="754" width="23.25"/>
    <col collapsed="false" customWidth="true" hidden="false" outlineLevel="0" max="8454" min="8454" style="754" width="6"/>
    <col collapsed="false" customWidth="true" hidden="false" outlineLevel="0" max="8455" min="8455" style="754" width="20.63"/>
    <col collapsed="false" customWidth="true" hidden="false" outlineLevel="0" max="8456" min="8456" style="754" width="20.75"/>
    <col collapsed="false" customWidth="true" hidden="false" outlineLevel="0" max="8457" min="8457" style="754" width="11.13"/>
    <col collapsed="false" customWidth="true" hidden="false" outlineLevel="0" max="8459" min="8458" style="754" width="12"/>
    <col collapsed="false" customWidth="true" hidden="false" outlineLevel="0" max="8460" min="8460" style="754" width="13.25"/>
    <col collapsed="false" customWidth="true" hidden="false" outlineLevel="0" max="8461" min="8461" style="754" width="13.88"/>
    <col collapsed="false" customWidth="true" hidden="false" outlineLevel="0" max="8462" min="8462" style="754" width="11"/>
    <col collapsed="false" customWidth="true" hidden="false" outlineLevel="0" max="8463" min="8463" style="754" width="7.88"/>
    <col collapsed="false" customWidth="true" hidden="false" outlineLevel="0" max="8464" min="8464" style="754" width="9.13"/>
    <col collapsed="false" customWidth="false" hidden="false" outlineLevel="0" max="8704" min="8465" style="754" width="9"/>
    <col collapsed="false" customWidth="true" hidden="false" outlineLevel="0" max="8705" min="8705" style="754" width="12.75"/>
    <col collapsed="false" customWidth="true" hidden="false" outlineLevel="0" max="8706" min="8706" style="754" width="13.38"/>
    <col collapsed="false" customWidth="true" hidden="false" outlineLevel="0" max="8707" min="8707" style="754" width="15.88"/>
    <col collapsed="false" customWidth="true" hidden="false" outlineLevel="0" max="8708" min="8708" style="754" width="10.5"/>
    <col collapsed="false" customWidth="true" hidden="false" outlineLevel="0" max="8709" min="8709" style="754" width="23.25"/>
    <col collapsed="false" customWidth="true" hidden="false" outlineLevel="0" max="8710" min="8710" style="754" width="6"/>
    <col collapsed="false" customWidth="true" hidden="false" outlineLevel="0" max="8711" min="8711" style="754" width="20.63"/>
    <col collapsed="false" customWidth="true" hidden="false" outlineLevel="0" max="8712" min="8712" style="754" width="20.75"/>
    <col collapsed="false" customWidth="true" hidden="false" outlineLevel="0" max="8713" min="8713" style="754" width="11.13"/>
    <col collapsed="false" customWidth="true" hidden="false" outlineLevel="0" max="8715" min="8714" style="754" width="12"/>
    <col collapsed="false" customWidth="true" hidden="false" outlineLevel="0" max="8716" min="8716" style="754" width="13.25"/>
    <col collapsed="false" customWidth="true" hidden="false" outlineLevel="0" max="8717" min="8717" style="754" width="13.88"/>
    <col collapsed="false" customWidth="true" hidden="false" outlineLevel="0" max="8718" min="8718" style="754" width="11"/>
    <col collapsed="false" customWidth="true" hidden="false" outlineLevel="0" max="8719" min="8719" style="754" width="7.88"/>
    <col collapsed="false" customWidth="true" hidden="false" outlineLevel="0" max="8720" min="8720" style="754" width="9.13"/>
    <col collapsed="false" customWidth="false" hidden="false" outlineLevel="0" max="8960" min="8721" style="754" width="9"/>
    <col collapsed="false" customWidth="true" hidden="false" outlineLevel="0" max="8961" min="8961" style="754" width="12.75"/>
    <col collapsed="false" customWidth="true" hidden="false" outlineLevel="0" max="8962" min="8962" style="754" width="13.38"/>
    <col collapsed="false" customWidth="true" hidden="false" outlineLevel="0" max="8963" min="8963" style="754" width="15.88"/>
    <col collapsed="false" customWidth="true" hidden="false" outlineLevel="0" max="8964" min="8964" style="754" width="10.5"/>
    <col collapsed="false" customWidth="true" hidden="false" outlineLevel="0" max="8965" min="8965" style="754" width="23.25"/>
    <col collapsed="false" customWidth="true" hidden="false" outlineLevel="0" max="8966" min="8966" style="754" width="6"/>
    <col collapsed="false" customWidth="true" hidden="false" outlineLevel="0" max="8967" min="8967" style="754" width="20.63"/>
    <col collapsed="false" customWidth="true" hidden="false" outlineLevel="0" max="8968" min="8968" style="754" width="20.75"/>
    <col collapsed="false" customWidth="true" hidden="false" outlineLevel="0" max="8969" min="8969" style="754" width="11.13"/>
    <col collapsed="false" customWidth="true" hidden="false" outlineLevel="0" max="8971" min="8970" style="754" width="12"/>
    <col collapsed="false" customWidth="true" hidden="false" outlineLevel="0" max="8972" min="8972" style="754" width="13.25"/>
    <col collapsed="false" customWidth="true" hidden="false" outlineLevel="0" max="8973" min="8973" style="754" width="13.88"/>
    <col collapsed="false" customWidth="true" hidden="false" outlineLevel="0" max="8974" min="8974" style="754" width="11"/>
    <col collapsed="false" customWidth="true" hidden="false" outlineLevel="0" max="8975" min="8975" style="754" width="7.88"/>
    <col collapsed="false" customWidth="true" hidden="false" outlineLevel="0" max="8976" min="8976" style="754" width="9.13"/>
    <col collapsed="false" customWidth="false" hidden="false" outlineLevel="0" max="9216" min="8977" style="754" width="9"/>
    <col collapsed="false" customWidth="true" hidden="false" outlineLevel="0" max="9217" min="9217" style="754" width="12.75"/>
    <col collapsed="false" customWidth="true" hidden="false" outlineLevel="0" max="9218" min="9218" style="754" width="13.38"/>
    <col collapsed="false" customWidth="true" hidden="false" outlineLevel="0" max="9219" min="9219" style="754" width="15.88"/>
    <col collapsed="false" customWidth="true" hidden="false" outlineLevel="0" max="9220" min="9220" style="754" width="10.5"/>
    <col collapsed="false" customWidth="true" hidden="false" outlineLevel="0" max="9221" min="9221" style="754" width="23.25"/>
    <col collapsed="false" customWidth="true" hidden="false" outlineLevel="0" max="9222" min="9222" style="754" width="6"/>
    <col collapsed="false" customWidth="true" hidden="false" outlineLevel="0" max="9223" min="9223" style="754" width="20.63"/>
    <col collapsed="false" customWidth="true" hidden="false" outlineLevel="0" max="9224" min="9224" style="754" width="20.75"/>
    <col collapsed="false" customWidth="true" hidden="false" outlineLevel="0" max="9225" min="9225" style="754" width="11.13"/>
    <col collapsed="false" customWidth="true" hidden="false" outlineLevel="0" max="9227" min="9226" style="754" width="12"/>
    <col collapsed="false" customWidth="true" hidden="false" outlineLevel="0" max="9228" min="9228" style="754" width="13.25"/>
    <col collapsed="false" customWidth="true" hidden="false" outlineLevel="0" max="9229" min="9229" style="754" width="13.88"/>
    <col collapsed="false" customWidth="true" hidden="false" outlineLevel="0" max="9230" min="9230" style="754" width="11"/>
    <col collapsed="false" customWidth="true" hidden="false" outlineLevel="0" max="9231" min="9231" style="754" width="7.88"/>
    <col collapsed="false" customWidth="true" hidden="false" outlineLevel="0" max="9232" min="9232" style="754" width="9.13"/>
    <col collapsed="false" customWidth="false" hidden="false" outlineLevel="0" max="9472" min="9233" style="754" width="9"/>
    <col collapsed="false" customWidth="true" hidden="false" outlineLevel="0" max="9473" min="9473" style="754" width="12.75"/>
    <col collapsed="false" customWidth="true" hidden="false" outlineLevel="0" max="9474" min="9474" style="754" width="13.38"/>
    <col collapsed="false" customWidth="true" hidden="false" outlineLevel="0" max="9475" min="9475" style="754" width="15.88"/>
    <col collapsed="false" customWidth="true" hidden="false" outlineLevel="0" max="9476" min="9476" style="754" width="10.5"/>
    <col collapsed="false" customWidth="true" hidden="false" outlineLevel="0" max="9477" min="9477" style="754" width="23.25"/>
    <col collapsed="false" customWidth="true" hidden="false" outlineLevel="0" max="9478" min="9478" style="754" width="6"/>
    <col collapsed="false" customWidth="true" hidden="false" outlineLevel="0" max="9479" min="9479" style="754" width="20.63"/>
    <col collapsed="false" customWidth="true" hidden="false" outlineLevel="0" max="9480" min="9480" style="754" width="20.75"/>
    <col collapsed="false" customWidth="true" hidden="false" outlineLevel="0" max="9481" min="9481" style="754" width="11.13"/>
    <col collapsed="false" customWidth="true" hidden="false" outlineLevel="0" max="9483" min="9482" style="754" width="12"/>
    <col collapsed="false" customWidth="true" hidden="false" outlineLevel="0" max="9484" min="9484" style="754" width="13.25"/>
    <col collapsed="false" customWidth="true" hidden="false" outlineLevel="0" max="9485" min="9485" style="754" width="13.88"/>
    <col collapsed="false" customWidth="true" hidden="false" outlineLevel="0" max="9486" min="9486" style="754" width="11"/>
    <col collapsed="false" customWidth="true" hidden="false" outlineLevel="0" max="9487" min="9487" style="754" width="7.88"/>
    <col collapsed="false" customWidth="true" hidden="false" outlineLevel="0" max="9488" min="9488" style="754" width="9.13"/>
    <col collapsed="false" customWidth="false" hidden="false" outlineLevel="0" max="9728" min="9489" style="754" width="9"/>
    <col collapsed="false" customWidth="true" hidden="false" outlineLevel="0" max="9729" min="9729" style="754" width="12.75"/>
    <col collapsed="false" customWidth="true" hidden="false" outlineLevel="0" max="9730" min="9730" style="754" width="13.38"/>
    <col collapsed="false" customWidth="true" hidden="false" outlineLevel="0" max="9731" min="9731" style="754" width="15.88"/>
    <col collapsed="false" customWidth="true" hidden="false" outlineLevel="0" max="9732" min="9732" style="754" width="10.5"/>
    <col collapsed="false" customWidth="true" hidden="false" outlineLevel="0" max="9733" min="9733" style="754" width="23.25"/>
    <col collapsed="false" customWidth="true" hidden="false" outlineLevel="0" max="9734" min="9734" style="754" width="6"/>
    <col collapsed="false" customWidth="true" hidden="false" outlineLevel="0" max="9735" min="9735" style="754" width="20.63"/>
    <col collapsed="false" customWidth="true" hidden="false" outlineLevel="0" max="9736" min="9736" style="754" width="20.75"/>
    <col collapsed="false" customWidth="true" hidden="false" outlineLevel="0" max="9737" min="9737" style="754" width="11.13"/>
    <col collapsed="false" customWidth="true" hidden="false" outlineLevel="0" max="9739" min="9738" style="754" width="12"/>
    <col collapsed="false" customWidth="true" hidden="false" outlineLevel="0" max="9740" min="9740" style="754" width="13.25"/>
    <col collapsed="false" customWidth="true" hidden="false" outlineLevel="0" max="9741" min="9741" style="754" width="13.88"/>
    <col collapsed="false" customWidth="true" hidden="false" outlineLevel="0" max="9742" min="9742" style="754" width="11"/>
    <col collapsed="false" customWidth="true" hidden="false" outlineLevel="0" max="9743" min="9743" style="754" width="7.88"/>
    <col collapsed="false" customWidth="true" hidden="false" outlineLevel="0" max="9744" min="9744" style="754" width="9.13"/>
    <col collapsed="false" customWidth="false" hidden="false" outlineLevel="0" max="9984" min="9745" style="754" width="9"/>
    <col collapsed="false" customWidth="true" hidden="false" outlineLevel="0" max="9985" min="9985" style="754" width="12.75"/>
    <col collapsed="false" customWidth="true" hidden="false" outlineLevel="0" max="9986" min="9986" style="754" width="13.38"/>
    <col collapsed="false" customWidth="true" hidden="false" outlineLevel="0" max="9987" min="9987" style="754" width="15.88"/>
    <col collapsed="false" customWidth="true" hidden="false" outlineLevel="0" max="9988" min="9988" style="754" width="10.5"/>
    <col collapsed="false" customWidth="true" hidden="false" outlineLevel="0" max="9989" min="9989" style="754" width="23.25"/>
    <col collapsed="false" customWidth="true" hidden="false" outlineLevel="0" max="9990" min="9990" style="754" width="6"/>
    <col collapsed="false" customWidth="true" hidden="false" outlineLevel="0" max="9991" min="9991" style="754" width="20.63"/>
    <col collapsed="false" customWidth="true" hidden="false" outlineLevel="0" max="9992" min="9992" style="754" width="20.75"/>
    <col collapsed="false" customWidth="true" hidden="false" outlineLevel="0" max="9993" min="9993" style="754" width="11.13"/>
    <col collapsed="false" customWidth="true" hidden="false" outlineLevel="0" max="9995" min="9994" style="754" width="12"/>
    <col collapsed="false" customWidth="true" hidden="false" outlineLevel="0" max="9996" min="9996" style="754" width="13.25"/>
    <col collapsed="false" customWidth="true" hidden="false" outlineLevel="0" max="9997" min="9997" style="754" width="13.88"/>
    <col collapsed="false" customWidth="true" hidden="false" outlineLevel="0" max="9998" min="9998" style="754" width="11"/>
    <col collapsed="false" customWidth="true" hidden="false" outlineLevel="0" max="9999" min="9999" style="754" width="7.88"/>
    <col collapsed="false" customWidth="true" hidden="false" outlineLevel="0" max="10000" min="10000" style="754" width="9.13"/>
    <col collapsed="false" customWidth="false" hidden="false" outlineLevel="0" max="10240" min="10001" style="754" width="9"/>
    <col collapsed="false" customWidth="true" hidden="false" outlineLevel="0" max="10241" min="10241" style="754" width="12.75"/>
    <col collapsed="false" customWidth="true" hidden="false" outlineLevel="0" max="10242" min="10242" style="754" width="13.38"/>
    <col collapsed="false" customWidth="true" hidden="false" outlineLevel="0" max="10243" min="10243" style="754" width="15.88"/>
    <col collapsed="false" customWidth="true" hidden="false" outlineLevel="0" max="10244" min="10244" style="754" width="10.5"/>
    <col collapsed="false" customWidth="true" hidden="false" outlineLevel="0" max="10245" min="10245" style="754" width="23.25"/>
    <col collapsed="false" customWidth="true" hidden="false" outlineLevel="0" max="10246" min="10246" style="754" width="6"/>
    <col collapsed="false" customWidth="true" hidden="false" outlineLevel="0" max="10247" min="10247" style="754" width="20.63"/>
    <col collapsed="false" customWidth="true" hidden="false" outlineLevel="0" max="10248" min="10248" style="754" width="20.75"/>
    <col collapsed="false" customWidth="true" hidden="false" outlineLevel="0" max="10249" min="10249" style="754" width="11.13"/>
    <col collapsed="false" customWidth="true" hidden="false" outlineLevel="0" max="10251" min="10250" style="754" width="12"/>
    <col collapsed="false" customWidth="true" hidden="false" outlineLevel="0" max="10252" min="10252" style="754" width="13.25"/>
    <col collapsed="false" customWidth="true" hidden="false" outlineLevel="0" max="10253" min="10253" style="754" width="13.88"/>
    <col collapsed="false" customWidth="true" hidden="false" outlineLevel="0" max="10254" min="10254" style="754" width="11"/>
    <col collapsed="false" customWidth="true" hidden="false" outlineLevel="0" max="10255" min="10255" style="754" width="7.88"/>
    <col collapsed="false" customWidth="true" hidden="false" outlineLevel="0" max="10256" min="10256" style="754" width="9.13"/>
    <col collapsed="false" customWidth="false" hidden="false" outlineLevel="0" max="10496" min="10257" style="754" width="9"/>
    <col collapsed="false" customWidth="true" hidden="false" outlineLevel="0" max="10497" min="10497" style="754" width="12.75"/>
    <col collapsed="false" customWidth="true" hidden="false" outlineLevel="0" max="10498" min="10498" style="754" width="13.38"/>
    <col collapsed="false" customWidth="true" hidden="false" outlineLevel="0" max="10499" min="10499" style="754" width="15.88"/>
    <col collapsed="false" customWidth="true" hidden="false" outlineLevel="0" max="10500" min="10500" style="754" width="10.5"/>
    <col collapsed="false" customWidth="true" hidden="false" outlineLevel="0" max="10501" min="10501" style="754" width="23.25"/>
    <col collapsed="false" customWidth="true" hidden="false" outlineLevel="0" max="10502" min="10502" style="754" width="6"/>
    <col collapsed="false" customWidth="true" hidden="false" outlineLevel="0" max="10503" min="10503" style="754" width="20.63"/>
    <col collapsed="false" customWidth="true" hidden="false" outlineLevel="0" max="10504" min="10504" style="754" width="20.75"/>
    <col collapsed="false" customWidth="true" hidden="false" outlineLevel="0" max="10505" min="10505" style="754" width="11.13"/>
    <col collapsed="false" customWidth="true" hidden="false" outlineLevel="0" max="10507" min="10506" style="754" width="12"/>
    <col collapsed="false" customWidth="true" hidden="false" outlineLevel="0" max="10508" min="10508" style="754" width="13.25"/>
    <col collapsed="false" customWidth="true" hidden="false" outlineLevel="0" max="10509" min="10509" style="754" width="13.88"/>
    <col collapsed="false" customWidth="true" hidden="false" outlineLevel="0" max="10510" min="10510" style="754" width="11"/>
    <col collapsed="false" customWidth="true" hidden="false" outlineLevel="0" max="10511" min="10511" style="754" width="7.88"/>
    <col collapsed="false" customWidth="true" hidden="false" outlineLevel="0" max="10512" min="10512" style="754" width="9.13"/>
    <col collapsed="false" customWidth="false" hidden="false" outlineLevel="0" max="10752" min="10513" style="754" width="9"/>
    <col collapsed="false" customWidth="true" hidden="false" outlineLevel="0" max="10753" min="10753" style="754" width="12.75"/>
    <col collapsed="false" customWidth="true" hidden="false" outlineLevel="0" max="10754" min="10754" style="754" width="13.38"/>
    <col collapsed="false" customWidth="true" hidden="false" outlineLevel="0" max="10755" min="10755" style="754" width="15.88"/>
    <col collapsed="false" customWidth="true" hidden="false" outlineLevel="0" max="10756" min="10756" style="754" width="10.5"/>
    <col collapsed="false" customWidth="true" hidden="false" outlineLevel="0" max="10757" min="10757" style="754" width="23.25"/>
    <col collapsed="false" customWidth="true" hidden="false" outlineLevel="0" max="10758" min="10758" style="754" width="6"/>
    <col collapsed="false" customWidth="true" hidden="false" outlineLevel="0" max="10759" min="10759" style="754" width="20.63"/>
    <col collapsed="false" customWidth="true" hidden="false" outlineLevel="0" max="10760" min="10760" style="754" width="20.75"/>
    <col collapsed="false" customWidth="true" hidden="false" outlineLevel="0" max="10761" min="10761" style="754" width="11.13"/>
    <col collapsed="false" customWidth="true" hidden="false" outlineLevel="0" max="10763" min="10762" style="754" width="12"/>
    <col collapsed="false" customWidth="true" hidden="false" outlineLevel="0" max="10764" min="10764" style="754" width="13.25"/>
    <col collapsed="false" customWidth="true" hidden="false" outlineLevel="0" max="10765" min="10765" style="754" width="13.88"/>
    <col collapsed="false" customWidth="true" hidden="false" outlineLevel="0" max="10766" min="10766" style="754" width="11"/>
    <col collapsed="false" customWidth="true" hidden="false" outlineLevel="0" max="10767" min="10767" style="754" width="7.88"/>
    <col collapsed="false" customWidth="true" hidden="false" outlineLevel="0" max="10768" min="10768" style="754" width="9.13"/>
    <col collapsed="false" customWidth="false" hidden="false" outlineLevel="0" max="11008" min="10769" style="754" width="9"/>
    <col collapsed="false" customWidth="true" hidden="false" outlineLevel="0" max="11009" min="11009" style="754" width="12.75"/>
    <col collapsed="false" customWidth="true" hidden="false" outlineLevel="0" max="11010" min="11010" style="754" width="13.38"/>
    <col collapsed="false" customWidth="true" hidden="false" outlineLevel="0" max="11011" min="11011" style="754" width="15.88"/>
    <col collapsed="false" customWidth="true" hidden="false" outlineLevel="0" max="11012" min="11012" style="754" width="10.5"/>
    <col collapsed="false" customWidth="true" hidden="false" outlineLevel="0" max="11013" min="11013" style="754" width="23.25"/>
    <col collapsed="false" customWidth="true" hidden="false" outlineLevel="0" max="11014" min="11014" style="754" width="6"/>
    <col collapsed="false" customWidth="true" hidden="false" outlineLevel="0" max="11015" min="11015" style="754" width="20.63"/>
    <col collapsed="false" customWidth="true" hidden="false" outlineLevel="0" max="11016" min="11016" style="754" width="20.75"/>
    <col collapsed="false" customWidth="true" hidden="false" outlineLevel="0" max="11017" min="11017" style="754" width="11.13"/>
    <col collapsed="false" customWidth="true" hidden="false" outlineLevel="0" max="11019" min="11018" style="754" width="12"/>
    <col collapsed="false" customWidth="true" hidden="false" outlineLevel="0" max="11020" min="11020" style="754" width="13.25"/>
    <col collapsed="false" customWidth="true" hidden="false" outlineLevel="0" max="11021" min="11021" style="754" width="13.88"/>
    <col collapsed="false" customWidth="true" hidden="false" outlineLevel="0" max="11022" min="11022" style="754" width="11"/>
    <col collapsed="false" customWidth="true" hidden="false" outlineLevel="0" max="11023" min="11023" style="754" width="7.88"/>
    <col collapsed="false" customWidth="true" hidden="false" outlineLevel="0" max="11024" min="11024" style="754" width="9.13"/>
    <col collapsed="false" customWidth="false" hidden="false" outlineLevel="0" max="11264" min="11025" style="754" width="9"/>
    <col collapsed="false" customWidth="true" hidden="false" outlineLevel="0" max="11265" min="11265" style="754" width="12.75"/>
    <col collapsed="false" customWidth="true" hidden="false" outlineLevel="0" max="11266" min="11266" style="754" width="13.38"/>
    <col collapsed="false" customWidth="true" hidden="false" outlineLevel="0" max="11267" min="11267" style="754" width="15.88"/>
    <col collapsed="false" customWidth="true" hidden="false" outlineLevel="0" max="11268" min="11268" style="754" width="10.5"/>
    <col collapsed="false" customWidth="true" hidden="false" outlineLevel="0" max="11269" min="11269" style="754" width="23.25"/>
    <col collapsed="false" customWidth="true" hidden="false" outlineLevel="0" max="11270" min="11270" style="754" width="6"/>
    <col collapsed="false" customWidth="true" hidden="false" outlineLevel="0" max="11271" min="11271" style="754" width="20.63"/>
    <col collapsed="false" customWidth="true" hidden="false" outlineLevel="0" max="11272" min="11272" style="754" width="20.75"/>
    <col collapsed="false" customWidth="true" hidden="false" outlineLevel="0" max="11273" min="11273" style="754" width="11.13"/>
    <col collapsed="false" customWidth="true" hidden="false" outlineLevel="0" max="11275" min="11274" style="754" width="12"/>
    <col collapsed="false" customWidth="true" hidden="false" outlineLevel="0" max="11276" min="11276" style="754" width="13.25"/>
    <col collapsed="false" customWidth="true" hidden="false" outlineLevel="0" max="11277" min="11277" style="754" width="13.88"/>
    <col collapsed="false" customWidth="true" hidden="false" outlineLevel="0" max="11278" min="11278" style="754" width="11"/>
    <col collapsed="false" customWidth="true" hidden="false" outlineLevel="0" max="11279" min="11279" style="754" width="7.88"/>
    <col collapsed="false" customWidth="true" hidden="false" outlineLevel="0" max="11280" min="11280" style="754" width="9.13"/>
    <col collapsed="false" customWidth="false" hidden="false" outlineLevel="0" max="11520" min="11281" style="754" width="9"/>
    <col collapsed="false" customWidth="true" hidden="false" outlineLevel="0" max="11521" min="11521" style="754" width="12.75"/>
    <col collapsed="false" customWidth="true" hidden="false" outlineLevel="0" max="11522" min="11522" style="754" width="13.38"/>
    <col collapsed="false" customWidth="true" hidden="false" outlineLevel="0" max="11523" min="11523" style="754" width="15.88"/>
    <col collapsed="false" customWidth="true" hidden="false" outlineLevel="0" max="11524" min="11524" style="754" width="10.5"/>
    <col collapsed="false" customWidth="true" hidden="false" outlineLevel="0" max="11525" min="11525" style="754" width="23.25"/>
    <col collapsed="false" customWidth="true" hidden="false" outlineLevel="0" max="11526" min="11526" style="754" width="6"/>
    <col collapsed="false" customWidth="true" hidden="false" outlineLevel="0" max="11527" min="11527" style="754" width="20.63"/>
    <col collapsed="false" customWidth="true" hidden="false" outlineLevel="0" max="11528" min="11528" style="754" width="20.75"/>
    <col collapsed="false" customWidth="true" hidden="false" outlineLevel="0" max="11529" min="11529" style="754" width="11.13"/>
    <col collapsed="false" customWidth="true" hidden="false" outlineLevel="0" max="11531" min="11530" style="754" width="12"/>
    <col collapsed="false" customWidth="true" hidden="false" outlineLevel="0" max="11532" min="11532" style="754" width="13.25"/>
    <col collapsed="false" customWidth="true" hidden="false" outlineLevel="0" max="11533" min="11533" style="754" width="13.88"/>
    <col collapsed="false" customWidth="true" hidden="false" outlineLevel="0" max="11534" min="11534" style="754" width="11"/>
    <col collapsed="false" customWidth="true" hidden="false" outlineLevel="0" max="11535" min="11535" style="754" width="7.88"/>
    <col collapsed="false" customWidth="true" hidden="false" outlineLevel="0" max="11536" min="11536" style="754" width="9.13"/>
    <col collapsed="false" customWidth="false" hidden="false" outlineLevel="0" max="11776" min="11537" style="754" width="9"/>
    <col collapsed="false" customWidth="true" hidden="false" outlineLevel="0" max="11777" min="11777" style="754" width="12.75"/>
    <col collapsed="false" customWidth="true" hidden="false" outlineLevel="0" max="11778" min="11778" style="754" width="13.38"/>
    <col collapsed="false" customWidth="true" hidden="false" outlineLevel="0" max="11779" min="11779" style="754" width="15.88"/>
    <col collapsed="false" customWidth="true" hidden="false" outlineLevel="0" max="11780" min="11780" style="754" width="10.5"/>
    <col collapsed="false" customWidth="true" hidden="false" outlineLevel="0" max="11781" min="11781" style="754" width="23.25"/>
    <col collapsed="false" customWidth="true" hidden="false" outlineLevel="0" max="11782" min="11782" style="754" width="6"/>
    <col collapsed="false" customWidth="true" hidden="false" outlineLevel="0" max="11783" min="11783" style="754" width="20.63"/>
    <col collapsed="false" customWidth="true" hidden="false" outlineLevel="0" max="11784" min="11784" style="754" width="20.75"/>
    <col collapsed="false" customWidth="true" hidden="false" outlineLevel="0" max="11785" min="11785" style="754" width="11.13"/>
    <col collapsed="false" customWidth="true" hidden="false" outlineLevel="0" max="11787" min="11786" style="754" width="12"/>
    <col collapsed="false" customWidth="true" hidden="false" outlineLevel="0" max="11788" min="11788" style="754" width="13.25"/>
    <col collapsed="false" customWidth="true" hidden="false" outlineLevel="0" max="11789" min="11789" style="754" width="13.88"/>
    <col collapsed="false" customWidth="true" hidden="false" outlineLevel="0" max="11790" min="11790" style="754" width="11"/>
    <col collapsed="false" customWidth="true" hidden="false" outlineLevel="0" max="11791" min="11791" style="754" width="7.88"/>
    <col collapsed="false" customWidth="true" hidden="false" outlineLevel="0" max="11792" min="11792" style="754" width="9.13"/>
    <col collapsed="false" customWidth="false" hidden="false" outlineLevel="0" max="12032" min="11793" style="754" width="9"/>
    <col collapsed="false" customWidth="true" hidden="false" outlineLevel="0" max="12033" min="12033" style="754" width="12.75"/>
    <col collapsed="false" customWidth="true" hidden="false" outlineLevel="0" max="12034" min="12034" style="754" width="13.38"/>
    <col collapsed="false" customWidth="true" hidden="false" outlineLevel="0" max="12035" min="12035" style="754" width="15.88"/>
    <col collapsed="false" customWidth="true" hidden="false" outlineLevel="0" max="12036" min="12036" style="754" width="10.5"/>
    <col collapsed="false" customWidth="true" hidden="false" outlineLevel="0" max="12037" min="12037" style="754" width="23.25"/>
    <col collapsed="false" customWidth="true" hidden="false" outlineLevel="0" max="12038" min="12038" style="754" width="6"/>
    <col collapsed="false" customWidth="true" hidden="false" outlineLevel="0" max="12039" min="12039" style="754" width="20.63"/>
    <col collapsed="false" customWidth="true" hidden="false" outlineLevel="0" max="12040" min="12040" style="754" width="20.75"/>
    <col collapsed="false" customWidth="true" hidden="false" outlineLevel="0" max="12041" min="12041" style="754" width="11.13"/>
    <col collapsed="false" customWidth="true" hidden="false" outlineLevel="0" max="12043" min="12042" style="754" width="12"/>
    <col collapsed="false" customWidth="true" hidden="false" outlineLevel="0" max="12044" min="12044" style="754" width="13.25"/>
    <col collapsed="false" customWidth="true" hidden="false" outlineLevel="0" max="12045" min="12045" style="754" width="13.88"/>
    <col collapsed="false" customWidth="true" hidden="false" outlineLevel="0" max="12046" min="12046" style="754" width="11"/>
    <col collapsed="false" customWidth="true" hidden="false" outlineLevel="0" max="12047" min="12047" style="754" width="7.88"/>
    <col collapsed="false" customWidth="true" hidden="false" outlineLevel="0" max="12048" min="12048" style="754" width="9.13"/>
    <col collapsed="false" customWidth="false" hidden="false" outlineLevel="0" max="12288" min="12049" style="754" width="9"/>
    <col collapsed="false" customWidth="true" hidden="false" outlineLevel="0" max="12289" min="12289" style="754" width="12.75"/>
    <col collapsed="false" customWidth="true" hidden="false" outlineLevel="0" max="12290" min="12290" style="754" width="13.38"/>
    <col collapsed="false" customWidth="true" hidden="false" outlineLevel="0" max="12291" min="12291" style="754" width="15.88"/>
    <col collapsed="false" customWidth="true" hidden="false" outlineLevel="0" max="12292" min="12292" style="754" width="10.5"/>
    <col collapsed="false" customWidth="true" hidden="false" outlineLevel="0" max="12293" min="12293" style="754" width="23.25"/>
    <col collapsed="false" customWidth="true" hidden="false" outlineLevel="0" max="12294" min="12294" style="754" width="6"/>
    <col collapsed="false" customWidth="true" hidden="false" outlineLevel="0" max="12295" min="12295" style="754" width="20.63"/>
    <col collapsed="false" customWidth="true" hidden="false" outlineLevel="0" max="12296" min="12296" style="754" width="20.75"/>
    <col collapsed="false" customWidth="true" hidden="false" outlineLevel="0" max="12297" min="12297" style="754" width="11.13"/>
    <col collapsed="false" customWidth="true" hidden="false" outlineLevel="0" max="12299" min="12298" style="754" width="12"/>
    <col collapsed="false" customWidth="true" hidden="false" outlineLevel="0" max="12300" min="12300" style="754" width="13.25"/>
    <col collapsed="false" customWidth="true" hidden="false" outlineLevel="0" max="12301" min="12301" style="754" width="13.88"/>
    <col collapsed="false" customWidth="true" hidden="false" outlineLevel="0" max="12302" min="12302" style="754" width="11"/>
    <col collapsed="false" customWidth="true" hidden="false" outlineLevel="0" max="12303" min="12303" style="754" width="7.88"/>
    <col collapsed="false" customWidth="true" hidden="false" outlineLevel="0" max="12304" min="12304" style="754" width="9.13"/>
    <col collapsed="false" customWidth="false" hidden="false" outlineLevel="0" max="12544" min="12305" style="754" width="9"/>
    <col collapsed="false" customWidth="true" hidden="false" outlineLevel="0" max="12545" min="12545" style="754" width="12.75"/>
    <col collapsed="false" customWidth="true" hidden="false" outlineLevel="0" max="12546" min="12546" style="754" width="13.38"/>
    <col collapsed="false" customWidth="true" hidden="false" outlineLevel="0" max="12547" min="12547" style="754" width="15.88"/>
    <col collapsed="false" customWidth="true" hidden="false" outlineLevel="0" max="12548" min="12548" style="754" width="10.5"/>
    <col collapsed="false" customWidth="true" hidden="false" outlineLevel="0" max="12549" min="12549" style="754" width="23.25"/>
    <col collapsed="false" customWidth="true" hidden="false" outlineLevel="0" max="12550" min="12550" style="754" width="6"/>
    <col collapsed="false" customWidth="true" hidden="false" outlineLevel="0" max="12551" min="12551" style="754" width="20.63"/>
    <col collapsed="false" customWidth="true" hidden="false" outlineLevel="0" max="12552" min="12552" style="754" width="20.75"/>
    <col collapsed="false" customWidth="true" hidden="false" outlineLevel="0" max="12553" min="12553" style="754" width="11.13"/>
    <col collapsed="false" customWidth="true" hidden="false" outlineLevel="0" max="12555" min="12554" style="754" width="12"/>
    <col collapsed="false" customWidth="true" hidden="false" outlineLevel="0" max="12556" min="12556" style="754" width="13.25"/>
    <col collapsed="false" customWidth="true" hidden="false" outlineLevel="0" max="12557" min="12557" style="754" width="13.88"/>
    <col collapsed="false" customWidth="true" hidden="false" outlineLevel="0" max="12558" min="12558" style="754" width="11"/>
    <col collapsed="false" customWidth="true" hidden="false" outlineLevel="0" max="12559" min="12559" style="754" width="7.88"/>
    <col collapsed="false" customWidth="true" hidden="false" outlineLevel="0" max="12560" min="12560" style="754" width="9.13"/>
    <col collapsed="false" customWidth="false" hidden="false" outlineLevel="0" max="12800" min="12561" style="754" width="9"/>
    <col collapsed="false" customWidth="true" hidden="false" outlineLevel="0" max="12801" min="12801" style="754" width="12.75"/>
    <col collapsed="false" customWidth="true" hidden="false" outlineLevel="0" max="12802" min="12802" style="754" width="13.38"/>
    <col collapsed="false" customWidth="true" hidden="false" outlineLevel="0" max="12803" min="12803" style="754" width="15.88"/>
    <col collapsed="false" customWidth="true" hidden="false" outlineLevel="0" max="12804" min="12804" style="754" width="10.5"/>
    <col collapsed="false" customWidth="true" hidden="false" outlineLevel="0" max="12805" min="12805" style="754" width="23.25"/>
    <col collapsed="false" customWidth="true" hidden="false" outlineLevel="0" max="12806" min="12806" style="754" width="6"/>
    <col collapsed="false" customWidth="true" hidden="false" outlineLevel="0" max="12807" min="12807" style="754" width="20.63"/>
    <col collapsed="false" customWidth="true" hidden="false" outlineLevel="0" max="12808" min="12808" style="754" width="20.75"/>
    <col collapsed="false" customWidth="true" hidden="false" outlineLevel="0" max="12809" min="12809" style="754" width="11.13"/>
    <col collapsed="false" customWidth="true" hidden="false" outlineLevel="0" max="12811" min="12810" style="754" width="12"/>
    <col collapsed="false" customWidth="true" hidden="false" outlineLevel="0" max="12812" min="12812" style="754" width="13.25"/>
    <col collapsed="false" customWidth="true" hidden="false" outlineLevel="0" max="12813" min="12813" style="754" width="13.88"/>
    <col collapsed="false" customWidth="true" hidden="false" outlineLevel="0" max="12814" min="12814" style="754" width="11"/>
    <col collapsed="false" customWidth="true" hidden="false" outlineLevel="0" max="12815" min="12815" style="754" width="7.88"/>
    <col collapsed="false" customWidth="true" hidden="false" outlineLevel="0" max="12816" min="12816" style="754" width="9.13"/>
    <col collapsed="false" customWidth="false" hidden="false" outlineLevel="0" max="13056" min="12817" style="754" width="9"/>
    <col collapsed="false" customWidth="true" hidden="false" outlineLevel="0" max="13057" min="13057" style="754" width="12.75"/>
    <col collapsed="false" customWidth="true" hidden="false" outlineLevel="0" max="13058" min="13058" style="754" width="13.38"/>
    <col collapsed="false" customWidth="true" hidden="false" outlineLevel="0" max="13059" min="13059" style="754" width="15.88"/>
    <col collapsed="false" customWidth="true" hidden="false" outlineLevel="0" max="13060" min="13060" style="754" width="10.5"/>
    <col collapsed="false" customWidth="true" hidden="false" outlineLevel="0" max="13061" min="13061" style="754" width="23.25"/>
    <col collapsed="false" customWidth="true" hidden="false" outlineLevel="0" max="13062" min="13062" style="754" width="6"/>
    <col collapsed="false" customWidth="true" hidden="false" outlineLevel="0" max="13063" min="13063" style="754" width="20.63"/>
    <col collapsed="false" customWidth="true" hidden="false" outlineLevel="0" max="13064" min="13064" style="754" width="20.75"/>
    <col collapsed="false" customWidth="true" hidden="false" outlineLevel="0" max="13065" min="13065" style="754" width="11.13"/>
    <col collapsed="false" customWidth="true" hidden="false" outlineLevel="0" max="13067" min="13066" style="754" width="12"/>
    <col collapsed="false" customWidth="true" hidden="false" outlineLevel="0" max="13068" min="13068" style="754" width="13.25"/>
    <col collapsed="false" customWidth="true" hidden="false" outlineLevel="0" max="13069" min="13069" style="754" width="13.88"/>
    <col collapsed="false" customWidth="true" hidden="false" outlineLevel="0" max="13070" min="13070" style="754" width="11"/>
    <col collapsed="false" customWidth="true" hidden="false" outlineLevel="0" max="13071" min="13071" style="754" width="7.88"/>
    <col collapsed="false" customWidth="true" hidden="false" outlineLevel="0" max="13072" min="13072" style="754" width="9.13"/>
    <col collapsed="false" customWidth="false" hidden="false" outlineLevel="0" max="13312" min="13073" style="754" width="9"/>
    <col collapsed="false" customWidth="true" hidden="false" outlineLevel="0" max="13313" min="13313" style="754" width="12.75"/>
    <col collapsed="false" customWidth="true" hidden="false" outlineLevel="0" max="13314" min="13314" style="754" width="13.38"/>
    <col collapsed="false" customWidth="true" hidden="false" outlineLevel="0" max="13315" min="13315" style="754" width="15.88"/>
    <col collapsed="false" customWidth="true" hidden="false" outlineLevel="0" max="13316" min="13316" style="754" width="10.5"/>
    <col collapsed="false" customWidth="true" hidden="false" outlineLevel="0" max="13317" min="13317" style="754" width="23.25"/>
    <col collapsed="false" customWidth="true" hidden="false" outlineLevel="0" max="13318" min="13318" style="754" width="6"/>
    <col collapsed="false" customWidth="true" hidden="false" outlineLevel="0" max="13319" min="13319" style="754" width="20.63"/>
    <col collapsed="false" customWidth="true" hidden="false" outlineLevel="0" max="13320" min="13320" style="754" width="20.75"/>
    <col collapsed="false" customWidth="true" hidden="false" outlineLevel="0" max="13321" min="13321" style="754" width="11.13"/>
    <col collapsed="false" customWidth="true" hidden="false" outlineLevel="0" max="13323" min="13322" style="754" width="12"/>
    <col collapsed="false" customWidth="true" hidden="false" outlineLevel="0" max="13324" min="13324" style="754" width="13.25"/>
    <col collapsed="false" customWidth="true" hidden="false" outlineLevel="0" max="13325" min="13325" style="754" width="13.88"/>
    <col collapsed="false" customWidth="true" hidden="false" outlineLevel="0" max="13326" min="13326" style="754" width="11"/>
    <col collapsed="false" customWidth="true" hidden="false" outlineLevel="0" max="13327" min="13327" style="754" width="7.88"/>
    <col collapsed="false" customWidth="true" hidden="false" outlineLevel="0" max="13328" min="13328" style="754" width="9.13"/>
    <col collapsed="false" customWidth="false" hidden="false" outlineLevel="0" max="13568" min="13329" style="754" width="9"/>
    <col collapsed="false" customWidth="true" hidden="false" outlineLevel="0" max="13569" min="13569" style="754" width="12.75"/>
    <col collapsed="false" customWidth="true" hidden="false" outlineLevel="0" max="13570" min="13570" style="754" width="13.38"/>
    <col collapsed="false" customWidth="true" hidden="false" outlineLevel="0" max="13571" min="13571" style="754" width="15.88"/>
    <col collapsed="false" customWidth="true" hidden="false" outlineLevel="0" max="13572" min="13572" style="754" width="10.5"/>
    <col collapsed="false" customWidth="true" hidden="false" outlineLevel="0" max="13573" min="13573" style="754" width="23.25"/>
    <col collapsed="false" customWidth="true" hidden="false" outlineLevel="0" max="13574" min="13574" style="754" width="6"/>
    <col collapsed="false" customWidth="true" hidden="false" outlineLevel="0" max="13575" min="13575" style="754" width="20.63"/>
    <col collapsed="false" customWidth="true" hidden="false" outlineLevel="0" max="13576" min="13576" style="754" width="20.75"/>
    <col collapsed="false" customWidth="true" hidden="false" outlineLevel="0" max="13577" min="13577" style="754" width="11.13"/>
    <col collapsed="false" customWidth="true" hidden="false" outlineLevel="0" max="13579" min="13578" style="754" width="12"/>
    <col collapsed="false" customWidth="true" hidden="false" outlineLevel="0" max="13580" min="13580" style="754" width="13.25"/>
    <col collapsed="false" customWidth="true" hidden="false" outlineLevel="0" max="13581" min="13581" style="754" width="13.88"/>
    <col collapsed="false" customWidth="true" hidden="false" outlineLevel="0" max="13582" min="13582" style="754" width="11"/>
    <col collapsed="false" customWidth="true" hidden="false" outlineLevel="0" max="13583" min="13583" style="754" width="7.88"/>
    <col collapsed="false" customWidth="true" hidden="false" outlineLevel="0" max="13584" min="13584" style="754" width="9.13"/>
    <col collapsed="false" customWidth="false" hidden="false" outlineLevel="0" max="13824" min="13585" style="754" width="9"/>
    <col collapsed="false" customWidth="true" hidden="false" outlineLevel="0" max="13825" min="13825" style="754" width="12.75"/>
    <col collapsed="false" customWidth="true" hidden="false" outlineLevel="0" max="13826" min="13826" style="754" width="13.38"/>
    <col collapsed="false" customWidth="true" hidden="false" outlineLevel="0" max="13827" min="13827" style="754" width="15.88"/>
    <col collapsed="false" customWidth="true" hidden="false" outlineLevel="0" max="13828" min="13828" style="754" width="10.5"/>
    <col collapsed="false" customWidth="true" hidden="false" outlineLevel="0" max="13829" min="13829" style="754" width="23.25"/>
    <col collapsed="false" customWidth="true" hidden="false" outlineLevel="0" max="13830" min="13830" style="754" width="6"/>
    <col collapsed="false" customWidth="true" hidden="false" outlineLevel="0" max="13831" min="13831" style="754" width="20.63"/>
    <col collapsed="false" customWidth="true" hidden="false" outlineLevel="0" max="13832" min="13832" style="754" width="20.75"/>
    <col collapsed="false" customWidth="true" hidden="false" outlineLevel="0" max="13833" min="13833" style="754" width="11.13"/>
    <col collapsed="false" customWidth="true" hidden="false" outlineLevel="0" max="13835" min="13834" style="754" width="12"/>
    <col collapsed="false" customWidth="true" hidden="false" outlineLevel="0" max="13836" min="13836" style="754" width="13.25"/>
    <col collapsed="false" customWidth="true" hidden="false" outlineLevel="0" max="13837" min="13837" style="754" width="13.88"/>
    <col collapsed="false" customWidth="true" hidden="false" outlineLevel="0" max="13838" min="13838" style="754" width="11"/>
    <col collapsed="false" customWidth="true" hidden="false" outlineLevel="0" max="13839" min="13839" style="754" width="7.88"/>
    <col collapsed="false" customWidth="true" hidden="false" outlineLevel="0" max="13840" min="13840" style="754" width="9.13"/>
    <col collapsed="false" customWidth="false" hidden="false" outlineLevel="0" max="14080" min="13841" style="754" width="9"/>
    <col collapsed="false" customWidth="true" hidden="false" outlineLevel="0" max="14081" min="14081" style="754" width="12.75"/>
    <col collapsed="false" customWidth="true" hidden="false" outlineLevel="0" max="14082" min="14082" style="754" width="13.38"/>
    <col collapsed="false" customWidth="true" hidden="false" outlineLevel="0" max="14083" min="14083" style="754" width="15.88"/>
    <col collapsed="false" customWidth="true" hidden="false" outlineLevel="0" max="14084" min="14084" style="754" width="10.5"/>
    <col collapsed="false" customWidth="true" hidden="false" outlineLevel="0" max="14085" min="14085" style="754" width="23.25"/>
    <col collapsed="false" customWidth="true" hidden="false" outlineLevel="0" max="14086" min="14086" style="754" width="6"/>
    <col collapsed="false" customWidth="true" hidden="false" outlineLevel="0" max="14087" min="14087" style="754" width="20.63"/>
    <col collapsed="false" customWidth="true" hidden="false" outlineLevel="0" max="14088" min="14088" style="754" width="20.75"/>
    <col collapsed="false" customWidth="true" hidden="false" outlineLevel="0" max="14089" min="14089" style="754" width="11.13"/>
    <col collapsed="false" customWidth="true" hidden="false" outlineLevel="0" max="14091" min="14090" style="754" width="12"/>
    <col collapsed="false" customWidth="true" hidden="false" outlineLevel="0" max="14092" min="14092" style="754" width="13.25"/>
    <col collapsed="false" customWidth="true" hidden="false" outlineLevel="0" max="14093" min="14093" style="754" width="13.88"/>
    <col collapsed="false" customWidth="true" hidden="false" outlineLevel="0" max="14094" min="14094" style="754" width="11"/>
    <col collapsed="false" customWidth="true" hidden="false" outlineLevel="0" max="14095" min="14095" style="754" width="7.88"/>
    <col collapsed="false" customWidth="true" hidden="false" outlineLevel="0" max="14096" min="14096" style="754" width="9.13"/>
    <col collapsed="false" customWidth="false" hidden="false" outlineLevel="0" max="14336" min="14097" style="754" width="9"/>
    <col collapsed="false" customWidth="true" hidden="false" outlineLevel="0" max="14337" min="14337" style="754" width="12.75"/>
    <col collapsed="false" customWidth="true" hidden="false" outlineLevel="0" max="14338" min="14338" style="754" width="13.38"/>
    <col collapsed="false" customWidth="true" hidden="false" outlineLevel="0" max="14339" min="14339" style="754" width="15.88"/>
    <col collapsed="false" customWidth="true" hidden="false" outlineLevel="0" max="14340" min="14340" style="754" width="10.5"/>
    <col collapsed="false" customWidth="true" hidden="false" outlineLevel="0" max="14341" min="14341" style="754" width="23.25"/>
    <col collapsed="false" customWidth="true" hidden="false" outlineLevel="0" max="14342" min="14342" style="754" width="6"/>
    <col collapsed="false" customWidth="true" hidden="false" outlineLevel="0" max="14343" min="14343" style="754" width="20.63"/>
    <col collapsed="false" customWidth="true" hidden="false" outlineLevel="0" max="14344" min="14344" style="754" width="20.75"/>
    <col collapsed="false" customWidth="true" hidden="false" outlineLevel="0" max="14345" min="14345" style="754" width="11.13"/>
    <col collapsed="false" customWidth="true" hidden="false" outlineLevel="0" max="14347" min="14346" style="754" width="12"/>
    <col collapsed="false" customWidth="true" hidden="false" outlineLevel="0" max="14348" min="14348" style="754" width="13.25"/>
    <col collapsed="false" customWidth="true" hidden="false" outlineLevel="0" max="14349" min="14349" style="754" width="13.88"/>
    <col collapsed="false" customWidth="true" hidden="false" outlineLevel="0" max="14350" min="14350" style="754" width="11"/>
    <col collapsed="false" customWidth="true" hidden="false" outlineLevel="0" max="14351" min="14351" style="754" width="7.88"/>
    <col collapsed="false" customWidth="true" hidden="false" outlineLevel="0" max="14352" min="14352" style="754" width="9.13"/>
    <col collapsed="false" customWidth="false" hidden="false" outlineLevel="0" max="14592" min="14353" style="754" width="9"/>
    <col collapsed="false" customWidth="true" hidden="false" outlineLevel="0" max="14593" min="14593" style="754" width="12.75"/>
    <col collapsed="false" customWidth="true" hidden="false" outlineLevel="0" max="14594" min="14594" style="754" width="13.38"/>
    <col collapsed="false" customWidth="true" hidden="false" outlineLevel="0" max="14595" min="14595" style="754" width="15.88"/>
    <col collapsed="false" customWidth="true" hidden="false" outlineLevel="0" max="14596" min="14596" style="754" width="10.5"/>
    <col collapsed="false" customWidth="true" hidden="false" outlineLevel="0" max="14597" min="14597" style="754" width="23.25"/>
    <col collapsed="false" customWidth="true" hidden="false" outlineLevel="0" max="14598" min="14598" style="754" width="6"/>
    <col collapsed="false" customWidth="true" hidden="false" outlineLevel="0" max="14599" min="14599" style="754" width="20.63"/>
    <col collapsed="false" customWidth="true" hidden="false" outlineLevel="0" max="14600" min="14600" style="754" width="20.75"/>
    <col collapsed="false" customWidth="true" hidden="false" outlineLevel="0" max="14601" min="14601" style="754" width="11.13"/>
    <col collapsed="false" customWidth="true" hidden="false" outlineLevel="0" max="14603" min="14602" style="754" width="12"/>
    <col collapsed="false" customWidth="true" hidden="false" outlineLevel="0" max="14604" min="14604" style="754" width="13.25"/>
    <col collapsed="false" customWidth="true" hidden="false" outlineLevel="0" max="14605" min="14605" style="754" width="13.88"/>
    <col collapsed="false" customWidth="true" hidden="false" outlineLevel="0" max="14606" min="14606" style="754" width="11"/>
    <col collapsed="false" customWidth="true" hidden="false" outlineLevel="0" max="14607" min="14607" style="754" width="7.88"/>
    <col collapsed="false" customWidth="true" hidden="false" outlineLevel="0" max="14608" min="14608" style="754" width="9.13"/>
    <col collapsed="false" customWidth="false" hidden="false" outlineLevel="0" max="14848" min="14609" style="754" width="9"/>
    <col collapsed="false" customWidth="true" hidden="false" outlineLevel="0" max="14849" min="14849" style="754" width="12.75"/>
    <col collapsed="false" customWidth="true" hidden="false" outlineLevel="0" max="14850" min="14850" style="754" width="13.38"/>
    <col collapsed="false" customWidth="true" hidden="false" outlineLevel="0" max="14851" min="14851" style="754" width="15.88"/>
    <col collapsed="false" customWidth="true" hidden="false" outlineLevel="0" max="14852" min="14852" style="754" width="10.5"/>
    <col collapsed="false" customWidth="true" hidden="false" outlineLevel="0" max="14853" min="14853" style="754" width="23.25"/>
    <col collapsed="false" customWidth="true" hidden="false" outlineLevel="0" max="14854" min="14854" style="754" width="6"/>
    <col collapsed="false" customWidth="true" hidden="false" outlineLevel="0" max="14855" min="14855" style="754" width="20.63"/>
    <col collapsed="false" customWidth="true" hidden="false" outlineLevel="0" max="14856" min="14856" style="754" width="20.75"/>
    <col collapsed="false" customWidth="true" hidden="false" outlineLevel="0" max="14857" min="14857" style="754" width="11.13"/>
    <col collapsed="false" customWidth="true" hidden="false" outlineLevel="0" max="14859" min="14858" style="754" width="12"/>
    <col collapsed="false" customWidth="true" hidden="false" outlineLevel="0" max="14860" min="14860" style="754" width="13.25"/>
    <col collapsed="false" customWidth="true" hidden="false" outlineLevel="0" max="14861" min="14861" style="754" width="13.88"/>
    <col collapsed="false" customWidth="true" hidden="false" outlineLevel="0" max="14862" min="14862" style="754" width="11"/>
    <col collapsed="false" customWidth="true" hidden="false" outlineLevel="0" max="14863" min="14863" style="754" width="7.88"/>
    <col collapsed="false" customWidth="true" hidden="false" outlineLevel="0" max="14864" min="14864" style="754" width="9.13"/>
    <col collapsed="false" customWidth="false" hidden="false" outlineLevel="0" max="15104" min="14865" style="754" width="9"/>
    <col collapsed="false" customWidth="true" hidden="false" outlineLevel="0" max="15105" min="15105" style="754" width="12.75"/>
    <col collapsed="false" customWidth="true" hidden="false" outlineLevel="0" max="15106" min="15106" style="754" width="13.38"/>
    <col collapsed="false" customWidth="true" hidden="false" outlineLevel="0" max="15107" min="15107" style="754" width="15.88"/>
    <col collapsed="false" customWidth="true" hidden="false" outlineLevel="0" max="15108" min="15108" style="754" width="10.5"/>
    <col collapsed="false" customWidth="true" hidden="false" outlineLevel="0" max="15109" min="15109" style="754" width="23.25"/>
    <col collapsed="false" customWidth="true" hidden="false" outlineLevel="0" max="15110" min="15110" style="754" width="6"/>
    <col collapsed="false" customWidth="true" hidden="false" outlineLevel="0" max="15111" min="15111" style="754" width="20.63"/>
    <col collapsed="false" customWidth="true" hidden="false" outlineLevel="0" max="15112" min="15112" style="754" width="20.75"/>
    <col collapsed="false" customWidth="true" hidden="false" outlineLevel="0" max="15113" min="15113" style="754" width="11.13"/>
    <col collapsed="false" customWidth="true" hidden="false" outlineLevel="0" max="15115" min="15114" style="754" width="12"/>
    <col collapsed="false" customWidth="true" hidden="false" outlineLevel="0" max="15116" min="15116" style="754" width="13.25"/>
    <col collapsed="false" customWidth="true" hidden="false" outlineLevel="0" max="15117" min="15117" style="754" width="13.88"/>
    <col collapsed="false" customWidth="true" hidden="false" outlineLevel="0" max="15118" min="15118" style="754" width="11"/>
    <col collapsed="false" customWidth="true" hidden="false" outlineLevel="0" max="15119" min="15119" style="754" width="7.88"/>
    <col collapsed="false" customWidth="true" hidden="false" outlineLevel="0" max="15120" min="15120" style="754" width="9.13"/>
    <col collapsed="false" customWidth="false" hidden="false" outlineLevel="0" max="15360" min="15121" style="754" width="9"/>
    <col collapsed="false" customWidth="true" hidden="false" outlineLevel="0" max="15361" min="15361" style="754" width="12.75"/>
    <col collapsed="false" customWidth="true" hidden="false" outlineLevel="0" max="15362" min="15362" style="754" width="13.38"/>
    <col collapsed="false" customWidth="true" hidden="false" outlineLevel="0" max="15363" min="15363" style="754" width="15.88"/>
    <col collapsed="false" customWidth="true" hidden="false" outlineLevel="0" max="15364" min="15364" style="754" width="10.5"/>
    <col collapsed="false" customWidth="true" hidden="false" outlineLevel="0" max="15365" min="15365" style="754" width="23.25"/>
    <col collapsed="false" customWidth="true" hidden="false" outlineLevel="0" max="15366" min="15366" style="754" width="6"/>
    <col collapsed="false" customWidth="true" hidden="false" outlineLevel="0" max="15367" min="15367" style="754" width="20.63"/>
    <col collapsed="false" customWidth="true" hidden="false" outlineLevel="0" max="15368" min="15368" style="754" width="20.75"/>
    <col collapsed="false" customWidth="true" hidden="false" outlineLevel="0" max="15369" min="15369" style="754" width="11.13"/>
    <col collapsed="false" customWidth="true" hidden="false" outlineLevel="0" max="15371" min="15370" style="754" width="12"/>
    <col collapsed="false" customWidth="true" hidden="false" outlineLevel="0" max="15372" min="15372" style="754" width="13.25"/>
    <col collapsed="false" customWidth="true" hidden="false" outlineLevel="0" max="15373" min="15373" style="754" width="13.88"/>
    <col collapsed="false" customWidth="true" hidden="false" outlineLevel="0" max="15374" min="15374" style="754" width="11"/>
    <col collapsed="false" customWidth="true" hidden="false" outlineLevel="0" max="15375" min="15375" style="754" width="7.88"/>
    <col collapsed="false" customWidth="true" hidden="false" outlineLevel="0" max="15376" min="15376" style="754" width="9.13"/>
    <col collapsed="false" customWidth="false" hidden="false" outlineLevel="0" max="15616" min="15377" style="754" width="9"/>
    <col collapsed="false" customWidth="true" hidden="false" outlineLevel="0" max="15617" min="15617" style="754" width="12.75"/>
    <col collapsed="false" customWidth="true" hidden="false" outlineLevel="0" max="15618" min="15618" style="754" width="13.38"/>
    <col collapsed="false" customWidth="true" hidden="false" outlineLevel="0" max="15619" min="15619" style="754" width="15.88"/>
    <col collapsed="false" customWidth="true" hidden="false" outlineLevel="0" max="15620" min="15620" style="754" width="10.5"/>
    <col collapsed="false" customWidth="true" hidden="false" outlineLevel="0" max="15621" min="15621" style="754" width="23.25"/>
    <col collapsed="false" customWidth="true" hidden="false" outlineLevel="0" max="15622" min="15622" style="754" width="6"/>
    <col collapsed="false" customWidth="true" hidden="false" outlineLevel="0" max="15623" min="15623" style="754" width="20.63"/>
    <col collapsed="false" customWidth="true" hidden="false" outlineLevel="0" max="15624" min="15624" style="754" width="20.75"/>
    <col collapsed="false" customWidth="true" hidden="false" outlineLevel="0" max="15625" min="15625" style="754" width="11.13"/>
    <col collapsed="false" customWidth="true" hidden="false" outlineLevel="0" max="15627" min="15626" style="754" width="12"/>
    <col collapsed="false" customWidth="true" hidden="false" outlineLevel="0" max="15628" min="15628" style="754" width="13.25"/>
    <col collapsed="false" customWidth="true" hidden="false" outlineLevel="0" max="15629" min="15629" style="754" width="13.88"/>
    <col collapsed="false" customWidth="true" hidden="false" outlineLevel="0" max="15630" min="15630" style="754" width="11"/>
    <col collapsed="false" customWidth="true" hidden="false" outlineLevel="0" max="15631" min="15631" style="754" width="7.88"/>
    <col collapsed="false" customWidth="true" hidden="false" outlineLevel="0" max="15632" min="15632" style="754" width="9.13"/>
    <col collapsed="false" customWidth="false" hidden="false" outlineLevel="0" max="15872" min="15633" style="754" width="9"/>
    <col collapsed="false" customWidth="true" hidden="false" outlineLevel="0" max="15873" min="15873" style="754" width="12.75"/>
    <col collapsed="false" customWidth="true" hidden="false" outlineLevel="0" max="15874" min="15874" style="754" width="13.38"/>
    <col collapsed="false" customWidth="true" hidden="false" outlineLevel="0" max="15875" min="15875" style="754" width="15.88"/>
    <col collapsed="false" customWidth="true" hidden="false" outlineLevel="0" max="15876" min="15876" style="754" width="10.5"/>
    <col collapsed="false" customWidth="true" hidden="false" outlineLevel="0" max="15877" min="15877" style="754" width="23.25"/>
    <col collapsed="false" customWidth="true" hidden="false" outlineLevel="0" max="15878" min="15878" style="754" width="6"/>
    <col collapsed="false" customWidth="true" hidden="false" outlineLevel="0" max="15879" min="15879" style="754" width="20.63"/>
    <col collapsed="false" customWidth="true" hidden="false" outlineLevel="0" max="15880" min="15880" style="754" width="20.75"/>
    <col collapsed="false" customWidth="true" hidden="false" outlineLevel="0" max="15881" min="15881" style="754" width="11.13"/>
    <col collapsed="false" customWidth="true" hidden="false" outlineLevel="0" max="15883" min="15882" style="754" width="12"/>
    <col collapsed="false" customWidth="true" hidden="false" outlineLevel="0" max="15884" min="15884" style="754" width="13.25"/>
    <col collapsed="false" customWidth="true" hidden="false" outlineLevel="0" max="15885" min="15885" style="754" width="13.88"/>
    <col collapsed="false" customWidth="true" hidden="false" outlineLevel="0" max="15886" min="15886" style="754" width="11"/>
    <col collapsed="false" customWidth="true" hidden="false" outlineLevel="0" max="15887" min="15887" style="754" width="7.88"/>
    <col collapsed="false" customWidth="true" hidden="false" outlineLevel="0" max="15888" min="15888" style="754" width="9.13"/>
    <col collapsed="false" customWidth="false" hidden="false" outlineLevel="0" max="16128" min="15889" style="754" width="9"/>
    <col collapsed="false" customWidth="true" hidden="false" outlineLevel="0" max="16129" min="16129" style="754" width="12.75"/>
    <col collapsed="false" customWidth="true" hidden="false" outlineLevel="0" max="16130" min="16130" style="754" width="13.38"/>
    <col collapsed="false" customWidth="true" hidden="false" outlineLevel="0" max="16131" min="16131" style="754" width="15.88"/>
    <col collapsed="false" customWidth="true" hidden="false" outlineLevel="0" max="16132" min="16132" style="754" width="10.5"/>
    <col collapsed="false" customWidth="true" hidden="false" outlineLevel="0" max="16133" min="16133" style="754" width="23.25"/>
    <col collapsed="false" customWidth="true" hidden="false" outlineLevel="0" max="16134" min="16134" style="754" width="6"/>
    <col collapsed="false" customWidth="true" hidden="false" outlineLevel="0" max="16135" min="16135" style="754" width="20.63"/>
    <col collapsed="false" customWidth="true" hidden="false" outlineLevel="0" max="16136" min="16136" style="754" width="20.75"/>
    <col collapsed="false" customWidth="true" hidden="false" outlineLevel="0" max="16137" min="16137" style="754" width="11.13"/>
    <col collapsed="false" customWidth="true" hidden="false" outlineLevel="0" max="16139" min="16138" style="754" width="12"/>
    <col collapsed="false" customWidth="true" hidden="false" outlineLevel="0" max="16140" min="16140" style="754" width="13.25"/>
    <col collapsed="false" customWidth="true" hidden="false" outlineLevel="0" max="16141" min="16141" style="754" width="13.88"/>
    <col collapsed="false" customWidth="true" hidden="false" outlineLevel="0" max="16142" min="16142" style="754" width="11"/>
    <col collapsed="false" customWidth="true" hidden="false" outlineLevel="0" max="16143" min="16143" style="754" width="7.88"/>
    <col collapsed="false" customWidth="true" hidden="false" outlineLevel="0" max="16144" min="16144" style="754" width="9.13"/>
    <col collapsed="false" customWidth="false" hidden="false" outlineLevel="0" max="16384" min="16145" style="754" width="9"/>
  </cols>
  <sheetData>
    <row r="1" customFormat="false" ht="35.25" hidden="false" customHeight="true" outlineLevel="0" collapsed="false">
      <c r="A1" s="920" t="s">
        <v>3040</v>
      </c>
      <c r="B1" s="921"/>
      <c r="C1" s="922"/>
      <c r="D1" s="922"/>
      <c r="E1" s="923"/>
      <c r="F1" s="921"/>
      <c r="G1" s="924"/>
      <c r="H1" s="925" t="s">
        <v>3041</v>
      </c>
      <c r="I1" s="926"/>
      <c r="J1" s="927" t="s">
        <v>3042</v>
      </c>
      <c r="K1" s="921"/>
      <c r="L1" s="921"/>
      <c r="M1" s="922"/>
    </row>
    <row r="2" customFormat="false" ht="20.25" hidden="false" customHeight="true" outlineLevel="0" collapsed="false">
      <c r="A2" s="813" t="s">
        <v>2128</v>
      </c>
      <c r="B2" s="802" t="s">
        <v>2352</v>
      </c>
      <c r="C2" s="802" t="s">
        <v>2353</v>
      </c>
      <c r="D2" s="802" t="s">
        <v>59</v>
      </c>
      <c r="E2" s="802" t="s">
        <v>1354</v>
      </c>
      <c r="F2" s="802" t="s">
        <v>1355</v>
      </c>
      <c r="G2" s="928" t="s">
        <v>1363</v>
      </c>
      <c r="H2" s="929" t="s">
        <v>2129</v>
      </c>
      <c r="I2" s="930" t="s">
        <v>3043</v>
      </c>
      <c r="J2" s="802" t="s">
        <v>3044</v>
      </c>
      <c r="K2" s="802" t="s">
        <v>2132</v>
      </c>
      <c r="L2" s="931" t="s">
        <v>3045</v>
      </c>
      <c r="M2" s="931" t="s">
        <v>3046</v>
      </c>
      <c r="N2" s="802" t="s">
        <v>86</v>
      </c>
    </row>
    <row r="3" customFormat="false" ht="21.75" hidden="false" customHeight="true" outlineLevel="0" collapsed="false">
      <c r="A3" s="747" t="s">
        <v>2190</v>
      </c>
      <c r="B3" s="774" t="n">
        <v>40821</v>
      </c>
      <c r="C3" s="749" t="s">
        <v>597</v>
      </c>
      <c r="D3" s="749" t="s">
        <v>3047</v>
      </c>
      <c r="E3" s="749" t="s">
        <v>3048</v>
      </c>
      <c r="F3" s="906" t="s">
        <v>2136</v>
      </c>
      <c r="G3" s="932" t="n">
        <v>8238198.52</v>
      </c>
      <c r="H3" s="933" t="s">
        <v>2005</v>
      </c>
      <c r="I3" s="934" t="n">
        <v>0.1117</v>
      </c>
      <c r="J3" s="935" t="n">
        <v>0.3883</v>
      </c>
      <c r="K3" s="936" t="n">
        <v>0.5</v>
      </c>
      <c r="L3" s="774" t="n">
        <v>40821</v>
      </c>
      <c r="M3" s="774" t="n">
        <v>40836</v>
      </c>
      <c r="N3" s="782"/>
    </row>
    <row r="4" customFormat="false" ht="21.75" hidden="false" customHeight="true" outlineLevel="0" collapsed="false">
      <c r="A4" s="747" t="s">
        <v>2190</v>
      </c>
      <c r="B4" s="774" t="n">
        <v>40841</v>
      </c>
      <c r="C4" s="749" t="s">
        <v>96</v>
      </c>
      <c r="D4" s="749" t="s">
        <v>3011</v>
      </c>
      <c r="E4" s="749" t="s">
        <v>2528</v>
      </c>
      <c r="F4" s="906" t="s">
        <v>2136</v>
      </c>
      <c r="G4" s="932" t="n">
        <v>5000000</v>
      </c>
      <c r="H4" s="937" t="s">
        <v>3049</v>
      </c>
      <c r="I4" s="934" t="n">
        <v>0.0521</v>
      </c>
      <c r="J4" s="935" t="n">
        <v>0.1479</v>
      </c>
      <c r="K4" s="936" t="n">
        <v>0.2</v>
      </c>
      <c r="L4" s="774" t="n">
        <v>40841</v>
      </c>
      <c r="M4" s="938" t="s">
        <v>99</v>
      </c>
      <c r="N4" s="782"/>
    </row>
    <row r="5" customFormat="false" ht="21.75" hidden="false" customHeight="true" outlineLevel="0" collapsed="false">
      <c r="A5" s="747" t="s">
        <v>2190</v>
      </c>
      <c r="B5" s="774" t="n">
        <v>40850</v>
      </c>
      <c r="C5" s="749" t="s">
        <v>597</v>
      </c>
      <c r="D5" s="749" t="s">
        <v>3047</v>
      </c>
      <c r="E5" s="749" t="s">
        <v>3048</v>
      </c>
      <c r="F5" s="906" t="s">
        <v>2136</v>
      </c>
      <c r="G5" s="932" t="n">
        <v>10309832.53</v>
      </c>
      <c r="H5" s="933" t="s">
        <v>2005</v>
      </c>
      <c r="I5" s="934" t="n">
        <v>0.11</v>
      </c>
      <c r="J5" s="935" t="n">
        <v>0.29</v>
      </c>
      <c r="K5" s="936" t="n">
        <v>0.4</v>
      </c>
      <c r="L5" s="774" t="n">
        <v>40850</v>
      </c>
      <c r="M5" s="774" t="n">
        <v>40865</v>
      </c>
      <c r="N5" s="782"/>
    </row>
    <row r="6" customFormat="false" ht="21.75" hidden="false" customHeight="true" outlineLevel="0" collapsed="false">
      <c r="A6" s="747" t="s">
        <v>2190</v>
      </c>
      <c r="B6" s="774" t="n">
        <v>40886</v>
      </c>
      <c r="C6" s="749" t="s">
        <v>597</v>
      </c>
      <c r="D6" s="749" t="s">
        <v>3047</v>
      </c>
      <c r="E6" s="749" t="s">
        <v>3048</v>
      </c>
      <c r="F6" s="906" t="s">
        <v>2136</v>
      </c>
      <c r="G6" s="801" t="n">
        <v>9929942.17</v>
      </c>
      <c r="H6" s="933" t="s">
        <v>2005</v>
      </c>
      <c r="I6" s="934" t="n">
        <v>0.1198</v>
      </c>
      <c r="J6" s="935" t="n">
        <v>0.2802</v>
      </c>
      <c r="K6" s="936" t="n">
        <v>0.4</v>
      </c>
      <c r="L6" s="774" t="n">
        <v>40886</v>
      </c>
      <c r="M6" s="774" t="n">
        <v>40897</v>
      </c>
      <c r="N6" s="782"/>
    </row>
    <row r="7" customFormat="false" ht="21.75" hidden="false" customHeight="true" outlineLevel="0" collapsed="false">
      <c r="A7" s="747" t="s">
        <v>2190</v>
      </c>
      <c r="B7" s="774" t="n">
        <v>40913</v>
      </c>
      <c r="C7" s="749" t="s">
        <v>597</v>
      </c>
      <c r="D7" s="749" t="s">
        <v>3047</v>
      </c>
      <c r="E7" s="749" t="s">
        <v>3048</v>
      </c>
      <c r="F7" s="906" t="s">
        <v>2136</v>
      </c>
      <c r="G7" s="801" t="n">
        <v>8788392.52</v>
      </c>
      <c r="H7" s="933" t="s">
        <v>2005</v>
      </c>
      <c r="I7" s="934" t="n">
        <v>0.1264</v>
      </c>
      <c r="J7" s="935" t="n">
        <v>0.2736</v>
      </c>
      <c r="K7" s="936" t="n">
        <v>0.4</v>
      </c>
      <c r="L7" s="774" t="n">
        <v>40913</v>
      </c>
      <c r="M7" s="774" t="n">
        <v>40928</v>
      </c>
      <c r="N7" s="782"/>
    </row>
    <row r="8" customFormat="false" ht="20.25" hidden="false" customHeight="true" outlineLevel="0" collapsed="false">
      <c r="A8" s="747" t="s">
        <v>2190</v>
      </c>
      <c r="B8" s="774" t="n">
        <v>40926</v>
      </c>
      <c r="C8" s="749" t="s">
        <v>209</v>
      </c>
      <c r="D8" s="749" t="s">
        <v>3050</v>
      </c>
      <c r="E8" s="749" t="s">
        <v>3051</v>
      </c>
      <c r="F8" s="906" t="s">
        <v>2136</v>
      </c>
      <c r="G8" s="801" t="n">
        <v>1000000</v>
      </c>
      <c r="H8" s="933" t="s">
        <v>2005</v>
      </c>
      <c r="I8" s="939" t="n">
        <v>1.2643</v>
      </c>
      <c r="J8" s="935" t="n">
        <v>0.0357</v>
      </c>
      <c r="K8" s="936" t="n">
        <v>1.3</v>
      </c>
      <c r="L8" s="940" t="n">
        <v>40926</v>
      </c>
      <c r="M8" s="940" t="n">
        <v>41108</v>
      </c>
      <c r="N8" s="782"/>
    </row>
    <row r="9" customFormat="false" ht="21.75" hidden="false" customHeight="true" outlineLevel="0" collapsed="false">
      <c r="A9" s="747" t="s">
        <v>2190</v>
      </c>
      <c r="B9" s="774" t="n">
        <v>40980</v>
      </c>
      <c r="C9" s="749" t="s">
        <v>187</v>
      </c>
      <c r="D9" s="749" t="s">
        <v>2632</v>
      </c>
      <c r="E9" s="749" t="s">
        <v>3052</v>
      </c>
      <c r="F9" s="798" t="s">
        <v>2136</v>
      </c>
      <c r="G9" s="801" t="n">
        <v>5000000</v>
      </c>
      <c r="H9" s="933" t="s">
        <v>2005</v>
      </c>
      <c r="I9" s="939" t="n">
        <v>0.7215</v>
      </c>
      <c r="J9" s="935" t="n">
        <v>0.4785</v>
      </c>
      <c r="K9" s="936" t="n">
        <v>1.2</v>
      </c>
      <c r="L9" s="774" t="n">
        <v>40980</v>
      </c>
      <c r="M9" s="774" t="n">
        <v>41072</v>
      </c>
      <c r="N9" s="782"/>
    </row>
    <row r="10" customFormat="false" ht="21.75" hidden="false" customHeight="true" outlineLevel="0" collapsed="false">
      <c r="A10" s="747" t="s">
        <v>2190</v>
      </c>
      <c r="B10" s="774" t="n">
        <v>41016</v>
      </c>
      <c r="C10" s="749" t="s">
        <v>3053</v>
      </c>
      <c r="D10" s="749" t="s">
        <v>3054</v>
      </c>
      <c r="E10" s="749" t="s">
        <v>394</v>
      </c>
      <c r="F10" s="798" t="s">
        <v>2136</v>
      </c>
      <c r="G10" s="801" t="n">
        <v>1805178.32</v>
      </c>
      <c r="H10" s="933" t="s">
        <v>2005</v>
      </c>
      <c r="I10" s="939" t="n">
        <v>1.358</v>
      </c>
      <c r="J10" s="935" t="n">
        <v>0.2</v>
      </c>
      <c r="K10" s="936" t="n">
        <v>1.558</v>
      </c>
      <c r="L10" s="940" t="n">
        <v>41016</v>
      </c>
      <c r="M10" s="940" t="n">
        <v>41380</v>
      </c>
      <c r="N10" s="782"/>
    </row>
    <row r="11" customFormat="false" ht="21.75" hidden="false" customHeight="true" outlineLevel="0" collapsed="false">
      <c r="A11" s="747" t="s">
        <v>2190</v>
      </c>
      <c r="B11" s="774" t="n">
        <v>41072</v>
      </c>
      <c r="C11" s="749" t="s">
        <v>96</v>
      </c>
      <c r="D11" s="749" t="s">
        <v>3055</v>
      </c>
      <c r="E11" s="749" t="s">
        <v>3056</v>
      </c>
      <c r="F11" s="798" t="s">
        <v>2136</v>
      </c>
      <c r="G11" s="801" t="n">
        <v>5000000</v>
      </c>
      <c r="H11" s="933" t="s">
        <v>2005</v>
      </c>
      <c r="I11" s="934" t="n">
        <v>0.1128</v>
      </c>
      <c r="J11" s="935" t="n">
        <v>0.1</v>
      </c>
      <c r="K11" s="936" t="n">
        <v>0.2128</v>
      </c>
      <c r="L11" s="774" t="n">
        <v>41072</v>
      </c>
      <c r="M11" s="774" t="n">
        <v>41082</v>
      </c>
      <c r="N11" s="782"/>
    </row>
    <row r="12" customFormat="false" ht="21.75" hidden="false" customHeight="true" outlineLevel="0" collapsed="false">
      <c r="A12" s="747" t="s">
        <v>2190</v>
      </c>
      <c r="B12" s="774" t="n">
        <v>41072</v>
      </c>
      <c r="C12" s="749" t="s">
        <v>187</v>
      </c>
      <c r="D12" s="749" t="s">
        <v>3057</v>
      </c>
      <c r="E12" s="749" t="s">
        <v>3052</v>
      </c>
      <c r="F12" s="798" t="s">
        <v>2136</v>
      </c>
      <c r="G12" s="801" t="n">
        <v>5000000</v>
      </c>
      <c r="H12" s="933" t="s">
        <v>2005</v>
      </c>
      <c r="I12" s="934" t="n">
        <v>0.7</v>
      </c>
      <c r="J12" s="935" t="n">
        <v>0.2</v>
      </c>
      <c r="K12" s="936" t="n">
        <v>0.9</v>
      </c>
      <c r="L12" s="774" t="n">
        <v>41072</v>
      </c>
      <c r="M12" s="774" t="n">
        <v>41164</v>
      </c>
      <c r="N12" s="782"/>
    </row>
    <row r="13" customFormat="false" ht="21.75" hidden="false" customHeight="true" outlineLevel="0" collapsed="false">
      <c r="A13" s="747" t="s">
        <v>2190</v>
      </c>
      <c r="B13" s="774" t="n">
        <v>41088</v>
      </c>
      <c r="C13" s="749" t="s">
        <v>96</v>
      </c>
      <c r="D13" s="749" t="s">
        <v>3055</v>
      </c>
      <c r="E13" s="749" t="s">
        <v>3056</v>
      </c>
      <c r="F13" s="798" t="s">
        <v>2136</v>
      </c>
      <c r="G13" s="801" t="n">
        <v>3000000</v>
      </c>
      <c r="H13" s="933" t="s">
        <v>2005</v>
      </c>
      <c r="I13" s="934" t="n">
        <v>0.1151</v>
      </c>
      <c r="J13" s="935" t="n">
        <v>0.1</v>
      </c>
      <c r="K13" s="936" t="n">
        <v>0.2151</v>
      </c>
      <c r="L13" s="774" t="n">
        <v>41088</v>
      </c>
      <c r="M13" s="774" t="n">
        <v>41095</v>
      </c>
      <c r="N13" s="782"/>
    </row>
    <row r="14" customFormat="false" ht="21.75" hidden="false" customHeight="true" outlineLevel="0" collapsed="false">
      <c r="A14" s="747" t="s">
        <v>2190</v>
      </c>
      <c r="B14" s="774" t="n">
        <v>41095</v>
      </c>
      <c r="C14" s="749" t="s">
        <v>3058</v>
      </c>
      <c r="D14" s="749" t="s">
        <v>3055</v>
      </c>
      <c r="E14" s="749" t="s">
        <v>3056</v>
      </c>
      <c r="F14" s="798" t="s">
        <v>2136</v>
      </c>
      <c r="G14" s="801" t="n">
        <v>3000000</v>
      </c>
      <c r="H14" s="933" t="s">
        <v>2005</v>
      </c>
      <c r="I14" s="939" t="n">
        <v>0.1193</v>
      </c>
      <c r="J14" s="935" t="n">
        <v>0.1</v>
      </c>
      <c r="K14" s="936" t="n">
        <v>0.2193</v>
      </c>
      <c r="L14" s="774" t="n">
        <v>41095</v>
      </c>
      <c r="M14" s="774" t="n">
        <v>41102</v>
      </c>
      <c r="N14" s="782"/>
    </row>
    <row r="15" customFormat="false" ht="21.75" hidden="false" customHeight="true" outlineLevel="0" collapsed="false">
      <c r="A15" s="747" t="s">
        <v>2190</v>
      </c>
      <c r="B15" s="774" t="n">
        <v>40926</v>
      </c>
      <c r="C15" s="749" t="s">
        <v>209</v>
      </c>
      <c r="D15" s="749" t="s">
        <v>3050</v>
      </c>
      <c r="E15" s="749" t="s">
        <v>3051</v>
      </c>
      <c r="F15" s="906" t="s">
        <v>2136</v>
      </c>
      <c r="G15" s="801" t="n">
        <v>1000000</v>
      </c>
      <c r="H15" s="933" t="s">
        <v>2005</v>
      </c>
      <c r="I15" s="939" t="n">
        <v>1.2013</v>
      </c>
      <c r="J15" s="935" t="n">
        <f aca="false">K15-I15</f>
        <v>0.0387</v>
      </c>
      <c r="K15" s="936" t="n">
        <v>1.24</v>
      </c>
      <c r="L15" s="774" t="n">
        <v>41108</v>
      </c>
      <c r="M15" s="774" t="n">
        <v>41292</v>
      </c>
      <c r="N15" s="782"/>
    </row>
    <row r="16" customFormat="false" ht="21.75" hidden="false" customHeight="true" outlineLevel="0" collapsed="false">
      <c r="A16" s="747" t="s">
        <v>2190</v>
      </c>
      <c r="B16" s="774" t="n">
        <v>41072</v>
      </c>
      <c r="C16" s="749" t="s">
        <v>96</v>
      </c>
      <c r="D16" s="749" t="s">
        <v>3055</v>
      </c>
      <c r="E16" s="749" t="s">
        <v>3056</v>
      </c>
      <c r="F16" s="798" t="s">
        <v>2136</v>
      </c>
      <c r="G16" s="801" t="n">
        <v>3000000</v>
      </c>
      <c r="H16" s="933" t="s">
        <v>2005</v>
      </c>
      <c r="I16" s="934" t="n">
        <v>0.117</v>
      </c>
      <c r="J16" s="935" t="n">
        <v>0.05</v>
      </c>
      <c r="K16" s="936" t="n">
        <f aca="false">I16+J16</f>
        <v>0.167</v>
      </c>
      <c r="L16" s="774" t="n">
        <v>41115</v>
      </c>
      <c r="M16" s="774" t="n">
        <v>41127</v>
      </c>
      <c r="N16" s="782"/>
    </row>
    <row r="17" customFormat="false" ht="21.75" hidden="false" customHeight="true" outlineLevel="0" collapsed="false">
      <c r="A17" s="747" t="s">
        <v>2190</v>
      </c>
      <c r="B17" s="774" t="n">
        <v>41127</v>
      </c>
      <c r="C17" s="749" t="s">
        <v>96</v>
      </c>
      <c r="D17" s="749" t="s">
        <v>3055</v>
      </c>
      <c r="E17" s="749" t="s">
        <v>3056</v>
      </c>
      <c r="F17" s="798" t="s">
        <v>2136</v>
      </c>
      <c r="G17" s="801" t="n">
        <v>3000143.63</v>
      </c>
      <c r="H17" s="933" t="s">
        <v>2005</v>
      </c>
      <c r="I17" s="934" t="n">
        <v>0.1137</v>
      </c>
      <c r="J17" s="935" t="n">
        <v>0.02</v>
      </c>
      <c r="K17" s="936" t="n">
        <v>0.1337</v>
      </c>
      <c r="L17" s="774" t="n">
        <v>41127</v>
      </c>
      <c r="M17" s="774" t="n">
        <v>41135</v>
      </c>
      <c r="N17" s="782"/>
    </row>
    <row r="18" customFormat="false" ht="21.75" hidden="false" customHeight="true" outlineLevel="0" collapsed="false">
      <c r="A18" s="747" t="s">
        <v>2190</v>
      </c>
      <c r="B18" s="774" t="n">
        <v>41135</v>
      </c>
      <c r="C18" s="749" t="s">
        <v>96</v>
      </c>
      <c r="D18" s="749" t="s">
        <v>3055</v>
      </c>
      <c r="E18" s="749" t="s">
        <v>3056</v>
      </c>
      <c r="F18" s="798" t="s">
        <v>2136</v>
      </c>
      <c r="G18" s="801" t="n">
        <v>3000220.29</v>
      </c>
      <c r="H18" s="933" t="s">
        <v>2005</v>
      </c>
      <c r="I18" s="934" t="n">
        <v>0.1062</v>
      </c>
      <c r="J18" s="935" t="n">
        <v>0.03</v>
      </c>
      <c r="K18" s="936" t="n">
        <v>0.1362</v>
      </c>
      <c r="L18" s="774" t="n">
        <v>41135</v>
      </c>
      <c r="M18" s="774" t="n">
        <v>41142</v>
      </c>
      <c r="N18" s="782"/>
    </row>
    <row r="19" customFormat="false" ht="21.75" hidden="false" customHeight="true" outlineLevel="0" collapsed="false">
      <c r="A19" s="747" t="s">
        <v>2190</v>
      </c>
      <c r="B19" s="774" t="n">
        <v>41142</v>
      </c>
      <c r="C19" s="749" t="s">
        <v>96</v>
      </c>
      <c r="D19" s="749" t="s">
        <v>3055</v>
      </c>
      <c r="E19" s="749" t="s">
        <v>3056</v>
      </c>
      <c r="F19" s="798" t="s">
        <v>2136</v>
      </c>
      <c r="G19" s="801" t="n">
        <v>3000288.62</v>
      </c>
      <c r="H19" s="933" t="s">
        <v>2005</v>
      </c>
      <c r="I19" s="934" t="n">
        <v>0.1067</v>
      </c>
      <c r="J19" s="935" t="n">
        <v>0.02</v>
      </c>
      <c r="K19" s="936" t="n">
        <v>0.1267</v>
      </c>
      <c r="L19" s="774" t="n">
        <v>41142</v>
      </c>
      <c r="M19" s="774" t="n">
        <v>41149</v>
      </c>
      <c r="N19" s="782"/>
    </row>
    <row r="20" customFormat="false" ht="21.75" hidden="false" customHeight="true" outlineLevel="0" collapsed="false">
      <c r="A20" s="747" t="s">
        <v>2190</v>
      </c>
      <c r="B20" s="774" t="n">
        <v>41149</v>
      </c>
      <c r="C20" s="749" t="s">
        <v>96</v>
      </c>
      <c r="D20" s="749" t="s">
        <v>3055</v>
      </c>
      <c r="E20" s="749" t="s">
        <v>3056</v>
      </c>
      <c r="F20" s="798" t="s">
        <v>2136</v>
      </c>
      <c r="G20" s="801" t="n">
        <v>3000352.19</v>
      </c>
      <c r="H20" s="933" t="s">
        <v>2005</v>
      </c>
      <c r="I20" s="934" t="n">
        <v>0.1067</v>
      </c>
      <c r="J20" s="935" t="n">
        <v>0.02</v>
      </c>
      <c r="K20" s="936" t="n">
        <v>0.1267</v>
      </c>
      <c r="L20" s="774" t="n">
        <v>41142</v>
      </c>
      <c r="M20" s="774" t="n">
        <v>41149</v>
      </c>
      <c r="N20" s="782"/>
    </row>
    <row r="21" customFormat="false" ht="21.75" hidden="false" customHeight="true" outlineLevel="0" collapsed="false">
      <c r="A21" s="747" t="s">
        <v>2190</v>
      </c>
      <c r="B21" s="774" t="n">
        <v>41164</v>
      </c>
      <c r="C21" s="749" t="s">
        <v>187</v>
      </c>
      <c r="D21" s="749" t="s">
        <v>3057</v>
      </c>
      <c r="E21" s="814" t="s">
        <v>3052</v>
      </c>
      <c r="F21" s="798" t="s">
        <v>2136</v>
      </c>
      <c r="G21" s="801" t="n">
        <v>2500000</v>
      </c>
      <c r="H21" s="933" t="s">
        <v>2005</v>
      </c>
      <c r="I21" s="934" t="n">
        <v>1.1606</v>
      </c>
      <c r="J21" s="935" t="n">
        <v>0.3394</v>
      </c>
      <c r="K21" s="936" t="n">
        <v>1.5</v>
      </c>
      <c r="L21" s="774" t="n">
        <v>41173</v>
      </c>
      <c r="M21" s="774" t="n">
        <v>41345</v>
      </c>
      <c r="N21" s="782"/>
    </row>
    <row r="22" customFormat="false" ht="21.75" hidden="false" customHeight="true" outlineLevel="0" collapsed="false">
      <c r="A22" s="747" t="s">
        <v>2190</v>
      </c>
      <c r="B22" s="774" t="n">
        <v>41186</v>
      </c>
      <c r="C22" s="749" t="s">
        <v>3059</v>
      </c>
      <c r="D22" s="749" t="s">
        <v>3060</v>
      </c>
      <c r="E22" s="812" t="s">
        <v>3061</v>
      </c>
      <c r="F22" s="798" t="s">
        <v>2136</v>
      </c>
      <c r="G22" s="801" t="n">
        <v>1100000</v>
      </c>
      <c r="H22" s="933" t="s">
        <v>2005</v>
      </c>
      <c r="I22" s="934" t="n">
        <v>0.6026</v>
      </c>
      <c r="J22" s="935" t="n">
        <v>0.2</v>
      </c>
      <c r="K22" s="936" t="n">
        <v>0.8026</v>
      </c>
      <c r="L22" s="774" t="n">
        <v>41187</v>
      </c>
      <c r="M22" s="774" t="n">
        <v>41281</v>
      </c>
      <c r="N22" s="782"/>
    </row>
    <row r="23" customFormat="false" ht="21.75" hidden="false" customHeight="true" outlineLevel="0" collapsed="false">
      <c r="A23" s="747" t="s">
        <v>2190</v>
      </c>
      <c r="B23" s="774" t="n">
        <v>41330</v>
      </c>
      <c r="C23" s="749" t="s">
        <v>103</v>
      </c>
      <c r="D23" s="749" t="s">
        <v>3062</v>
      </c>
      <c r="E23" s="814" t="s">
        <v>383</v>
      </c>
      <c r="F23" s="798" t="s">
        <v>2136</v>
      </c>
      <c r="G23" s="801" t="n">
        <v>20000000</v>
      </c>
      <c r="H23" s="941" t="s">
        <v>2005</v>
      </c>
      <c r="I23" s="934" t="n">
        <v>0.3161</v>
      </c>
      <c r="J23" s="935" t="n">
        <v>0.1339</v>
      </c>
      <c r="K23" s="936" t="n">
        <f aca="false">SUM(I23:J23)</f>
        <v>0.45</v>
      </c>
      <c r="L23" s="774" t="n">
        <v>41330</v>
      </c>
      <c r="M23" s="774" t="n">
        <v>41358</v>
      </c>
      <c r="N23" s="782"/>
    </row>
    <row r="24" customFormat="false" ht="21.75" hidden="false" customHeight="true" outlineLevel="0" collapsed="false">
      <c r="A24" s="747" t="s">
        <v>2190</v>
      </c>
      <c r="B24" s="774" t="n">
        <v>41352</v>
      </c>
      <c r="C24" s="749" t="s">
        <v>89</v>
      </c>
      <c r="D24" s="749" t="s">
        <v>3063</v>
      </c>
      <c r="E24" s="942" t="s">
        <v>3064</v>
      </c>
      <c r="F24" s="798" t="s">
        <v>3065</v>
      </c>
      <c r="G24" s="801" t="n">
        <v>38160000</v>
      </c>
      <c r="H24" s="937" t="s">
        <v>3049</v>
      </c>
      <c r="I24" s="934" t="n">
        <v>0.0143</v>
      </c>
      <c r="J24" s="935" t="n">
        <v>0.0557</v>
      </c>
      <c r="K24" s="936" t="n">
        <v>0.07</v>
      </c>
      <c r="L24" s="774" t="n">
        <v>41352</v>
      </c>
      <c r="M24" s="938" t="s">
        <v>99</v>
      </c>
      <c r="N24" s="782"/>
      <c r="O24" s="754" t="s">
        <v>3066</v>
      </c>
    </row>
    <row r="25" customFormat="false" ht="21.75" hidden="false" customHeight="true" outlineLevel="0" collapsed="false">
      <c r="A25" s="747" t="s">
        <v>2190</v>
      </c>
      <c r="B25" s="774" t="n">
        <v>41358</v>
      </c>
      <c r="C25" s="749" t="s">
        <v>103</v>
      </c>
      <c r="D25" s="749" t="s">
        <v>3062</v>
      </c>
      <c r="E25" s="814" t="s">
        <v>383</v>
      </c>
      <c r="F25" s="798" t="s">
        <v>2136</v>
      </c>
      <c r="G25" s="801" t="n">
        <v>20000000</v>
      </c>
      <c r="H25" s="941" t="s">
        <v>2005</v>
      </c>
      <c r="I25" s="934" t="n">
        <v>0.1576</v>
      </c>
      <c r="J25" s="935" t="n">
        <v>0.2924</v>
      </c>
      <c r="K25" s="936" t="n">
        <f aca="false">I25+J25</f>
        <v>0.45</v>
      </c>
      <c r="L25" s="774" t="n">
        <v>41358</v>
      </c>
      <c r="M25" s="774" t="n">
        <v>41389</v>
      </c>
      <c r="N25" s="782"/>
    </row>
    <row r="26" customFormat="false" ht="21.75" hidden="false" customHeight="true" outlineLevel="0" collapsed="false">
      <c r="A26" s="747" t="s">
        <v>2190</v>
      </c>
      <c r="B26" s="774" t="n">
        <v>41610</v>
      </c>
      <c r="C26" s="749" t="s">
        <v>103</v>
      </c>
      <c r="D26" s="749" t="s">
        <v>3067</v>
      </c>
      <c r="E26" s="798" t="s">
        <v>3068</v>
      </c>
      <c r="F26" s="798" t="s">
        <v>2136</v>
      </c>
      <c r="G26" s="801" t="n">
        <v>1500000</v>
      </c>
      <c r="H26" s="941" t="s">
        <v>2005</v>
      </c>
      <c r="I26" s="934" t="n">
        <v>0.1228</v>
      </c>
      <c r="J26" s="935" t="n">
        <f aca="false">K26-I26</f>
        <v>0.1072</v>
      </c>
      <c r="K26" s="936" t="n">
        <v>0.23</v>
      </c>
      <c r="L26" s="774" t="n">
        <v>41610</v>
      </c>
      <c r="M26" s="774" t="n">
        <v>41641</v>
      </c>
      <c r="N26" s="782"/>
    </row>
    <row r="27" customFormat="false" ht="21.75" hidden="false" customHeight="true" outlineLevel="0" collapsed="false">
      <c r="A27" s="747" t="s">
        <v>2190</v>
      </c>
      <c r="B27" s="774" t="n">
        <v>41621</v>
      </c>
      <c r="C27" s="749" t="s">
        <v>3069</v>
      </c>
      <c r="D27" s="749" t="s">
        <v>3070</v>
      </c>
      <c r="E27" s="749" t="s">
        <v>3071</v>
      </c>
      <c r="F27" s="798" t="s">
        <v>2136</v>
      </c>
      <c r="G27" s="801" t="n">
        <v>2000000</v>
      </c>
      <c r="H27" s="941" t="s">
        <v>2005</v>
      </c>
      <c r="I27" s="934" t="n">
        <v>0.2654</v>
      </c>
      <c r="J27" s="935" t="n">
        <v>0.0846</v>
      </c>
      <c r="K27" s="936" t="n">
        <f aca="false">I27+J27</f>
        <v>0.35</v>
      </c>
      <c r="L27" s="774" t="n">
        <v>41621</v>
      </c>
      <c r="M27" s="774" t="n">
        <v>41711</v>
      </c>
      <c r="N27" s="782"/>
    </row>
    <row r="28" customFormat="false" ht="21.75" hidden="false" customHeight="true" outlineLevel="0" collapsed="false">
      <c r="A28" s="747" t="s">
        <v>2474</v>
      </c>
      <c r="B28" s="774" t="n">
        <v>41712</v>
      </c>
      <c r="C28" s="749" t="s">
        <v>3069</v>
      </c>
      <c r="D28" s="749" t="s">
        <v>3070</v>
      </c>
      <c r="E28" s="749" t="s">
        <v>3071</v>
      </c>
      <c r="F28" s="798" t="s">
        <v>2136</v>
      </c>
      <c r="G28" s="801" t="n">
        <v>2000000</v>
      </c>
      <c r="H28" s="933" t="s">
        <v>2005</v>
      </c>
      <c r="I28" s="934" t="n">
        <v>0.2561</v>
      </c>
      <c r="J28" s="935" t="n">
        <v>0.0939</v>
      </c>
      <c r="K28" s="936" t="n">
        <f aca="false">I28+J28</f>
        <v>0.35</v>
      </c>
      <c r="L28" s="774" t="n">
        <v>41712</v>
      </c>
      <c r="M28" s="774" t="n">
        <v>41804</v>
      </c>
      <c r="N28" s="782"/>
      <c r="O28" s="756" t="s">
        <v>491</v>
      </c>
    </row>
    <row r="29" customFormat="false" ht="21.75" hidden="false" customHeight="true" outlineLevel="0" collapsed="false">
      <c r="A29" s="747" t="s">
        <v>3072</v>
      </c>
      <c r="B29" s="774" t="n">
        <v>41730</v>
      </c>
      <c r="C29" s="749" t="s">
        <v>187</v>
      </c>
      <c r="D29" s="749" t="s">
        <v>3073</v>
      </c>
      <c r="E29" s="749" t="s">
        <v>877</v>
      </c>
      <c r="F29" s="798" t="s">
        <v>2136</v>
      </c>
      <c r="G29" s="801" t="n">
        <v>5000000</v>
      </c>
      <c r="H29" s="933" t="s">
        <v>2005</v>
      </c>
      <c r="I29" s="934" t="n">
        <v>0.3798</v>
      </c>
      <c r="J29" s="935" t="n">
        <v>0.3902</v>
      </c>
      <c r="K29" s="936" t="n">
        <v>0.77</v>
      </c>
      <c r="L29" s="774" t="n">
        <v>41730</v>
      </c>
      <c r="M29" s="774" t="n">
        <v>42095</v>
      </c>
      <c r="N29" s="782" t="s">
        <v>3074</v>
      </c>
      <c r="O29" s="759" t="s">
        <v>3072</v>
      </c>
    </row>
    <row r="30" customFormat="false" ht="21.75" hidden="false" customHeight="true" outlineLevel="0" collapsed="false">
      <c r="A30" s="747" t="s">
        <v>2190</v>
      </c>
      <c r="B30" s="774" t="n">
        <v>41730</v>
      </c>
      <c r="C30" s="749" t="s">
        <v>187</v>
      </c>
      <c r="D30" s="749" t="s">
        <v>3073</v>
      </c>
      <c r="E30" s="749" t="s">
        <v>877</v>
      </c>
      <c r="F30" s="798" t="s">
        <v>2136</v>
      </c>
      <c r="G30" s="801" t="n">
        <v>5000000</v>
      </c>
      <c r="H30" s="941" t="s">
        <v>2005</v>
      </c>
      <c r="I30" s="934" t="n">
        <v>0.3798</v>
      </c>
      <c r="J30" s="935" t="n">
        <v>0.3902</v>
      </c>
      <c r="K30" s="936" t="n">
        <v>0.77</v>
      </c>
      <c r="L30" s="774" t="n">
        <v>41730</v>
      </c>
      <c r="M30" s="774" t="n">
        <v>42095</v>
      </c>
      <c r="N30" s="782"/>
      <c r="O30" s="756" t="s">
        <v>3075</v>
      </c>
    </row>
    <row r="31" customFormat="false" ht="21.75" hidden="false" customHeight="true" outlineLevel="0" collapsed="false">
      <c r="A31" s="747" t="s">
        <v>2190</v>
      </c>
      <c r="B31" s="774" t="n">
        <v>41733</v>
      </c>
      <c r="C31" s="749" t="s">
        <v>273</v>
      </c>
      <c r="D31" s="749" t="s">
        <v>3076</v>
      </c>
      <c r="E31" s="749" t="s">
        <v>3077</v>
      </c>
      <c r="F31" s="798" t="s">
        <v>2136</v>
      </c>
      <c r="G31" s="801" t="n">
        <v>2000000</v>
      </c>
      <c r="H31" s="941" t="s">
        <v>2005</v>
      </c>
      <c r="I31" s="934" t="n">
        <v>0.25</v>
      </c>
      <c r="J31" s="935" t="n">
        <v>0.75</v>
      </c>
      <c r="K31" s="936" t="n">
        <v>1</v>
      </c>
      <c r="L31" s="774" t="n">
        <v>41733</v>
      </c>
      <c r="M31" s="774" t="n">
        <v>41764</v>
      </c>
      <c r="N31" s="782"/>
      <c r="O31" s="754" t="s">
        <v>3078</v>
      </c>
    </row>
    <row r="32" customFormat="false" ht="21.75" hidden="false" customHeight="true" outlineLevel="0" collapsed="false">
      <c r="A32" s="747" t="s">
        <v>2190</v>
      </c>
      <c r="B32" s="774" t="n">
        <v>41789</v>
      </c>
      <c r="C32" s="749" t="s">
        <v>273</v>
      </c>
      <c r="D32" s="749" t="s">
        <v>3076</v>
      </c>
      <c r="E32" s="749" t="s">
        <v>3077</v>
      </c>
      <c r="F32" s="798" t="s">
        <v>2136</v>
      </c>
      <c r="G32" s="801" t="n">
        <v>2000000</v>
      </c>
      <c r="H32" s="941" t="s">
        <v>2005</v>
      </c>
      <c r="I32" s="934" t="n">
        <v>0.25</v>
      </c>
      <c r="J32" s="935" t="n">
        <v>0.95</v>
      </c>
      <c r="K32" s="936" t="n">
        <v>1.2</v>
      </c>
      <c r="L32" s="774" t="n">
        <v>41789</v>
      </c>
      <c r="M32" s="774" t="n">
        <v>41820</v>
      </c>
      <c r="N32" s="782"/>
      <c r="O32" s="754" t="s">
        <v>3079</v>
      </c>
    </row>
    <row r="33" customFormat="false" ht="21.75" hidden="false" customHeight="true" outlineLevel="0" collapsed="false">
      <c r="A33" s="747" t="s">
        <v>2190</v>
      </c>
      <c r="B33" s="774" t="n">
        <v>41820</v>
      </c>
      <c r="C33" s="749" t="s">
        <v>273</v>
      </c>
      <c r="D33" s="749" t="s">
        <v>3076</v>
      </c>
      <c r="E33" s="749" t="s">
        <v>3077</v>
      </c>
      <c r="F33" s="798" t="s">
        <v>2136</v>
      </c>
      <c r="G33" s="801" t="n">
        <v>2000000</v>
      </c>
      <c r="H33" s="941" t="s">
        <v>2005</v>
      </c>
      <c r="I33" s="934" t="n">
        <v>0.25</v>
      </c>
      <c r="J33" s="935" t="n">
        <v>0.75</v>
      </c>
      <c r="K33" s="936" t="n">
        <v>1</v>
      </c>
      <c r="L33" s="774" t="n">
        <v>41820</v>
      </c>
      <c r="M33" s="774" t="n">
        <v>41850</v>
      </c>
      <c r="N33" s="782"/>
      <c r="O33" s="754" t="s">
        <v>3080</v>
      </c>
    </row>
    <row r="34" customFormat="false" ht="21.75" hidden="false" customHeight="true" outlineLevel="0" collapsed="false">
      <c r="A34" s="747" t="s">
        <v>3072</v>
      </c>
      <c r="B34" s="774" t="n">
        <v>41943</v>
      </c>
      <c r="C34" s="749" t="s">
        <v>3081</v>
      </c>
      <c r="D34" s="749" t="s">
        <v>3082</v>
      </c>
      <c r="E34" s="749" t="s">
        <v>3083</v>
      </c>
      <c r="F34" s="798" t="s">
        <v>1267</v>
      </c>
      <c r="G34" s="801" t="n">
        <v>3923417355</v>
      </c>
      <c r="H34" s="941" t="s">
        <v>2005</v>
      </c>
      <c r="I34" s="934" t="n">
        <v>0.1</v>
      </c>
      <c r="J34" s="935" t="n">
        <v>0.05</v>
      </c>
      <c r="K34" s="936" t="n">
        <f aca="false">J34+I34</f>
        <v>0.15</v>
      </c>
      <c r="L34" s="774" t="n">
        <v>41943</v>
      </c>
      <c r="M34" s="774" t="n">
        <v>42065</v>
      </c>
      <c r="N34" s="782" t="s">
        <v>3084</v>
      </c>
      <c r="O34" s="756" t="s">
        <v>3085</v>
      </c>
    </row>
    <row r="35" customFormat="false" ht="21.75" hidden="false" customHeight="true" outlineLevel="0" collapsed="false">
      <c r="A35" s="747" t="s">
        <v>2190</v>
      </c>
      <c r="B35" s="774" t="n">
        <v>41943</v>
      </c>
      <c r="C35" s="749" t="s">
        <v>3081</v>
      </c>
      <c r="D35" s="749" t="s">
        <v>3082</v>
      </c>
      <c r="E35" s="749" t="s">
        <v>3083</v>
      </c>
      <c r="F35" s="798" t="s">
        <v>1267</v>
      </c>
      <c r="G35" s="801" t="n">
        <v>3923417355</v>
      </c>
      <c r="H35" s="941" t="s">
        <v>2005</v>
      </c>
      <c r="I35" s="934" t="n">
        <v>0.1</v>
      </c>
      <c r="J35" s="935" t="n">
        <v>0.05</v>
      </c>
      <c r="K35" s="936" t="n">
        <f aca="false">J35+I35</f>
        <v>0.15</v>
      </c>
      <c r="L35" s="774" t="n">
        <v>41943</v>
      </c>
      <c r="M35" s="774" t="n">
        <v>42065</v>
      </c>
      <c r="N35" s="782" t="s">
        <v>3086</v>
      </c>
      <c r="O35" s="756" t="s">
        <v>3087</v>
      </c>
    </row>
    <row r="36" customFormat="false" ht="21.75" hidden="false" customHeight="true" outlineLevel="0" collapsed="false">
      <c r="A36" s="747" t="s">
        <v>2474</v>
      </c>
      <c r="B36" s="774" t="n">
        <v>42019</v>
      </c>
      <c r="C36" s="749" t="s">
        <v>3088</v>
      </c>
      <c r="D36" s="749" t="s">
        <v>3089</v>
      </c>
      <c r="E36" s="749" t="s">
        <v>2043</v>
      </c>
      <c r="F36" s="798" t="s">
        <v>2136</v>
      </c>
      <c r="G36" s="801" t="n">
        <v>100000000</v>
      </c>
      <c r="H36" s="937" t="s">
        <v>3049</v>
      </c>
      <c r="I36" s="934" t="n">
        <v>0</v>
      </c>
      <c r="J36" s="935" t="n">
        <v>0</v>
      </c>
      <c r="K36" s="936" t="n">
        <f aca="false">I36+J36</f>
        <v>0</v>
      </c>
      <c r="L36" s="774" t="n">
        <v>42019</v>
      </c>
      <c r="M36" s="938" t="s">
        <v>99</v>
      </c>
      <c r="N36" s="782"/>
      <c r="O36" s="756" t="s">
        <v>3090</v>
      </c>
    </row>
    <row r="37" customFormat="false" ht="21.75" hidden="false" customHeight="true" outlineLevel="0" collapsed="false">
      <c r="A37" s="747" t="s">
        <v>2190</v>
      </c>
      <c r="B37" s="774" t="n">
        <v>42096</v>
      </c>
      <c r="C37" s="749" t="s">
        <v>273</v>
      </c>
      <c r="D37" s="749" t="s">
        <v>2917</v>
      </c>
      <c r="E37" s="749" t="s">
        <v>3091</v>
      </c>
      <c r="F37" s="798" t="s">
        <v>2136</v>
      </c>
      <c r="G37" s="801" t="n">
        <v>2000000</v>
      </c>
      <c r="H37" s="941" t="s">
        <v>2005</v>
      </c>
      <c r="I37" s="934" t="n">
        <v>0.35</v>
      </c>
      <c r="J37" s="935" t="n">
        <v>0.85</v>
      </c>
      <c r="K37" s="936" t="n">
        <v>1.2</v>
      </c>
      <c r="L37" s="774" t="n">
        <v>42097</v>
      </c>
      <c r="M37" s="774" t="s">
        <v>3092</v>
      </c>
      <c r="N37" s="782"/>
      <c r="O37" s="754" t="s">
        <v>3093</v>
      </c>
    </row>
    <row r="38" customFormat="false" ht="21.75" hidden="false" customHeight="true" outlineLevel="0" collapsed="false">
      <c r="A38" s="747" t="s">
        <v>2190</v>
      </c>
      <c r="B38" s="774" t="n">
        <v>42110</v>
      </c>
      <c r="C38" s="749" t="s">
        <v>273</v>
      </c>
      <c r="D38" s="749" t="s">
        <v>3094</v>
      </c>
      <c r="E38" s="749" t="s">
        <v>3095</v>
      </c>
      <c r="F38" s="798" t="s">
        <v>2136</v>
      </c>
      <c r="G38" s="801" t="n">
        <v>3000000</v>
      </c>
      <c r="H38" s="941" t="s">
        <v>2005</v>
      </c>
      <c r="I38" s="934" t="n">
        <v>0.35</v>
      </c>
      <c r="J38" s="935" t="n">
        <v>0.85</v>
      </c>
      <c r="K38" s="936" t="n">
        <v>1.2</v>
      </c>
      <c r="L38" s="774" t="n">
        <v>42110</v>
      </c>
      <c r="M38" s="774" t="s">
        <v>3092</v>
      </c>
      <c r="N38" s="782"/>
      <c r="O38" s="754" t="s">
        <v>3096</v>
      </c>
    </row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</sheetData>
  <conditionalFormatting sqref="A1:A65516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H120" activeCellId="0" sqref="H120"/>
    </sheetView>
  </sheetViews>
  <sheetFormatPr defaultColWidth="8.5390625" defaultRowHeight="16.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5.25"/>
    <col collapsed="false" customWidth="true" hidden="false" outlineLevel="0" max="3" min="3" style="1" width="11.13"/>
    <col collapsed="false" customWidth="true" hidden="false" outlineLevel="0" max="6" min="6" style="1" width="22.75"/>
    <col collapsed="false" customWidth="true" hidden="false" outlineLevel="0" max="8" min="8" style="1" width="13"/>
    <col collapsed="false" customWidth="true" hidden="false" outlineLevel="0" max="9" min="9" style="1" width="30.25"/>
    <col collapsed="false" customWidth="true" hidden="false" outlineLevel="0" max="10" min="10" style="1" width="11"/>
  </cols>
  <sheetData>
    <row r="1" customFormat="false" ht="16.5" hidden="false" customHeight="true" outlineLevel="0" collapsed="false">
      <c r="A1" s="19"/>
      <c r="B1" s="63" t="s">
        <v>1350</v>
      </c>
      <c r="C1" s="63" t="s">
        <v>3097</v>
      </c>
      <c r="D1" s="63" t="s">
        <v>3098</v>
      </c>
      <c r="E1" s="63" t="s">
        <v>3099</v>
      </c>
      <c r="F1" s="63" t="s">
        <v>3100</v>
      </c>
      <c r="G1" s="63" t="s">
        <v>3101</v>
      </c>
      <c r="H1" s="63" t="s">
        <v>3102</v>
      </c>
      <c r="I1" s="63" t="s">
        <v>2131</v>
      </c>
      <c r="J1" s="63" t="s">
        <v>3103</v>
      </c>
    </row>
    <row r="2" customFormat="false" ht="16.5" hidden="false" customHeight="true" outlineLevel="0" collapsed="false">
      <c r="A2" s="943" t="s">
        <v>1</v>
      </c>
      <c r="B2" s="944" t="s">
        <v>3104</v>
      </c>
      <c r="C2" s="945" t="n">
        <v>42375</v>
      </c>
      <c r="D2" s="943" t="s">
        <v>3105</v>
      </c>
      <c r="E2" s="946" t="n">
        <v>2</v>
      </c>
      <c r="F2" s="944" t="s">
        <v>3106</v>
      </c>
      <c r="G2" s="947" t="s">
        <v>3107</v>
      </c>
      <c r="H2" s="943" t="s">
        <v>3108</v>
      </c>
      <c r="I2" s="944" t="s">
        <v>3109</v>
      </c>
      <c r="J2" s="943" t="s">
        <v>3110</v>
      </c>
    </row>
    <row r="3" customFormat="false" ht="16.5" hidden="false" customHeight="true" outlineLevel="0" collapsed="false">
      <c r="A3" s="943" t="s">
        <v>4</v>
      </c>
      <c r="B3" s="944" t="s">
        <v>3104</v>
      </c>
      <c r="C3" s="945" t="n">
        <v>42382</v>
      </c>
      <c r="D3" s="943" t="s">
        <v>3105</v>
      </c>
      <c r="E3" s="946" t="n">
        <v>1</v>
      </c>
      <c r="F3" s="944" t="s">
        <v>3106</v>
      </c>
      <c r="G3" s="947" t="s">
        <v>3107</v>
      </c>
      <c r="H3" s="943" t="s">
        <v>3108</v>
      </c>
      <c r="I3" s="944" t="s">
        <v>3109</v>
      </c>
      <c r="J3" s="943" t="s">
        <v>3110</v>
      </c>
    </row>
    <row r="4" customFormat="false" ht="16.5" hidden="false" customHeight="true" outlineLevel="0" collapsed="false">
      <c r="A4" s="943" t="s">
        <v>7</v>
      </c>
      <c r="B4" s="944" t="s">
        <v>3104</v>
      </c>
      <c r="C4" s="945" t="n">
        <v>42389</v>
      </c>
      <c r="D4" s="943" t="s">
        <v>3105</v>
      </c>
      <c r="E4" s="946" t="n">
        <v>1</v>
      </c>
      <c r="F4" s="944" t="s">
        <v>3106</v>
      </c>
      <c r="G4" s="947" t="s">
        <v>3107</v>
      </c>
      <c r="H4" s="943" t="s">
        <v>3108</v>
      </c>
      <c r="I4" s="944" t="s">
        <v>3109</v>
      </c>
      <c r="J4" s="943" t="s">
        <v>3110</v>
      </c>
    </row>
    <row r="5" customFormat="false" ht="16.5" hidden="false" customHeight="true" outlineLevel="0" collapsed="false">
      <c r="A5" s="943" t="s">
        <v>10</v>
      </c>
      <c r="B5" s="944" t="s">
        <v>3104</v>
      </c>
      <c r="C5" s="945" t="n">
        <v>42396</v>
      </c>
      <c r="D5" s="943" t="s">
        <v>3105</v>
      </c>
      <c r="E5" s="946" t="n">
        <v>1</v>
      </c>
      <c r="F5" s="944" t="s">
        <v>3106</v>
      </c>
      <c r="G5" s="947" t="s">
        <v>3107</v>
      </c>
      <c r="H5" s="943" t="s">
        <v>3108</v>
      </c>
      <c r="I5" s="944" t="s">
        <v>3109</v>
      </c>
      <c r="J5" s="943" t="s">
        <v>3110</v>
      </c>
    </row>
    <row r="6" customFormat="false" ht="16.5" hidden="false" customHeight="true" outlineLevel="0" collapsed="false">
      <c r="A6" s="943" t="s">
        <v>3111</v>
      </c>
      <c r="B6" s="944" t="s">
        <v>3104</v>
      </c>
      <c r="C6" s="945" t="n">
        <v>42403</v>
      </c>
      <c r="D6" s="943" t="s">
        <v>3105</v>
      </c>
      <c r="E6" s="946" t="n">
        <v>2</v>
      </c>
      <c r="F6" s="944" t="s">
        <v>3106</v>
      </c>
      <c r="G6" s="947" t="s">
        <v>3107</v>
      </c>
      <c r="H6" s="943" t="s">
        <v>3108</v>
      </c>
      <c r="I6" s="944" t="s">
        <v>3109</v>
      </c>
      <c r="J6" s="943" t="s">
        <v>3110</v>
      </c>
    </row>
    <row r="7" customFormat="false" ht="16.5" hidden="false" customHeight="true" outlineLevel="0" collapsed="false">
      <c r="A7" s="943" t="s">
        <v>3112</v>
      </c>
      <c r="B7" s="944" t="s">
        <v>3104</v>
      </c>
      <c r="C7" s="945" t="n">
        <v>42411</v>
      </c>
      <c r="D7" s="943" t="s">
        <v>3105</v>
      </c>
      <c r="E7" s="946" t="n">
        <v>1</v>
      </c>
      <c r="F7" s="944" t="s">
        <v>3106</v>
      </c>
      <c r="G7" s="947" t="s">
        <v>3107</v>
      </c>
      <c r="H7" s="943" t="s">
        <v>3108</v>
      </c>
      <c r="I7" s="944" t="s">
        <v>3109</v>
      </c>
      <c r="J7" s="943" t="s">
        <v>3110</v>
      </c>
    </row>
    <row r="8" customFormat="false" ht="16.5" hidden="false" customHeight="true" outlineLevel="0" collapsed="false">
      <c r="A8" s="943" t="s">
        <v>3113</v>
      </c>
      <c r="B8" s="944" t="s">
        <v>3104</v>
      </c>
      <c r="C8" s="945" t="n">
        <v>42418</v>
      </c>
      <c r="D8" s="943" t="s">
        <v>3105</v>
      </c>
      <c r="E8" s="946" t="n">
        <v>1</v>
      </c>
      <c r="F8" s="944" t="s">
        <v>3106</v>
      </c>
      <c r="G8" s="947" t="s">
        <v>3107</v>
      </c>
      <c r="H8" s="943" t="s">
        <v>3108</v>
      </c>
      <c r="I8" s="944" t="s">
        <v>3109</v>
      </c>
      <c r="J8" s="943" t="s">
        <v>3110</v>
      </c>
    </row>
    <row r="9" customFormat="false" ht="16.5" hidden="false" customHeight="true" outlineLevel="0" collapsed="false">
      <c r="A9" s="943" t="s">
        <v>3114</v>
      </c>
      <c r="B9" s="944" t="s">
        <v>3104</v>
      </c>
      <c r="C9" s="945" t="n">
        <v>42425</v>
      </c>
      <c r="D9" s="943" t="s">
        <v>3105</v>
      </c>
      <c r="E9" s="946" t="n">
        <v>1</v>
      </c>
      <c r="F9" s="944" t="s">
        <v>3106</v>
      </c>
      <c r="G9" s="947" t="s">
        <v>3107</v>
      </c>
      <c r="H9" s="943" t="s">
        <v>3108</v>
      </c>
      <c r="I9" s="944" t="s">
        <v>3109</v>
      </c>
      <c r="J9" s="943" t="s">
        <v>3110</v>
      </c>
    </row>
    <row r="10" customFormat="false" ht="16.5" hidden="false" customHeight="true" outlineLevel="0" collapsed="false">
      <c r="A10" s="943" t="s">
        <v>3115</v>
      </c>
      <c r="B10" s="944" t="s">
        <v>3104</v>
      </c>
      <c r="C10" s="945" t="n">
        <v>42459</v>
      </c>
      <c r="D10" s="943" t="s">
        <v>3105</v>
      </c>
      <c r="E10" s="946" t="n">
        <v>1</v>
      </c>
      <c r="F10" s="944" t="s">
        <v>3106</v>
      </c>
      <c r="G10" s="947" t="s">
        <v>3107</v>
      </c>
      <c r="H10" s="943" t="s">
        <v>3116</v>
      </c>
      <c r="I10" s="947" t="s">
        <v>3117</v>
      </c>
      <c r="J10" s="943" t="s">
        <v>3118</v>
      </c>
    </row>
    <row r="11" customFormat="false" ht="16.5" hidden="false" customHeight="true" outlineLevel="0" collapsed="false">
      <c r="A11" s="943" t="s">
        <v>3119</v>
      </c>
      <c r="B11" s="944" t="s">
        <v>3104</v>
      </c>
      <c r="C11" s="945" t="n">
        <v>42459</v>
      </c>
      <c r="D11" s="943" t="s">
        <v>3105</v>
      </c>
      <c r="E11" s="946" t="n">
        <v>2</v>
      </c>
      <c r="F11" s="944" t="s">
        <v>3106</v>
      </c>
      <c r="G11" s="947" t="s">
        <v>3107</v>
      </c>
      <c r="H11" s="943" t="s">
        <v>3116</v>
      </c>
      <c r="I11" s="947" t="s">
        <v>3117</v>
      </c>
      <c r="J11" s="943" t="s">
        <v>3118</v>
      </c>
    </row>
    <row r="12" customFormat="false" ht="16.5" hidden="false" customHeight="true" outlineLevel="0" collapsed="false">
      <c r="A12" s="943" t="s">
        <v>3120</v>
      </c>
      <c r="B12" s="944" t="s">
        <v>3104</v>
      </c>
      <c r="C12" s="945" t="n">
        <v>42479</v>
      </c>
      <c r="D12" s="943" t="s">
        <v>3105</v>
      </c>
      <c r="E12" s="946" t="n">
        <v>1</v>
      </c>
      <c r="F12" s="944" t="s">
        <v>3106</v>
      </c>
      <c r="G12" s="947" t="s">
        <v>3107</v>
      </c>
      <c r="H12" s="943" t="s">
        <v>3116</v>
      </c>
      <c r="I12" s="947" t="s">
        <v>3117</v>
      </c>
      <c r="J12" s="943" t="s">
        <v>3118</v>
      </c>
    </row>
    <row r="13" customFormat="false" ht="16.5" hidden="false" customHeight="true" outlineLevel="0" collapsed="false">
      <c r="A13" s="943" t="s">
        <v>3121</v>
      </c>
      <c r="B13" s="944" t="s">
        <v>3104</v>
      </c>
      <c r="C13" s="945" t="n">
        <v>42479</v>
      </c>
      <c r="D13" s="943" t="s">
        <v>3105</v>
      </c>
      <c r="E13" s="946" t="n">
        <v>2</v>
      </c>
      <c r="F13" s="944" t="s">
        <v>3106</v>
      </c>
      <c r="G13" s="947" t="s">
        <v>3107</v>
      </c>
      <c r="H13" s="943" t="s">
        <v>3116</v>
      </c>
      <c r="I13" s="947" t="s">
        <v>3117</v>
      </c>
      <c r="J13" s="943" t="s">
        <v>3118</v>
      </c>
    </row>
    <row r="14" customFormat="false" ht="16.5" hidden="false" customHeight="true" outlineLevel="0" collapsed="false">
      <c r="A14" s="943" t="s">
        <v>3122</v>
      </c>
      <c r="B14" s="944" t="s">
        <v>3104</v>
      </c>
      <c r="C14" s="945" t="n">
        <v>42493</v>
      </c>
      <c r="D14" s="943" t="s">
        <v>3105</v>
      </c>
      <c r="E14" s="946" t="n">
        <v>1</v>
      </c>
      <c r="F14" s="944" t="s">
        <v>3106</v>
      </c>
      <c r="G14" s="947" t="s">
        <v>3107</v>
      </c>
      <c r="H14" s="943" t="s">
        <v>3123</v>
      </c>
      <c r="I14" s="947" t="s">
        <v>3124</v>
      </c>
      <c r="J14" s="943" t="s">
        <v>3125</v>
      </c>
    </row>
    <row r="15" customFormat="false" ht="16.5" hidden="false" customHeight="true" outlineLevel="0" collapsed="false">
      <c r="A15" s="943" t="s">
        <v>3126</v>
      </c>
      <c r="B15" s="944" t="s">
        <v>3104</v>
      </c>
      <c r="C15" s="945" t="n">
        <v>42499</v>
      </c>
      <c r="D15" s="943" t="s">
        <v>3105</v>
      </c>
      <c r="E15" s="946" t="n">
        <v>1</v>
      </c>
      <c r="F15" s="944" t="s">
        <v>3106</v>
      </c>
      <c r="G15" s="947" t="s">
        <v>3107</v>
      </c>
      <c r="H15" s="943" t="s">
        <v>3127</v>
      </c>
      <c r="I15" s="944" t="s">
        <v>3128</v>
      </c>
      <c r="J15" s="943" t="s">
        <v>3129</v>
      </c>
    </row>
    <row r="16" customFormat="false" ht="16.5" hidden="false" customHeight="true" outlineLevel="0" collapsed="false">
      <c r="A16" s="943" t="s">
        <v>3130</v>
      </c>
      <c r="B16" s="944" t="s">
        <v>3104</v>
      </c>
      <c r="C16" s="945" t="n">
        <v>42517</v>
      </c>
      <c r="D16" s="943" t="s">
        <v>3105</v>
      </c>
      <c r="E16" s="946" t="n">
        <v>2</v>
      </c>
      <c r="F16" s="944" t="s">
        <v>3106</v>
      </c>
      <c r="G16" s="947" t="s">
        <v>3107</v>
      </c>
      <c r="H16" s="943" t="s">
        <v>3131</v>
      </c>
      <c r="I16" s="944" t="s">
        <v>3132</v>
      </c>
      <c r="J16" s="943" t="s">
        <v>3133</v>
      </c>
    </row>
    <row r="17" customFormat="false" ht="16.5" hidden="false" customHeight="true" outlineLevel="0" collapsed="false">
      <c r="A17" s="943" t="s">
        <v>3134</v>
      </c>
      <c r="B17" s="944" t="s">
        <v>3104</v>
      </c>
      <c r="C17" s="945" t="n">
        <v>42524</v>
      </c>
      <c r="D17" s="943" t="s">
        <v>3105</v>
      </c>
      <c r="E17" s="946" t="n">
        <v>1</v>
      </c>
      <c r="F17" s="944" t="s">
        <v>3106</v>
      </c>
      <c r="G17" s="947" t="s">
        <v>3107</v>
      </c>
      <c r="H17" s="943" t="s">
        <v>3123</v>
      </c>
      <c r="I17" s="947" t="s">
        <v>3124</v>
      </c>
      <c r="J17" s="943" t="s">
        <v>3125</v>
      </c>
    </row>
    <row r="18" customFormat="false" ht="16.5" hidden="false" customHeight="true" outlineLevel="0" collapsed="false">
      <c r="A18" s="943" t="s">
        <v>3135</v>
      </c>
      <c r="B18" s="944" t="s">
        <v>3104</v>
      </c>
      <c r="C18" s="945" t="n">
        <v>42524</v>
      </c>
      <c r="D18" s="943" t="s">
        <v>3105</v>
      </c>
      <c r="E18" s="946" t="n">
        <v>3</v>
      </c>
      <c r="F18" s="944" t="s">
        <v>3106</v>
      </c>
      <c r="G18" s="947" t="s">
        <v>3107</v>
      </c>
      <c r="H18" s="943" t="s">
        <v>3123</v>
      </c>
      <c r="I18" s="947" t="s">
        <v>3124</v>
      </c>
      <c r="J18" s="943" t="s">
        <v>3125</v>
      </c>
    </row>
    <row r="19" customFormat="false" ht="16.5" hidden="false" customHeight="true" outlineLevel="0" collapsed="false">
      <c r="A19" s="943" t="s">
        <v>3136</v>
      </c>
      <c r="B19" s="944" t="s">
        <v>3104</v>
      </c>
      <c r="C19" s="945" t="n">
        <v>42544</v>
      </c>
      <c r="D19" s="943" t="s">
        <v>3105</v>
      </c>
      <c r="E19" s="946" t="n">
        <v>1</v>
      </c>
      <c r="F19" s="944" t="s">
        <v>3106</v>
      </c>
      <c r="G19" s="947" t="s">
        <v>3107</v>
      </c>
      <c r="H19" s="943" t="s">
        <v>3137</v>
      </c>
      <c r="I19" s="944" t="s">
        <v>3138</v>
      </c>
      <c r="J19" s="943" t="s">
        <v>3139</v>
      </c>
    </row>
    <row r="20" customFormat="false" ht="16.5" hidden="false" customHeight="true" outlineLevel="0" collapsed="false">
      <c r="A20" s="943" t="s">
        <v>3140</v>
      </c>
      <c r="B20" s="944" t="s">
        <v>3104</v>
      </c>
      <c r="C20" s="945" t="n">
        <v>42556</v>
      </c>
      <c r="D20" s="943" t="s">
        <v>3105</v>
      </c>
      <c r="E20" s="946" t="n">
        <v>2</v>
      </c>
      <c r="F20" s="944" t="s">
        <v>3106</v>
      </c>
      <c r="G20" s="947" t="s">
        <v>3107</v>
      </c>
      <c r="H20" s="943" t="s">
        <v>3137</v>
      </c>
      <c r="I20" s="944" t="s">
        <v>3138</v>
      </c>
      <c r="J20" s="943" t="s">
        <v>3139</v>
      </c>
    </row>
    <row r="21" customFormat="false" ht="16.5" hidden="false" customHeight="true" outlineLevel="0" collapsed="false">
      <c r="A21" s="943" t="s">
        <v>3141</v>
      </c>
      <c r="B21" s="944" t="s">
        <v>3104</v>
      </c>
      <c r="C21" s="945" t="n">
        <v>42562</v>
      </c>
      <c r="D21" s="943" t="s">
        <v>3105</v>
      </c>
      <c r="E21" s="946" t="n">
        <v>1</v>
      </c>
      <c r="F21" s="944" t="s">
        <v>3106</v>
      </c>
      <c r="G21" s="947" t="s">
        <v>3107</v>
      </c>
      <c r="H21" s="943" t="s">
        <v>3131</v>
      </c>
      <c r="I21" s="944" t="s">
        <v>3132</v>
      </c>
      <c r="J21" s="943" t="s">
        <v>3133</v>
      </c>
    </row>
    <row r="22" customFormat="false" ht="16.5" hidden="false" customHeight="true" outlineLevel="0" collapsed="false">
      <c r="A22" s="943" t="s">
        <v>3142</v>
      </c>
      <c r="B22" s="944" t="s">
        <v>3104</v>
      </c>
      <c r="C22" s="945" t="n">
        <v>42580</v>
      </c>
      <c r="D22" s="943" t="s">
        <v>3105</v>
      </c>
      <c r="E22" s="946" t="n">
        <v>1</v>
      </c>
      <c r="F22" s="944" t="s">
        <v>3106</v>
      </c>
      <c r="G22" s="947" t="s">
        <v>3107</v>
      </c>
      <c r="H22" s="943" t="s">
        <v>3137</v>
      </c>
      <c r="I22" s="944" t="s">
        <v>3138</v>
      </c>
      <c r="J22" s="943" t="s">
        <v>3139</v>
      </c>
    </row>
    <row r="23" customFormat="false" ht="16.5" hidden="false" customHeight="true" outlineLevel="0" collapsed="false">
      <c r="A23" s="943" t="s">
        <v>3143</v>
      </c>
      <c r="B23" s="944" t="s">
        <v>3104</v>
      </c>
      <c r="C23" s="945" t="n">
        <v>42586</v>
      </c>
      <c r="D23" s="943" t="s">
        <v>3105</v>
      </c>
      <c r="E23" s="946" t="n">
        <v>3</v>
      </c>
      <c r="F23" s="944" t="s">
        <v>3106</v>
      </c>
      <c r="G23" s="947" t="s">
        <v>3107</v>
      </c>
      <c r="H23" s="943" t="s">
        <v>3144</v>
      </c>
      <c r="I23" s="944" t="s">
        <v>3145</v>
      </c>
      <c r="J23" s="943" t="s">
        <v>3146</v>
      </c>
    </row>
    <row r="24" customFormat="false" ht="16.5" hidden="false" customHeight="true" outlineLevel="0" collapsed="false">
      <c r="A24" s="943" t="s">
        <v>3147</v>
      </c>
      <c r="B24" s="944" t="s">
        <v>3104</v>
      </c>
      <c r="C24" s="945" t="n">
        <v>42606</v>
      </c>
      <c r="D24" s="943" t="s">
        <v>3105</v>
      </c>
      <c r="E24" s="946" t="n">
        <v>1</v>
      </c>
      <c r="F24" s="944" t="s">
        <v>3106</v>
      </c>
      <c r="G24" s="947" t="s">
        <v>3107</v>
      </c>
      <c r="H24" s="943" t="s">
        <v>3131</v>
      </c>
      <c r="I24" s="944" t="s">
        <v>3132</v>
      </c>
      <c r="J24" s="943" t="s">
        <v>3133</v>
      </c>
    </row>
    <row r="25" customFormat="false" ht="16.5" hidden="false" customHeight="true" outlineLevel="0" collapsed="false">
      <c r="A25" s="943" t="s">
        <v>3148</v>
      </c>
      <c r="B25" s="944" t="s">
        <v>3104</v>
      </c>
      <c r="C25" s="945" t="n">
        <v>42636</v>
      </c>
      <c r="D25" s="943" t="s">
        <v>3105</v>
      </c>
      <c r="E25" s="946" t="n">
        <v>1</v>
      </c>
      <c r="F25" s="944" t="s">
        <v>3106</v>
      </c>
      <c r="G25" s="947" t="s">
        <v>3107</v>
      </c>
      <c r="H25" s="943" t="s">
        <v>3137</v>
      </c>
      <c r="I25" s="944" t="s">
        <v>3138</v>
      </c>
      <c r="J25" s="943" t="s">
        <v>3149</v>
      </c>
    </row>
    <row r="26" customFormat="false" ht="16.5" hidden="false" customHeight="true" outlineLevel="0" collapsed="false">
      <c r="A26" s="943" t="s">
        <v>3150</v>
      </c>
      <c r="B26" s="944" t="s">
        <v>3104</v>
      </c>
      <c r="C26" s="945" t="n">
        <v>42639</v>
      </c>
      <c r="D26" s="943" t="s">
        <v>3105</v>
      </c>
      <c r="E26" s="946" t="n">
        <v>1</v>
      </c>
      <c r="F26" s="944" t="s">
        <v>3106</v>
      </c>
      <c r="G26" s="947" t="s">
        <v>3107</v>
      </c>
      <c r="H26" s="943" t="s">
        <v>3131</v>
      </c>
      <c r="I26" s="944" t="s">
        <v>3132</v>
      </c>
      <c r="J26" s="943" t="s">
        <v>3133</v>
      </c>
    </row>
    <row r="27" customFormat="false" ht="16.5" hidden="false" customHeight="true" outlineLevel="0" collapsed="false">
      <c r="A27" s="943" t="s">
        <v>3151</v>
      </c>
      <c r="B27" s="944" t="s">
        <v>3104</v>
      </c>
      <c r="C27" s="945" t="n">
        <v>42650</v>
      </c>
      <c r="D27" s="943" t="s">
        <v>3105</v>
      </c>
      <c r="E27" s="946" t="n">
        <v>5</v>
      </c>
      <c r="F27" s="944" t="s">
        <v>3106</v>
      </c>
      <c r="G27" s="947" t="s">
        <v>3107</v>
      </c>
      <c r="H27" s="943" t="s">
        <v>3152</v>
      </c>
      <c r="I27" s="947" t="s">
        <v>3153</v>
      </c>
      <c r="J27" s="943" t="s">
        <v>3154</v>
      </c>
    </row>
    <row r="28" customFormat="false" ht="16.5" hidden="false" customHeight="true" outlineLevel="0" collapsed="false">
      <c r="A28" s="943" t="s">
        <v>3155</v>
      </c>
      <c r="B28" s="944" t="s">
        <v>3104</v>
      </c>
      <c r="C28" s="945" t="n">
        <v>42668</v>
      </c>
      <c r="D28" s="943" t="s">
        <v>3105</v>
      </c>
      <c r="E28" s="946" t="n">
        <v>1</v>
      </c>
      <c r="F28" s="944" t="s">
        <v>3106</v>
      </c>
      <c r="G28" s="947" t="s">
        <v>3107</v>
      </c>
      <c r="H28" s="943" t="s">
        <v>3131</v>
      </c>
      <c r="I28" s="944" t="s">
        <v>3132</v>
      </c>
      <c r="J28" s="943" t="s">
        <v>3133</v>
      </c>
    </row>
    <row r="29" customFormat="false" ht="16.5" hidden="false" customHeight="true" outlineLevel="0" collapsed="false">
      <c r="A29" s="943" t="s">
        <v>3156</v>
      </c>
      <c r="B29" s="944" t="s">
        <v>3104</v>
      </c>
      <c r="C29" s="945" t="n">
        <v>42674</v>
      </c>
      <c r="D29" s="943" t="s">
        <v>3105</v>
      </c>
      <c r="E29" s="946" t="n">
        <v>3</v>
      </c>
      <c r="F29" s="944" t="s">
        <v>3106</v>
      </c>
      <c r="G29" s="947" t="s">
        <v>3107</v>
      </c>
      <c r="H29" s="943" t="s">
        <v>3137</v>
      </c>
      <c r="I29" s="944" t="s">
        <v>3138</v>
      </c>
      <c r="J29" s="943" t="s">
        <v>3139</v>
      </c>
    </row>
    <row r="30" customFormat="false" ht="16.5" hidden="false" customHeight="true" outlineLevel="0" collapsed="false">
      <c r="A30" s="943" t="s">
        <v>3157</v>
      </c>
      <c r="B30" s="944" t="s">
        <v>3104</v>
      </c>
      <c r="C30" s="945" t="n">
        <v>42682</v>
      </c>
      <c r="D30" s="943" t="s">
        <v>3105</v>
      </c>
      <c r="E30" s="946" t="n">
        <v>1</v>
      </c>
      <c r="F30" s="944" t="s">
        <v>3106</v>
      </c>
      <c r="G30" s="947" t="s">
        <v>3107</v>
      </c>
      <c r="H30" s="943" t="s">
        <v>3123</v>
      </c>
      <c r="I30" s="947" t="s">
        <v>3124</v>
      </c>
      <c r="J30" s="943" t="s">
        <v>3125</v>
      </c>
    </row>
    <row r="31" customFormat="false" ht="16.5" hidden="false" customHeight="true" outlineLevel="0" collapsed="false">
      <c r="A31" s="943" t="s">
        <v>3158</v>
      </c>
      <c r="B31" s="944" t="s">
        <v>3104</v>
      </c>
      <c r="C31" s="945" t="n">
        <v>42704</v>
      </c>
      <c r="D31" s="943" t="s">
        <v>3105</v>
      </c>
      <c r="E31" s="946" t="n">
        <v>1</v>
      </c>
      <c r="F31" s="944" t="s">
        <v>3106</v>
      </c>
      <c r="G31" s="947" t="s">
        <v>3107</v>
      </c>
      <c r="H31" s="943" t="s">
        <v>3137</v>
      </c>
      <c r="I31" s="944" t="s">
        <v>3138</v>
      </c>
      <c r="J31" s="943" t="s">
        <v>3139</v>
      </c>
    </row>
    <row r="32" customFormat="false" ht="16.5" hidden="false" customHeight="true" outlineLevel="0" collapsed="false">
      <c r="A32" s="943" t="s">
        <v>3159</v>
      </c>
      <c r="B32" s="944" t="s">
        <v>3104</v>
      </c>
      <c r="C32" s="945" t="n">
        <v>42704</v>
      </c>
      <c r="D32" s="943" t="s">
        <v>3105</v>
      </c>
      <c r="E32" s="946" t="n">
        <v>2</v>
      </c>
      <c r="F32" s="944" t="s">
        <v>3106</v>
      </c>
      <c r="G32" s="947" t="s">
        <v>3107</v>
      </c>
      <c r="H32" s="943" t="s">
        <v>3131</v>
      </c>
      <c r="I32" s="944" t="s">
        <v>3132</v>
      </c>
      <c r="J32" s="943" t="s">
        <v>3133</v>
      </c>
    </row>
    <row r="33" customFormat="false" ht="16.5" hidden="false" customHeight="true" outlineLevel="0" collapsed="false">
      <c r="A33" s="943" t="s">
        <v>3160</v>
      </c>
      <c r="B33" s="944" t="s">
        <v>3104</v>
      </c>
      <c r="C33" s="945" t="n">
        <v>42718</v>
      </c>
      <c r="D33" s="943" t="s">
        <v>3105</v>
      </c>
      <c r="E33" s="946" t="n">
        <v>1</v>
      </c>
      <c r="F33" s="944" t="s">
        <v>3106</v>
      </c>
      <c r="G33" s="947" t="s">
        <v>3107</v>
      </c>
      <c r="H33" s="943" t="s">
        <v>3131</v>
      </c>
      <c r="I33" s="944" t="s">
        <v>3132</v>
      </c>
      <c r="J33" s="943" t="s">
        <v>3133</v>
      </c>
    </row>
    <row r="34" customFormat="false" ht="16.5" hidden="false" customHeight="true" outlineLevel="0" collapsed="false">
      <c r="A34" s="943" t="s">
        <v>3161</v>
      </c>
      <c r="B34" s="944" t="s">
        <v>3104</v>
      </c>
      <c r="C34" s="945" t="n">
        <v>42723</v>
      </c>
      <c r="D34" s="943" t="s">
        <v>3105</v>
      </c>
      <c r="E34" s="946" t="n">
        <v>2</v>
      </c>
      <c r="F34" s="944" t="s">
        <v>3106</v>
      </c>
      <c r="G34" s="947" t="s">
        <v>3107</v>
      </c>
      <c r="H34" s="943" t="s">
        <v>3123</v>
      </c>
      <c r="I34" s="947" t="s">
        <v>3124</v>
      </c>
      <c r="J34" s="943" t="s">
        <v>3125</v>
      </c>
    </row>
    <row r="35" customFormat="false" ht="16.5" hidden="false" customHeight="true" outlineLevel="0" collapsed="false">
      <c r="A35" s="943" t="s">
        <v>3162</v>
      </c>
      <c r="B35" s="944" t="s">
        <v>3104</v>
      </c>
      <c r="C35" s="945" t="n">
        <v>42739</v>
      </c>
      <c r="D35" s="943" t="s">
        <v>3105</v>
      </c>
      <c r="E35" s="946" t="n">
        <v>1</v>
      </c>
      <c r="F35" s="944" t="s">
        <v>3106</v>
      </c>
      <c r="G35" s="947" t="s">
        <v>3107</v>
      </c>
      <c r="H35" s="943" t="s">
        <v>3131</v>
      </c>
      <c r="I35" s="944" t="s">
        <v>3132</v>
      </c>
      <c r="J35" s="943" t="s">
        <v>3133</v>
      </c>
    </row>
    <row r="36" customFormat="false" ht="16.5" hidden="false" customHeight="true" outlineLevel="0" collapsed="false">
      <c r="A36" s="943" t="s">
        <v>3163</v>
      </c>
      <c r="B36" s="944" t="s">
        <v>3104</v>
      </c>
      <c r="C36" s="945" t="n">
        <v>42746</v>
      </c>
      <c r="D36" s="943" t="s">
        <v>3105</v>
      </c>
      <c r="E36" s="946" t="n">
        <v>1</v>
      </c>
      <c r="F36" s="944" t="s">
        <v>3106</v>
      </c>
      <c r="G36" s="947" t="s">
        <v>3107</v>
      </c>
      <c r="H36" s="943" t="s">
        <v>3131</v>
      </c>
      <c r="I36" s="944" t="s">
        <v>3132</v>
      </c>
      <c r="J36" s="943" t="s">
        <v>3133</v>
      </c>
    </row>
    <row r="37" customFormat="false" ht="16.5" hidden="false" customHeight="true" outlineLevel="0" collapsed="false">
      <c r="A37" s="943" t="s">
        <v>3164</v>
      </c>
      <c r="B37" s="944" t="s">
        <v>3104</v>
      </c>
      <c r="C37" s="945" t="n">
        <v>42760</v>
      </c>
      <c r="D37" s="943" t="s">
        <v>3105</v>
      </c>
      <c r="E37" s="946" t="n">
        <v>1</v>
      </c>
      <c r="F37" s="944" t="s">
        <v>3106</v>
      </c>
      <c r="G37" s="947" t="s">
        <v>3107</v>
      </c>
      <c r="H37" s="943" t="s">
        <v>3165</v>
      </c>
      <c r="I37" s="944" t="s">
        <v>3166</v>
      </c>
      <c r="J37" s="943" t="s">
        <v>3139</v>
      </c>
    </row>
    <row r="38" customFormat="false" ht="16.5" hidden="false" customHeight="true" outlineLevel="0" collapsed="false">
      <c r="A38" s="943" t="s">
        <v>3167</v>
      </c>
      <c r="B38" s="944" t="s">
        <v>3104</v>
      </c>
      <c r="C38" s="945" t="n">
        <v>42794</v>
      </c>
      <c r="D38" s="943" t="s">
        <v>3105</v>
      </c>
      <c r="E38" s="946" t="n">
        <v>1</v>
      </c>
      <c r="F38" s="944" t="s">
        <v>3106</v>
      </c>
      <c r="G38" s="947" t="s">
        <v>3107</v>
      </c>
      <c r="H38" s="943" t="s">
        <v>3165</v>
      </c>
      <c r="I38" s="944" t="s">
        <v>3166</v>
      </c>
      <c r="J38" s="943" t="s">
        <v>3139</v>
      </c>
    </row>
    <row r="39" customFormat="false" ht="16.5" hidden="false" customHeight="true" outlineLevel="0" collapsed="false">
      <c r="A39" s="943" t="s">
        <v>3168</v>
      </c>
      <c r="B39" s="944" t="s">
        <v>3104</v>
      </c>
      <c r="C39" s="945" t="n">
        <v>42807</v>
      </c>
      <c r="D39" s="943" t="s">
        <v>3105</v>
      </c>
      <c r="E39" s="946" t="n">
        <v>2</v>
      </c>
      <c r="F39" s="944" t="s">
        <v>3106</v>
      </c>
      <c r="G39" s="947" t="s">
        <v>3107</v>
      </c>
      <c r="H39" s="943" t="s">
        <v>3169</v>
      </c>
      <c r="I39" s="947" t="s">
        <v>3170</v>
      </c>
      <c r="J39" s="943" t="s">
        <v>3171</v>
      </c>
    </row>
    <row r="40" customFormat="false" ht="16.5" hidden="false" customHeight="true" outlineLevel="0" collapsed="false">
      <c r="A40" s="943" t="s">
        <v>3172</v>
      </c>
      <c r="B40" s="944" t="s">
        <v>3104</v>
      </c>
      <c r="C40" s="945" t="n">
        <v>42816</v>
      </c>
      <c r="D40" s="943" t="s">
        <v>3105</v>
      </c>
      <c r="E40" s="946" t="n">
        <v>1</v>
      </c>
      <c r="F40" s="944" t="s">
        <v>3106</v>
      </c>
      <c r="G40" s="947" t="s">
        <v>3107</v>
      </c>
      <c r="H40" s="943" t="s">
        <v>3165</v>
      </c>
      <c r="I40" s="944" t="s">
        <v>3166</v>
      </c>
      <c r="J40" s="943" t="s">
        <v>3139</v>
      </c>
    </row>
    <row r="41" customFormat="false" ht="16.5" hidden="false" customHeight="true" outlineLevel="0" collapsed="false">
      <c r="A41" s="943" t="s">
        <v>3173</v>
      </c>
      <c r="B41" s="944" t="s">
        <v>3104</v>
      </c>
      <c r="C41" s="945" t="n">
        <v>42822</v>
      </c>
      <c r="D41" s="943" t="s">
        <v>3105</v>
      </c>
      <c r="E41" s="946" t="n">
        <v>1</v>
      </c>
      <c r="F41" s="944" t="s">
        <v>3106</v>
      </c>
      <c r="G41" s="947" t="s">
        <v>3107</v>
      </c>
      <c r="H41" s="943" t="s">
        <v>3131</v>
      </c>
      <c r="I41" s="944" t="s">
        <v>3132</v>
      </c>
      <c r="J41" s="943" t="s">
        <v>3133</v>
      </c>
    </row>
    <row r="42" customFormat="false" ht="16.5" hidden="false" customHeight="true" outlineLevel="0" collapsed="false">
      <c r="A42" s="943" t="s">
        <v>3174</v>
      </c>
      <c r="B42" s="944" t="s">
        <v>3104</v>
      </c>
      <c r="C42" s="945" t="n">
        <v>42823</v>
      </c>
      <c r="D42" s="943" t="s">
        <v>3105</v>
      </c>
      <c r="E42" s="946" t="n">
        <v>2</v>
      </c>
      <c r="F42" s="944" t="s">
        <v>3106</v>
      </c>
      <c r="G42" s="947" t="s">
        <v>3107</v>
      </c>
      <c r="H42" s="943" t="s">
        <v>3165</v>
      </c>
      <c r="I42" s="944" t="s">
        <v>3166</v>
      </c>
      <c r="J42" s="943" t="s">
        <v>3139</v>
      </c>
    </row>
    <row r="43" customFormat="false" ht="16.5" hidden="false" customHeight="true" outlineLevel="0" collapsed="false">
      <c r="A43" s="943" t="s">
        <v>3175</v>
      </c>
      <c r="B43" s="944" t="s">
        <v>3104</v>
      </c>
      <c r="C43" s="945" t="n">
        <v>42846</v>
      </c>
      <c r="D43" s="943" t="s">
        <v>3105</v>
      </c>
      <c r="E43" s="946" t="n">
        <v>1</v>
      </c>
      <c r="F43" s="944" t="s">
        <v>3106</v>
      </c>
      <c r="G43" s="947" t="s">
        <v>3107</v>
      </c>
      <c r="H43" s="943" t="s">
        <v>3165</v>
      </c>
      <c r="I43" s="944" t="s">
        <v>3166</v>
      </c>
      <c r="J43" s="943" t="s">
        <v>3139</v>
      </c>
    </row>
    <row r="44" customFormat="false" ht="16.5" hidden="false" customHeight="true" outlineLevel="0" collapsed="false">
      <c r="A44" s="943" t="s">
        <v>3176</v>
      </c>
      <c r="B44" s="944" t="s">
        <v>3104</v>
      </c>
      <c r="C44" s="945" t="n">
        <v>42870</v>
      </c>
      <c r="D44" s="943" t="s">
        <v>3105</v>
      </c>
      <c r="E44" s="946" t="n">
        <v>1</v>
      </c>
      <c r="F44" s="944" t="s">
        <v>3106</v>
      </c>
      <c r="G44" s="947" t="s">
        <v>3107</v>
      </c>
      <c r="H44" s="943" t="s">
        <v>3169</v>
      </c>
      <c r="I44" s="947" t="s">
        <v>3170</v>
      </c>
      <c r="J44" s="943" t="s">
        <v>3171</v>
      </c>
    </row>
    <row r="45" customFormat="false" ht="16.5" hidden="false" customHeight="true" outlineLevel="0" collapsed="false">
      <c r="A45" s="943" t="s">
        <v>3177</v>
      </c>
      <c r="B45" s="944" t="s">
        <v>3104</v>
      </c>
      <c r="C45" s="945" t="n">
        <v>42874</v>
      </c>
      <c r="D45" s="943" t="s">
        <v>3105</v>
      </c>
      <c r="E45" s="946" t="n">
        <v>2</v>
      </c>
      <c r="F45" s="944" t="s">
        <v>3106</v>
      </c>
      <c r="G45" s="947" t="s">
        <v>3107</v>
      </c>
      <c r="H45" s="943" t="s">
        <v>3178</v>
      </c>
      <c r="I45" s="944" t="s">
        <v>3179</v>
      </c>
      <c r="J45" s="943" t="s">
        <v>3180</v>
      </c>
    </row>
    <row r="46" customFormat="false" ht="16.5" hidden="false" customHeight="true" outlineLevel="0" collapsed="false">
      <c r="A46" s="943" t="s">
        <v>3181</v>
      </c>
      <c r="B46" s="944" t="s">
        <v>3104</v>
      </c>
      <c r="C46" s="945" t="n">
        <v>42877</v>
      </c>
      <c r="D46" s="943" t="s">
        <v>3105</v>
      </c>
      <c r="E46" s="946" t="n">
        <v>1</v>
      </c>
      <c r="F46" s="944" t="s">
        <v>3106</v>
      </c>
      <c r="G46" s="947" t="s">
        <v>3107</v>
      </c>
      <c r="H46" s="943" t="s">
        <v>3165</v>
      </c>
      <c r="I46" s="944" t="s">
        <v>3166</v>
      </c>
      <c r="J46" s="943" t="s">
        <v>3139</v>
      </c>
    </row>
    <row r="47" customFormat="false" ht="16.5" hidden="false" customHeight="true" outlineLevel="0" collapsed="false">
      <c r="A47" s="943" t="s">
        <v>3182</v>
      </c>
      <c r="B47" s="944" t="s">
        <v>3104</v>
      </c>
      <c r="C47" s="945" t="n">
        <v>42878</v>
      </c>
      <c r="D47" s="943" t="s">
        <v>3105</v>
      </c>
      <c r="E47" s="946" t="n">
        <v>2</v>
      </c>
      <c r="F47" s="944" t="s">
        <v>3106</v>
      </c>
      <c r="G47" s="947" t="s">
        <v>3107</v>
      </c>
      <c r="H47" s="943" t="s">
        <v>3183</v>
      </c>
      <c r="I47" s="947" t="s">
        <v>3184</v>
      </c>
      <c r="J47" s="943" t="s">
        <v>3185</v>
      </c>
    </row>
    <row r="48" customFormat="false" ht="16.5" hidden="false" customHeight="true" outlineLevel="0" collapsed="false">
      <c r="A48" s="943" t="s">
        <v>3186</v>
      </c>
      <c r="B48" s="944" t="s">
        <v>3104</v>
      </c>
      <c r="C48" s="945" t="n">
        <v>42878</v>
      </c>
      <c r="D48" s="943" t="s">
        <v>3105</v>
      </c>
      <c r="E48" s="946" t="n">
        <v>3</v>
      </c>
      <c r="F48" s="944" t="s">
        <v>3106</v>
      </c>
      <c r="G48" s="947" t="s">
        <v>3107</v>
      </c>
      <c r="H48" s="943" t="s">
        <v>3187</v>
      </c>
      <c r="I48" s="947" t="s">
        <v>3188</v>
      </c>
      <c r="J48" s="943" t="s">
        <v>3185</v>
      </c>
    </row>
    <row r="49" customFormat="false" ht="16.5" hidden="false" customHeight="true" outlineLevel="0" collapsed="false">
      <c r="A49" s="943" t="s">
        <v>3189</v>
      </c>
      <c r="B49" s="944" t="s">
        <v>3104</v>
      </c>
      <c r="C49" s="945" t="n">
        <v>42878</v>
      </c>
      <c r="D49" s="943" t="s">
        <v>3105</v>
      </c>
      <c r="E49" s="946" t="n">
        <v>4</v>
      </c>
      <c r="F49" s="944" t="s">
        <v>3106</v>
      </c>
      <c r="G49" s="947" t="s">
        <v>3107</v>
      </c>
      <c r="H49" s="943" t="s">
        <v>3190</v>
      </c>
      <c r="I49" s="947" t="s">
        <v>3191</v>
      </c>
      <c r="J49" s="943" t="s">
        <v>3192</v>
      </c>
    </row>
    <row r="50" customFormat="false" ht="16.5" hidden="false" customHeight="true" outlineLevel="0" collapsed="false">
      <c r="A50" s="943" t="s">
        <v>3193</v>
      </c>
      <c r="B50" s="944" t="s">
        <v>3104</v>
      </c>
      <c r="C50" s="945" t="n">
        <v>42886</v>
      </c>
      <c r="D50" s="943" t="s">
        <v>3105</v>
      </c>
      <c r="E50" s="946" t="n">
        <v>1</v>
      </c>
      <c r="F50" s="944" t="s">
        <v>3106</v>
      </c>
      <c r="G50" s="947" t="s">
        <v>3107</v>
      </c>
      <c r="H50" s="943" t="s">
        <v>3194</v>
      </c>
      <c r="I50" s="947" t="s">
        <v>3195</v>
      </c>
      <c r="J50" s="943" t="s">
        <v>3196</v>
      </c>
    </row>
    <row r="51" customFormat="false" ht="16.5" hidden="false" customHeight="true" outlineLevel="0" collapsed="false">
      <c r="A51" s="943" t="s">
        <v>3197</v>
      </c>
      <c r="B51" s="944" t="s">
        <v>3104</v>
      </c>
      <c r="C51" s="945" t="n">
        <v>42886</v>
      </c>
      <c r="D51" s="943" t="s">
        <v>3105</v>
      </c>
      <c r="E51" s="946" t="n">
        <v>5</v>
      </c>
      <c r="F51" s="944" t="s">
        <v>3106</v>
      </c>
      <c r="G51" s="947" t="s">
        <v>3107</v>
      </c>
      <c r="H51" s="943" t="s">
        <v>3194</v>
      </c>
      <c r="I51" s="947" t="s">
        <v>3195</v>
      </c>
      <c r="J51" s="943" t="s">
        <v>3196</v>
      </c>
    </row>
    <row r="52" customFormat="false" ht="16.5" hidden="false" customHeight="true" outlineLevel="0" collapsed="false">
      <c r="A52" s="943" t="s">
        <v>3198</v>
      </c>
      <c r="B52" s="944" t="s">
        <v>3104</v>
      </c>
      <c r="C52" s="945" t="n">
        <v>42886</v>
      </c>
      <c r="D52" s="943" t="s">
        <v>3105</v>
      </c>
      <c r="E52" s="946" t="n">
        <v>6</v>
      </c>
      <c r="F52" s="944" t="s">
        <v>3106</v>
      </c>
      <c r="G52" s="947" t="s">
        <v>3107</v>
      </c>
      <c r="H52" s="943" t="s">
        <v>3194</v>
      </c>
      <c r="I52" s="947" t="s">
        <v>3195</v>
      </c>
      <c r="J52" s="943" t="s">
        <v>3196</v>
      </c>
    </row>
    <row r="53" customFormat="false" ht="16.5" hidden="false" customHeight="true" outlineLevel="0" collapsed="false">
      <c r="A53" s="943" t="s">
        <v>3199</v>
      </c>
      <c r="B53" s="944" t="s">
        <v>3104</v>
      </c>
      <c r="C53" s="945" t="n">
        <v>42887</v>
      </c>
      <c r="D53" s="943" t="s">
        <v>3105</v>
      </c>
      <c r="E53" s="946" t="n">
        <v>2</v>
      </c>
      <c r="F53" s="944" t="s">
        <v>3106</v>
      </c>
      <c r="G53" s="947" t="s">
        <v>3107</v>
      </c>
      <c r="H53" s="943" t="s">
        <v>3200</v>
      </c>
      <c r="I53" s="944" t="s">
        <v>3201</v>
      </c>
      <c r="J53" s="943" t="s">
        <v>3180</v>
      </c>
    </row>
    <row r="54" customFormat="false" ht="16.5" hidden="false" customHeight="true" outlineLevel="0" collapsed="false">
      <c r="A54" s="943" t="s">
        <v>3202</v>
      </c>
      <c r="B54" s="944" t="s">
        <v>3104</v>
      </c>
      <c r="C54" s="945" t="n">
        <v>42893</v>
      </c>
      <c r="D54" s="943" t="s">
        <v>3105</v>
      </c>
      <c r="E54" s="946" t="n">
        <v>3</v>
      </c>
      <c r="F54" s="944" t="s">
        <v>3106</v>
      </c>
      <c r="G54" s="947" t="s">
        <v>3107</v>
      </c>
      <c r="H54" s="943" t="s">
        <v>3131</v>
      </c>
      <c r="I54" s="944" t="s">
        <v>3132</v>
      </c>
      <c r="J54" s="943" t="s">
        <v>3133</v>
      </c>
    </row>
    <row r="55" customFormat="false" ht="16.5" hidden="false" customHeight="true" outlineLevel="0" collapsed="false">
      <c r="A55" s="943" t="s">
        <v>3203</v>
      </c>
      <c r="B55" s="944" t="s">
        <v>3104</v>
      </c>
      <c r="C55" s="945" t="n">
        <v>42905</v>
      </c>
      <c r="D55" s="943" t="s">
        <v>3105</v>
      </c>
      <c r="E55" s="946" t="n">
        <v>1</v>
      </c>
      <c r="F55" s="944" t="s">
        <v>3106</v>
      </c>
      <c r="G55" s="947" t="s">
        <v>3107</v>
      </c>
      <c r="H55" s="943" t="s">
        <v>3178</v>
      </c>
      <c r="I55" s="944" t="s">
        <v>3179</v>
      </c>
      <c r="J55" s="943" t="s">
        <v>3204</v>
      </c>
    </row>
    <row r="56" customFormat="false" ht="16.5" hidden="false" customHeight="true" outlineLevel="0" collapsed="false">
      <c r="A56" s="943" t="s">
        <v>3205</v>
      </c>
      <c r="B56" s="944" t="s">
        <v>3104</v>
      </c>
      <c r="C56" s="945" t="n">
        <v>42906</v>
      </c>
      <c r="D56" s="943" t="s">
        <v>3105</v>
      </c>
      <c r="E56" s="946" t="n">
        <v>2</v>
      </c>
      <c r="F56" s="944" t="s">
        <v>3106</v>
      </c>
      <c r="G56" s="947" t="s">
        <v>3107</v>
      </c>
      <c r="H56" s="943" t="s">
        <v>3206</v>
      </c>
      <c r="I56" s="947" t="s">
        <v>3207</v>
      </c>
      <c r="J56" s="943" t="s">
        <v>3208</v>
      </c>
    </row>
    <row r="57" customFormat="false" ht="16.5" hidden="false" customHeight="true" outlineLevel="0" collapsed="false">
      <c r="A57" s="943" t="s">
        <v>3209</v>
      </c>
      <c r="B57" s="944" t="s">
        <v>3104</v>
      </c>
      <c r="C57" s="945" t="n">
        <v>42909</v>
      </c>
      <c r="D57" s="943" t="s">
        <v>3105</v>
      </c>
      <c r="E57" s="946" t="n">
        <v>5</v>
      </c>
      <c r="F57" s="944" t="s">
        <v>3106</v>
      </c>
      <c r="G57" s="947" t="s">
        <v>3107</v>
      </c>
      <c r="H57" s="943" t="s">
        <v>3183</v>
      </c>
      <c r="I57" s="947" t="s">
        <v>3184</v>
      </c>
      <c r="J57" s="943" t="s">
        <v>3210</v>
      </c>
    </row>
    <row r="58" customFormat="false" ht="16.5" hidden="false" customHeight="true" outlineLevel="0" collapsed="false">
      <c r="A58" s="943" t="s">
        <v>3211</v>
      </c>
      <c r="B58" s="944" t="s">
        <v>3104</v>
      </c>
      <c r="C58" s="945" t="n">
        <v>42909</v>
      </c>
      <c r="D58" s="943" t="s">
        <v>3105</v>
      </c>
      <c r="E58" s="946" t="n">
        <v>6</v>
      </c>
      <c r="F58" s="944" t="s">
        <v>3106</v>
      </c>
      <c r="G58" s="947" t="s">
        <v>3107</v>
      </c>
      <c r="H58" s="943" t="s">
        <v>3187</v>
      </c>
      <c r="I58" s="947" t="s">
        <v>3188</v>
      </c>
      <c r="J58" s="943" t="s">
        <v>3210</v>
      </c>
    </row>
    <row r="59" customFormat="false" ht="16.5" hidden="false" customHeight="true" outlineLevel="0" collapsed="false">
      <c r="A59" s="943" t="s">
        <v>3212</v>
      </c>
      <c r="B59" s="944" t="s">
        <v>3104</v>
      </c>
      <c r="C59" s="945" t="n">
        <v>42909</v>
      </c>
      <c r="D59" s="943" t="s">
        <v>3105</v>
      </c>
      <c r="E59" s="946" t="n">
        <v>10</v>
      </c>
      <c r="F59" s="944" t="s">
        <v>3106</v>
      </c>
      <c r="G59" s="947" t="s">
        <v>3107</v>
      </c>
      <c r="H59" s="943" t="s">
        <v>3190</v>
      </c>
      <c r="I59" s="947" t="s">
        <v>3191</v>
      </c>
      <c r="J59" s="943" t="s">
        <v>3213</v>
      </c>
    </row>
    <row r="60" customFormat="false" ht="16.5" hidden="false" customHeight="true" outlineLevel="0" collapsed="false">
      <c r="A60" s="943" t="s">
        <v>3214</v>
      </c>
      <c r="B60" s="944" t="s">
        <v>3104</v>
      </c>
      <c r="C60" s="945" t="n">
        <v>42914</v>
      </c>
      <c r="D60" s="943" t="s">
        <v>3105</v>
      </c>
      <c r="E60" s="946" t="n">
        <v>1</v>
      </c>
      <c r="F60" s="944" t="s">
        <v>3106</v>
      </c>
      <c r="G60" s="947" t="s">
        <v>3107</v>
      </c>
      <c r="H60" s="943" t="s">
        <v>3131</v>
      </c>
      <c r="I60" s="944" t="s">
        <v>3132</v>
      </c>
      <c r="J60" s="943" t="s">
        <v>3133</v>
      </c>
    </row>
    <row r="61" customFormat="false" ht="16.5" hidden="false" customHeight="true" outlineLevel="0" collapsed="false">
      <c r="A61" s="943" t="s">
        <v>3215</v>
      </c>
      <c r="B61" s="944" t="s">
        <v>3104</v>
      </c>
      <c r="C61" s="945" t="n">
        <v>42914</v>
      </c>
      <c r="D61" s="943" t="s">
        <v>3105</v>
      </c>
      <c r="E61" s="946" t="n">
        <v>2</v>
      </c>
      <c r="F61" s="944" t="s">
        <v>3106</v>
      </c>
      <c r="G61" s="947" t="s">
        <v>3107</v>
      </c>
      <c r="H61" s="943" t="s">
        <v>3131</v>
      </c>
      <c r="I61" s="944" t="s">
        <v>3132</v>
      </c>
      <c r="J61" s="943" t="s">
        <v>3133</v>
      </c>
    </row>
    <row r="62" customFormat="false" ht="16.5" hidden="false" customHeight="true" outlineLevel="0" collapsed="false">
      <c r="A62" s="943" t="s">
        <v>3216</v>
      </c>
      <c r="B62" s="944" t="s">
        <v>3104</v>
      </c>
      <c r="C62" s="945" t="n">
        <v>42919</v>
      </c>
      <c r="D62" s="943" t="s">
        <v>3105</v>
      </c>
      <c r="E62" s="946" t="n">
        <v>1</v>
      </c>
      <c r="F62" s="944" t="s">
        <v>3106</v>
      </c>
      <c r="G62" s="947" t="s">
        <v>3107</v>
      </c>
      <c r="H62" s="943" t="s">
        <v>3200</v>
      </c>
      <c r="I62" s="944" t="s">
        <v>3201</v>
      </c>
      <c r="J62" s="943" t="s">
        <v>3180</v>
      </c>
    </row>
    <row r="63" customFormat="false" ht="16.5" hidden="false" customHeight="true" outlineLevel="0" collapsed="false">
      <c r="A63" s="943" t="s">
        <v>3217</v>
      </c>
      <c r="B63" s="944" t="s">
        <v>3104</v>
      </c>
      <c r="C63" s="945" t="n">
        <v>42936</v>
      </c>
      <c r="D63" s="943" t="s">
        <v>3105</v>
      </c>
      <c r="E63" s="946" t="n">
        <v>1</v>
      </c>
      <c r="F63" s="944" t="s">
        <v>3106</v>
      </c>
      <c r="G63" s="947" t="s">
        <v>3107</v>
      </c>
      <c r="H63" s="943" t="s">
        <v>3165</v>
      </c>
      <c r="I63" s="944" t="s">
        <v>3166</v>
      </c>
      <c r="J63" s="943" t="s">
        <v>3139</v>
      </c>
    </row>
    <row r="64" customFormat="false" ht="16.5" hidden="false" customHeight="true" outlineLevel="0" collapsed="false">
      <c r="A64" s="943" t="s">
        <v>3218</v>
      </c>
      <c r="B64" s="944" t="s">
        <v>3104</v>
      </c>
      <c r="C64" s="945" t="n">
        <v>42936</v>
      </c>
      <c r="D64" s="943" t="s">
        <v>3105</v>
      </c>
      <c r="E64" s="946" t="n">
        <v>2</v>
      </c>
      <c r="F64" s="944" t="s">
        <v>3106</v>
      </c>
      <c r="G64" s="947" t="s">
        <v>3107</v>
      </c>
      <c r="H64" s="943" t="s">
        <v>3206</v>
      </c>
      <c r="I64" s="947" t="s">
        <v>3207</v>
      </c>
      <c r="J64" s="943" t="s">
        <v>3208</v>
      </c>
    </row>
    <row r="65" customFormat="false" ht="16.5" hidden="false" customHeight="true" outlineLevel="0" collapsed="false">
      <c r="A65" s="943" t="s">
        <v>3219</v>
      </c>
      <c r="B65" s="944" t="s">
        <v>3104</v>
      </c>
      <c r="C65" s="945" t="n">
        <v>42940</v>
      </c>
      <c r="D65" s="943" t="s">
        <v>3105</v>
      </c>
      <c r="E65" s="946" t="n">
        <v>1</v>
      </c>
      <c r="F65" s="944" t="s">
        <v>3106</v>
      </c>
      <c r="G65" s="947" t="s">
        <v>3107</v>
      </c>
      <c r="H65" s="943" t="s">
        <v>3190</v>
      </c>
      <c r="I65" s="947" t="s">
        <v>3191</v>
      </c>
      <c r="J65" s="943" t="s">
        <v>3213</v>
      </c>
    </row>
    <row r="66" customFormat="false" ht="16.5" hidden="false" customHeight="true" outlineLevel="0" collapsed="false">
      <c r="A66" s="943" t="s">
        <v>3220</v>
      </c>
      <c r="B66" s="944" t="s">
        <v>3104</v>
      </c>
      <c r="C66" s="945" t="n">
        <v>42947</v>
      </c>
      <c r="D66" s="943" t="s">
        <v>3105</v>
      </c>
      <c r="E66" s="946" t="n">
        <v>4</v>
      </c>
      <c r="F66" s="944" t="s">
        <v>3106</v>
      </c>
      <c r="G66" s="947" t="s">
        <v>3107</v>
      </c>
      <c r="H66" s="943" t="s">
        <v>3178</v>
      </c>
      <c r="I66" s="944" t="s">
        <v>3179</v>
      </c>
      <c r="J66" s="943" t="s">
        <v>3204</v>
      </c>
    </row>
    <row r="67" customFormat="false" ht="16.5" hidden="false" customHeight="true" outlineLevel="0" collapsed="false">
      <c r="A67" s="943" t="s">
        <v>3221</v>
      </c>
      <c r="B67" s="944" t="s">
        <v>3104</v>
      </c>
      <c r="C67" s="945" t="n">
        <v>42968</v>
      </c>
      <c r="D67" s="943" t="s">
        <v>3105</v>
      </c>
      <c r="E67" s="946" t="n">
        <v>1</v>
      </c>
      <c r="F67" s="944" t="s">
        <v>3106</v>
      </c>
      <c r="G67" s="947" t="s">
        <v>3107</v>
      </c>
      <c r="H67" s="943" t="s">
        <v>3206</v>
      </c>
      <c r="I67" s="947" t="s">
        <v>3207</v>
      </c>
      <c r="J67" s="943" t="s">
        <v>3208</v>
      </c>
    </row>
    <row r="68" customFormat="false" ht="16.5" hidden="false" customHeight="true" outlineLevel="0" collapsed="false">
      <c r="A68" s="943" t="s">
        <v>3222</v>
      </c>
      <c r="B68" s="944" t="s">
        <v>3104</v>
      </c>
      <c r="C68" s="945" t="n">
        <v>42978</v>
      </c>
      <c r="D68" s="943" t="s">
        <v>3105</v>
      </c>
      <c r="E68" s="946" t="n">
        <v>1</v>
      </c>
      <c r="F68" s="944" t="s">
        <v>3106</v>
      </c>
      <c r="G68" s="947" t="s">
        <v>3107</v>
      </c>
      <c r="H68" s="943" t="s">
        <v>3178</v>
      </c>
      <c r="I68" s="944" t="s">
        <v>3179</v>
      </c>
      <c r="J68" s="943" t="s">
        <v>3204</v>
      </c>
    </row>
    <row r="69" customFormat="false" ht="16.5" hidden="false" customHeight="true" outlineLevel="0" collapsed="false">
      <c r="A69" s="943" t="s">
        <v>3223</v>
      </c>
      <c r="B69" s="944" t="s">
        <v>3104</v>
      </c>
      <c r="C69" s="945" t="n">
        <v>42998</v>
      </c>
      <c r="D69" s="943" t="s">
        <v>3105</v>
      </c>
      <c r="E69" s="946" t="n">
        <v>1</v>
      </c>
      <c r="F69" s="944" t="s">
        <v>3106</v>
      </c>
      <c r="G69" s="947" t="s">
        <v>3107</v>
      </c>
      <c r="H69" s="943" t="s">
        <v>3131</v>
      </c>
      <c r="I69" s="944" t="s">
        <v>3132</v>
      </c>
      <c r="J69" s="943" t="s">
        <v>3133</v>
      </c>
    </row>
    <row r="70" customFormat="false" ht="16.5" hidden="false" customHeight="true" outlineLevel="0" collapsed="false">
      <c r="A70" s="943" t="s">
        <v>3224</v>
      </c>
      <c r="B70" s="944" t="s">
        <v>3104</v>
      </c>
      <c r="C70" s="945" t="n">
        <v>42999</v>
      </c>
      <c r="D70" s="943" t="s">
        <v>3105</v>
      </c>
      <c r="E70" s="946" t="n">
        <v>1</v>
      </c>
      <c r="F70" s="944" t="s">
        <v>3106</v>
      </c>
      <c r="G70" s="947" t="s">
        <v>3107</v>
      </c>
      <c r="H70" s="943" t="s">
        <v>3206</v>
      </c>
      <c r="I70" s="947" t="s">
        <v>3207</v>
      </c>
      <c r="J70" s="943" t="s">
        <v>3208</v>
      </c>
    </row>
    <row r="71" customFormat="false" ht="16.5" hidden="false" customHeight="true" outlineLevel="0" collapsed="false">
      <c r="A71" s="943" t="s">
        <v>3225</v>
      </c>
      <c r="B71" s="944" t="s">
        <v>3104</v>
      </c>
      <c r="C71" s="945" t="n">
        <v>43005</v>
      </c>
      <c r="D71" s="943" t="s">
        <v>3105</v>
      </c>
      <c r="E71" s="946" t="n">
        <v>1</v>
      </c>
      <c r="F71" s="944" t="s">
        <v>3106</v>
      </c>
      <c r="G71" s="947" t="s">
        <v>3107</v>
      </c>
      <c r="H71" s="943" t="s">
        <v>3131</v>
      </c>
      <c r="I71" s="944" t="s">
        <v>3132</v>
      </c>
      <c r="J71" s="943" t="s">
        <v>3133</v>
      </c>
    </row>
    <row r="72" customFormat="false" ht="16.5" hidden="false" customHeight="true" outlineLevel="0" collapsed="false">
      <c r="A72" s="943" t="s">
        <v>3226</v>
      </c>
      <c r="B72" s="944" t="s">
        <v>3104</v>
      </c>
      <c r="C72" s="945" t="n">
        <v>43007</v>
      </c>
      <c r="D72" s="943" t="s">
        <v>3105</v>
      </c>
      <c r="E72" s="946" t="n">
        <v>1</v>
      </c>
      <c r="F72" s="944" t="s">
        <v>3106</v>
      </c>
      <c r="G72" s="947" t="s">
        <v>3107</v>
      </c>
      <c r="H72" s="943" t="s">
        <v>3131</v>
      </c>
      <c r="I72" s="944" t="s">
        <v>3132</v>
      </c>
      <c r="J72" s="943" t="s">
        <v>3133</v>
      </c>
    </row>
    <row r="73" customFormat="false" ht="16.5" hidden="false" customHeight="true" outlineLevel="0" collapsed="false">
      <c r="A73" s="943" t="s">
        <v>3227</v>
      </c>
      <c r="B73" s="944" t="s">
        <v>3104</v>
      </c>
      <c r="C73" s="945" t="n">
        <v>43028</v>
      </c>
      <c r="D73" s="943" t="s">
        <v>3105</v>
      </c>
      <c r="E73" s="946" t="n">
        <v>1</v>
      </c>
      <c r="F73" s="944" t="s">
        <v>3106</v>
      </c>
      <c r="G73" s="947" t="s">
        <v>3107</v>
      </c>
      <c r="H73" s="943" t="s">
        <v>3206</v>
      </c>
      <c r="I73" s="947" t="s">
        <v>3207</v>
      </c>
      <c r="J73" s="943" t="s">
        <v>3139</v>
      </c>
    </row>
    <row r="74" customFormat="false" ht="16.5" hidden="false" customHeight="true" outlineLevel="0" collapsed="false">
      <c r="A74" s="943" t="s">
        <v>3228</v>
      </c>
      <c r="B74" s="944" t="s">
        <v>3104</v>
      </c>
      <c r="C74" s="945" t="n">
        <v>43033</v>
      </c>
      <c r="D74" s="943" t="s">
        <v>3105</v>
      </c>
      <c r="E74" s="946" t="n">
        <v>1</v>
      </c>
      <c r="F74" s="944" t="s">
        <v>3106</v>
      </c>
      <c r="G74" s="947" t="s">
        <v>3107</v>
      </c>
      <c r="H74" s="943" t="s">
        <v>3165</v>
      </c>
      <c r="I74" s="944" t="s">
        <v>3166</v>
      </c>
      <c r="J74" s="943" t="s">
        <v>3139</v>
      </c>
    </row>
    <row r="75" customFormat="false" ht="16.5" hidden="false" customHeight="true" outlineLevel="0" collapsed="false">
      <c r="A75" s="943" t="s">
        <v>3229</v>
      </c>
      <c r="B75" s="944" t="s">
        <v>3104</v>
      </c>
      <c r="C75" s="945" t="n">
        <v>43045</v>
      </c>
      <c r="D75" s="943" t="s">
        <v>3105</v>
      </c>
      <c r="E75" s="946" t="n">
        <v>1</v>
      </c>
      <c r="F75" s="944" t="s">
        <v>3106</v>
      </c>
      <c r="G75" s="947" t="s">
        <v>3107</v>
      </c>
      <c r="H75" s="943" t="s">
        <v>3230</v>
      </c>
      <c r="I75" s="947" t="s">
        <v>3231</v>
      </c>
      <c r="J75" s="943" t="s">
        <v>3139</v>
      </c>
    </row>
    <row r="76" customFormat="false" ht="16.5" hidden="false" customHeight="true" outlineLevel="0" collapsed="false">
      <c r="A76" s="943" t="s">
        <v>3232</v>
      </c>
      <c r="B76" s="944" t="s">
        <v>3104</v>
      </c>
      <c r="C76" s="945" t="n">
        <v>43059</v>
      </c>
      <c r="D76" s="943" t="s">
        <v>3105</v>
      </c>
      <c r="E76" s="946" t="n">
        <v>4</v>
      </c>
      <c r="F76" s="944" t="s">
        <v>3106</v>
      </c>
      <c r="G76" s="947" t="s">
        <v>3107</v>
      </c>
      <c r="H76" s="943" t="s">
        <v>3206</v>
      </c>
      <c r="I76" s="947" t="s">
        <v>3207</v>
      </c>
      <c r="J76" s="943" t="s">
        <v>3208</v>
      </c>
    </row>
    <row r="77" customFormat="false" ht="16.5" hidden="false" customHeight="true" outlineLevel="0" collapsed="false">
      <c r="A77" s="943" t="s">
        <v>3233</v>
      </c>
      <c r="B77" s="944" t="s">
        <v>3104</v>
      </c>
      <c r="C77" s="945" t="n">
        <v>43062</v>
      </c>
      <c r="D77" s="943" t="s">
        <v>3105</v>
      </c>
      <c r="E77" s="946" t="n">
        <v>2</v>
      </c>
      <c r="F77" s="944" t="s">
        <v>3106</v>
      </c>
      <c r="G77" s="947" t="s">
        <v>3107</v>
      </c>
      <c r="H77" s="943" t="s">
        <v>3234</v>
      </c>
      <c r="I77" s="944" t="s">
        <v>3235</v>
      </c>
      <c r="J77" s="943" t="s">
        <v>3236</v>
      </c>
    </row>
    <row r="78" customFormat="false" ht="16.5" hidden="false" customHeight="true" outlineLevel="0" collapsed="false">
      <c r="A78" s="943" t="s">
        <v>3237</v>
      </c>
      <c r="B78" s="944" t="s">
        <v>3104</v>
      </c>
      <c r="C78" s="945" t="n">
        <v>43063</v>
      </c>
      <c r="D78" s="943" t="s">
        <v>3105</v>
      </c>
      <c r="E78" s="946" t="n">
        <v>2</v>
      </c>
      <c r="F78" s="944" t="s">
        <v>3106</v>
      </c>
      <c r="G78" s="947" t="s">
        <v>3107</v>
      </c>
      <c r="H78" s="943" t="s">
        <v>3165</v>
      </c>
      <c r="I78" s="944" t="s">
        <v>3166</v>
      </c>
      <c r="J78" s="943" t="s">
        <v>3139</v>
      </c>
    </row>
    <row r="79" customFormat="false" ht="16.5" hidden="false" customHeight="true" outlineLevel="0" collapsed="false">
      <c r="A79" s="943" t="s">
        <v>3238</v>
      </c>
      <c r="B79" s="944" t="s">
        <v>3104</v>
      </c>
      <c r="C79" s="945" t="n">
        <v>43070</v>
      </c>
      <c r="D79" s="943" t="s">
        <v>3105</v>
      </c>
      <c r="E79" s="946" t="n">
        <v>1</v>
      </c>
      <c r="F79" s="944" t="s">
        <v>3106</v>
      </c>
      <c r="G79" s="947" t="s">
        <v>3107</v>
      </c>
      <c r="H79" s="943" t="s">
        <v>3239</v>
      </c>
      <c r="I79" s="947" t="s">
        <v>3240</v>
      </c>
      <c r="J79" s="943" t="s">
        <v>3241</v>
      </c>
    </row>
    <row r="80" customFormat="false" ht="16.5" hidden="false" customHeight="true" outlineLevel="0" collapsed="false">
      <c r="A80" s="943" t="s">
        <v>3242</v>
      </c>
      <c r="B80" s="944" t="s">
        <v>3104</v>
      </c>
      <c r="C80" s="945" t="n">
        <v>43095</v>
      </c>
      <c r="D80" s="943" t="s">
        <v>3105</v>
      </c>
      <c r="E80" s="946" t="n">
        <v>1</v>
      </c>
      <c r="F80" s="944" t="s">
        <v>3106</v>
      </c>
      <c r="G80" s="947" t="s">
        <v>3107</v>
      </c>
      <c r="H80" s="943" t="s">
        <v>3165</v>
      </c>
      <c r="I80" s="944" t="s">
        <v>3166</v>
      </c>
      <c r="J80" s="943" t="s">
        <v>3139</v>
      </c>
    </row>
    <row r="81" customFormat="false" ht="16.5" hidden="false" customHeight="true" outlineLevel="0" collapsed="false">
      <c r="A81" s="943" t="s">
        <v>3243</v>
      </c>
      <c r="B81" s="944" t="s">
        <v>3104</v>
      </c>
      <c r="C81" s="945" t="n">
        <v>43095</v>
      </c>
      <c r="D81" s="943" t="s">
        <v>3105</v>
      </c>
      <c r="E81" s="946" t="n">
        <v>2</v>
      </c>
      <c r="F81" s="944" t="s">
        <v>3106</v>
      </c>
      <c r="G81" s="947" t="s">
        <v>3107</v>
      </c>
      <c r="H81" s="943" t="s">
        <v>3165</v>
      </c>
      <c r="I81" s="944" t="s">
        <v>3166</v>
      </c>
      <c r="J81" s="943" t="s">
        <v>3139</v>
      </c>
    </row>
    <row r="82" customFormat="false" ht="16.5" hidden="false" customHeight="true" outlineLevel="0" collapsed="false">
      <c r="A82" s="943" t="s">
        <v>3244</v>
      </c>
      <c r="B82" s="944" t="s">
        <v>3104</v>
      </c>
      <c r="C82" s="945" t="n">
        <v>43096</v>
      </c>
      <c r="D82" s="943" t="s">
        <v>3105</v>
      </c>
      <c r="E82" s="946" t="n">
        <v>2</v>
      </c>
      <c r="F82" s="944" t="s">
        <v>3106</v>
      </c>
      <c r="G82" s="947" t="s">
        <v>3107</v>
      </c>
      <c r="H82" s="943" t="s">
        <v>3165</v>
      </c>
      <c r="I82" s="944" t="s">
        <v>3166</v>
      </c>
      <c r="J82" s="943" t="s">
        <v>3139</v>
      </c>
    </row>
    <row r="83" customFormat="false" ht="16.5" hidden="false" customHeight="true" outlineLevel="0" collapsed="false">
      <c r="A83" s="943" t="s">
        <v>3245</v>
      </c>
      <c r="B83" s="944" t="s">
        <v>3104</v>
      </c>
      <c r="C83" s="945" t="n">
        <v>43126</v>
      </c>
      <c r="D83" s="943" t="s">
        <v>3105</v>
      </c>
      <c r="E83" s="946" t="n">
        <v>1</v>
      </c>
      <c r="F83" s="944" t="s">
        <v>3106</v>
      </c>
      <c r="G83" s="947" t="s">
        <v>3107</v>
      </c>
      <c r="H83" s="943" t="s">
        <v>3165</v>
      </c>
      <c r="I83" s="944" t="s">
        <v>3166</v>
      </c>
      <c r="J83" s="943" t="s">
        <v>3139</v>
      </c>
    </row>
    <row r="84" customFormat="false" ht="16.5" hidden="false" customHeight="true" outlineLevel="0" collapsed="false">
      <c r="A84" s="943" t="s">
        <v>3246</v>
      </c>
      <c r="B84" s="944" t="s">
        <v>3104</v>
      </c>
      <c r="C84" s="945" t="n">
        <v>43137</v>
      </c>
      <c r="D84" s="943" t="s">
        <v>3105</v>
      </c>
      <c r="E84" s="946" t="n">
        <v>3</v>
      </c>
      <c r="F84" s="944" t="s">
        <v>3106</v>
      </c>
      <c r="G84" s="947" t="s">
        <v>3107</v>
      </c>
      <c r="H84" s="943" t="s">
        <v>3247</v>
      </c>
      <c r="I84" s="944" t="s">
        <v>3248</v>
      </c>
      <c r="J84" s="943" t="s">
        <v>3249</v>
      </c>
    </row>
    <row r="85" customFormat="false" ht="16.5" hidden="false" customHeight="true" outlineLevel="0" collapsed="false">
      <c r="A85" s="943" t="s">
        <v>3250</v>
      </c>
      <c r="B85" s="944" t="s">
        <v>3104</v>
      </c>
      <c r="C85" s="945" t="n">
        <v>43137</v>
      </c>
      <c r="D85" s="943" t="s">
        <v>3105</v>
      </c>
      <c r="E85" s="946" t="n">
        <v>4</v>
      </c>
      <c r="F85" s="944" t="s">
        <v>3106</v>
      </c>
      <c r="G85" s="947" t="s">
        <v>3107</v>
      </c>
      <c r="H85" s="943" t="s">
        <v>3251</v>
      </c>
      <c r="I85" s="944" t="s">
        <v>3252</v>
      </c>
      <c r="J85" s="943" t="s">
        <v>3249</v>
      </c>
    </row>
    <row r="86" customFormat="false" ht="16.5" hidden="false" customHeight="true" outlineLevel="0" collapsed="false">
      <c r="A86" s="943" t="s">
        <v>3253</v>
      </c>
      <c r="B86" s="944" t="s">
        <v>3104</v>
      </c>
      <c r="C86" s="945" t="n">
        <v>43157</v>
      </c>
      <c r="D86" s="943" t="s">
        <v>3105</v>
      </c>
      <c r="E86" s="946" t="n">
        <v>1</v>
      </c>
      <c r="F86" s="944" t="s">
        <v>3106</v>
      </c>
      <c r="G86" s="947" t="s">
        <v>3107</v>
      </c>
      <c r="H86" s="943" t="s">
        <v>3165</v>
      </c>
      <c r="I86" s="944" t="s">
        <v>3166</v>
      </c>
      <c r="J86" s="943" t="s">
        <v>3139</v>
      </c>
    </row>
    <row r="87" customFormat="false" ht="16.5" hidden="false" customHeight="true" outlineLevel="0" collapsed="false">
      <c r="A87" s="943" t="s">
        <v>3254</v>
      </c>
      <c r="B87" s="944" t="s">
        <v>3104</v>
      </c>
      <c r="C87" s="945" t="n">
        <v>43159</v>
      </c>
      <c r="D87" s="943" t="s">
        <v>3105</v>
      </c>
      <c r="E87" s="946" t="n">
        <v>1</v>
      </c>
      <c r="F87" s="944" t="s">
        <v>3106</v>
      </c>
      <c r="G87" s="947" t="s">
        <v>3107</v>
      </c>
      <c r="H87" s="943" t="s">
        <v>3165</v>
      </c>
      <c r="I87" s="944" t="s">
        <v>3166</v>
      </c>
      <c r="J87" s="943" t="s">
        <v>3139</v>
      </c>
    </row>
    <row r="88" customFormat="false" ht="16.5" hidden="false" customHeight="true" outlineLevel="0" collapsed="false">
      <c r="A88" s="943" t="s">
        <v>3255</v>
      </c>
      <c r="B88" s="944" t="s">
        <v>3104</v>
      </c>
      <c r="C88" s="945" t="n">
        <v>43165</v>
      </c>
      <c r="D88" s="943" t="s">
        <v>3105</v>
      </c>
      <c r="E88" s="946" t="n">
        <v>1</v>
      </c>
      <c r="F88" s="944" t="s">
        <v>3106</v>
      </c>
      <c r="G88" s="947" t="s">
        <v>3107</v>
      </c>
      <c r="H88" s="943" t="s">
        <v>3251</v>
      </c>
      <c r="I88" s="944" t="s">
        <v>3252</v>
      </c>
      <c r="J88" s="943" t="s">
        <v>3249</v>
      </c>
    </row>
    <row r="89" customFormat="false" ht="16.5" hidden="false" customHeight="true" outlineLevel="0" collapsed="false">
      <c r="A89" s="943" t="s">
        <v>3256</v>
      </c>
      <c r="B89" s="944" t="s">
        <v>3104</v>
      </c>
      <c r="C89" s="945" t="n">
        <v>43165</v>
      </c>
      <c r="D89" s="943" t="s">
        <v>3105</v>
      </c>
      <c r="E89" s="946" t="n">
        <v>2</v>
      </c>
      <c r="F89" s="944" t="s">
        <v>3106</v>
      </c>
      <c r="G89" s="947" t="s">
        <v>3107</v>
      </c>
      <c r="H89" s="943" t="s">
        <v>3247</v>
      </c>
      <c r="I89" s="944" t="s">
        <v>3248</v>
      </c>
      <c r="J89" s="943" t="s">
        <v>3249</v>
      </c>
    </row>
    <row r="90" customFormat="false" ht="16.5" hidden="false" customHeight="true" outlineLevel="0" collapsed="false">
      <c r="A90" s="943" t="s">
        <v>3257</v>
      </c>
      <c r="B90" s="944" t="s">
        <v>3104</v>
      </c>
      <c r="C90" s="945" t="n">
        <v>43175</v>
      </c>
      <c r="D90" s="943" t="s">
        <v>3105</v>
      </c>
      <c r="E90" s="946" t="n">
        <v>1</v>
      </c>
      <c r="F90" s="944" t="s">
        <v>3106</v>
      </c>
      <c r="G90" s="947" t="s">
        <v>3107</v>
      </c>
      <c r="H90" s="943" t="s">
        <v>3258</v>
      </c>
      <c r="I90" s="947" t="s">
        <v>3259</v>
      </c>
      <c r="J90" s="943" t="s">
        <v>3260</v>
      </c>
    </row>
    <row r="91" customFormat="false" ht="16.5" hidden="false" customHeight="true" outlineLevel="0" collapsed="false">
      <c r="A91" s="943" t="s">
        <v>3261</v>
      </c>
      <c r="B91" s="944" t="s">
        <v>3104</v>
      </c>
      <c r="C91" s="945" t="n">
        <v>43187</v>
      </c>
      <c r="D91" s="943" t="s">
        <v>3105</v>
      </c>
      <c r="E91" s="946" t="n">
        <v>1</v>
      </c>
      <c r="F91" s="944" t="s">
        <v>3106</v>
      </c>
      <c r="G91" s="947" t="s">
        <v>3107</v>
      </c>
      <c r="H91" s="943" t="s">
        <v>3165</v>
      </c>
      <c r="I91" s="944" t="s">
        <v>3166</v>
      </c>
      <c r="J91" s="943" t="s">
        <v>3139</v>
      </c>
    </row>
    <row r="92" customFormat="false" ht="16.5" hidden="false" customHeight="true" outlineLevel="0" collapsed="false">
      <c r="A92" s="943" t="s">
        <v>3262</v>
      </c>
      <c r="B92" s="944" t="s">
        <v>3104</v>
      </c>
      <c r="C92" s="945" t="n">
        <v>43196</v>
      </c>
      <c r="D92" s="943" t="s">
        <v>3105</v>
      </c>
      <c r="E92" s="946" t="n">
        <v>1</v>
      </c>
      <c r="F92" s="944" t="s">
        <v>3106</v>
      </c>
      <c r="G92" s="947" t="s">
        <v>3107</v>
      </c>
      <c r="H92" s="943" t="s">
        <v>3263</v>
      </c>
      <c r="I92" s="944" t="s">
        <v>3264</v>
      </c>
      <c r="J92" s="943" t="s">
        <v>3249</v>
      </c>
    </row>
    <row r="93" customFormat="false" ht="16.5" hidden="false" customHeight="true" outlineLevel="0" collapsed="false">
      <c r="A93" s="943" t="s">
        <v>3265</v>
      </c>
      <c r="B93" s="944" t="s">
        <v>3104</v>
      </c>
      <c r="C93" s="945" t="n">
        <v>43196</v>
      </c>
      <c r="D93" s="943" t="s">
        <v>3105</v>
      </c>
      <c r="E93" s="946" t="n">
        <v>3</v>
      </c>
      <c r="F93" s="944" t="s">
        <v>3106</v>
      </c>
      <c r="G93" s="947" t="s">
        <v>3107</v>
      </c>
      <c r="H93" s="943" t="s">
        <v>3247</v>
      </c>
      <c r="I93" s="944" t="s">
        <v>3248</v>
      </c>
      <c r="J93" s="943" t="s">
        <v>3266</v>
      </c>
    </row>
    <row r="94" customFormat="false" ht="16.5" hidden="false" customHeight="true" outlineLevel="0" collapsed="false">
      <c r="A94" s="943" t="s">
        <v>3267</v>
      </c>
      <c r="B94" s="944" t="s">
        <v>3104</v>
      </c>
      <c r="C94" s="945" t="n">
        <v>43196</v>
      </c>
      <c r="D94" s="943" t="s">
        <v>3105</v>
      </c>
      <c r="E94" s="946" t="n">
        <v>4</v>
      </c>
      <c r="F94" s="944" t="s">
        <v>3106</v>
      </c>
      <c r="G94" s="947" t="s">
        <v>3107</v>
      </c>
      <c r="H94" s="943" t="s">
        <v>3251</v>
      </c>
      <c r="I94" s="944" t="s">
        <v>3252</v>
      </c>
      <c r="J94" s="943" t="s">
        <v>3266</v>
      </c>
    </row>
    <row r="95" customFormat="false" ht="16.5" hidden="false" customHeight="true" outlineLevel="0" collapsed="false">
      <c r="A95" s="943" t="s">
        <v>3268</v>
      </c>
      <c r="B95" s="944" t="s">
        <v>3104</v>
      </c>
      <c r="C95" s="945" t="n">
        <v>43203</v>
      </c>
      <c r="D95" s="943" t="s">
        <v>3105</v>
      </c>
      <c r="E95" s="946" t="n">
        <v>1</v>
      </c>
      <c r="F95" s="944" t="s">
        <v>3106</v>
      </c>
      <c r="G95" s="947" t="s">
        <v>3107</v>
      </c>
      <c r="H95" s="943" t="s">
        <v>3269</v>
      </c>
      <c r="I95" s="944" t="s">
        <v>3270</v>
      </c>
      <c r="J95" s="943" t="s">
        <v>3271</v>
      </c>
    </row>
    <row r="96" customFormat="false" ht="16.5" hidden="false" customHeight="true" outlineLevel="0" collapsed="false">
      <c r="A96" s="943" t="s">
        <v>3272</v>
      </c>
      <c r="B96" s="944" t="s">
        <v>3104</v>
      </c>
      <c r="C96" s="945" t="n">
        <v>43208</v>
      </c>
      <c r="D96" s="943" t="s">
        <v>3105</v>
      </c>
      <c r="E96" s="946" t="n">
        <v>1</v>
      </c>
      <c r="F96" s="944" t="s">
        <v>3106</v>
      </c>
      <c r="G96" s="947" t="s">
        <v>3107</v>
      </c>
      <c r="H96" s="943" t="s">
        <v>3165</v>
      </c>
      <c r="I96" s="944" t="s">
        <v>3166</v>
      </c>
      <c r="J96" s="943" t="s">
        <v>3139</v>
      </c>
    </row>
    <row r="97" customFormat="false" ht="16.5" hidden="false" customHeight="true" outlineLevel="0" collapsed="false">
      <c r="A97" s="943" t="s">
        <v>3273</v>
      </c>
      <c r="B97" s="944" t="s">
        <v>3104</v>
      </c>
      <c r="C97" s="945" t="n">
        <v>43213</v>
      </c>
      <c r="D97" s="943" t="s">
        <v>3105</v>
      </c>
      <c r="E97" s="946" t="n">
        <v>2</v>
      </c>
      <c r="F97" s="944" t="s">
        <v>3106</v>
      </c>
      <c r="G97" s="947" t="s">
        <v>3107</v>
      </c>
      <c r="H97" s="943" t="s">
        <v>3258</v>
      </c>
      <c r="I97" s="947" t="s">
        <v>3259</v>
      </c>
      <c r="J97" s="943" t="s">
        <v>3260</v>
      </c>
    </row>
    <row r="98" customFormat="false" ht="16.5" hidden="false" customHeight="true" outlineLevel="0" collapsed="false">
      <c r="A98" s="943" t="s">
        <v>3274</v>
      </c>
      <c r="B98" s="944" t="s">
        <v>3104</v>
      </c>
      <c r="C98" s="945" t="n">
        <v>43215</v>
      </c>
      <c r="D98" s="943" t="s">
        <v>3105</v>
      </c>
      <c r="E98" s="946" t="n">
        <v>3</v>
      </c>
      <c r="F98" s="944" t="s">
        <v>3106</v>
      </c>
      <c r="G98" s="947" t="s">
        <v>3107</v>
      </c>
      <c r="H98" s="943" t="s">
        <v>3275</v>
      </c>
      <c r="I98" s="944" t="s">
        <v>3276</v>
      </c>
      <c r="J98" s="943" t="s">
        <v>3249</v>
      </c>
    </row>
    <row r="99" customFormat="false" ht="16.5" hidden="false" customHeight="true" outlineLevel="0" collapsed="false">
      <c r="A99" s="943" t="s">
        <v>3277</v>
      </c>
      <c r="B99" s="944" t="s">
        <v>3104</v>
      </c>
      <c r="C99" s="945" t="n">
        <v>43216</v>
      </c>
      <c r="D99" s="943" t="s">
        <v>3105</v>
      </c>
      <c r="E99" s="946" t="n">
        <v>1</v>
      </c>
      <c r="F99" s="944" t="s">
        <v>3106</v>
      </c>
      <c r="G99" s="947" t="s">
        <v>3107</v>
      </c>
      <c r="H99" s="943" t="s">
        <v>3278</v>
      </c>
      <c r="I99" s="944" t="s">
        <v>3279</v>
      </c>
      <c r="J99" s="943" t="s">
        <v>3249</v>
      </c>
    </row>
    <row r="100" customFormat="false" ht="16.5" hidden="false" customHeight="true" outlineLevel="0" collapsed="false">
      <c r="A100" s="943" t="s">
        <v>3107</v>
      </c>
      <c r="B100" s="944" t="s">
        <v>3104</v>
      </c>
      <c r="C100" s="945" t="n">
        <v>43224</v>
      </c>
      <c r="D100" s="943" t="s">
        <v>3105</v>
      </c>
      <c r="E100" s="946" t="n">
        <v>2</v>
      </c>
      <c r="F100" s="944" t="s">
        <v>3106</v>
      </c>
      <c r="G100" s="947" t="s">
        <v>3107</v>
      </c>
      <c r="H100" s="943" t="s">
        <v>3263</v>
      </c>
      <c r="I100" s="944" t="s">
        <v>3264</v>
      </c>
      <c r="J100" s="943" t="s">
        <v>3266</v>
      </c>
    </row>
    <row r="101" customFormat="false" ht="16.5" hidden="false" customHeight="true" outlineLevel="0" collapsed="false">
      <c r="A101" s="943" t="s">
        <v>3280</v>
      </c>
      <c r="B101" s="944" t="s">
        <v>3104</v>
      </c>
      <c r="C101" s="945" t="n">
        <v>43224</v>
      </c>
      <c r="D101" s="943" t="s">
        <v>3105</v>
      </c>
      <c r="E101" s="946" t="n">
        <v>3</v>
      </c>
      <c r="F101" s="944" t="s">
        <v>3106</v>
      </c>
      <c r="G101" s="947" t="s">
        <v>3107</v>
      </c>
      <c r="H101" s="943" t="s">
        <v>3251</v>
      </c>
      <c r="I101" s="944" t="s">
        <v>3252</v>
      </c>
      <c r="J101" s="943" t="s">
        <v>3266</v>
      </c>
    </row>
    <row r="102" customFormat="false" ht="16.5" hidden="false" customHeight="true" outlineLevel="0" collapsed="false">
      <c r="A102" s="943" t="s">
        <v>3281</v>
      </c>
      <c r="B102" s="944" t="s">
        <v>3104</v>
      </c>
      <c r="C102" s="945" t="n">
        <v>43228</v>
      </c>
      <c r="D102" s="943" t="s">
        <v>3105</v>
      </c>
      <c r="E102" s="946" t="n">
        <v>1</v>
      </c>
      <c r="F102" s="944" t="s">
        <v>3106</v>
      </c>
      <c r="G102" s="947" t="s">
        <v>3107</v>
      </c>
      <c r="H102" s="943" t="s">
        <v>3247</v>
      </c>
      <c r="I102" s="944" t="s">
        <v>3248</v>
      </c>
      <c r="J102" s="943" t="s">
        <v>3266</v>
      </c>
    </row>
    <row r="103" customFormat="false" ht="16.5" hidden="false" customHeight="true" outlineLevel="0" collapsed="false">
      <c r="A103" s="943" t="s">
        <v>3282</v>
      </c>
      <c r="B103" s="944" t="s">
        <v>3104</v>
      </c>
      <c r="C103" s="945" t="n">
        <v>43238</v>
      </c>
      <c r="D103" s="943" t="s">
        <v>3105</v>
      </c>
      <c r="E103" s="946" t="n">
        <v>1</v>
      </c>
      <c r="F103" s="944" t="s">
        <v>3106</v>
      </c>
      <c r="G103" s="947" t="s">
        <v>3107</v>
      </c>
      <c r="H103" s="943" t="s">
        <v>3165</v>
      </c>
      <c r="I103" s="944" t="s">
        <v>3166</v>
      </c>
      <c r="J103" s="943" t="s">
        <v>3139</v>
      </c>
    </row>
    <row r="104" customFormat="false" ht="16.5" hidden="false" customHeight="true" outlineLevel="0" collapsed="false">
      <c r="A104" s="943" t="s">
        <v>3283</v>
      </c>
      <c r="B104" s="944" t="s">
        <v>3104</v>
      </c>
      <c r="C104" s="945" t="n">
        <v>43243</v>
      </c>
      <c r="D104" s="943" t="s">
        <v>3105</v>
      </c>
      <c r="E104" s="946" t="n">
        <v>1</v>
      </c>
      <c r="F104" s="944" t="s">
        <v>3106</v>
      </c>
      <c r="G104" s="947" t="s">
        <v>3107</v>
      </c>
      <c r="H104" s="943" t="s">
        <v>3258</v>
      </c>
      <c r="I104" s="947" t="s">
        <v>3259</v>
      </c>
      <c r="J104" s="943" t="s">
        <v>3260</v>
      </c>
    </row>
    <row r="105" customFormat="false" ht="16.5" hidden="false" customHeight="true" outlineLevel="0" collapsed="false">
      <c r="A105" s="943" t="s">
        <v>3284</v>
      </c>
      <c r="B105" s="944" t="s">
        <v>3104</v>
      </c>
      <c r="C105" s="945" t="n">
        <v>43244</v>
      </c>
      <c r="D105" s="943" t="s">
        <v>3105</v>
      </c>
      <c r="E105" s="946" t="n">
        <v>1</v>
      </c>
      <c r="F105" s="944" t="s">
        <v>3106</v>
      </c>
      <c r="G105" s="947" t="s">
        <v>3107</v>
      </c>
      <c r="H105" s="943" t="s">
        <v>3131</v>
      </c>
      <c r="I105" s="944" t="s">
        <v>3132</v>
      </c>
      <c r="J105" s="943" t="s">
        <v>3133</v>
      </c>
    </row>
    <row r="106" customFormat="false" ht="16.5" hidden="false" customHeight="true" outlineLevel="0" collapsed="false">
      <c r="A106" s="943" t="s">
        <v>3285</v>
      </c>
      <c r="B106" s="944" t="s">
        <v>3104</v>
      </c>
      <c r="C106" s="945" t="n">
        <v>43245</v>
      </c>
      <c r="D106" s="943" t="s">
        <v>3105</v>
      </c>
      <c r="E106" s="946" t="n">
        <v>1</v>
      </c>
      <c r="F106" s="944" t="s">
        <v>3106</v>
      </c>
      <c r="G106" s="947" t="s">
        <v>3107</v>
      </c>
      <c r="H106" s="943" t="s">
        <v>3275</v>
      </c>
      <c r="I106" s="944" t="s">
        <v>3276</v>
      </c>
      <c r="J106" s="943" t="s">
        <v>3249</v>
      </c>
    </row>
    <row r="107" customFormat="false" ht="16.5" hidden="false" customHeight="true" outlineLevel="0" collapsed="false">
      <c r="A107" s="943" t="s">
        <v>3286</v>
      </c>
      <c r="B107" s="944" t="s">
        <v>3104</v>
      </c>
      <c r="C107" s="945" t="n">
        <v>43245</v>
      </c>
      <c r="D107" s="943" t="s">
        <v>3105</v>
      </c>
      <c r="E107" s="946" t="n">
        <v>4</v>
      </c>
      <c r="F107" s="944" t="s">
        <v>3106</v>
      </c>
      <c r="G107" s="947" t="s">
        <v>3107</v>
      </c>
      <c r="H107" s="943" t="s">
        <v>3287</v>
      </c>
      <c r="I107" s="947" t="s">
        <v>3288</v>
      </c>
      <c r="J107" s="943" t="s">
        <v>3289</v>
      </c>
    </row>
    <row r="108" customFormat="false" ht="16.5" hidden="false" customHeight="true" outlineLevel="0" collapsed="false">
      <c r="A108" s="943" t="s">
        <v>3290</v>
      </c>
      <c r="B108" s="944" t="s">
        <v>3104</v>
      </c>
      <c r="C108" s="945" t="n">
        <v>43250</v>
      </c>
      <c r="D108" s="943" t="s">
        <v>3105</v>
      </c>
      <c r="E108" s="946" t="n">
        <v>1</v>
      </c>
      <c r="F108" s="944" t="s">
        <v>3106</v>
      </c>
      <c r="G108" s="947" t="s">
        <v>3107</v>
      </c>
      <c r="H108" s="943" t="s">
        <v>3278</v>
      </c>
      <c r="I108" s="944" t="s">
        <v>3279</v>
      </c>
      <c r="J108" s="943" t="s">
        <v>3249</v>
      </c>
    </row>
    <row r="109" customFormat="false" ht="16.5" hidden="false" customHeight="true" outlineLevel="0" collapsed="false">
      <c r="A109" s="943" t="s">
        <v>3291</v>
      </c>
      <c r="B109" s="944" t="s">
        <v>3104</v>
      </c>
      <c r="C109" s="945" t="n">
        <v>43255</v>
      </c>
      <c r="D109" s="943" t="s">
        <v>3105</v>
      </c>
      <c r="E109" s="946" t="n">
        <v>1</v>
      </c>
      <c r="F109" s="944" t="s">
        <v>3106</v>
      </c>
      <c r="G109" s="947" t="s">
        <v>3107</v>
      </c>
      <c r="H109" s="943" t="s">
        <v>3292</v>
      </c>
      <c r="I109" s="947" t="s">
        <v>3293</v>
      </c>
      <c r="J109" s="943" t="s">
        <v>3294</v>
      </c>
    </row>
    <row r="110" customFormat="false" ht="16.5" hidden="false" customHeight="true" outlineLevel="0" collapsed="false">
      <c r="A110" s="943" t="s">
        <v>3295</v>
      </c>
      <c r="B110" s="944" t="s">
        <v>3104</v>
      </c>
      <c r="C110" s="945" t="n">
        <v>43255</v>
      </c>
      <c r="D110" s="943" t="s">
        <v>3105</v>
      </c>
      <c r="E110" s="946" t="n">
        <v>2</v>
      </c>
      <c r="F110" s="944" t="s">
        <v>3106</v>
      </c>
      <c r="G110" s="947" t="s">
        <v>3107</v>
      </c>
      <c r="H110" s="943" t="s">
        <v>3263</v>
      </c>
      <c r="I110" s="944" t="s">
        <v>3264</v>
      </c>
      <c r="J110" s="943" t="s">
        <v>3266</v>
      </c>
    </row>
    <row r="111" customFormat="false" ht="16.5" hidden="false" customHeight="true" outlineLevel="0" collapsed="false">
      <c r="A111" s="943" t="s">
        <v>3296</v>
      </c>
      <c r="B111" s="944" t="s">
        <v>3104</v>
      </c>
      <c r="C111" s="945" t="n">
        <v>43255</v>
      </c>
      <c r="D111" s="943" t="s">
        <v>3105</v>
      </c>
      <c r="E111" s="946" t="n">
        <v>3</v>
      </c>
      <c r="F111" s="944" t="s">
        <v>3106</v>
      </c>
      <c r="G111" s="947" t="s">
        <v>3107</v>
      </c>
      <c r="H111" s="943" t="s">
        <v>3251</v>
      </c>
      <c r="I111" s="944" t="s">
        <v>3252</v>
      </c>
      <c r="J111" s="943" t="s">
        <v>3266</v>
      </c>
    </row>
    <row r="112" customFormat="false" ht="16.5" hidden="false" customHeight="true" outlineLevel="0" collapsed="false">
      <c r="A112" s="943" t="s">
        <v>3297</v>
      </c>
      <c r="B112" s="944" t="s">
        <v>3104</v>
      </c>
      <c r="C112" s="945" t="n">
        <v>43255</v>
      </c>
      <c r="D112" s="943" t="s">
        <v>3105</v>
      </c>
      <c r="E112" s="946" t="n">
        <v>4</v>
      </c>
      <c r="F112" s="944" t="s">
        <v>3106</v>
      </c>
      <c r="G112" s="947" t="s">
        <v>3107</v>
      </c>
      <c r="H112" s="943" t="s">
        <v>3247</v>
      </c>
      <c r="I112" s="944" t="s">
        <v>3248</v>
      </c>
      <c r="J112" s="943" t="s">
        <v>3266</v>
      </c>
    </row>
    <row r="113" customFormat="false" ht="16.5" hidden="false" customHeight="true" outlineLevel="0" collapsed="false">
      <c r="A113" s="943" t="s">
        <v>3298</v>
      </c>
      <c r="B113" s="944" t="s">
        <v>3104</v>
      </c>
      <c r="C113" s="945" t="n">
        <v>43256</v>
      </c>
      <c r="D113" s="943" t="s">
        <v>3105</v>
      </c>
      <c r="E113" s="946" t="n">
        <v>1</v>
      </c>
      <c r="F113" s="944" t="s">
        <v>3106</v>
      </c>
      <c r="G113" s="947" t="s">
        <v>3107</v>
      </c>
      <c r="H113" s="943" t="s">
        <v>3251</v>
      </c>
      <c r="I113" s="944" t="s">
        <v>3252</v>
      </c>
      <c r="J113" s="943" t="s">
        <v>3249</v>
      </c>
    </row>
    <row r="114" customFormat="false" ht="16.5" hidden="false" customHeight="true" outlineLevel="0" collapsed="false">
      <c r="A114" s="943" t="s">
        <v>3299</v>
      </c>
      <c r="B114" s="944" t="s">
        <v>3104</v>
      </c>
      <c r="C114" s="945" t="n">
        <v>43256</v>
      </c>
      <c r="D114" s="943" t="s">
        <v>3105</v>
      </c>
      <c r="E114" s="946" t="n">
        <v>2</v>
      </c>
      <c r="F114" s="944" t="s">
        <v>3106</v>
      </c>
      <c r="G114" s="947" t="s">
        <v>3107</v>
      </c>
      <c r="H114" s="943" t="s">
        <v>3247</v>
      </c>
      <c r="I114" s="944" t="s">
        <v>3248</v>
      </c>
      <c r="J114" s="943" t="s">
        <v>3249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O32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8" topLeftCell="A261" activePane="bottomLeft" state="frozen"/>
      <selection pane="topLeft" activeCell="A1" activeCellId="0" sqref="A1"/>
      <selection pane="bottomLeft" activeCell="C280" activeCellId="0" sqref="C280"/>
    </sheetView>
  </sheetViews>
  <sheetFormatPr defaultColWidth="8.5390625" defaultRowHeight="16.5" zeroHeight="false" outlineLevelRow="0" outlineLevelCol="0"/>
  <cols>
    <col collapsed="false" customWidth="true" hidden="false" outlineLevel="0" max="1" min="1" style="19" width="5.25"/>
    <col collapsed="false" customWidth="true" hidden="false" outlineLevel="0" max="4" min="2" style="9" width="11.63"/>
    <col collapsed="false" customWidth="true" hidden="false" outlineLevel="0" max="5" min="5" style="20" width="5.25"/>
    <col collapsed="false" customWidth="true" hidden="false" outlineLevel="0" max="6" min="6" style="21" width="7.38"/>
    <col collapsed="false" customWidth="true" hidden="false" outlineLevel="0" max="7" min="7" style="22" width="11"/>
    <col collapsed="false" customWidth="true" hidden="false" outlineLevel="0" max="8" min="8" style="23" width="10.38"/>
    <col collapsed="false" customWidth="true" hidden="false" outlineLevel="0" max="9" min="9" style="24" width="5.63"/>
    <col collapsed="false" customWidth="true" hidden="false" outlineLevel="0" max="10" min="10" style="25" width="10.63"/>
    <col collapsed="false" customWidth="true" hidden="false" outlineLevel="0" max="11" min="11" style="21" width="5.63"/>
    <col collapsed="false" customWidth="true" hidden="false" outlineLevel="0" max="12" min="12" style="28" width="9.38"/>
    <col collapsed="false" customWidth="true" hidden="false" outlineLevel="0" max="13" min="13" style="27" width="5.63"/>
    <col collapsed="false" customWidth="true" hidden="false" outlineLevel="0" max="14" min="14" style="28" width="9.5"/>
    <col collapsed="false" customWidth="true" hidden="false" outlineLevel="0" max="15" min="15" style="27" width="5.63"/>
    <col collapsed="false" customWidth="true" hidden="false" outlineLevel="0" max="16" min="16" style="28" width="9.5"/>
    <col collapsed="false" customWidth="true" hidden="false" outlineLevel="0" max="28" min="17" style="28" width="10.25"/>
    <col collapsed="false" customWidth="true" hidden="false" outlineLevel="0" max="29" min="29" style="30" width="10.25"/>
    <col collapsed="false" customWidth="true" hidden="false" outlineLevel="0" max="31" min="30" style="31" width="10.25"/>
    <col collapsed="false" customWidth="true" hidden="false" outlineLevel="0" max="32" min="32" style="33" width="11"/>
    <col collapsed="false" customWidth="true" hidden="false" outlineLevel="0" max="33" min="33" style="35" width="9"/>
    <col collapsed="false" customWidth="true" hidden="false" outlineLevel="0" max="34" min="34" style="20" width="5.25"/>
    <col collapsed="false" customWidth="true" hidden="false" outlineLevel="0" max="35" min="35" style="20" width="16.38"/>
    <col collapsed="false" customWidth="true" hidden="false" outlineLevel="0" max="37" min="36" style="20" width="15.5"/>
    <col collapsed="false" customWidth="true" hidden="false" outlineLevel="0" max="38" min="38" style="20" width="18.63"/>
    <col collapsed="false" customWidth="true" hidden="false" outlineLevel="0" max="39" min="39" style="36" width="15.5"/>
    <col collapsed="false" customWidth="true" hidden="false" outlineLevel="0" max="40" min="40" style="1" width="9.38"/>
  </cols>
  <sheetData>
    <row r="1" s="38" customFormat="true" ht="16.5" hidden="false" customHeight="true" outlineLevel="0" collapsed="false">
      <c r="A1" s="20"/>
      <c r="B1" s="37" t="s">
        <v>38</v>
      </c>
      <c r="E1" s="20"/>
      <c r="F1" s="21"/>
      <c r="G1" s="22"/>
      <c r="H1" s="23"/>
      <c r="I1" s="24"/>
      <c r="J1" s="25"/>
      <c r="K1" s="21"/>
      <c r="L1" s="28"/>
      <c r="M1" s="27"/>
      <c r="N1" s="28"/>
      <c r="O1" s="27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40"/>
      <c r="AD1" s="41"/>
      <c r="AE1" s="41"/>
      <c r="AF1" s="42"/>
      <c r="AG1" s="44"/>
      <c r="AH1" s="20"/>
      <c r="AI1" s="20"/>
      <c r="AJ1" s="20"/>
      <c r="AK1" s="20"/>
      <c r="AL1" s="20"/>
      <c r="AM1" s="36"/>
    </row>
    <row r="2" s="52" customFormat="true" ht="16.5" hidden="false" customHeight="true" outlineLevel="0" collapsed="false">
      <c r="A2" s="45"/>
      <c r="B2" s="46" t="s">
        <v>39</v>
      </c>
      <c r="E2" s="45"/>
      <c r="F2" s="47"/>
      <c r="G2" s="49"/>
      <c r="H2" s="50"/>
      <c r="I2" s="51"/>
      <c r="J2" s="46" t="s">
        <v>40</v>
      </c>
      <c r="K2" s="47"/>
      <c r="L2" s="48"/>
      <c r="M2" s="53"/>
      <c r="N2" s="48"/>
      <c r="O2" s="53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55"/>
      <c r="AD2" s="56"/>
      <c r="AE2" s="56"/>
      <c r="AF2" s="57"/>
      <c r="AG2" s="59"/>
      <c r="AH2" s="45"/>
      <c r="AI2" s="45"/>
      <c r="AJ2" s="45"/>
      <c r="AK2" s="45"/>
      <c r="AL2" s="45"/>
      <c r="AM2" s="60"/>
    </row>
    <row r="3" s="52" customFormat="true" ht="16.5" hidden="false" customHeight="true" outlineLevel="0" collapsed="false">
      <c r="A3" s="45"/>
      <c r="B3" s="52" t="s">
        <v>3300</v>
      </c>
      <c r="E3" s="45"/>
      <c r="F3" s="47"/>
      <c r="G3" s="49"/>
      <c r="H3" s="50"/>
      <c r="I3" s="51"/>
      <c r="J3" s="52" t="s">
        <v>42</v>
      </c>
      <c r="K3" s="47"/>
      <c r="L3" s="48"/>
      <c r="M3" s="53"/>
      <c r="N3" s="48"/>
      <c r="O3" s="53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55"/>
      <c r="AD3" s="56"/>
      <c r="AE3" s="56"/>
      <c r="AF3" s="57"/>
      <c r="AG3" s="59"/>
      <c r="AH3" s="45"/>
      <c r="AI3" s="45"/>
      <c r="AJ3" s="45"/>
      <c r="AK3" s="45"/>
      <c r="AL3" s="45"/>
      <c r="AM3" s="60"/>
    </row>
    <row r="4" s="52" customFormat="true" ht="16.5" hidden="false" customHeight="true" outlineLevel="0" collapsed="false">
      <c r="A4" s="45"/>
      <c r="B4" s="52" t="s">
        <v>3301</v>
      </c>
      <c r="E4" s="45"/>
      <c r="F4" s="47"/>
      <c r="G4" s="49"/>
      <c r="H4" s="50"/>
      <c r="I4" s="51"/>
      <c r="J4" s="52" t="s">
        <v>43</v>
      </c>
      <c r="K4" s="47"/>
      <c r="L4" s="48"/>
      <c r="M4" s="53"/>
      <c r="N4" s="48"/>
      <c r="O4" s="53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55"/>
      <c r="AD4" s="56"/>
      <c r="AE4" s="56"/>
      <c r="AF4" s="57"/>
      <c r="AG4" s="59"/>
      <c r="AH4" s="45"/>
      <c r="AI4" s="45"/>
      <c r="AJ4" s="45"/>
      <c r="AK4" s="45"/>
      <c r="AL4" s="45"/>
      <c r="AM4" s="60"/>
    </row>
    <row r="5" s="38" customFormat="true" ht="16.5" hidden="false" customHeight="true" outlineLevel="0" collapsed="false">
      <c r="A5" s="20"/>
      <c r="E5" s="20"/>
      <c r="F5" s="21"/>
      <c r="G5" s="22"/>
      <c r="H5" s="23"/>
      <c r="I5" s="24"/>
      <c r="J5" s="25"/>
      <c r="K5" s="21"/>
      <c r="L5" s="28"/>
      <c r="M5" s="27"/>
      <c r="N5" s="28"/>
      <c r="O5" s="27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40"/>
      <c r="AD5" s="41"/>
      <c r="AE5" s="41"/>
      <c r="AF5" s="42"/>
      <c r="AG5" s="44"/>
      <c r="AH5" s="20"/>
      <c r="AI5" s="20"/>
      <c r="AJ5" s="20"/>
      <c r="AK5" s="20"/>
      <c r="AL5" s="20"/>
      <c r="AM5" s="36"/>
    </row>
    <row r="6" s="62" customFormat="true" ht="16.5" hidden="false" customHeight="true" outlineLevel="0" collapsed="false">
      <c r="A6" s="63" t="s">
        <v>55</v>
      </c>
      <c r="B6" s="948" t="s">
        <v>56</v>
      </c>
      <c r="C6" s="63" t="s">
        <v>44</v>
      </c>
      <c r="D6" s="63"/>
      <c r="E6" s="63"/>
      <c r="F6" s="63"/>
      <c r="G6" s="63"/>
      <c r="H6" s="63"/>
      <c r="I6" s="64" t="s">
        <v>3302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949"/>
      <c r="U6" s="949"/>
      <c r="V6" s="950"/>
      <c r="W6" s="950"/>
      <c r="X6" s="950"/>
      <c r="Y6" s="950"/>
      <c r="Z6" s="950"/>
      <c r="AA6" s="950"/>
      <c r="AB6" s="951"/>
      <c r="AC6" s="260"/>
      <c r="AD6" s="952" t="s">
        <v>84</v>
      </c>
      <c r="AE6" s="952"/>
      <c r="AF6" s="952"/>
      <c r="AG6" s="63" t="s">
        <v>3303</v>
      </c>
      <c r="AH6" s="63"/>
      <c r="AI6" s="19"/>
      <c r="AJ6" s="19"/>
      <c r="AK6" s="19"/>
      <c r="AL6" s="19"/>
      <c r="AM6" s="159"/>
    </row>
    <row r="7" s="62" customFormat="true" ht="16.5" hidden="false" customHeight="true" outlineLevel="0" collapsed="false">
      <c r="A7" s="63"/>
      <c r="B7" s="948"/>
      <c r="C7" s="953" t="s">
        <v>61</v>
      </c>
      <c r="D7" s="953" t="s">
        <v>62</v>
      </c>
      <c r="E7" s="70" t="s">
        <v>49</v>
      </c>
      <c r="F7" s="70"/>
      <c r="G7" s="954" t="s">
        <v>65</v>
      </c>
      <c r="H7" s="955" t="s">
        <v>66</v>
      </c>
      <c r="I7" s="64" t="s">
        <v>50</v>
      </c>
      <c r="J7" s="64"/>
      <c r="K7" s="73" t="s">
        <v>51</v>
      </c>
      <c r="L7" s="73"/>
      <c r="M7" s="73"/>
      <c r="N7" s="73"/>
      <c r="O7" s="73"/>
      <c r="P7" s="73"/>
      <c r="Q7" s="64" t="s">
        <v>52</v>
      </c>
      <c r="R7" s="64"/>
      <c r="S7" s="64"/>
      <c r="T7" s="64" t="s">
        <v>77</v>
      </c>
      <c r="U7" s="949"/>
      <c r="V7" s="949"/>
      <c r="W7" s="949"/>
      <c r="X7" s="949"/>
      <c r="Y7" s="949"/>
      <c r="Z7" s="949"/>
      <c r="AA7" s="956" t="s">
        <v>3304</v>
      </c>
      <c r="AB7" s="956"/>
      <c r="AC7" s="260"/>
      <c r="AD7" s="957" t="s">
        <v>77</v>
      </c>
      <c r="AE7" s="957" t="s">
        <v>83</v>
      </c>
      <c r="AF7" s="958" t="s">
        <v>2132</v>
      </c>
      <c r="AG7" s="959" t="s">
        <v>86</v>
      </c>
      <c r="AH7" s="953" t="s">
        <v>87</v>
      </c>
      <c r="AI7" s="19"/>
      <c r="AJ7" s="19"/>
      <c r="AK7" s="19"/>
      <c r="AL7" s="19"/>
      <c r="AM7" s="159"/>
    </row>
    <row r="8" s="83" customFormat="true" ht="17.25" hidden="false" customHeight="true" outlineLevel="0" collapsed="false">
      <c r="A8" s="63"/>
      <c r="B8" s="948"/>
      <c r="C8" s="953"/>
      <c r="D8" s="953"/>
      <c r="E8" s="84" t="s">
        <v>63</v>
      </c>
      <c r="F8" s="85" t="s">
        <v>64</v>
      </c>
      <c r="G8" s="954"/>
      <c r="H8" s="954"/>
      <c r="I8" s="86" t="s">
        <v>67</v>
      </c>
      <c r="J8" s="87" t="s">
        <v>68</v>
      </c>
      <c r="K8" s="92" t="s">
        <v>71</v>
      </c>
      <c r="L8" s="92"/>
      <c r="M8" s="91" t="s">
        <v>72</v>
      </c>
      <c r="N8" s="91"/>
      <c r="O8" s="91" t="s">
        <v>73</v>
      </c>
      <c r="P8" s="91"/>
      <c r="Q8" s="91" t="s">
        <v>74</v>
      </c>
      <c r="R8" s="91" t="s">
        <v>75</v>
      </c>
      <c r="S8" s="91" t="s">
        <v>76</v>
      </c>
      <c r="T8" s="92"/>
      <c r="U8" s="92"/>
      <c r="V8" s="91" t="s">
        <v>78</v>
      </c>
      <c r="W8" s="92"/>
      <c r="X8" s="92"/>
      <c r="Y8" s="92" t="s">
        <v>79</v>
      </c>
      <c r="Z8" s="92"/>
      <c r="AA8" s="91" t="s">
        <v>80</v>
      </c>
      <c r="AB8" s="91" t="s">
        <v>81</v>
      </c>
      <c r="AC8" s="960" t="s">
        <v>82</v>
      </c>
      <c r="AD8" s="957"/>
      <c r="AE8" s="957"/>
      <c r="AF8" s="957"/>
      <c r="AG8" s="957"/>
      <c r="AH8" s="957"/>
      <c r="AI8" s="84" t="s">
        <v>57</v>
      </c>
      <c r="AJ8" s="84" t="s">
        <v>58</v>
      </c>
      <c r="AK8" s="84" t="s">
        <v>59</v>
      </c>
      <c r="AL8" s="84" t="s">
        <v>60</v>
      </c>
      <c r="AM8" s="961"/>
    </row>
    <row r="9" s="115" customFormat="true" ht="17.25" hidden="false" customHeight="true" outlineLevel="0" collapsed="false">
      <c r="A9" s="99"/>
      <c r="B9" s="99"/>
      <c r="C9" s="99"/>
      <c r="D9" s="99"/>
      <c r="E9" s="99"/>
      <c r="F9" s="100"/>
      <c r="G9" s="101"/>
      <c r="H9" s="102"/>
      <c r="I9" s="103"/>
      <c r="J9" s="104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962"/>
      <c r="AD9" s="109"/>
      <c r="AE9" s="109"/>
      <c r="AF9" s="963"/>
      <c r="AG9" s="112"/>
      <c r="AH9" s="99"/>
      <c r="AI9" s="99"/>
      <c r="AJ9" s="99"/>
      <c r="AK9" s="99"/>
      <c r="AL9" s="99"/>
      <c r="AM9" s="113"/>
    </row>
    <row r="10" customFormat="false" ht="16.5" hidden="false" customHeight="true" outlineLevel="0" collapsed="false">
      <c r="A10" s="99"/>
      <c r="B10" s="964" t="n">
        <v>42583</v>
      </c>
      <c r="C10" s="965" t="n">
        <v>42583</v>
      </c>
      <c r="D10" s="966" t="n">
        <v>42674</v>
      </c>
      <c r="E10" s="967" t="n">
        <f aca="false">D10-C10</f>
        <v>91</v>
      </c>
      <c r="F10" s="100" t="n">
        <f aca="false">TRUNC(E10/30,0)</f>
        <v>3</v>
      </c>
      <c r="G10" s="968"/>
      <c r="H10" s="969" t="n">
        <v>4</v>
      </c>
      <c r="I10" s="103"/>
      <c r="J10" s="104"/>
      <c r="K10" s="100"/>
      <c r="L10" s="970" t="n">
        <v>0.007591</v>
      </c>
      <c r="M10" s="971"/>
      <c r="N10" s="970" t="n">
        <v>0.0084</v>
      </c>
      <c r="O10" s="971"/>
      <c r="P10" s="970"/>
      <c r="Q10" s="970"/>
      <c r="R10" s="970"/>
      <c r="S10" s="970"/>
      <c r="T10" s="156" t="n">
        <v>0.005314</v>
      </c>
      <c r="U10" s="970"/>
      <c r="V10" s="970"/>
      <c r="W10" s="970"/>
      <c r="X10" s="970"/>
      <c r="Y10" s="970"/>
      <c r="Z10" s="970"/>
      <c r="AA10" s="970"/>
      <c r="AB10" s="970"/>
      <c r="AC10" s="972" t="n">
        <v>0.0065</v>
      </c>
      <c r="AD10" s="156" t="n">
        <f aca="false">IF(T10="","",T10)</f>
        <v>0.005314</v>
      </c>
      <c r="AE10" s="156"/>
      <c r="AF10" s="973" t="str">
        <f aca="false">IF(AE10="","",AD10+AE10)</f>
        <v/>
      </c>
      <c r="AG10" s="112"/>
      <c r="AH10" s="99" t="str">
        <f aca="false">IF(AF10="","N","Y")</f>
        <v>N</v>
      </c>
      <c r="AI10" s="70" t="s">
        <v>89</v>
      </c>
      <c r="AJ10" s="70" t="s">
        <v>90</v>
      </c>
      <c r="AK10" s="99"/>
      <c r="AL10" s="70" t="s">
        <v>91</v>
      </c>
      <c r="AN10" s="9"/>
    </row>
    <row r="11" customFormat="false" ht="16.5" hidden="false" customHeight="true" outlineLevel="0" collapsed="false">
      <c r="B11" s="141" t="n">
        <v>42586</v>
      </c>
      <c r="C11" s="142" t="n">
        <v>42586</v>
      </c>
      <c r="D11" s="143" t="n">
        <v>42678</v>
      </c>
      <c r="E11" s="144" t="n">
        <f aca="false">D11-C11</f>
        <v>92</v>
      </c>
      <c r="F11" s="100" t="n">
        <f aca="false">TRUNC(E11/30,0)</f>
        <v>3</v>
      </c>
      <c r="G11" s="145" t="s">
        <v>95</v>
      </c>
      <c r="H11" s="146" t="n">
        <v>2.5</v>
      </c>
      <c r="I11" s="147"/>
      <c r="J11" s="148"/>
      <c r="K11" s="149"/>
      <c r="L11" s="152" t="n">
        <v>0.007776</v>
      </c>
      <c r="M11" s="151"/>
      <c r="N11" s="152" t="n">
        <v>0.0084</v>
      </c>
      <c r="O11" s="151"/>
      <c r="P11" s="152"/>
      <c r="Q11" s="152"/>
      <c r="R11" s="152"/>
      <c r="S11" s="152"/>
      <c r="T11" s="153" t="n">
        <v>0.005495</v>
      </c>
      <c r="U11" s="152"/>
      <c r="V11" s="152"/>
      <c r="W11" s="152"/>
      <c r="X11" s="152"/>
      <c r="Y11" s="152"/>
      <c r="Z11" s="152"/>
      <c r="AA11" s="152"/>
      <c r="AB11" s="152"/>
      <c r="AC11" s="260" t="n">
        <v>0.0065</v>
      </c>
      <c r="AD11" s="156" t="n">
        <f aca="false">IF(T11="","",T11)</f>
        <v>0.005495</v>
      </c>
      <c r="AE11" s="153" t="n">
        <v>0.001505</v>
      </c>
      <c r="AF11" s="973" t="n">
        <f aca="false">IF(AE11="","",AD11+AE11)</f>
        <v>0.007</v>
      </c>
      <c r="AH11" s="19" t="str">
        <f aca="false">IF(AF11="","N","Y")</f>
        <v>Y</v>
      </c>
      <c r="AI11" s="63" t="s">
        <v>92</v>
      </c>
      <c r="AJ11" s="63" t="s">
        <v>93</v>
      </c>
      <c r="AK11" s="19"/>
      <c r="AL11" s="63" t="s">
        <v>94</v>
      </c>
      <c r="AN11" s="9"/>
    </row>
    <row r="12" customFormat="false" ht="16.5" hidden="false" customHeight="true" outlineLevel="0" collapsed="false">
      <c r="B12" s="141" t="n">
        <v>42587</v>
      </c>
      <c r="C12" s="142" t="n">
        <v>42587</v>
      </c>
      <c r="D12" s="143" t="n">
        <v>42618</v>
      </c>
      <c r="E12" s="144" t="n">
        <f aca="false">D12-C12</f>
        <v>31</v>
      </c>
      <c r="F12" s="100" t="n">
        <f aca="false">TRUNC(E12/30,0)</f>
        <v>1</v>
      </c>
      <c r="G12" s="974" t="s">
        <v>99</v>
      </c>
      <c r="H12" s="146" t="n">
        <v>50</v>
      </c>
      <c r="I12" s="147"/>
      <c r="J12" s="148"/>
      <c r="K12" s="149"/>
      <c r="L12" s="152" t="n">
        <v>0.005039</v>
      </c>
      <c r="M12" s="151"/>
      <c r="N12" s="152" t="n">
        <v>0.0055</v>
      </c>
      <c r="O12" s="151"/>
      <c r="P12" s="152"/>
      <c r="Q12" s="152"/>
      <c r="R12" s="152"/>
      <c r="S12" s="152"/>
      <c r="T12" s="153" t="n">
        <v>0.002359</v>
      </c>
      <c r="U12" s="152"/>
      <c r="V12" s="152"/>
      <c r="W12" s="152"/>
      <c r="X12" s="152"/>
      <c r="Y12" s="152"/>
      <c r="Z12" s="152"/>
      <c r="AA12" s="152"/>
      <c r="AB12" s="152"/>
      <c r="AC12" s="260" t="n">
        <v>0.0043</v>
      </c>
      <c r="AD12" s="156" t="n">
        <f aca="false">IF(T12="","",T12)</f>
        <v>0.002359</v>
      </c>
      <c r="AE12" s="153"/>
      <c r="AF12" s="973" t="str">
        <f aca="false">IF(AE12="","",AD12+AE12)</f>
        <v/>
      </c>
      <c r="AH12" s="19" t="str">
        <f aca="false">IF(AF12="","N","Y")</f>
        <v>N</v>
      </c>
      <c r="AI12" s="63" t="s">
        <v>96</v>
      </c>
      <c r="AJ12" s="63" t="s">
        <v>97</v>
      </c>
      <c r="AK12" s="19"/>
      <c r="AL12" s="63" t="s">
        <v>98</v>
      </c>
    </row>
    <row r="13" customFormat="false" ht="16.5" hidden="false" customHeight="true" outlineLevel="0" collapsed="false">
      <c r="B13" s="141" t="n">
        <v>42590</v>
      </c>
      <c r="C13" s="142" t="n">
        <v>42590</v>
      </c>
      <c r="D13" s="143" t="n">
        <v>42654</v>
      </c>
      <c r="E13" s="144" t="n">
        <f aca="false">D13-C13</f>
        <v>64</v>
      </c>
      <c r="F13" s="100" t="n">
        <f aca="false">TRUNC(E13/30,0)</f>
        <v>2</v>
      </c>
      <c r="G13" s="179" t="s">
        <v>95</v>
      </c>
      <c r="H13" s="146" t="n">
        <v>55</v>
      </c>
      <c r="I13" s="147"/>
      <c r="J13" s="148"/>
      <c r="K13" s="149"/>
      <c r="L13" s="152" t="n">
        <v>0.006148</v>
      </c>
      <c r="M13" s="151"/>
      <c r="N13" s="152" t="n">
        <f aca="false">AVERAGE(0.0064,0.009,0.007)</f>
        <v>0.00746666666666667</v>
      </c>
      <c r="O13" s="151"/>
      <c r="P13" s="152"/>
      <c r="Q13" s="152"/>
      <c r="R13" s="152"/>
      <c r="S13" s="152"/>
      <c r="T13" s="153" t="n">
        <v>0.003475</v>
      </c>
      <c r="U13" s="152"/>
      <c r="V13" s="152"/>
      <c r="W13" s="152"/>
      <c r="X13" s="152"/>
      <c r="Y13" s="152"/>
      <c r="Z13" s="152"/>
      <c r="AA13" s="152"/>
      <c r="AB13" s="152"/>
      <c r="AC13" s="260" t="n">
        <v>0.0038</v>
      </c>
      <c r="AD13" s="156" t="n">
        <f aca="false">IF(T13="","",T13)</f>
        <v>0.003475</v>
      </c>
      <c r="AE13" s="153"/>
      <c r="AF13" s="973" t="str">
        <f aca="false">IF(AE13="","",AD13+AE13)</f>
        <v/>
      </c>
      <c r="AH13" s="19" t="str">
        <f aca="false">IF(AF13="","N","Y")</f>
        <v>N</v>
      </c>
      <c r="AI13" s="63" t="s">
        <v>100</v>
      </c>
      <c r="AJ13" s="63" t="s">
        <v>101</v>
      </c>
      <c r="AK13" s="19"/>
      <c r="AL13" s="63" t="s">
        <v>102</v>
      </c>
    </row>
    <row r="14" customFormat="false" ht="16.5" hidden="false" customHeight="true" outlineLevel="0" collapsed="false">
      <c r="B14" s="141" t="n">
        <v>42593</v>
      </c>
      <c r="C14" s="142" t="n">
        <v>42593</v>
      </c>
      <c r="D14" s="143" t="n">
        <v>42641</v>
      </c>
      <c r="E14" s="144" t="n">
        <f aca="false">D14-C14</f>
        <v>48</v>
      </c>
      <c r="F14" s="100" t="n">
        <f aca="false">TRUNC(E14/30,0)</f>
        <v>1</v>
      </c>
      <c r="G14" s="179" t="s">
        <v>95</v>
      </c>
      <c r="H14" s="146" t="n">
        <v>28</v>
      </c>
      <c r="I14" s="147"/>
      <c r="J14" s="148"/>
      <c r="K14" s="149"/>
      <c r="L14" s="152" t="n">
        <v>0.0051765</v>
      </c>
      <c r="M14" s="151"/>
      <c r="N14" s="152" t="n">
        <f aca="false">AVERAGE(0.0064,0.0085,0.0058)</f>
        <v>0.0069</v>
      </c>
      <c r="O14" s="151"/>
      <c r="P14" s="152"/>
      <c r="Q14" s="152"/>
      <c r="R14" s="152"/>
      <c r="S14" s="152"/>
      <c r="T14" s="153" t="n">
        <v>0.002547</v>
      </c>
      <c r="U14" s="152"/>
      <c r="V14" s="152"/>
      <c r="W14" s="152"/>
      <c r="X14" s="152"/>
      <c r="Y14" s="152"/>
      <c r="Z14" s="152"/>
      <c r="AA14" s="152"/>
      <c r="AB14" s="152"/>
      <c r="AC14" s="260" t="n">
        <v>0.0035</v>
      </c>
      <c r="AD14" s="156" t="n">
        <f aca="false">IF(T14="","",T14)</f>
        <v>0.002547</v>
      </c>
      <c r="AE14" s="153"/>
      <c r="AF14" s="973" t="str">
        <f aca="false">IF(AE14="","",AD14+AE14)</f>
        <v/>
      </c>
      <c r="AH14" s="19" t="str">
        <f aca="false">IF(AF14="","N","Y")</f>
        <v>N</v>
      </c>
      <c r="AI14" s="63" t="s">
        <v>100</v>
      </c>
      <c r="AJ14" s="63" t="s">
        <v>101</v>
      </c>
      <c r="AK14" s="19"/>
      <c r="AL14" s="63" t="s">
        <v>102</v>
      </c>
    </row>
    <row r="15" customFormat="false" ht="16.5" hidden="false" customHeight="true" outlineLevel="0" collapsed="false">
      <c r="B15" s="141" t="n">
        <v>42606</v>
      </c>
      <c r="C15" s="142" t="n">
        <v>42606</v>
      </c>
      <c r="D15" s="143" t="n">
        <v>42639</v>
      </c>
      <c r="E15" s="144" t="n">
        <f aca="false">D15-C15</f>
        <v>33</v>
      </c>
      <c r="F15" s="100" t="n">
        <f aca="false">TRUNC(E15/30,0)</f>
        <v>1</v>
      </c>
      <c r="G15" s="179" t="s">
        <v>95</v>
      </c>
      <c r="H15" s="146" t="n">
        <v>60</v>
      </c>
      <c r="I15" s="147"/>
      <c r="J15" s="148"/>
      <c r="K15" s="149"/>
      <c r="L15" s="152" t="n">
        <v>0.0052439</v>
      </c>
      <c r="M15" s="151"/>
      <c r="N15" s="152" t="n">
        <f aca="false">AVERAGE(0.0076,0.008,0.0058)</f>
        <v>0.00713333333333333</v>
      </c>
      <c r="O15" s="151"/>
      <c r="P15" s="152"/>
      <c r="Q15" s="152"/>
      <c r="R15" s="152"/>
      <c r="S15" s="152"/>
      <c r="T15" s="153" t="n">
        <v>0.002614</v>
      </c>
      <c r="U15" s="152"/>
      <c r="V15" s="152"/>
      <c r="W15" s="152"/>
      <c r="X15" s="152"/>
      <c r="Y15" s="152"/>
      <c r="Z15" s="152"/>
      <c r="AA15" s="152"/>
      <c r="AB15" s="152"/>
      <c r="AC15" s="260" t="n">
        <v>0.004</v>
      </c>
      <c r="AD15" s="156" t="n">
        <f aca="false">IF(T15="","",T15)</f>
        <v>0.002614</v>
      </c>
      <c r="AE15" s="153" t="n">
        <v>0.001386</v>
      </c>
      <c r="AF15" s="973" t="n">
        <f aca="false">IF(AE15="","",AD15+AE15)</f>
        <v>0.004</v>
      </c>
      <c r="AH15" s="19" t="str">
        <f aca="false">IF(AF15="","N","Y")</f>
        <v>Y</v>
      </c>
      <c r="AI15" s="63" t="s">
        <v>100</v>
      </c>
      <c r="AJ15" s="63" t="s">
        <v>101</v>
      </c>
      <c r="AK15" s="19"/>
      <c r="AL15" s="63" t="s">
        <v>102</v>
      </c>
    </row>
    <row r="16" customFormat="false" ht="16.5" hidden="false" customHeight="true" outlineLevel="0" collapsed="false">
      <c r="B16" s="141" t="n">
        <v>42612</v>
      </c>
      <c r="C16" s="142" t="n">
        <v>42612</v>
      </c>
      <c r="D16" s="143" t="n">
        <v>42643</v>
      </c>
      <c r="E16" s="19" t="n">
        <f aca="false">D16-C16</f>
        <v>31</v>
      </c>
      <c r="F16" s="100" t="n">
        <f aca="false">TRUNC(E16/30,0)</f>
        <v>1</v>
      </c>
      <c r="G16" s="974" t="s">
        <v>99</v>
      </c>
      <c r="H16" s="146" t="n">
        <v>50</v>
      </c>
      <c r="I16" s="147"/>
      <c r="J16" s="148"/>
      <c r="K16" s="149"/>
      <c r="L16" s="152" t="n">
        <v>0.0052439</v>
      </c>
      <c r="M16" s="151"/>
      <c r="N16" s="152" t="n">
        <f aca="false">AVERAGE(0.007,0.0051,0.0058)</f>
        <v>0.00596666666666667</v>
      </c>
      <c r="O16" s="151"/>
      <c r="P16" s="152"/>
      <c r="Q16" s="152"/>
      <c r="R16" s="152"/>
      <c r="S16" s="152"/>
      <c r="T16" s="153" t="n">
        <v>0.000852</v>
      </c>
      <c r="U16" s="152"/>
      <c r="V16" s="152"/>
      <c r="W16" s="152"/>
      <c r="X16" s="152"/>
      <c r="Y16" s="152"/>
      <c r="Z16" s="152"/>
      <c r="AA16" s="152"/>
      <c r="AB16" s="152"/>
      <c r="AC16" s="260" t="n">
        <v>0.0045</v>
      </c>
      <c r="AD16" s="156" t="n">
        <f aca="false">IF(T16="","",T16)</f>
        <v>0.000852</v>
      </c>
      <c r="AE16" s="153"/>
      <c r="AF16" s="973" t="str">
        <f aca="false">IF(AE16="","",AD16+AE16)</f>
        <v/>
      </c>
      <c r="AH16" s="19" t="str">
        <f aca="false">IF(AF16="","N","Y")</f>
        <v>N</v>
      </c>
      <c r="AI16" s="63" t="s">
        <v>96</v>
      </c>
      <c r="AJ16" s="63" t="s">
        <v>97</v>
      </c>
      <c r="AK16" s="19"/>
      <c r="AL16" s="63" t="s">
        <v>98</v>
      </c>
    </row>
    <row r="17" customFormat="false" ht="16.5" hidden="false" customHeight="true" outlineLevel="0" collapsed="false">
      <c r="B17" s="141" t="n">
        <v>42612</v>
      </c>
      <c r="C17" s="142" t="n">
        <v>42612</v>
      </c>
      <c r="D17" s="143" t="n">
        <v>42661</v>
      </c>
      <c r="E17" s="19" t="n">
        <f aca="false">D17-C17</f>
        <v>49</v>
      </c>
      <c r="F17" s="100" t="n">
        <f aca="false">TRUNC(E17/30,0)</f>
        <v>1</v>
      </c>
      <c r="G17" s="179" t="s">
        <v>95</v>
      </c>
      <c r="H17" s="146" t="n">
        <v>40</v>
      </c>
      <c r="I17" s="147"/>
      <c r="J17" s="148"/>
      <c r="K17" s="149"/>
      <c r="L17" s="152" t="n">
        <v>0.0052439</v>
      </c>
      <c r="M17" s="151"/>
      <c r="N17" s="152" t="n">
        <f aca="false">AVERAGE(0.007,0.0051,0.0058)</f>
        <v>0.00596666666666667</v>
      </c>
      <c r="O17" s="151"/>
      <c r="P17" s="152"/>
      <c r="Q17" s="152"/>
      <c r="R17" s="152"/>
      <c r="S17" s="152"/>
      <c r="T17" s="153" t="n">
        <v>0.002614</v>
      </c>
      <c r="U17" s="152"/>
      <c r="V17" s="152"/>
      <c r="W17" s="152"/>
      <c r="X17" s="152"/>
      <c r="Y17" s="152"/>
      <c r="Z17" s="152"/>
      <c r="AA17" s="152"/>
      <c r="AB17" s="152"/>
      <c r="AC17" s="260" t="n">
        <v>0.0036</v>
      </c>
      <c r="AD17" s="156" t="n">
        <f aca="false">IF(T17="","",T17)</f>
        <v>0.002614</v>
      </c>
      <c r="AE17" s="153"/>
      <c r="AF17" s="973" t="str">
        <f aca="false">IF(AE17="","",AD17+AE17)</f>
        <v/>
      </c>
      <c r="AH17" s="19" t="str">
        <f aca="false">IF(AF17="","N","Y")</f>
        <v>N</v>
      </c>
      <c r="AI17" s="63" t="s">
        <v>100</v>
      </c>
      <c r="AJ17" s="63" t="s">
        <v>101</v>
      </c>
      <c r="AK17" s="19"/>
      <c r="AL17" s="63" t="s">
        <v>102</v>
      </c>
    </row>
    <row r="18" customFormat="false" ht="16.5" hidden="false" customHeight="true" outlineLevel="0" collapsed="false">
      <c r="B18" s="141" t="n">
        <v>42618</v>
      </c>
      <c r="C18" s="142" t="n">
        <v>42618</v>
      </c>
      <c r="D18" s="143" t="n">
        <v>42648</v>
      </c>
      <c r="E18" s="19" t="n">
        <f aca="false">D18-C18</f>
        <v>30</v>
      </c>
      <c r="F18" s="100" t="n">
        <f aca="false">TRUNC(E18/30,0)</f>
        <v>1</v>
      </c>
      <c r="G18" s="974" t="s">
        <v>99</v>
      </c>
      <c r="H18" s="146" t="n">
        <v>50</v>
      </c>
      <c r="I18" s="147"/>
      <c r="J18" s="148"/>
      <c r="K18" s="149"/>
      <c r="L18" s="152" t="n">
        <v>0.0052572</v>
      </c>
      <c r="M18" s="151"/>
      <c r="N18" s="152" t="n">
        <v>0.0046</v>
      </c>
      <c r="O18" s="151"/>
      <c r="P18" s="152"/>
      <c r="Q18" s="152"/>
      <c r="R18" s="152"/>
      <c r="S18" s="152"/>
      <c r="T18" s="153" t="n">
        <v>0.000857</v>
      </c>
      <c r="U18" s="152"/>
      <c r="V18" s="152"/>
      <c r="W18" s="152"/>
      <c r="X18" s="152"/>
      <c r="Y18" s="152"/>
      <c r="Z18" s="152"/>
      <c r="AA18" s="152"/>
      <c r="AB18" s="152"/>
      <c r="AC18" s="260" t="n">
        <v>0.004</v>
      </c>
      <c r="AD18" s="156" t="n">
        <f aca="false">IF(T18="","",T18)</f>
        <v>0.000857</v>
      </c>
      <c r="AE18" s="153"/>
      <c r="AF18" s="973" t="str">
        <f aca="false">IF(AE18="","",AD18+AE18)</f>
        <v/>
      </c>
      <c r="AH18" s="19" t="str">
        <f aca="false">IF(AF18="","N","Y")</f>
        <v>N</v>
      </c>
      <c r="AI18" s="63" t="s">
        <v>103</v>
      </c>
      <c r="AJ18" s="63" t="s">
        <v>104</v>
      </c>
      <c r="AK18" s="19"/>
      <c r="AL18" s="63" t="s">
        <v>105</v>
      </c>
    </row>
    <row r="19" customFormat="false" ht="16.5" hidden="false" customHeight="true" outlineLevel="0" collapsed="false">
      <c r="B19" s="141" t="n">
        <v>42620</v>
      </c>
      <c r="C19" s="142" t="n">
        <v>42620</v>
      </c>
      <c r="D19" s="143" t="n">
        <v>42670</v>
      </c>
      <c r="E19" s="19" t="n">
        <f aca="false">D19-C19</f>
        <v>50</v>
      </c>
      <c r="F19" s="100" t="n">
        <f aca="false">TRUNC(E19/30,0)</f>
        <v>1</v>
      </c>
      <c r="G19" s="183" t="s">
        <v>95</v>
      </c>
      <c r="H19" s="146" t="n">
        <v>90</v>
      </c>
      <c r="I19" s="147"/>
      <c r="J19" s="148"/>
      <c r="K19" s="149"/>
      <c r="L19" s="152" t="n">
        <v>0.0051656</v>
      </c>
      <c r="M19" s="151"/>
      <c r="N19" s="152" t="n">
        <v>0.005</v>
      </c>
      <c r="O19" s="151"/>
      <c r="P19" s="152"/>
      <c r="Q19" s="152"/>
      <c r="R19" s="152"/>
      <c r="S19" s="152"/>
      <c r="T19" s="153" t="n">
        <v>0.002573</v>
      </c>
      <c r="U19" s="152"/>
      <c r="V19" s="152"/>
      <c r="W19" s="152"/>
      <c r="X19" s="152"/>
      <c r="Y19" s="152"/>
      <c r="Z19" s="152"/>
      <c r="AA19" s="152"/>
      <c r="AB19" s="152"/>
      <c r="AC19" s="260" t="n">
        <v>0.0035</v>
      </c>
      <c r="AD19" s="156" t="n">
        <f aca="false">IF(T19="","",T19)</f>
        <v>0.002573</v>
      </c>
      <c r="AE19" s="153"/>
      <c r="AF19" s="973" t="str">
        <f aca="false">IF(AE19="","",AD19+AE19)</f>
        <v/>
      </c>
      <c r="AH19" s="19" t="str">
        <f aca="false">IF(AF19="","N","Y")</f>
        <v>N</v>
      </c>
      <c r="AI19" s="63" t="s">
        <v>100</v>
      </c>
      <c r="AJ19" s="63" t="s">
        <v>106</v>
      </c>
      <c r="AK19" s="19"/>
      <c r="AL19" s="63" t="s">
        <v>102</v>
      </c>
    </row>
    <row r="20" customFormat="false" ht="16.5" hidden="false" customHeight="true" outlineLevel="0" collapsed="false">
      <c r="B20" s="141" t="n">
        <v>42620</v>
      </c>
      <c r="C20" s="142" t="n">
        <v>42620</v>
      </c>
      <c r="D20" s="143" t="n">
        <v>42985</v>
      </c>
      <c r="E20" s="19" t="n">
        <f aca="false">D20-C20</f>
        <v>365</v>
      </c>
      <c r="F20" s="100" t="n">
        <f aca="false">TRUNC(E20/30,0)</f>
        <v>12</v>
      </c>
      <c r="G20" s="183" t="s">
        <v>95</v>
      </c>
      <c r="H20" s="146" t="n">
        <v>2</v>
      </c>
      <c r="I20" s="147"/>
      <c r="J20" s="148"/>
      <c r="K20" s="149"/>
      <c r="L20" s="152" t="n">
        <v>0.009825</v>
      </c>
      <c r="M20" s="151"/>
      <c r="N20" s="152" t="n">
        <f aca="false">AVERAGE(0.0145,0.015,0.013)</f>
        <v>0.0141666666666667</v>
      </c>
      <c r="O20" s="151"/>
      <c r="P20" s="152"/>
      <c r="Q20" s="152"/>
      <c r="R20" s="152"/>
      <c r="S20" s="152"/>
      <c r="T20" s="153" t="n">
        <v>0.009825</v>
      </c>
      <c r="U20" s="152"/>
      <c r="V20" s="152"/>
      <c r="W20" s="152"/>
      <c r="X20" s="152"/>
      <c r="Y20" s="152"/>
      <c r="Z20" s="152"/>
      <c r="AA20" s="152"/>
      <c r="AB20" s="152"/>
      <c r="AC20" s="260" t="n">
        <v>0.0115</v>
      </c>
      <c r="AD20" s="156" t="n">
        <f aca="false">IF(T20="","",T20)</f>
        <v>0.009825</v>
      </c>
      <c r="AE20" s="153"/>
      <c r="AF20" s="973" t="str">
        <f aca="false">IF(AE20="","",AD20+AE20)</f>
        <v/>
      </c>
      <c r="AH20" s="19" t="str">
        <f aca="false">IF(AF20="","N","Y")</f>
        <v>N</v>
      </c>
      <c r="AI20" s="63" t="s">
        <v>107</v>
      </c>
      <c r="AJ20" s="63" t="s">
        <v>108</v>
      </c>
      <c r="AK20" s="19"/>
      <c r="AL20" s="63" t="s">
        <v>109</v>
      </c>
    </row>
    <row r="21" customFormat="false" ht="16.5" hidden="false" customHeight="true" outlineLevel="0" collapsed="false">
      <c r="B21" s="141" t="n">
        <v>42622</v>
      </c>
      <c r="C21" s="142" t="n">
        <v>42622</v>
      </c>
      <c r="D21" s="143" t="n">
        <v>42652</v>
      </c>
      <c r="E21" s="19" t="n">
        <f aca="false">D21-C21</f>
        <v>30</v>
      </c>
      <c r="F21" s="100" t="n">
        <f aca="false">TRUNC(E21/30,0)</f>
        <v>1</v>
      </c>
      <c r="G21" s="189" t="s">
        <v>99</v>
      </c>
      <c r="H21" s="146" t="n">
        <v>0</v>
      </c>
      <c r="I21" s="147"/>
      <c r="J21" s="148"/>
      <c r="K21" s="149"/>
      <c r="L21" s="152" t="n">
        <v>0.0042211</v>
      </c>
      <c r="M21" s="151"/>
      <c r="N21" s="152" t="n">
        <f aca="false">AVERAGE(0.0045,0.0046,0.0047)</f>
        <v>0.0046</v>
      </c>
      <c r="O21" s="151"/>
      <c r="P21" s="152"/>
      <c r="Q21" s="152"/>
      <c r="R21" s="152"/>
      <c r="S21" s="152"/>
      <c r="T21" s="153" t="n">
        <v>0.000878</v>
      </c>
      <c r="U21" s="152"/>
      <c r="V21" s="152"/>
      <c r="W21" s="152"/>
      <c r="X21" s="152"/>
      <c r="Y21" s="152"/>
      <c r="Z21" s="152"/>
      <c r="AA21" s="152"/>
      <c r="AB21" s="152"/>
      <c r="AC21" s="260" t="n">
        <v>0.0025</v>
      </c>
      <c r="AD21" s="156" t="n">
        <f aca="false">IF(T21="","",T21)</f>
        <v>0.000878</v>
      </c>
      <c r="AE21" s="153"/>
      <c r="AF21" s="973" t="str">
        <f aca="false">IF(AE21="","",AD21+AE21)</f>
        <v/>
      </c>
      <c r="AH21" s="19" t="str">
        <f aca="false">IF(AF21="","N","Y")</f>
        <v>N</v>
      </c>
      <c r="AI21" s="63" t="s">
        <v>100</v>
      </c>
      <c r="AJ21" s="63" t="s">
        <v>101</v>
      </c>
      <c r="AK21" s="19"/>
      <c r="AL21" s="63" t="s">
        <v>102</v>
      </c>
    </row>
    <row r="22" customFormat="false" ht="16.5" hidden="false" customHeight="true" outlineLevel="0" collapsed="false">
      <c r="B22" s="141" t="n">
        <v>42622</v>
      </c>
      <c r="C22" s="142" t="n">
        <v>42622</v>
      </c>
      <c r="D22" s="143" t="n">
        <v>42652</v>
      </c>
      <c r="E22" s="19" t="n">
        <f aca="false">D22-C22</f>
        <v>30</v>
      </c>
      <c r="F22" s="100" t="n">
        <f aca="false">TRUNC(E22/30,0)</f>
        <v>1</v>
      </c>
      <c r="G22" s="183" t="s">
        <v>95</v>
      </c>
      <c r="H22" s="146" t="n">
        <v>0</v>
      </c>
      <c r="I22" s="147"/>
      <c r="J22" s="148"/>
      <c r="K22" s="149"/>
      <c r="L22" s="152" t="n">
        <v>0.0051822</v>
      </c>
      <c r="M22" s="151"/>
      <c r="N22" s="152" t="n">
        <f aca="false">AVERAGE(0.007,0.0075)</f>
        <v>0.00725</v>
      </c>
      <c r="O22" s="151"/>
      <c r="P22" s="152"/>
      <c r="Q22" s="152"/>
      <c r="R22" s="152"/>
      <c r="S22" s="152"/>
      <c r="T22" s="153" t="n">
        <v>0.002553</v>
      </c>
      <c r="U22" s="152"/>
      <c r="V22" s="152"/>
      <c r="W22" s="152"/>
      <c r="X22" s="152"/>
      <c r="Y22" s="152"/>
      <c r="Z22" s="152"/>
      <c r="AA22" s="152"/>
      <c r="AB22" s="152"/>
      <c r="AC22" s="260" t="n">
        <v>0.0035</v>
      </c>
      <c r="AD22" s="156" t="n">
        <f aca="false">IF(T22="","",T22)</f>
        <v>0.002553</v>
      </c>
      <c r="AE22" s="153"/>
      <c r="AF22" s="973" t="str">
        <f aca="false">IF(AE22="","",AD22+AE22)</f>
        <v/>
      </c>
      <c r="AH22" s="19" t="str">
        <f aca="false">IF(AF22="","N","Y")</f>
        <v>N</v>
      </c>
      <c r="AI22" s="63" t="s">
        <v>110</v>
      </c>
      <c r="AJ22" s="63" t="s">
        <v>110</v>
      </c>
      <c r="AK22" s="63"/>
      <c r="AL22" s="63" t="s">
        <v>110</v>
      </c>
    </row>
    <row r="23" customFormat="false" ht="16.5" hidden="false" customHeight="true" outlineLevel="0" collapsed="false">
      <c r="B23" s="141" t="n">
        <v>42622</v>
      </c>
      <c r="C23" s="142" t="n">
        <v>42622</v>
      </c>
      <c r="D23" s="143" t="n">
        <v>42683</v>
      </c>
      <c r="E23" s="19" t="n">
        <f aca="false">D23-C23</f>
        <v>61</v>
      </c>
      <c r="F23" s="100" t="n">
        <f aca="false">TRUNC(E23/30,0)</f>
        <v>2</v>
      </c>
      <c r="G23" s="183" t="s">
        <v>95</v>
      </c>
      <c r="H23" s="146" t="n">
        <v>0</v>
      </c>
      <c r="I23" s="147"/>
      <c r="J23" s="148"/>
      <c r="K23" s="149"/>
      <c r="L23" s="152" t="n">
        <v>0.0066467</v>
      </c>
      <c r="M23" s="151"/>
      <c r="N23" s="152" t="n">
        <f aca="false">AVERAGE(0.0077,0.0082)</f>
        <v>0.00795</v>
      </c>
      <c r="O23" s="151"/>
      <c r="P23" s="152"/>
      <c r="Q23" s="152"/>
      <c r="R23" s="152"/>
      <c r="S23" s="152"/>
      <c r="T23" s="153" t="n">
        <v>0.003988</v>
      </c>
      <c r="U23" s="152"/>
      <c r="V23" s="152"/>
      <c r="W23" s="152"/>
      <c r="X23" s="152"/>
      <c r="Y23" s="152"/>
      <c r="Z23" s="152"/>
      <c r="AA23" s="152"/>
      <c r="AB23" s="152"/>
      <c r="AC23" s="260" t="n">
        <v>0.0045</v>
      </c>
      <c r="AD23" s="156" t="n">
        <f aca="false">IF(T23="","",T23)</f>
        <v>0.003988</v>
      </c>
      <c r="AE23" s="153"/>
      <c r="AF23" s="973" t="str">
        <f aca="false">IF(AE23="","",AD23+AE23)</f>
        <v/>
      </c>
      <c r="AH23" s="19" t="str">
        <f aca="false">IF(AF23="","N","Y")</f>
        <v>N</v>
      </c>
      <c r="AI23" s="63" t="s">
        <v>110</v>
      </c>
      <c r="AJ23" s="63" t="s">
        <v>110</v>
      </c>
      <c r="AK23" s="63"/>
      <c r="AL23" s="63" t="s">
        <v>110</v>
      </c>
    </row>
    <row r="24" customFormat="false" ht="16.5" hidden="false" customHeight="true" outlineLevel="0" collapsed="false">
      <c r="B24" s="141" t="n">
        <v>42622</v>
      </c>
      <c r="C24" s="142" t="n">
        <v>42622</v>
      </c>
      <c r="D24" s="143" t="n">
        <v>42713</v>
      </c>
      <c r="E24" s="19" t="n">
        <f aca="false">D24-C24</f>
        <v>91</v>
      </c>
      <c r="F24" s="100" t="n">
        <f aca="false">TRUNC(E24/30,0)</f>
        <v>3</v>
      </c>
      <c r="G24" s="183" t="s">
        <v>95</v>
      </c>
      <c r="H24" s="146" t="n">
        <v>0</v>
      </c>
      <c r="I24" s="147"/>
      <c r="J24" s="148"/>
      <c r="K24" s="149"/>
      <c r="L24" s="152" t="n">
        <v>0.0084544</v>
      </c>
      <c r="M24" s="151"/>
      <c r="N24" s="152" t="n">
        <f aca="false">AVERAGE(0.0115,0.0088,0.012)</f>
        <v>0.0107666666666667</v>
      </c>
      <c r="O24" s="151"/>
      <c r="P24" s="152"/>
      <c r="Q24" s="152"/>
      <c r="R24" s="152"/>
      <c r="S24" s="152"/>
      <c r="T24" s="153" t="n">
        <v>0.00616</v>
      </c>
      <c r="U24" s="152"/>
      <c r="V24" s="152"/>
      <c r="W24" s="152"/>
      <c r="X24" s="152"/>
      <c r="Y24" s="152"/>
      <c r="Z24" s="152"/>
      <c r="AA24" s="152"/>
      <c r="AB24" s="152"/>
      <c r="AC24" s="260" t="n">
        <v>0.0067</v>
      </c>
      <c r="AD24" s="156" t="n">
        <f aca="false">IF(T24="","",T24)</f>
        <v>0.00616</v>
      </c>
      <c r="AE24" s="153"/>
      <c r="AF24" s="973" t="str">
        <f aca="false">IF(AE24="","",AD24+AE24)</f>
        <v/>
      </c>
      <c r="AH24" s="19" t="str">
        <f aca="false">IF(AF24="","N","Y")</f>
        <v>N</v>
      </c>
      <c r="AI24" s="63" t="s">
        <v>110</v>
      </c>
      <c r="AJ24" s="63" t="s">
        <v>110</v>
      </c>
      <c r="AK24" s="63"/>
      <c r="AL24" s="63" t="s">
        <v>110</v>
      </c>
    </row>
    <row r="25" customFormat="false" ht="16.5" hidden="false" customHeight="true" outlineLevel="0" collapsed="false">
      <c r="B25" s="141" t="n">
        <v>42622</v>
      </c>
      <c r="C25" s="142" t="n">
        <v>42622</v>
      </c>
      <c r="D25" s="143" t="n">
        <v>42803</v>
      </c>
      <c r="E25" s="19" t="n">
        <f aca="false">D25-C25</f>
        <v>181</v>
      </c>
      <c r="F25" s="100" t="n">
        <f aca="false">TRUNC(E25/30,0)</f>
        <v>6</v>
      </c>
      <c r="G25" s="183" t="s">
        <v>95</v>
      </c>
      <c r="H25" s="146" t="n">
        <v>0</v>
      </c>
      <c r="I25" s="147"/>
      <c r="J25" s="148"/>
      <c r="K25" s="149"/>
      <c r="L25" s="152" t="n">
        <v>0.0123472</v>
      </c>
      <c r="M25" s="151"/>
      <c r="N25" s="152" t="n">
        <f aca="false">AVERAGE(0.0129,0.0116,0.0112)</f>
        <v>0.0119</v>
      </c>
      <c r="O25" s="151"/>
      <c r="P25" s="152"/>
      <c r="Q25" s="152"/>
      <c r="R25" s="152"/>
      <c r="S25" s="152"/>
      <c r="T25" s="153" t="n">
        <v>0.009675</v>
      </c>
      <c r="U25" s="152"/>
      <c r="V25" s="152"/>
      <c r="W25" s="152"/>
      <c r="X25" s="152"/>
      <c r="Y25" s="152"/>
      <c r="Z25" s="152"/>
      <c r="AA25" s="152"/>
      <c r="AB25" s="152"/>
      <c r="AC25" s="260" t="n">
        <v>0.01</v>
      </c>
      <c r="AD25" s="156" t="n">
        <f aca="false">IF(T25="","",T25)</f>
        <v>0.009675</v>
      </c>
      <c r="AE25" s="153"/>
      <c r="AF25" s="973" t="str">
        <f aca="false">IF(AE25="","",AD25+AE25)</f>
        <v/>
      </c>
      <c r="AH25" s="19" t="str">
        <f aca="false">IF(AF25="","N","Y")</f>
        <v>N</v>
      </c>
      <c r="AI25" s="63" t="s">
        <v>110</v>
      </c>
      <c r="AJ25" s="63" t="s">
        <v>110</v>
      </c>
      <c r="AK25" s="63"/>
      <c r="AL25" s="63" t="s">
        <v>110</v>
      </c>
    </row>
    <row r="26" customFormat="false" ht="16.5" hidden="false" customHeight="true" outlineLevel="0" collapsed="false">
      <c r="B26" s="141" t="n">
        <v>42634</v>
      </c>
      <c r="C26" s="142" t="n">
        <v>42634</v>
      </c>
      <c r="D26" s="143" t="n">
        <v>42670</v>
      </c>
      <c r="E26" s="19" t="n">
        <f aca="false">D26-C26</f>
        <v>36</v>
      </c>
      <c r="F26" s="100" t="n">
        <f aca="false">TRUNC(E26/30,0)</f>
        <v>1</v>
      </c>
      <c r="G26" s="183" t="s">
        <v>95</v>
      </c>
      <c r="H26" s="146" t="n">
        <v>80</v>
      </c>
      <c r="I26" s="147"/>
      <c r="J26" s="148"/>
      <c r="K26" s="149"/>
      <c r="L26" s="152" t="n">
        <v>0.0054306</v>
      </c>
      <c r="M26" s="151"/>
      <c r="N26" s="152" t="n">
        <f aca="false">AVERAGE(0.0065,0.0057,0.004)</f>
        <v>0.0054</v>
      </c>
      <c r="O26" s="151"/>
      <c r="P26" s="152"/>
      <c r="Q26" s="152"/>
      <c r="R26" s="152"/>
      <c r="S26" s="152"/>
      <c r="T26" s="153" t="n">
        <v>0.002796</v>
      </c>
      <c r="U26" s="152"/>
      <c r="V26" s="152"/>
      <c r="W26" s="152"/>
      <c r="X26" s="152"/>
      <c r="Y26" s="152"/>
      <c r="Z26" s="152"/>
      <c r="AA26" s="152"/>
      <c r="AB26" s="152"/>
      <c r="AC26" s="260" t="n">
        <v>0.0035</v>
      </c>
      <c r="AD26" s="156" t="n">
        <f aca="false">IF(T26="","",T26)</f>
        <v>0.002796</v>
      </c>
      <c r="AE26" s="153"/>
      <c r="AF26" s="973" t="str">
        <f aca="false">IF(AE26="","",AD26+AE26)</f>
        <v/>
      </c>
      <c r="AH26" s="19" t="str">
        <f aca="false">IF(AF26="","N","Y")</f>
        <v>N</v>
      </c>
      <c r="AI26" s="63" t="s">
        <v>100</v>
      </c>
      <c r="AJ26" s="63" t="s">
        <v>101</v>
      </c>
      <c r="AK26" s="19"/>
      <c r="AL26" s="63" t="s">
        <v>102</v>
      </c>
    </row>
    <row r="27" customFormat="false" ht="16.5" hidden="false" customHeight="true" outlineLevel="0" collapsed="false">
      <c r="B27" s="141" t="n">
        <v>42636</v>
      </c>
      <c r="C27" s="142" t="n">
        <v>42636</v>
      </c>
      <c r="D27" s="143" t="n">
        <v>42666</v>
      </c>
      <c r="E27" s="19" t="n">
        <f aca="false">D27-C27</f>
        <v>30</v>
      </c>
      <c r="F27" s="100" t="n">
        <f aca="false">TRUNC(E27/30,0)</f>
        <v>1</v>
      </c>
      <c r="G27" s="189" t="s">
        <v>99</v>
      </c>
      <c r="H27" s="146" t="n">
        <v>50</v>
      </c>
      <c r="I27" s="147"/>
      <c r="J27" s="148"/>
      <c r="K27" s="149"/>
      <c r="L27" s="152" t="n">
        <v>0.0042322</v>
      </c>
      <c r="M27" s="151"/>
      <c r="N27" s="152" t="n">
        <f aca="false">AVERAGE(0.0065,0.0057,0.004)</f>
        <v>0.0054</v>
      </c>
      <c r="O27" s="151"/>
      <c r="P27" s="152"/>
      <c r="Q27" s="152"/>
      <c r="R27" s="152"/>
      <c r="S27" s="152"/>
      <c r="T27" s="153" t="n">
        <v>0.000977</v>
      </c>
      <c r="U27" s="152"/>
      <c r="V27" s="152"/>
      <c r="W27" s="152"/>
      <c r="X27" s="152"/>
      <c r="Y27" s="152"/>
      <c r="Z27" s="152"/>
      <c r="AA27" s="152"/>
      <c r="AB27" s="152"/>
      <c r="AC27" s="260" t="n">
        <v>0.0047</v>
      </c>
      <c r="AD27" s="156" t="n">
        <f aca="false">IF(T27="","",T27)</f>
        <v>0.000977</v>
      </c>
      <c r="AE27" s="153"/>
      <c r="AF27" s="973" t="str">
        <f aca="false">IF(AE27="","",AD27+AE27)</f>
        <v/>
      </c>
      <c r="AH27" s="19" t="str">
        <f aca="false">IF(AF27="","N","Y")</f>
        <v>N</v>
      </c>
      <c r="AI27" s="63" t="s">
        <v>96</v>
      </c>
      <c r="AJ27" s="63" t="s">
        <v>97</v>
      </c>
      <c r="AK27" s="19"/>
      <c r="AL27" s="63" t="s">
        <v>98</v>
      </c>
    </row>
    <row r="28" customFormat="false" ht="16.5" hidden="false" customHeight="true" outlineLevel="0" collapsed="false">
      <c r="B28" s="141" t="n">
        <v>42649</v>
      </c>
      <c r="C28" s="142" t="n">
        <v>42649</v>
      </c>
      <c r="D28" s="143" t="n">
        <v>42680</v>
      </c>
      <c r="E28" s="19" t="n">
        <f aca="false">D28-C28</f>
        <v>31</v>
      </c>
      <c r="F28" s="100" t="n">
        <f aca="false">TRUNC(E28/30,0)</f>
        <v>1</v>
      </c>
      <c r="G28" s="189" t="s">
        <v>99</v>
      </c>
      <c r="H28" s="146" t="n">
        <v>50</v>
      </c>
      <c r="I28" s="147"/>
      <c r="J28" s="148"/>
      <c r="K28" s="149"/>
      <c r="L28" s="152" t="n">
        <v>0.0042822</v>
      </c>
      <c r="M28" s="151"/>
      <c r="N28" s="152"/>
      <c r="O28" s="151"/>
      <c r="P28" s="152"/>
      <c r="Q28" s="152"/>
      <c r="R28" s="152"/>
      <c r="S28" s="152"/>
      <c r="T28" s="153" t="n">
        <v>0.000977</v>
      </c>
      <c r="U28" s="152"/>
      <c r="V28" s="152"/>
      <c r="W28" s="152"/>
      <c r="X28" s="152"/>
      <c r="Y28" s="152"/>
      <c r="Z28" s="152"/>
      <c r="AA28" s="152"/>
      <c r="AB28" s="152"/>
      <c r="AC28" s="260"/>
      <c r="AD28" s="156" t="n">
        <f aca="false">IF(T28="","",T28)</f>
        <v>0.000977</v>
      </c>
      <c r="AE28" s="153"/>
      <c r="AF28" s="973" t="str">
        <f aca="false">IF(AE28="","",AD28+AE28)</f>
        <v/>
      </c>
      <c r="AH28" s="19" t="str">
        <f aca="false">IF(AF28="","N","Y")</f>
        <v>N</v>
      </c>
      <c r="AI28" s="63" t="s">
        <v>96</v>
      </c>
      <c r="AJ28" s="63" t="s">
        <v>111</v>
      </c>
      <c r="AK28" s="19"/>
      <c r="AL28" s="19" t="s">
        <v>112</v>
      </c>
    </row>
    <row r="29" customFormat="false" ht="16.5" hidden="false" customHeight="true" outlineLevel="0" collapsed="false">
      <c r="B29" s="141" t="n">
        <v>42649</v>
      </c>
      <c r="C29" s="142" t="n">
        <v>42649</v>
      </c>
      <c r="D29" s="143" t="n">
        <v>43014</v>
      </c>
      <c r="E29" s="19" t="n">
        <f aca="false">D29-C29</f>
        <v>365</v>
      </c>
      <c r="F29" s="100" t="n">
        <f aca="false">TRUNC(E29/30,0)</f>
        <v>12</v>
      </c>
      <c r="G29" s="183" t="s">
        <v>95</v>
      </c>
      <c r="H29" s="146" t="n">
        <v>2</v>
      </c>
      <c r="I29" s="147"/>
      <c r="J29" s="148"/>
      <c r="K29" s="149"/>
      <c r="L29" s="152" t="n">
        <v>0.0157267</v>
      </c>
      <c r="M29" s="151"/>
      <c r="N29" s="152" t="n">
        <f aca="false">AVERAGE(0.015,0.014,0.0135)</f>
        <v>0.0141666666666667</v>
      </c>
      <c r="O29" s="151"/>
      <c r="P29" s="152"/>
      <c r="Q29" s="152"/>
      <c r="R29" s="152"/>
      <c r="S29" s="152"/>
      <c r="T29" s="153" t="n">
        <v>0.011434</v>
      </c>
      <c r="U29" s="152"/>
      <c r="V29" s="152"/>
      <c r="W29" s="152"/>
      <c r="X29" s="152"/>
      <c r="Y29" s="152"/>
      <c r="Z29" s="152"/>
      <c r="AA29" s="152"/>
      <c r="AB29" s="152"/>
      <c r="AC29" s="260" t="n">
        <v>0.0125</v>
      </c>
      <c r="AD29" s="156" t="n">
        <f aca="false">IF(T29="","",T29)</f>
        <v>0.011434</v>
      </c>
      <c r="AE29" s="153"/>
      <c r="AF29" s="973" t="str">
        <f aca="false">IF(AE29="","",AD29+AE29)</f>
        <v/>
      </c>
      <c r="AH29" s="19" t="str">
        <f aca="false">IF(AF29="","N","Y")</f>
        <v>N</v>
      </c>
      <c r="AI29" s="63" t="s">
        <v>107</v>
      </c>
      <c r="AJ29" s="63" t="s">
        <v>113</v>
      </c>
      <c r="AK29" s="19"/>
      <c r="AL29" s="63" t="s">
        <v>109</v>
      </c>
    </row>
    <row r="30" customFormat="false" ht="16.5" hidden="false" customHeight="true" outlineLevel="0" collapsed="false">
      <c r="B30" s="141" t="n">
        <v>42650</v>
      </c>
      <c r="C30" s="142" t="n">
        <v>42650</v>
      </c>
      <c r="D30" s="143" t="n">
        <v>42742</v>
      </c>
      <c r="E30" s="19" t="n">
        <f aca="false">D30-C30</f>
        <v>92</v>
      </c>
      <c r="F30" s="100" t="n">
        <f aca="false">TRUNC(E30/30,0)</f>
        <v>3</v>
      </c>
      <c r="G30" s="183" t="s">
        <v>95</v>
      </c>
      <c r="H30" s="146" t="n">
        <v>1</v>
      </c>
      <c r="I30" s="147"/>
      <c r="J30" s="148"/>
      <c r="K30" s="149"/>
      <c r="L30" s="152" t="n">
        <v>0.0087156</v>
      </c>
      <c r="M30" s="151"/>
      <c r="N30" s="152" t="n">
        <f aca="false">AVERAGE(0.0115,0.011,0.0089)</f>
        <v>0.0104666666666667</v>
      </c>
      <c r="O30" s="151"/>
      <c r="P30" s="152"/>
      <c r="Q30" s="152"/>
      <c r="R30" s="152"/>
      <c r="S30" s="152"/>
      <c r="T30" s="153" t="n">
        <v>0.0064</v>
      </c>
      <c r="U30" s="152"/>
      <c r="V30" s="152"/>
      <c r="W30" s="152"/>
      <c r="X30" s="152"/>
      <c r="Y30" s="152"/>
      <c r="Z30" s="152"/>
      <c r="AA30" s="152"/>
      <c r="AB30" s="152"/>
      <c r="AC30" s="260" t="n">
        <v>0.007</v>
      </c>
      <c r="AD30" s="156" t="n">
        <f aca="false">IF(T30="","",T30)</f>
        <v>0.0064</v>
      </c>
      <c r="AE30" s="153"/>
      <c r="AF30" s="494" t="n">
        <v>0.0071</v>
      </c>
      <c r="AH30" s="19" t="str">
        <f aca="false">IF(AF30="","N","Y")</f>
        <v>Y</v>
      </c>
      <c r="AI30" s="63" t="s">
        <v>107</v>
      </c>
      <c r="AJ30" s="63" t="s">
        <v>114</v>
      </c>
      <c r="AK30" s="19"/>
      <c r="AL30" s="63" t="s">
        <v>115</v>
      </c>
    </row>
    <row r="31" customFormat="false" ht="16.5" hidden="false" customHeight="true" outlineLevel="0" collapsed="false">
      <c r="B31" s="141" t="n">
        <v>42661</v>
      </c>
      <c r="C31" s="142" t="n">
        <v>42661</v>
      </c>
      <c r="D31" s="143" t="n">
        <v>42695</v>
      </c>
      <c r="E31" s="19" t="n">
        <f aca="false">D31-C31</f>
        <v>34</v>
      </c>
      <c r="F31" s="100" t="n">
        <f aca="false">TRUNC(E31/30,0)</f>
        <v>1</v>
      </c>
      <c r="G31" s="183" t="s">
        <v>95</v>
      </c>
      <c r="H31" s="146" t="n">
        <v>70</v>
      </c>
      <c r="I31" s="147"/>
      <c r="J31" s="148"/>
      <c r="K31" s="149"/>
      <c r="L31" s="152" t="n">
        <v>0.0052789</v>
      </c>
      <c r="M31" s="151"/>
      <c r="N31" s="152" t="n">
        <f aca="false">AVERAGE(0.0077,0.008)</f>
        <v>0.00785</v>
      </c>
      <c r="O31" s="151"/>
      <c r="P31" s="152"/>
      <c r="Q31" s="152"/>
      <c r="R31" s="152"/>
      <c r="S31" s="152"/>
      <c r="T31" s="153" t="n">
        <v>0.002647</v>
      </c>
      <c r="U31" s="152"/>
      <c r="V31" s="152"/>
      <c r="W31" s="152"/>
      <c r="X31" s="152"/>
      <c r="Y31" s="152"/>
      <c r="Z31" s="152"/>
      <c r="AA31" s="152"/>
      <c r="AB31" s="152"/>
      <c r="AC31" s="260" t="n">
        <v>0.0036</v>
      </c>
      <c r="AD31" s="156" t="n">
        <f aca="false">IF(T31="","",T31)</f>
        <v>0.002647</v>
      </c>
      <c r="AE31" s="153"/>
      <c r="AF31" s="494"/>
      <c r="AH31" s="19" t="str">
        <f aca="false">IF(AF31="","N","Y")</f>
        <v>N</v>
      </c>
      <c r="AI31" s="63" t="s">
        <v>100</v>
      </c>
      <c r="AJ31" s="63" t="s">
        <v>101</v>
      </c>
      <c r="AK31" s="19"/>
      <c r="AL31" s="63" t="s">
        <v>102</v>
      </c>
    </row>
    <row r="32" customFormat="false" ht="16.5" hidden="false" customHeight="true" outlineLevel="0" collapsed="false">
      <c r="B32" s="141" t="n">
        <v>42668</v>
      </c>
      <c r="C32" s="142" t="n">
        <v>42668</v>
      </c>
      <c r="D32" s="143" t="n">
        <v>42684</v>
      </c>
      <c r="E32" s="19" t="n">
        <f aca="false">D32-C32</f>
        <v>16</v>
      </c>
      <c r="F32" s="100" t="n">
        <f aca="false">TRUNC(E32/30,0)</f>
        <v>0</v>
      </c>
      <c r="G32" s="183" t="s">
        <v>95</v>
      </c>
      <c r="H32" s="146" t="n">
        <v>45</v>
      </c>
      <c r="I32" s="147"/>
      <c r="J32" s="148"/>
      <c r="K32" s="149"/>
      <c r="L32" s="152" t="n">
        <v>0.0045589</v>
      </c>
      <c r="M32" s="151"/>
      <c r="N32" s="152" t="n">
        <f aca="false">AVERAGE(0.006,0.005)</f>
        <v>0.0055</v>
      </c>
      <c r="O32" s="151"/>
      <c r="P32" s="152"/>
      <c r="Q32" s="152"/>
      <c r="R32" s="152"/>
      <c r="S32" s="152"/>
      <c r="T32" s="153" t="n">
        <v>0.001577</v>
      </c>
      <c r="U32" s="152"/>
      <c r="V32" s="152"/>
      <c r="W32" s="152"/>
      <c r="X32" s="152"/>
      <c r="Y32" s="152"/>
      <c r="Z32" s="152"/>
      <c r="AA32" s="152"/>
      <c r="AB32" s="152"/>
      <c r="AC32" s="260" t="n">
        <v>0.002</v>
      </c>
      <c r="AD32" s="156" t="n">
        <f aca="false">IF(T32="","",T32)</f>
        <v>0.001577</v>
      </c>
      <c r="AE32" s="153"/>
      <c r="AF32" s="494"/>
      <c r="AH32" s="19" t="str">
        <f aca="false">IF(AF32="","N","Y")</f>
        <v>N</v>
      </c>
      <c r="AI32" s="63" t="s">
        <v>100</v>
      </c>
      <c r="AJ32" s="63" t="s">
        <v>101</v>
      </c>
      <c r="AK32" s="19"/>
      <c r="AL32" s="63" t="s">
        <v>102</v>
      </c>
    </row>
    <row r="33" customFormat="false" ht="16.5" hidden="false" customHeight="true" outlineLevel="0" collapsed="false">
      <c r="B33" s="141" t="n">
        <v>42668</v>
      </c>
      <c r="C33" s="142" t="n">
        <v>42668</v>
      </c>
      <c r="D33" s="143" t="n">
        <v>42690</v>
      </c>
      <c r="E33" s="19" t="n">
        <f aca="false">D33-C33</f>
        <v>22</v>
      </c>
      <c r="F33" s="100" t="n">
        <f aca="false">TRUNC(E33/30,0)</f>
        <v>0</v>
      </c>
      <c r="G33" s="63" t="s">
        <v>110</v>
      </c>
      <c r="H33" s="146" t="n">
        <v>35</v>
      </c>
      <c r="I33" s="147"/>
      <c r="J33" s="148"/>
      <c r="K33" s="149"/>
      <c r="L33" s="152" t="n">
        <v>0.0045589</v>
      </c>
      <c r="M33" s="151"/>
      <c r="N33" s="152" t="n">
        <f aca="false">AVERAGE(0.006,0.005)</f>
        <v>0.0055</v>
      </c>
      <c r="O33" s="151"/>
      <c r="P33" s="152"/>
      <c r="Q33" s="152"/>
      <c r="R33" s="152"/>
      <c r="S33" s="152"/>
      <c r="T33" s="153" t="n">
        <v>0.001577</v>
      </c>
      <c r="U33" s="152"/>
      <c r="V33" s="152"/>
      <c r="W33" s="152"/>
      <c r="X33" s="152"/>
      <c r="Y33" s="152"/>
      <c r="Z33" s="152"/>
      <c r="AA33" s="152"/>
      <c r="AB33" s="152"/>
      <c r="AC33" s="260" t="n">
        <v>0.002</v>
      </c>
      <c r="AD33" s="156" t="n">
        <f aca="false">IF(T33="","",T33)</f>
        <v>0.001577</v>
      </c>
      <c r="AE33" s="153"/>
      <c r="AF33" s="494"/>
      <c r="AH33" s="19" t="str">
        <f aca="false">IF(AF33="","N","Y")</f>
        <v>N</v>
      </c>
      <c r="AI33" s="63" t="s">
        <v>110</v>
      </c>
      <c r="AJ33" s="63" t="s">
        <v>110</v>
      </c>
      <c r="AK33" s="63"/>
      <c r="AL33" s="63" t="s">
        <v>110</v>
      </c>
    </row>
    <row r="34" customFormat="false" ht="16.5" hidden="false" customHeight="true" outlineLevel="0" collapsed="false">
      <c r="B34" s="141" t="n">
        <v>42668</v>
      </c>
      <c r="C34" s="142" t="n">
        <v>42668</v>
      </c>
      <c r="D34" s="143" t="n">
        <v>42704</v>
      </c>
      <c r="E34" s="19" t="n">
        <f aca="false">D34-C34</f>
        <v>36</v>
      </c>
      <c r="F34" s="100" t="n">
        <f aca="false">TRUNC(E34/30,0)</f>
        <v>1</v>
      </c>
      <c r="G34" s="63" t="s">
        <v>110</v>
      </c>
      <c r="H34" s="146" t="n">
        <v>70</v>
      </c>
      <c r="I34" s="147"/>
      <c r="J34" s="148"/>
      <c r="K34" s="149"/>
      <c r="L34" s="152" t="n">
        <v>0.00534</v>
      </c>
      <c r="M34" s="151"/>
      <c r="N34" s="152" t="n">
        <f aca="false">AVERAGE(0.0058,0.0065)</f>
        <v>0.00615</v>
      </c>
      <c r="O34" s="151"/>
      <c r="P34" s="152"/>
      <c r="Q34" s="152"/>
      <c r="R34" s="152"/>
      <c r="S34" s="152"/>
      <c r="T34" s="153" t="n">
        <v>0.002708</v>
      </c>
      <c r="U34" s="152"/>
      <c r="V34" s="152"/>
      <c r="W34" s="152"/>
      <c r="X34" s="152"/>
      <c r="Y34" s="152"/>
      <c r="Z34" s="152"/>
      <c r="AA34" s="152"/>
      <c r="AB34" s="152"/>
      <c r="AC34" s="260" t="n">
        <v>0.004</v>
      </c>
      <c r="AD34" s="156" t="n">
        <f aca="false">IF(T34="","",T34)</f>
        <v>0.002708</v>
      </c>
      <c r="AE34" s="153"/>
      <c r="AF34" s="494" t="n">
        <v>0.004</v>
      </c>
      <c r="AH34" s="19" t="str">
        <f aca="false">IF(AF34="","N","Y")</f>
        <v>Y</v>
      </c>
      <c r="AI34" s="63" t="s">
        <v>110</v>
      </c>
      <c r="AJ34" s="63" t="s">
        <v>110</v>
      </c>
      <c r="AK34" s="63"/>
      <c r="AL34" s="63" t="s">
        <v>110</v>
      </c>
    </row>
    <row r="35" customFormat="false" ht="16.5" hidden="false" customHeight="true" outlineLevel="0" collapsed="false">
      <c r="B35" s="141" t="n">
        <v>42678</v>
      </c>
      <c r="C35" s="142" t="n">
        <v>42678</v>
      </c>
      <c r="D35" s="142" t="n">
        <v>42711</v>
      </c>
      <c r="E35" s="19" t="n">
        <f aca="false">D35-C35</f>
        <v>33</v>
      </c>
      <c r="F35" s="100" t="n">
        <f aca="false">TRUNC(E35/30,0)</f>
        <v>1</v>
      </c>
      <c r="G35" s="63" t="s">
        <v>110</v>
      </c>
      <c r="H35" s="146" t="n">
        <v>20</v>
      </c>
      <c r="I35" s="147"/>
      <c r="J35" s="148"/>
      <c r="K35" s="149"/>
      <c r="L35" s="152" t="n">
        <v>0.0053256</v>
      </c>
      <c r="M35" s="151"/>
      <c r="N35" s="152"/>
      <c r="O35" s="151"/>
      <c r="P35" s="152"/>
      <c r="Q35" s="152"/>
      <c r="R35" s="152"/>
      <c r="S35" s="152"/>
      <c r="T35" s="153"/>
      <c r="U35" s="152"/>
      <c r="V35" s="152"/>
      <c r="W35" s="152"/>
      <c r="X35" s="152"/>
      <c r="Y35" s="152"/>
      <c r="Z35" s="152"/>
      <c r="AA35" s="152"/>
      <c r="AB35" s="152"/>
      <c r="AC35" s="260" t="n">
        <v>0.0036</v>
      </c>
      <c r="AD35" s="156" t="str">
        <f aca="false">IF(T35="","",T35)</f>
        <v/>
      </c>
      <c r="AE35" s="153"/>
      <c r="AF35" s="494" t="n">
        <v>0</v>
      </c>
      <c r="AH35" s="19" t="str">
        <f aca="false">IF(AF35="","N","Y")</f>
        <v>Y</v>
      </c>
      <c r="AI35" s="63" t="s">
        <v>110</v>
      </c>
      <c r="AJ35" s="63" t="s">
        <v>110</v>
      </c>
      <c r="AK35" s="63"/>
      <c r="AL35" s="63" t="s">
        <v>110</v>
      </c>
    </row>
    <row r="36" customFormat="false" ht="16.5" hidden="false" customHeight="true" outlineLevel="0" collapsed="false">
      <c r="B36" s="141" t="n">
        <v>42678</v>
      </c>
      <c r="C36" s="142" t="n">
        <v>42678</v>
      </c>
      <c r="D36" s="142" t="n">
        <v>42711</v>
      </c>
      <c r="E36" s="19" t="n">
        <f aca="false">D36-C36</f>
        <v>33</v>
      </c>
      <c r="F36" s="100" t="n">
        <f aca="false">TRUNC(E36/30,0)</f>
        <v>1</v>
      </c>
      <c r="G36" s="63" t="s">
        <v>110</v>
      </c>
      <c r="H36" s="146" t="n">
        <v>30</v>
      </c>
      <c r="I36" s="147"/>
      <c r="J36" s="148"/>
      <c r="K36" s="149"/>
      <c r="L36" s="152" t="n">
        <v>0.0053256</v>
      </c>
      <c r="M36" s="151"/>
      <c r="N36" s="152"/>
      <c r="O36" s="151"/>
      <c r="P36" s="152"/>
      <c r="Q36" s="152"/>
      <c r="R36" s="152"/>
      <c r="S36" s="152"/>
      <c r="T36" s="153"/>
      <c r="U36" s="152"/>
      <c r="V36" s="152"/>
      <c r="W36" s="152"/>
      <c r="X36" s="152"/>
      <c r="Y36" s="152"/>
      <c r="Z36" s="152"/>
      <c r="AA36" s="152"/>
      <c r="AB36" s="152"/>
      <c r="AC36" s="260" t="n">
        <v>0.0036</v>
      </c>
      <c r="AD36" s="156" t="str">
        <f aca="false">IF(T36="","",T36)</f>
        <v/>
      </c>
      <c r="AE36" s="153"/>
      <c r="AF36" s="494"/>
      <c r="AH36" s="19" t="str">
        <f aca="false">IF(AF36="","N","Y")</f>
        <v>N</v>
      </c>
      <c r="AI36" s="63" t="s">
        <v>110</v>
      </c>
      <c r="AJ36" s="63" t="s">
        <v>110</v>
      </c>
      <c r="AK36" s="63"/>
      <c r="AL36" s="63" t="s">
        <v>110</v>
      </c>
    </row>
    <row r="37" customFormat="false" ht="16.5" hidden="false" customHeight="true" outlineLevel="0" collapsed="false">
      <c r="B37" s="141" t="n">
        <v>42682</v>
      </c>
      <c r="C37" s="142" t="n">
        <v>42682</v>
      </c>
      <c r="D37" s="142" t="n">
        <v>42725</v>
      </c>
      <c r="E37" s="19" t="n">
        <f aca="false">D37-C37</f>
        <v>43</v>
      </c>
      <c r="F37" s="100" t="n">
        <f aca="false">TRUNC(E37/30,0)</f>
        <v>1</v>
      </c>
      <c r="G37" s="63" t="s">
        <v>110</v>
      </c>
      <c r="H37" s="146" t="n">
        <v>7</v>
      </c>
      <c r="I37" s="147"/>
      <c r="J37" s="148"/>
      <c r="K37" s="149"/>
      <c r="L37" s="152" t="n">
        <v>0.0053533</v>
      </c>
      <c r="M37" s="151"/>
      <c r="N37" s="152" t="n">
        <f aca="false">AVERAGE(0.0058,0.0065)</f>
        <v>0.00615</v>
      </c>
      <c r="O37" s="151"/>
      <c r="P37" s="152"/>
      <c r="Q37" s="152"/>
      <c r="R37" s="152"/>
      <c r="S37" s="152"/>
      <c r="T37" s="153" t="n">
        <v>0.002721</v>
      </c>
      <c r="U37" s="152"/>
      <c r="V37" s="152"/>
      <c r="W37" s="152"/>
      <c r="X37" s="152"/>
      <c r="Y37" s="152"/>
      <c r="Z37" s="152"/>
      <c r="AA37" s="152"/>
      <c r="AB37" s="152"/>
      <c r="AC37" s="260" t="n">
        <v>0.0036</v>
      </c>
      <c r="AD37" s="156" t="n">
        <f aca="false">IF(T37="","",T37)</f>
        <v>0.002721</v>
      </c>
      <c r="AE37" s="153"/>
      <c r="AF37" s="494" t="n">
        <v>0.0036</v>
      </c>
      <c r="AH37" s="19" t="str">
        <f aca="false">IF(AF37="","N","Y")</f>
        <v>Y</v>
      </c>
      <c r="AI37" s="63" t="s">
        <v>116</v>
      </c>
      <c r="AJ37" s="63" t="s">
        <v>117</v>
      </c>
      <c r="AK37" s="19"/>
      <c r="AL37" s="63" t="s">
        <v>118</v>
      </c>
    </row>
    <row r="38" customFormat="false" ht="16.5" hidden="false" customHeight="true" outlineLevel="0" collapsed="false">
      <c r="B38" s="141" t="n">
        <v>42690</v>
      </c>
      <c r="C38" s="142" t="n">
        <v>42690</v>
      </c>
      <c r="D38" s="142" t="n">
        <v>42718</v>
      </c>
      <c r="E38" s="19" t="n">
        <f aca="false">D38-C38</f>
        <v>28</v>
      </c>
      <c r="F38" s="100" t="n">
        <f aca="false">TRUNC(E38/30,0)</f>
        <v>0</v>
      </c>
      <c r="G38" s="63" t="s">
        <v>110</v>
      </c>
      <c r="H38" s="146" t="n">
        <v>30</v>
      </c>
      <c r="I38" s="147"/>
      <c r="J38" s="148"/>
      <c r="K38" s="149"/>
      <c r="L38" s="152" t="n">
        <v>0.0055011</v>
      </c>
      <c r="M38" s="151"/>
      <c r="N38" s="152" t="n">
        <f aca="false">AVERAGE(0.0055,0.006)</f>
        <v>0.00575</v>
      </c>
      <c r="O38" s="151"/>
      <c r="P38" s="152"/>
      <c r="Q38" s="152"/>
      <c r="R38" s="152"/>
      <c r="S38" s="152"/>
      <c r="T38" s="153" t="n">
        <v>0.001605</v>
      </c>
      <c r="U38" s="152"/>
      <c r="V38" s="152"/>
      <c r="W38" s="152"/>
      <c r="X38" s="152"/>
      <c r="Y38" s="152"/>
      <c r="Z38" s="152"/>
      <c r="AA38" s="152"/>
      <c r="AB38" s="152"/>
      <c r="AC38" s="260" t="n">
        <v>0.0029</v>
      </c>
      <c r="AD38" s="156" t="n">
        <f aca="false">IF(T38="","",T38)</f>
        <v>0.001605</v>
      </c>
      <c r="AE38" s="153"/>
      <c r="AF38" s="494"/>
      <c r="AH38" s="19" t="str">
        <f aca="false">IF(AF38="","N","Y")</f>
        <v>N</v>
      </c>
      <c r="AI38" s="63" t="s">
        <v>100</v>
      </c>
      <c r="AJ38" s="63" t="s">
        <v>101</v>
      </c>
      <c r="AK38" s="19"/>
      <c r="AL38" s="63" t="s">
        <v>102</v>
      </c>
    </row>
    <row r="39" customFormat="false" ht="16.5" hidden="false" customHeight="true" outlineLevel="0" collapsed="false">
      <c r="B39" s="141" t="n">
        <v>42695</v>
      </c>
      <c r="C39" s="142" t="n">
        <v>42695</v>
      </c>
      <c r="D39" s="142" t="n">
        <v>42726</v>
      </c>
      <c r="E39" s="19" t="n">
        <f aca="false">D39-C39</f>
        <v>31</v>
      </c>
      <c r="F39" s="100" t="n">
        <f aca="false">TRUNC(E39/30,0)</f>
        <v>1</v>
      </c>
      <c r="G39" s="63" t="s">
        <v>110</v>
      </c>
      <c r="H39" s="146" t="n">
        <v>60</v>
      </c>
      <c r="I39" s="147"/>
      <c r="J39" s="148"/>
      <c r="K39" s="149"/>
      <c r="L39" s="152" t="n">
        <v>0.00566</v>
      </c>
      <c r="M39" s="151"/>
      <c r="N39" s="152" t="n">
        <f aca="false">AVERAGE(0.0055,0.006)</f>
        <v>0.00575</v>
      </c>
      <c r="O39" s="151"/>
      <c r="P39" s="152"/>
      <c r="Q39" s="152"/>
      <c r="R39" s="152"/>
      <c r="S39" s="152"/>
      <c r="T39" s="153" t="n">
        <v>0.003021</v>
      </c>
      <c r="U39" s="152"/>
      <c r="V39" s="152"/>
      <c r="W39" s="152"/>
      <c r="X39" s="152"/>
      <c r="Y39" s="152"/>
      <c r="Z39" s="152"/>
      <c r="AA39" s="152"/>
      <c r="AB39" s="152"/>
      <c r="AC39" s="260" t="n">
        <v>0.0039</v>
      </c>
      <c r="AD39" s="156" t="n">
        <f aca="false">IF(T39="","",T39)</f>
        <v>0.003021</v>
      </c>
      <c r="AE39" s="153"/>
      <c r="AF39" s="494"/>
      <c r="AH39" s="19" t="str">
        <f aca="false">IF(AF39="","N","Y")</f>
        <v>N</v>
      </c>
      <c r="AI39" s="63" t="s">
        <v>100</v>
      </c>
      <c r="AJ39" s="63" t="s">
        <v>101</v>
      </c>
      <c r="AK39" s="19"/>
      <c r="AL39" s="63" t="s">
        <v>102</v>
      </c>
    </row>
    <row r="40" customFormat="false" ht="16.5" hidden="false" customHeight="true" outlineLevel="0" collapsed="false">
      <c r="B40" s="141" t="n">
        <v>42702</v>
      </c>
      <c r="C40" s="142" t="n">
        <v>42702</v>
      </c>
      <c r="D40" s="142" t="n">
        <v>42718</v>
      </c>
      <c r="E40" s="19" t="n">
        <f aca="false">D40-C40</f>
        <v>16</v>
      </c>
      <c r="F40" s="100" t="n">
        <f aca="false">TRUNC(E40/30,0)</f>
        <v>0</v>
      </c>
      <c r="G40" s="63" t="s">
        <v>110</v>
      </c>
      <c r="H40" s="146" t="n">
        <v>30</v>
      </c>
      <c r="I40" s="147"/>
      <c r="J40" s="148"/>
      <c r="K40" s="149"/>
      <c r="L40" s="152" t="n">
        <v>0.0045822</v>
      </c>
      <c r="M40" s="151"/>
      <c r="N40" s="152" t="n">
        <f aca="false">AVERAGE(0.0052,0.0058,0.0051)</f>
        <v>0.00536666666666667</v>
      </c>
      <c r="O40" s="151"/>
      <c r="P40" s="152"/>
      <c r="Q40" s="152"/>
      <c r="R40" s="152"/>
      <c r="S40" s="152"/>
      <c r="T40" s="153" t="n">
        <v>0.001598</v>
      </c>
      <c r="U40" s="152"/>
      <c r="V40" s="152"/>
      <c r="W40" s="152"/>
      <c r="X40" s="152"/>
      <c r="Y40" s="152"/>
      <c r="Z40" s="152"/>
      <c r="AA40" s="152"/>
      <c r="AB40" s="152"/>
      <c r="AC40" s="260" t="n">
        <v>0.0026</v>
      </c>
      <c r="AD40" s="156" t="n">
        <f aca="false">IF(T40="","",T40)</f>
        <v>0.001598</v>
      </c>
      <c r="AE40" s="153"/>
      <c r="AF40" s="494"/>
      <c r="AH40" s="19" t="str">
        <f aca="false">IF(AF40="","N","Y")</f>
        <v>N</v>
      </c>
      <c r="AI40" s="63" t="s">
        <v>100</v>
      </c>
      <c r="AJ40" s="63" t="s">
        <v>101</v>
      </c>
      <c r="AK40" s="19"/>
      <c r="AL40" s="63" t="s">
        <v>102</v>
      </c>
    </row>
    <row r="41" customFormat="false" ht="16.5" hidden="false" customHeight="true" outlineLevel="0" collapsed="false">
      <c r="B41" s="141" t="n">
        <v>42702</v>
      </c>
      <c r="C41" s="142" t="n">
        <v>42702</v>
      </c>
      <c r="D41" s="142" t="n">
        <v>42724</v>
      </c>
      <c r="E41" s="19" t="n">
        <f aca="false">D41-C41</f>
        <v>22</v>
      </c>
      <c r="F41" s="100" t="n">
        <f aca="false">TRUNC(E41/30,0)</f>
        <v>0</v>
      </c>
      <c r="G41" s="63" t="s">
        <v>110</v>
      </c>
      <c r="H41" s="146" t="n">
        <v>50</v>
      </c>
      <c r="I41" s="147"/>
      <c r="J41" s="148"/>
      <c r="K41" s="149"/>
      <c r="L41" s="152" t="n">
        <v>0.0045822</v>
      </c>
      <c r="M41" s="151"/>
      <c r="N41" s="152" t="n">
        <f aca="false">AVERAGE(0.0052,0.0058,0.0054)</f>
        <v>0.00546666666666667</v>
      </c>
      <c r="O41" s="151"/>
      <c r="P41" s="152"/>
      <c r="Q41" s="152"/>
      <c r="R41" s="152"/>
      <c r="S41" s="152"/>
      <c r="T41" s="153" t="n">
        <v>0.001598</v>
      </c>
      <c r="U41" s="152"/>
      <c r="V41" s="152"/>
      <c r="W41" s="152"/>
      <c r="X41" s="152"/>
      <c r="Y41" s="152"/>
      <c r="Z41" s="152"/>
      <c r="AA41" s="152"/>
      <c r="AB41" s="152"/>
      <c r="AC41" s="260" t="n">
        <v>0.003</v>
      </c>
      <c r="AD41" s="156" t="n">
        <f aca="false">IF(T41="","",T41)</f>
        <v>0.001598</v>
      </c>
      <c r="AE41" s="153"/>
      <c r="AF41" s="494"/>
      <c r="AH41" s="19" t="str">
        <f aca="false">IF(AF41="","N","Y")</f>
        <v>N</v>
      </c>
      <c r="AI41" s="63" t="s">
        <v>100</v>
      </c>
      <c r="AJ41" s="63" t="s">
        <v>101</v>
      </c>
      <c r="AK41" s="19"/>
      <c r="AL41" s="63" t="s">
        <v>102</v>
      </c>
    </row>
    <row r="42" customFormat="false" ht="16.5" hidden="false" customHeight="true" outlineLevel="0" collapsed="false">
      <c r="B42" s="141" t="n">
        <v>42702</v>
      </c>
      <c r="C42" s="142" t="n">
        <v>42702</v>
      </c>
      <c r="D42" s="142" t="n">
        <v>42727</v>
      </c>
      <c r="E42" s="19" t="n">
        <f aca="false">D42-C42</f>
        <v>25</v>
      </c>
      <c r="F42" s="100" t="n">
        <f aca="false">TRUNC(E42/30,0)</f>
        <v>0</v>
      </c>
      <c r="G42" s="63" t="s">
        <v>110</v>
      </c>
      <c r="H42" s="146" t="n">
        <v>80</v>
      </c>
      <c r="I42" s="147"/>
      <c r="J42" s="148"/>
      <c r="K42" s="149"/>
      <c r="L42" s="152" t="n">
        <v>0.0045822</v>
      </c>
      <c r="M42" s="151"/>
      <c r="N42" s="152" t="n">
        <f aca="false">AVERAGE(0.0052,0.0058,0.0054)</f>
        <v>0.00546666666666667</v>
      </c>
      <c r="O42" s="151"/>
      <c r="P42" s="152"/>
      <c r="Q42" s="152"/>
      <c r="R42" s="152"/>
      <c r="S42" s="152"/>
      <c r="T42" s="153" t="n">
        <v>0.001598</v>
      </c>
      <c r="U42" s="152"/>
      <c r="V42" s="152"/>
      <c r="W42" s="152"/>
      <c r="X42" s="152"/>
      <c r="Y42" s="152"/>
      <c r="Z42" s="152"/>
      <c r="AA42" s="152"/>
      <c r="AB42" s="152"/>
      <c r="AC42" s="260" t="n">
        <v>0.003</v>
      </c>
      <c r="AD42" s="156" t="n">
        <f aca="false">IF(T42="","",T42)</f>
        <v>0.001598</v>
      </c>
      <c r="AE42" s="153"/>
      <c r="AF42" s="494"/>
      <c r="AH42" s="19" t="str">
        <f aca="false">IF(AF42="","N","Y")</f>
        <v>N</v>
      </c>
      <c r="AI42" s="63" t="s">
        <v>100</v>
      </c>
      <c r="AJ42" s="63" t="s">
        <v>101</v>
      </c>
      <c r="AK42" s="19"/>
      <c r="AL42" s="63" t="s">
        <v>102</v>
      </c>
    </row>
    <row r="43" customFormat="false" ht="16.5" hidden="false" customHeight="true" outlineLevel="0" collapsed="false">
      <c r="B43" s="141" t="n">
        <v>42702</v>
      </c>
      <c r="C43" s="142" t="n">
        <v>42702</v>
      </c>
      <c r="D43" s="142" t="n">
        <v>42734</v>
      </c>
      <c r="E43" s="19" t="n">
        <f aca="false">D43-C43</f>
        <v>32</v>
      </c>
      <c r="F43" s="100" t="n">
        <f aca="false">TRUNC(E43/30,0)</f>
        <v>1</v>
      </c>
      <c r="G43" s="63" t="s">
        <v>110</v>
      </c>
      <c r="H43" s="146" t="n">
        <v>120</v>
      </c>
      <c r="I43" s="147"/>
      <c r="J43" s="148"/>
      <c r="K43" s="149"/>
      <c r="L43" s="152" t="n">
        <v>0.0060589</v>
      </c>
      <c r="M43" s="151"/>
      <c r="N43" s="152" t="n">
        <f aca="false">AVERAGE(0.007,0.006)</f>
        <v>0.0065</v>
      </c>
      <c r="O43" s="151"/>
      <c r="P43" s="152"/>
      <c r="Q43" s="152"/>
      <c r="R43" s="152"/>
      <c r="S43" s="152"/>
      <c r="T43" s="153" t="n">
        <v>0.003411</v>
      </c>
      <c r="U43" s="152"/>
      <c r="V43" s="152"/>
      <c r="W43" s="152"/>
      <c r="X43" s="152"/>
      <c r="Y43" s="152"/>
      <c r="Z43" s="152"/>
      <c r="AA43" s="152"/>
      <c r="AB43" s="152"/>
      <c r="AC43" s="260" t="n">
        <v>0.0042</v>
      </c>
      <c r="AD43" s="156" t="n">
        <f aca="false">IF(T43="","",T43)</f>
        <v>0.003411</v>
      </c>
      <c r="AE43" s="153"/>
      <c r="AF43" s="494"/>
      <c r="AH43" s="19" t="str">
        <f aca="false">IF(AF43="","N","Y")</f>
        <v>N</v>
      </c>
      <c r="AI43" s="63" t="s">
        <v>100</v>
      </c>
      <c r="AJ43" s="63" t="s">
        <v>101</v>
      </c>
      <c r="AK43" s="19"/>
      <c r="AL43" s="63" t="s">
        <v>102</v>
      </c>
    </row>
    <row r="44" customFormat="false" ht="16.5" hidden="false" customHeight="true" outlineLevel="0" collapsed="false">
      <c r="B44" s="141" t="n">
        <v>42702</v>
      </c>
      <c r="C44" s="142" t="n">
        <v>42702</v>
      </c>
      <c r="D44" s="142" t="n">
        <v>42734</v>
      </c>
      <c r="E44" s="19" t="n">
        <f aca="false">D44-C44</f>
        <v>32</v>
      </c>
      <c r="F44" s="100" t="n">
        <f aca="false">TRUNC(E44/30,0)</f>
        <v>1</v>
      </c>
      <c r="G44" s="63" t="s">
        <v>110</v>
      </c>
      <c r="H44" s="146" t="n">
        <v>110</v>
      </c>
      <c r="I44" s="147"/>
      <c r="J44" s="148"/>
      <c r="K44" s="149"/>
      <c r="L44" s="152" t="n">
        <v>0.0060589</v>
      </c>
      <c r="M44" s="151"/>
      <c r="N44" s="152" t="n">
        <f aca="false">AVERAGE(0.007,0.006)</f>
        <v>0.0065</v>
      </c>
      <c r="O44" s="151"/>
      <c r="P44" s="152"/>
      <c r="Q44" s="152"/>
      <c r="R44" s="152"/>
      <c r="S44" s="152"/>
      <c r="T44" s="153" t="n">
        <v>0.003411</v>
      </c>
      <c r="U44" s="152"/>
      <c r="V44" s="152"/>
      <c r="W44" s="152"/>
      <c r="X44" s="152"/>
      <c r="Y44" s="152"/>
      <c r="Z44" s="152"/>
      <c r="AA44" s="152"/>
      <c r="AB44" s="152"/>
      <c r="AC44" s="260" t="n">
        <v>0.0042</v>
      </c>
      <c r="AD44" s="156" t="n">
        <f aca="false">IF(T44="","",T44)</f>
        <v>0.003411</v>
      </c>
      <c r="AE44" s="153"/>
      <c r="AF44" s="494"/>
      <c r="AH44" s="19" t="str">
        <f aca="false">IF(AF44="","N","Y")</f>
        <v>N</v>
      </c>
      <c r="AI44" s="63" t="s">
        <v>100</v>
      </c>
      <c r="AJ44" s="63" t="s">
        <v>101</v>
      </c>
      <c r="AK44" s="19"/>
      <c r="AL44" s="63" t="s">
        <v>102</v>
      </c>
    </row>
    <row r="45" customFormat="false" ht="16.5" hidden="false" customHeight="true" outlineLevel="0" collapsed="false">
      <c r="B45" s="141" t="n">
        <v>42704</v>
      </c>
      <c r="C45" s="142" t="n">
        <v>42704</v>
      </c>
      <c r="D45" s="142" t="n">
        <v>42734</v>
      </c>
      <c r="E45" s="19" t="n">
        <f aca="false">D45-C45</f>
        <v>30</v>
      </c>
      <c r="F45" s="100" t="n">
        <f aca="false">TRUNC(E45/30,0)</f>
        <v>1</v>
      </c>
      <c r="G45" s="189" t="s">
        <v>99</v>
      </c>
      <c r="H45" s="146" t="n">
        <v>50</v>
      </c>
      <c r="I45" s="147"/>
      <c r="J45" s="148"/>
      <c r="K45" s="149"/>
      <c r="L45" s="152" t="n">
        <v>0.0046044</v>
      </c>
      <c r="M45" s="151"/>
      <c r="N45" s="152" t="n">
        <f aca="false">AVERAGE(0.007,0.006)</f>
        <v>0.0065</v>
      </c>
      <c r="O45" s="151"/>
      <c r="P45" s="152"/>
      <c r="Q45" s="152"/>
      <c r="R45" s="152"/>
      <c r="S45" s="152"/>
      <c r="T45" s="153"/>
      <c r="U45" s="152"/>
      <c r="V45" s="152"/>
      <c r="W45" s="152"/>
      <c r="X45" s="152"/>
      <c r="Y45" s="152"/>
      <c r="Z45" s="152"/>
      <c r="AA45" s="152"/>
      <c r="AB45" s="152"/>
      <c r="AC45" s="260" t="n">
        <v>0.0047</v>
      </c>
      <c r="AD45" s="156" t="str">
        <f aca="false">IF(T45="","",T45)</f>
        <v/>
      </c>
      <c r="AE45" s="153"/>
      <c r="AF45" s="494"/>
      <c r="AH45" s="19" t="str">
        <f aca="false">IF(AF45="","N","Y")</f>
        <v>N</v>
      </c>
      <c r="AI45" s="63" t="s">
        <v>96</v>
      </c>
      <c r="AJ45" s="63" t="s">
        <v>97</v>
      </c>
      <c r="AK45" s="19"/>
      <c r="AL45" s="63" t="s">
        <v>98</v>
      </c>
    </row>
    <row r="46" customFormat="false" ht="16.5" hidden="false" customHeight="true" outlineLevel="0" collapsed="false">
      <c r="B46" s="141" t="n">
        <v>42704</v>
      </c>
      <c r="C46" s="142" t="n">
        <v>42704</v>
      </c>
      <c r="D46" s="142" t="n">
        <v>42726</v>
      </c>
      <c r="E46" s="19" t="n">
        <f aca="false">D46-C46</f>
        <v>22</v>
      </c>
      <c r="F46" s="100" t="n">
        <f aca="false">TRUNC(E46/30,0)</f>
        <v>0</v>
      </c>
      <c r="G46" s="183" t="s">
        <v>95</v>
      </c>
      <c r="H46" s="146" t="n">
        <v>20</v>
      </c>
      <c r="I46" s="147"/>
      <c r="J46" s="148"/>
      <c r="K46" s="149"/>
      <c r="L46" s="152" t="n">
        <v>0.0046044</v>
      </c>
      <c r="M46" s="151"/>
      <c r="N46" s="152" t="n">
        <f aca="false">AVERAGE(0.0055,0.0065)</f>
        <v>0.006</v>
      </c>
      <c r="O46" s="151"/>
      <c r="P46" s="152"/>
      <c r="Q46" s="152"/>
      <c r="R46" s="152"/>
      <c r="S46" s="152"/>
      <c r="T46" s="153" t="n">
        <v>0.001619</v>
      </c>
      <c r="U46" s="152"/>
      <c r="V46" s="152"/>
      <c r="W46" s="152"/>
      <c r="X46" s="152"/>
      <c r="Y46" s="152"/>
      <c r="Z46" s="152"/>
      <c r="AA46" s="152"/>
      <c r="AB46" s="152"/>
      <c r="AC46" s="260" t="n">
        <v>0.004</v>
      </c>
      <c r="AD46" s="156" t="n">
        <f aca="false">IF(T46="","",T46)</f>
        <v>0.001619</v>
      </c>
      <c r="AE46" s="153"/>
      <c r="AF46" s="494"/>
      <c r="AH46" s="19" t="str">
        <f aca="false">IF(AF46="","N","Y")</f>
        <v>N</v>
      </c>
      <c r="AI46" s="63" t="s">
        <v>100</v>
      </c>
      <c r="AJ46" s="63" t="s">
        <v>101</v>
      </c>
      <c r="AK46" s="19"/>
      <c r="AL46" s="63" t="s">
        <v>102</v>
      </c>
    </row>
    <row r="47" customFormat="false" ht="16.5" hidden="false" customHeight="true" outlineLevel="0" collapsed="false">
      <c r="B47" s="141" t="n">
        <v>42704</v>
      </c>
      <c r="C47" s="142" t="n">
        <v>42704</v>
      </c>
      <c r="D47" s="142" t="n">
        <v>42734</v>
      </c>
      <c r="E47" s="19" t="n">
        <f aca="false">D47-C47</f>
        <v>30</v>
      </c>
      <c r="F47" s="100" t="n">
        <f aca="false">TRUNC(E47/30,0)</f>
        <v>1</v>
      </c>
      <c r="G47" s="183" t="s">
        <v>95</v>
      </c>
      <c r="H47" s="146" t="n">
        <v>30</v>
      </c>
      <c r="I47" s="147"/>
      <c r="J47" s="148"/>
      <c r="K47" s="149"/>
      <c r="L47" s="152" t="n">
        <v>0.0061672</v>
      </c>
      <c r="M47" s="151"/>
      <c r="N47" s="152" t="n">
        <f aca="false">AVERAGE(0.011,0.0063)</f>
        <v>0.00865</v>
      </c>
      <c r="O47" s="151"/>
      <c r="P47" s="152"/>
      <c r="Q47" s="152"/>
      <c r="R47" s="152"/>
      <c r="S47" s="152"/>
      <c r="T47" s="153" t="n">
        <v>0.003518</v>
      </c>
      <c r="U47" s="152"/>
      <c r="V47" s="152"/>
      <c r="W47" s="152"/>
      <c r="X47" s="152"/>
      <c r="Y47" s="152"/>
      <c r="Z47" s="152"/>
      <c r="AA47" s="152"/>
      <c r="AB47" s="152"/>
      <c r="AC47" s="260" t="n">
        <v>0.0046</v>
      </c>
      <c r="AD47" s="156" t="n">
        <f aca="false">IF(T47="","",T47)</f>
        <v>0.003518</v>
      </c>
      <c r="AE47" s="153"/>
      <c r="AF47" s="494"/>
      <c r="AH47" s="19" t="str">
        <f aca="false">IF(AF47="","N","Y")</f>
        <v>N</v>
      </c>
      <c r="AI47" s="63" t="s">
        <v>100</v>
      </c>
      <c r="AJ47" s="63" t="s">
        <v>101</v>
      </c>
      <c r="AK47" s="19"/>
      <c r="AL47" s="63" t="s">
        <v>102</v>
      </c>
    </row>
    <row r="48" customFormat="false" ht="16.5" hidden="false" customHeight="true" outlineLevel="0" collapsed="false">
      <c r="B48" s="141" t="n">
        <v>42711</v>
      </c>
      <c r="C48" s="142" t="n">
        <v>42711</v>
      </c>
      <c r="D48" s="142" t="n">
        <v>42739</v>
      </c>
      <c r="E48" s="19" t="n">
        <f aca="false">D48-C48</f>
        <v>28</v>
      </c>
      <c r="F48" s="100" t="n">
        <f aca="false">TRUNC(E48/30,0)</f>
        <v>0</v>
      </c>
      <c r="G48" s="183" t="s">
        <v>95</v>
      </c>
      <c r="H48" s="146" t="n">
        <v>50</v>
      </c>
      <c r="I48" s="147"/>
      <c r="J48" s="148"/>
      <c r="K48" s="149"/>
      <c r="L48" s="152" t="n">
        <v>0.0064889</v>
      </c>
      <c r="M48" s="151"/>
      <c r="N48" s="152" t="n">
        <f aca="false">AVERAGE(0.016,0.0064)</f>
        <v>0.0112</v>
      </c>
      <c r="O48" s="151"/>
      <c r="P48" s="152"/>
      <c r="Q48" s="152"/>
      <c r="R48" s="152"/>
      <c r="S48" s="152"/>
      <c r="T48" s="153" t="n">
        <v>0.003834</v>
      </c>
      <c r="U48" s="152"/>
      <c r="V48" s="152"/>
      <c r="W48" s="152"/>
      <c r="X48" s="152"/>
      <c r="Y48" s="152"/>
      <c r="Z48" s="152"/>
      <c r="AA48" s="152"/>
      <c r="AB48" s="152"/>
      <c r="AC48" s="260" t="n">
        <v>0.0044</v>
      </c>
      <c r="AD48" s="156" t="n">
        <f aca="false">IF(T48="","",T48)</f>
        <v>0.003834</v>
      </c>
      <c r="AE48" s="153"/>
      <c r="AF48" s="494"/>
      <c r="AH48" s="19" t="str">
        <f aca="false">IF(AF48="","N","Y")</f>
        <v>N</v>
      </c>
      <c r="AI48" s="63" t="s">
        <v>100</v>
      </c>
      <c r="AJ48" s="63" t="s">
        <v>101</v>
      </c>
      <c r="AK48" s="19"/>
      <c r="AL48" s="63" t="s">
        <v>102</v>
      </c>
    </row>
    <row r="49" customFormat="false" ht="16.5" hidden="false" customHeight="true" outlineLevel="0" collapsed="false">
      <c r="B49" s="141" t="n">
        <v>42718</v>
      </c>
      <c r="C49" s="142" t="n">
        <v>42718</v>
      </c>
      <c r="D49" s="142" t="n">
        <v>42746</v>
      </c>
      <c r="E49" s="19" t="n">
        <f aca="false">D49-C49</f>
        <v>28</v>
      </c>
      <c r="F49" s="100" t="n">
        <f aca="false">TRUNC(E49/30,0)</f>
        <v>0</v>
      </c>
      <c r="G49" s="183" t="s">
        <v>95</v>
      </c>
      <c r="H49" s="146" t="n">
        <v>60</v>
      </c>
      <c r="I49" s="147"/>
      <c r="J49" s="148"/>
      <c r="K49" s="149"/>
      <c r="L49" s="152" t="n">
        <v>0.0070389</v>
      </c>
      <c r="M49" s="151"/>
      <c r="N49" s="152" t="n">
        <f aca="false">AVERAGE(0.017,0.0081,0.0061)</f>
        <v>0.0104</v>
      </c>
      <c r="O49" s="151"/>
      <c r="P49" s="152"/>
      <c r="Q49" s="152"/>
      <c r="R49" s="152"/>
      <c r="S49" s="152"/>
      <c r="T49" s="153" t="n">
        <v>0.004373</v>
      </c>
      <c r="U49" s="152"/>
      <c r="V49" s="152"/>
      <c r="W49" s="152"/>
      <c r="X49" s="152"/>
      <c r="Y49" s="152"/>
      <c r="Z49" s="152"/>
      <c r="AA49" s="152"/>
      <c r="AB49" s="152"/>
      <c r="AC49" s="260" t="n">
        <v>0.0052</v>
      </c>
      <c r="AD49" s="156" t="n">
        <f aca="false">IF(T49="","",T49)</f>
        <v>0.004373</v>
      </c>
      <c r="AE49" s="153"/>
      <c r="AF49" s="494" t="n">
        <v>0.0052</v>
      </c>
      <c r="AH49" s="19" t="str">
        <f aca="false">IF(AF49="","N","Y")</f>
        <v>Y</v>
      </c>
      <c r="AI49" s="63" t="s">
        <v>100</v>
      </c>
      <c r="AJ49" s="63" t="s">
        <v>101</v>
      </c>
      <c r="AK49" s="19"/>
      <c r="AL49" s="63" t="s">
        <v>102</v>
      </c>
    </row>
    <row r="50" customFormat="false" ht="16.5" hidden="false" customHeight="true" outlineLevel="0" collapsed="false">
      <c r="B50" s="141" t="n">
        <v>42724</v>
      </c>
      <c r="C50" s="142" t="n">
        <v>42724</v>
      </c>
      <c r="D50" s="142" t="n">
        <v>42730</v>
      </c>
      <c r="E50" s="19" t="n">
        <f aca="false">D50-C50</f>
        <v>6</v>
      </c>
      <c r="F50" s="100" t="n">
        <f aca="false">TRUNC(E50/30,0)</f>
        <v>0</v>
      </c>
      <c r="G50" s="183" t="s">
        <v>95</v>
      </c>
      <c r="H50" s="146" t="n">
        <v>25</v>
      </c>
      <c r="I50" s="147"/>
      <c r="J50" s="148"/>
      <c r="K50" s="149"/>
      <c r="L50" s="152" t="n">
        <v>0.006811</v>
      </c>
      <c r="M50" s="151"/>
      <c r="N50" s="152" t="n">
        <v>0.005</v>
      </c>
      <c r="O50" s="151"/>
      <c r="P50" s="152"/>
      <c r="Q50" s="152"/>
      <c r="R50" s="152"/>
      <c r="S50" s="152"/>
      <c r="T50" s="153" t="n">
        <v>0.003275</v>
      </c>
      <c r="U50" s="152"/>
      <c r="V50" s="152"/>
      <c r="W50" s="152"/>
      <c r="X50" s="152"/>
      <c r="Y50" s="152"/>
      <c r="Z50" s="152"/>
      <c r="AA50" s="152"/>
      <c r="AB50" s="152"/>
      <c r="AC50" s="260" t="n">
        <v>0.0033</v>
      </c>
      <c r="AD50" s="156" t="n">
        <f aca="false">IF(T50="","",T50)</f>
        <v>0.003275</v>
      </c>
      <c r="AE50" s="153"/>
      <c r="AF50" s="494"/>
      <c r="AH50" s="19" t="str">
        <f aca="false">IF(AF50="","N","Y")</f>
        <v>N</v>
      </c>
      <c r="AI50" s="63" t="s">
        <v>100</v>
      </c>
      <c r="AJ50" s="63" t="s">
        <v>101</v>
      </c>
      <c r="AK50" s="19"/>
      <c r="AL50" s="63" t="s">
        <v>102</v>
      </c>
    </row>
    <row r="51" customFormat="false" ht="16.5" hidden="false" customHeight="true" outlineLevel="0" collapsed="false">
      <c r="B51" s="141" t="n">
        <v>42724</v>
      </c>
      <c r="C51" s="142" t="n">
        <v>42724</v>
      </c>
      <c r="D51" s="142" t="n">
        <v>42732</v>
      </c>
      <c r="E51" s="19" t="n">
        <f aca="false">D51-C51</f>
        <v>8</v>
      </c>
      <c r="F51" s="100" t="n">
        <f aca="false">TRUNC(E51/30,0)</f>
        <v>0</v>
      </c>
      <c r="G51" s="183" t="s">
        <v>95</v>
      </c>
      <c r="H51" s="146" t="n">
        <v>25</v>
      </c>
      <c r="I51" s="147"/>
      <c r="J51" s="148"/>
      <c r="K51" s="149"/>
      <c r="L51" s="152" t="n">
        <v>0.0070306</v>
      </c>
      <c r="M51" s="151"/>
      <c r="N51" s="152" t="n">
        <v>0.005</v>
      </c>
      <c r="O51" s="151"/>
      <c r="P51" s="152"/>
      <c r="Q51" s="152"/>
      <c r="R51" s="152"/>
      <c r="S51" s="152"/>
      <c r="T51" s="153" t="n">
        <v>0.003875</v>
      </c>
      <c r="U51" s="152"/>
      <c r="V51" s="152"/>
      <c r="W51" s="152"/>
      <c r="X51" s="152"/>
      <c r="Y51" s="152"/>
      <c r="Z51" s="152"/>
      <c r="AA51" s="152"/>
      <c r="AB51" s="152"/>
      <c r="AC51" s="260" t="n">
        <v>0.0039</v>
      </c>
      <c r="AD51" s="156" t="n">
        <f aca="false">IF(T51="","",T51)</f>
        <v>0.003875</v>
      </c>
      <c r="AE51" s="153"/>
      <c r="AF51" s="494"/>
      <c r="AH51" s="19" t="str">
        <f aca="false">IF(AF51="","N","Y")</f>
        <v>N</v>
      </c>
      <c r="AI51" s="63" t="s">
        <v>100</v>
      </c>
      <c r="AJ51" s="63" t="s">
        <v>101</v>
      </c>
      <c r="AK51" s="19"/>
      <c r="AL51" s="63" t="s">
        <v>102</v>
      </c>
    </row>
    <row r="52" customFormat="false" ht="16.5" hidden="false" customHeight="true" outlineLevel="0" collapsed="false">
      <c r="B52" s="141" t="n">
        <v>42724</v>
      </c>
      <c r="C52" s="142" t="n">
        <v>42724</v>
      </c>
      <c r="D52" s="142" t="n">
        <v>42755</v>
      </c>
      <c r="E52" s="19" t="n">
        <f aca="false">D52-C52</f>
        <v>31</v>
      </c>
      <c r="F52" s="100" t="n">
        <f aca="false">TRUNC(E52/30,0)</f>
        <v>1</v>
      </c>
      <c r="G52" s="189" t="s">
        <v>99</v>
      </c>
      <c r="H52" s="146" t="n">
        <v>50</v>
      </c>
      <c r="I52" s="147"/>
      <c r="J52" s="148"/>
      <c r="K52" s="149"/>
      <c r="L52" s="152"/>
      <c r="M52" s="151"/>
      <c r="N52" s="152"/>
      <c r="O52" s="151"/>
      <c r="P52" s="152"/>
      <c r="Q52" s="152"/>
      <c r="R52" s="152"/>
      <c r="S52" s="152"/>
      <c r="T52" s="153"/>
      <c r="U52" s="152"/>
      <c r="V52" s="152"/>
      <c r="W52" s="152"/>
      <c r="X52" s="152"/>
      <c r="Y52" s="152"/>
      <c r="Z52" s="152"/>
      <c r="AA52" s="152"/>
      <c r="AB52" s="152"/>
      <c r="AC52" s="260" t="n">
        <v>0.005</v>
      </c>
      <c r="AD52" s="156" t="str">
        <f aca="false">IF(T52="","",T52)</f>
        <v/>
      </c>
      <c r="AE52" s="153"/>
      <c r="AF52" s="494"/>
      <c r="AH52" s="19" t="str">
        <f aca="false">IF(AF52="","N","Y")</f>
        <v>N</v>
      </c>
      <c r="AI52" s="63" t="s">
        <v>96</v>
      </c>
      <c r="AJ52" s="63" t="s">
        <v>97</v>
      </c>
      <c r="AK52" s="19"/>
      <c r="AL52" s="63" t="s">
        <v>98</v>
      </c>
    </row>
    <row r="53" customFormat="false" ht="16.5" hidden="false" customHeight="true" outlineLevel="0" collapsed="false">
      <c r="B53" s="141" t="n">
        <v>42733</v>
      </c>
      <c r="C53" s="142" t="n">
        <v>42733</v>
      </c>
      <c r="D53" s="142" t="n">
        <v>42760</v>
      </c>
      <c r="E53" s="19" t="n">
        <f aca="false">D53-C53</f>
        <v>27</v>
      </c>
      <c r="F53" s="100" t="n">
        <f aca="false">TRUNC(E53/30,0)</f>
        <v>0</v>
      </c>
      <c r="G53" s="183" t="s">
        <v>95</v>
      </c>
      <c r="H53" s="146" t="n">
        <v>50</v>
      </c>
      <c r="I53" s="147"/>
      <c r="J53" s="148"/>
      <c r="K53" s="149"/>
      <c r="L53" s="152" t="n">
        <v>0.0071533</v>
      </c>
      <c r="M53" s="151"/>
      <c r="N53" s="152" t="n">
        <f aca="false">AVERAGE(0.0092,0.0075)</f>
        <v>0.00835</v>
      </c>
      <c r="O53" s="151"/>
      <c r="P53" s="152"/>
      <c r="Q53" s="152"/>
      <c r="R53" s="152"/>
      <c r="S53" s="152"/>
      <c r="T53" s="153" t="n">
        <v>0.00399</v>
      </c>
      <c r="U53" s="152"/>
      <c r="V53" s="152"/>
      <c r="W53" s="152"/>
      <c r="X53" s="152"/>
      <c r="Y53" s="152"/>
      <c r="Z53" s="152"/>
      <c r="AA53" s="152"/>
      <c r="AB53" s="152"/>
      <c r="AC53" s="260" t="n">
        <v>0.0059</v>
      </c>
      <c r="AD53" s="156" t="n">
        <f aca="false">IF(T53="","",T53)</f>
        <v>0.00399</v>
      </c>
      <c r="AE53" s="153"/>
      <c r="AF53" s="494"/>
      <c r="AH53" s="19" t="str">
        <f aca="false">IF(AF53="","N","Y")</f>
        <v>N</v>
      </c>
      <c r="AI53" s="63" t="s">
        <v>100</v>
      </c>
      <c r="AJ53" s="63" t="s">
        <v>101</v>
      </c>
      <c r="AK53" s="19"/>
      <c r="AL53" s="63" t="s">
        <v>102</v>
      </c>
    </row>
    <row r="54" customFormat="false" ht="16.5" hidden="false" customHeight="true" outlineLevel="0" collapsed="false">
      <c r="B54" s="141" t="n">
        <v>42733</v>
      </c>
      <c r="C54" s="142" t="n">
        <v>42733</v>
      </c>
      <c r="D54" s="142" t="n">
        <v>42767</v>
      </c>
      <c r="E54" s="19" t="n">
        <f aca="false">D54-C54</f>
        <v>34</v>
      </c>
      <c r="F54" s="100" t="n">
        <f aca="false">TRUNC(E54/30,0)</f>
        <v>1</v>
      </c>
      <c r="G54" s="183" t="s">
        <v>95</v>
      </c>
      <c r="H54" s="146" t="n">
        <v>50</v>
      </c>
      <c r="I54" s="147"/>
      <c r="J54" s="148"/>
      <c r="K54" s="149"/>
      <c r="L54" s="152" t="n">
        <v>0.0077</v>
      </c>
      <c r="M54" s="151"/>
      <c r="N54" s="152" t="n">
        <f aca="false">AVERAGE(0.0092,0.0075)</f>
        <v>0.00835</v>
      </c>
      <c r="O54" s="151"/>
      <c r="P54" s="152"/>
      <c r="Q54" s="152"/>
      <c r="R54" s="152"/>
      <c r="S54" s="152"/>
      <c r="T54" s="153" t="n">
        <v>0.005021</v>
      </c>
      <c r="U54" s="152"/>
      <c r="V54" s="152"/>
      <c r="W54" s="152"/>
      <c r="X54" s="152"/>
      <c r="Y54" s="152"/>
      <c r="Z54" s="152"/>
      <c r="AA54" s="152"/>
      <c r="AB54" s="152"/>
      <c r="AC54" s="260" t="n">
        <v>0.0059</v>
      </c>
      <c r="AD54" s="156" t="n">
        <f aca="false">IF(T54="","",T54)</f>
        <v>0.005021</v>
      </c>
      <c r="AE54" s="153"/>
      <c r="AF54" s="494"/>
      <c r="AH54" s="19" t="str">
        <f aca="false">IF(AF54="","N","Y")</f>
        <v>N</v>
      </c>
      <c r="AI54" s="63" t="s">
        <v>100</v>
      </c>
      <c r="AJ54" s="63" t="s">
        <v>101</v>
      </c>
      <c r="AK54" s="19"/>
      <c r="AL54" s="63" t="s">
        <v>102</v>
      </c>
    </row>
    <row r="55" customFormat="false" ht="16.5" hidden="false" customHeight="true" outlineLevel="0" collapsed="false">
      <c r="B55" s="141" t="n">
        <v>42734</v>
      </c>
      <c r="C55" s="142" t="n">
        <v>42734</v>
      </c>
      <c r="D55" s="142" t="n">
        <v>42774</v>
      </c>
      <c r="E55" s="19" t="n">
        <f aca="false">D55-C55</f>
        <v>40</v>
      </c>
      <c r="F55" s="100" t="n">
        <f aca="false">TRUNC(E55/30,0)</f>
        <v>1</v>
      </c>
      <c r="G55" s="183" t="s">
        <v>95</v>
      </c>
      <c r="H55" s="146" t="n">
        <v>60</v>
      </c>
      <c r="I55" s="147"/>
      <c r="J55" s="148"/>
      <c r="K55" s="149"/>
      <c r="L55" s="152" t="n">
        <v>0.0077111</v>
      </c>
      <c r="M55" s="151"/>
      <c r="N55" s="152" t="n">
        <f aca="false">AVERAGE(0.0095,0.0075)</f>
        <v>0.0085</v>
      </c>
      <c r="O55" s="151"/>
      <c r="P55" s="152"/>
      <c r="Q55" s="152"/>
      <c r="R55" s="152"/>
      <c r="S55" s="152"/>
      <c r="T55" s="153" t="n">
        <v>0.005031</v>
      </c>
      <c r="U55" s="152"/>
      <c r="V55" s="152"/>
      <c r="W55" s="152"/>
      <c r="X55" s="152"/>
      <c r="Y55" s="152"/>
      <c r="Z55" s="152"/>
      <c r="AA55" s="152"/>
      <c r="AB55" s="152"/>
      <c r="AC55" s="260" t="n">
        <v>0.0064</v>
      </c>
      <c r="AD55" s="156" t="n">
        <f aca="false">IF(T55="","",T55)</f>
        <v>0.005031</v>
      </c>
      <c r="AE55" s="153"/>
      <c r="AF55" s="494"/>
      <c r="AH55" s="19" t="str">
        <f aca="false">IF(AF55="","N","Y")</f>
        <v>N</v>
      </c>
      <c r="AI55" s="63" t="s">
        <v>100</v>
      </c>
      <c r="AJ55" s="63" t="s">
        <v>101</v>
      </c>
      <c r="AK55" s="19"/>
      <c r="AL55" s="63" t="s">
        <v>102</v>
      </c>
    </row>
    <row r="56" customFormat="false" ht="16.5" hidden="false" customHeight="true" outlineLevel="0" collapsed="false">
      <c r="B56" s="141" t="n">
        <v>42734</v>
      </c>
      <c r="C56" s="142" t="n">
        <v>42734</v>
      </c>
      <c r="D56" s="142" t="n">
        <v>42781</v>
      </c>
      <c r="E56" s="19" t="n">
        <f aca="false">D56-C56</f>
        <v>47</v>
      </c>
      <c r="F56" s="100" t="n">
        <f aca="false">TRUNC(E56/30,0)</f>
        <v>1</v>
      </c>
      <c r="G56" s="183" t="s">
        <v>95</v>
      </c>
      <c r="H56" s="146" t="n">
        <v>60</v>
      </c>
      <c r="I56" s="147"/>
      <c r="J56" s="148"/>
      <c r="K56" s="149"/>
      <c r="L56" s="152" t="n">
        <v>0.0077111</v>
      </c>
      <c r="M56" s="151"/>
      <c r="N56" s="152" t="n">
        <f aca="false">AVERAGE(0.0095,0.0075)</f>
        <v>0.0085</v>
      </c>
      <c r="O56" s="151"/>
      <c r="P56" s="152"/>
      <c r="Q56" s="152"/>
      <c r="R56" s="152"/>
      <c r="S56" s="152"/>
      <c r="T56" s="153" t="n">
        <v>0.005031</v>
      </c>
      <c r="U56" s="152"/>
      <c r="V56" s="152"/>
      <c r="W56" s="152"/>
      <c r="X56" s="152"/>
      <c r="Y56" s="152"/>
      <c r="Z56" s="152"/>
      <c r="AA56" s="152"/>
      <c r="AB56" s="152"/>
      <c r="AC56" s="260" t="n">
        <v>0.0064</v>
      </c>
      <c r="AD56" s="156" t="n">
        <f aca="false">IF(T56="","",T56)</f>
        <v>0.005031</v>
      </c>
      <c r="AE56" s="153"/>
      <c r="AF56" s="494"/>
      <c r="AH56" s="19" t="str">
        <f aca="false">IF(AF56="","N","Y")</f>
        <v>N</v>
      </c>
      <c r="AI56" s="63" t="s">
        <v>100</v>
      </c>
      <c r="AJ56" s="63" t="s">
        <v>101</v>
      </c>
      <c r="AK56" s="19"/>
      <c r="AL56" s="63" t="s">
        <v>102</v>
      </c>
    </row>
    <row r="57" customFormat="false" ht="16.5" hidden="false" customHeight="true" outlineLevel="0" collapsed="false">
      <c r="A57" s="19" t="n">
        <v>1</v>
      </c>
      <c r="B57" s="141" t="n">
        <v>42737</v>
      </c>
      <c r="C57" s="142" t="n">
        <v>42737</v>
      </c>
      <c r="D57" s="142" t="n">
        <v>42766</v>
      </c>
      <c r="E57" s="19" t="n">
        <f aca="false">D57-C57</f>
        <v>29</v>
      </c>
      <c r="F57" s="100" t="n">
        <f aca="false">TRUNC(E57/30,0)</f>
        <v>0</v>
      </c>
      <c r="G57" s="189" t="s">
        <v>99</v>
      </c>
      <c r="H57" s="146" t="n">
        <v>50</v>
      </c>
      <c r="I57" s="147"/>
      <c r="J57" s="148"/>
      <c r="K57" s="149"/>
      <c r="L57" s="152"/>
      <c r="M57" s="151"/>
      <c r="N57" s="152"/>
      <c r="O57" s="151"/>
      <c r="P57" s="152"/>
      <c r="Q57" s="152"/>
      <c r="R57" s="152"/>
      <c r="S57" s="152"/>
      <c r="T57" s="153"/>
      <c r="U57" s="152"/>
      <c r="V57" s="152"/>
      <c r="W57" s="152"/>
      <c r="X57" s="152"/>
      <c r="Y57" s="152"/>
      <c r="Z57" s="152"/>
      <c r="AA57" s="152"/>
      <c r="AB57" s="152"/>
      <c r="AC57" s="260" t="n">
        <v>0.0064</v>
      </c>
      <c r="AD57" s="156" t="str">
        <f aca="false">IF(T57="","",T57)</f>
        <v/>
      </c>
      <c r="AE57" s="153"/>
      <c r="AF57" s="494"/>
      <c r="AH57" s="19" t="str">
        <f aca="false">IF(AF57="","N","Y")</f>
        <v>N</v>
      </c>
      <c r="AI57" s="63" t="s">
        <v>96</v>
      </c>
      <c r="AJ57" s="63" t="s">
        <v>97</v>
      </c>
      <c r="AK57" s="19"/>
      <c r="AL57" s="63" t="s">
        <v>98</v>
      </c>
    </row>
    <row r="58" customFormat="false" ht="16.5" hidden="false" customHeight="true" outlineLevel="0" collapsed="false">
      <c r="A58" s="19" t="n">
        <v>2</v>
      </c>
      <c r="B58" s="141" t="n">
        <v>42739</v>
      </c>
      <c r="C58" s="142" t="n">
        <v>42739</v>
      </c>
      <c r="D58" s="142" t="n">
        <v>42789</v>
      </c>
      <c r="E58" s="19" t="n">
        <f aca="false">D58-C58</f>
        <v>50</v>
      </c>
      <c r="F58" s="100" t="n">
        <f aca="false">TRUNC(E58/30,0)</f>
        <v>1</v>
      </c>
      <c r="G58" s="183" t="s">
        <v>95</v>
      </c>
      <c r="H58" s="146" t="n">
        <v>50</v>
      </c>
      <c r="I58" s="147"/>
      <c r="J58" s="148"/>
      <c r="K58" s="149"/>
      <c r="L58" s="152" t="n">
        <v>0.0077333</v>
      </c>
      <c r="M58" s="151"/>
      <c r="N58" s="152" t="n">
        <f aca="false">AVERAGE(0.011,0.0093)</f>
        <v>0.01015</v>
      </c>
      <c r="O58" s="151"/>
      <c r="P58" s="152"/>
      <c r="Q58" s="152"/>
      <c r="R58" s="152"/>
      <c r="S58" s="152"/>
      <c r="T58" s="153" t="n">
        <v>0.005053</v>
      </c>
      <c r="U58" s="152"/>
      <c r="V58" s="152"/>
      <c r="W58" s="152"/>
      <c r="X58" s="152"/>
      <c r="Y58" s="152"/>
      <c r="Z58" s="152"/>
      <c r="AA58" s="152"/>
      <c r="AB58" s="152"/>
      <c r="AC58" s="260" t="n">
        <v>0.0075</v>
      </c>
      <c r="AD58" s="156" t="n">
        <f aca="false">IF(T58="","",T58)</f>
        <v>0.005053</v>
      </c>
      <c r="AE58" s="153"/>
      <c r="AF58" s="494"/>
      <c r="AH58" s="19" t="str">
        <f aca="false">IF(AF58="","N","Y")</f>
        <v>N</v>
      </c>
      <c r="AI58" s="63" t="s">
        <v>100</v>
      </c>
      <c r="AJ58" s="63" t="s">
        <v>101</v>
      </c>
      <c r="AK58" s="19"/>
      <c r="AL58" s="63" t="s">
        <v>102</v>
      </c>
    </row>
    <row r="59" customFormat="false" ht="16.5" hidden="false" customHeight="true" outlineLevel="0" collapsed="false">
      <c r="A59" s="19" t="n">
        <v>3</v>
      </c>
      <c r="B59" s="141" t="n">
        <v>42746</v>
      </c>
      <c r="C59" s="142" t="n">
        <v>42746</v>
      </c>
      <c r="D59" s="142" t="n">
        <v>42801</v>
      </c>
      <c r="E59" s="19" t="n">
        <f aca="false">D59-C59</f>
        <v>55</v>
      </c>
      <c r="F59" s="100" t="n">
        <f aca="false">TRUNC(E59/30,0)</f>
        <v>1</v>
      </c>
      <c r="G59" s="183" t="s">
        <v>95</v>
      </c>
      <c r="H59" s="146" t="n">
        <v>60</v>
      </c>
      <c r="I59" s="147"/>
      <c r="J59" s="148"/>
      <c r="K59" s="149"/>
      <c r="L59" s="152" t="n">
        <v>0.00765</v>
      </c>
      <c r="M59" s="151"/>
      <c r="N59" s="152" t="n">
        <f aca="false">AVERAGE(0.012,0.009)</f>
        <v>0.0105</v>
      </c>
      <c r="O59" s="151"/>
      <c r="P59" s="152"/>
      <c r="Q59" s="152"/>
      <c r="R59" s="152"/>
      <c r="S59" s="152"/>
      <c r="T59" s="153" t="n">
        <v>0.004972</v>
      </c>
      <c r="U59" s="152"/>
      <c r="V59" s="152"/>
      <c r="W59" s="152"/>
      <c r="X59" s="152"/>
      <c r="Y59" s="152"/>
      <c r="Z59" s="152"/>
      <c r="AA59" s="152"/>
      <c r="AB59" s="152"/>
      <c r="AC59" s="260" t="n">
        <v>0.0075</v>
      </c>
      <c r="AD59" s="156" t="n">
        <f aca="false">IF(T59="","",T59)</f>
        <v>0.004972</v>
      </c>
      <c r="AE59" s="153"/>
      <c r="AF59" s="494" t="n">
        <v>0.0073</v>
      </c>
      <c r="AH59" s="19" t="str">
        <f aca="false">IF(AF59="","N","Y")</f>
        <v>Y</v>
      </c>
      <c r="AI59" s="63" t="s">
        <v>100</v>
      </c>
      <c r="AJ59" s="63" t="s">
        <v>101</v>
      </c>
      <c r="AK59" s="19"/>
      <c r="AL59" s="63" t="s">
        <v>102</v>
      </c>
    </row>
    <row r="60" customFormat="false" ht="16.5" hidden="false" customHeight="true" outlineLevel="0" collapsed="false">
      <c r="A60" s="19" t="n">
        <v>4</v>
      </c>
      <c r="B60" s="141" t="n">
        <v>42753</v>
      </c>
      <c r="C60" s="142" t="n">
        <v>42753</v>
      </c>
      <c r="D60" s="142" t="n">
        <v>42801</v>
      </c>
      <c r="E60" s="19" t="n">
        <f aca="false">D60-C60</f>
        <v>48</v>
      </c>
      <c r="F60" s="100" t="n">
        <f aca="false">TRUNC(E60/30,0)</f>
        <v>1</v>
      </c>
      <c r="G60" s="183" t="s">
        <v>95</v>
      </c>
      <c r="H60" s="146" t="n">
        <v>40</v>
      </c>
      <c r="I60" s="147"/>
      <c r="J60" s="148"/>
      <c r="K60" s="149"/>
      <c r="L60" s="152" t="n">
        <v>0.0076944</v>
      </c>
      <c r="M60" s="151"/>
      <c r="N60" s="152" t="n">
        <f aca="false">AVERAGE(0.011,0.009)</f>
        <v>0.01</v>
      </c>
      <c r="O60" s="151"/>
      <c r="P60" s="152"/>
      <c r="Q60" s="152"/>
      <c r="R60" s="152"/>
      <c r="S60" s="152"/>
      <c r="T60" s="153" t="n">
        <v>0.005015</v>
      </c>
      <c r="U60" s="152"/>
      <c r="V60" s="152"/>
      <c r="W60" s="152"/>
      <c r="X60" s="152"/>
      <c r="Y60" s="152"/>
      <c r="Z60" s="152"/>
      <c r="AA60" s="152"/>
      <c r="AB60" s="152"/>
      <c r="AC60" s="260" t="n">
        <v>0.0064</v>
      </c>
      <c r="AD60" s="156" t="n">
        <f aca="false">IF(T60="","",T60)</f>
        <v>0.005015</v>
      </c>
      <c r="AE60" s="153"/>
      <c r="AF60" s="494"/>
      <c r="AH60" s="19" t="str">
        <f aca="false">IF(AF60="","N","Y")</f>
        <v>N</v>
      </c>
      <c r="AI60" s="63" t="s">
        <v>100</v>
      </c>
      <c r="AJ60" s="63" t="s">
        <v>101</v>
      </c>
      <c r="AK60" s="19"/>
      <c r="AL60" s="63" t="s">
        <v>102</v>
      </c>
    </row>
    <row r="61" customFormat="false" ht="16.5" hidden="false" customHeight="true" outlineLevel="0" collapsed="false">
      <c r="A61" s="19" t="n">
        <v>5</v>
      </c>
      <c r="B61" s="141" t="n">
        <v>42753</v>
      </c>
      <c r="C61" s="142" t="n">
        <v>42753</v>
      </c>
      <c r="D61" s="142" t="n">
        <v>42784</v>
      </c>
      <c r="E61" s="19" t="n">
        <f aca="false">D61-C61</f>
        <v>31</v>
      </c>
      <c r="F61" s="100" t="n">
        <f aca="false">TRUNC(E61/30,0)</f>
        <v>1</v>
      </c>
      <c r="G61" s="189" t="s">
        <v>99</v>
      </c>
      <c r="H61" s="146" t="n">
        <v>50</v>
      </c>
      <c r="I61" s="147"/>
      <c r="J61" s="148"/>
      <c r="K61" s="149"/>
      <c r="L61" s="152" t="n">
        <v>0.0076944</v>
      </c>
      <c r="M61" s="151"/>
      <c r="N61" s="152" t="n">
        <f aca="false">AVERAGE(0.011,0.009)</f>
        <v>0.01</v>
      </c>
      <c r="O61" s="151"/>
      <c r="P61" s="152"/>
      <c r="Q61" s="152"/>
      <c r="R61" s="152"/>
      <c r="S61" s="152"/>
      <c r="T61" s="153" t="n">
        <v>0.005015</v>
      </c>
      <c r="U61" s="152"/>
      <c r="V61" s="152"/>
      <c r="W61" s="152"/>
      <c r="X61" s="152"/>
      <c r="Y61" s="152"/>
      <c r="Z61" s="152"/>
      <c r="AA61" s="152"/>
      <c r="AB61" s="152"/>
      <c r="AC61" s="260" t="n">
        <v>0.006</v>
      </c>
      <c r="AD61" s="156" t="n">
        <f aca="false">IF(T61="","",T61)</f>
        <v>0.005015</v>
      </c>
      <c r="AE61" s="153"/>
      <c r="AF61" s="494"/>
      <c r="AH61" s="19" t="str">
        <f aca="false">IF(AF61="","N","Y")</f>
        <v>N</v>
      </c>
      <c r="AI61" s="63" t="s">
        <v>96</v>
      </c>
      <c r="AJ61" s="63" t="s">
        <v>97</v>
      </c>
      <c r="AK61" s="19"/>
      <c r="AL61" s="19" t="s">
        <v>112</v>
      </c>
    </row>
    <row r="62" customFormat="false" ht="16.5" hidden="false" customHeight="true" outlineLevel="0" collapsed="false">
      <c r="A62" s="19" t="n">
        <v>6</v>
      </c>
      <c r="B62" s="141" t="n">
        <v>42759</v>
      </c>
      <c r="C62" s="142" t="n">
        <v>42759</v>
      </c>
      <c r="D62" s="142" t="n">
        <v>42790</v>
      </c>
      <c r="E62" s="19" t="n">
        <f aca="false">D62-C62</f>
        <v>31</v>
      </c>
      <c r="F62" s="100" t="n">
        <f aca="false">TRUNC(E62/30,0)</f>
        <v>1</v>
      </c>
      <c r="G62" s="189" t="s">
        <v>99</v>
      </c>
      <c r="H62" s="146" t="n">
        <v>50</v>
      </c>
      <c r="I62" s="147"/>
      <c r="J62" s="148"/>
      <c r="K62" s="149"/>
      <c r="L62" s="152" t="n">
        <v>0.0077111</v>
      </c>
      <c r="M62" s="151"/>
      <c r="N62" s="152" t="n">
        <f aca="false">AVERAGE(0.0103,0.01)</f>
        <v>0.01015</v>
      </c>
      <c r="O62" s="151"/>
      <c r="P62" s="152"/>
      <c r="Q62" s="152"/>
      <c r="R62" s="152"/>
      <c r="S62" s="152"/>
      <c r="T62" s="153" t="n">
        <v>0.005031</v>
      </c>
      <c r="U62" s="152"/>
      <c r="V62" s="152"/>
      <c r="W62" s="152"/>
      <c r="X62" s="152"/>
      <c r="Y62" s="152"/>
      <c r="Z62" s="152"/>
      <c r="AA62" s="152"/>
      <c r="AB62" s="152"/>
      <c r="AC62" s="260" t="n">
        <v>0.0064</v>
      </c>
      <c r="AD62" s="156" t="n">
        <f aca="false">IF(T62="","",T62)</f>
        <v>0.005031</v>
      </c>
      <c r="AE62" s="153"/>
      <c r="AF62" s="494"/>
      <c r="AH62" s="19" t="str">
        <f aca="false">IF(AF62="","N","Y")</f>
        <v>N</v>
      </c>
      <c r="AI62" s="63" t="s">
        <v>96</v>
      </c>
      <c r="AJ62" s="63" t="s">
        <v>97</v>
      </c>
      <c r="AK62" s="19"/>
      <c r="AL62" s="63" t="s">
        <v>98</v>
      </c>
    </row>
    <row r="63" customFormat="false" ht="16.5" hidden="false" customHeight="true" outlineLevel="0" collapsed="false">
      <c r="A63" s="19" t="n">
        <v>7</v>
      </c>
      <c r="B63" s="141" t="n">
        <v>42759</v>
      </c>
      <c r="C63" s="142" t="n">
        <v>42759</v>
      </c>
      <c r="D63" s="142" t="n">
        <v>42818</v>
      </c>
      <c r="E63" s="19" t="n">
        <f aca="false">D63-C63</f>
        <v>59</v>
      </c>
      <c r="F63" s="100" t="n">
        <f aca="false">TRUNC(E63/30,0)</f>
        <v>1</v>
      </c>
      <c r="G63" s="183" t="s">
        <v>95</v>
      </c>
      <c r="H63" s="146" t="n">
        <v>50</v>
      </c>
      <c r="I63" s="147"/>
      <c r="J63" s="148"/>
      <c r="K63" s="149"/>
      <c r="L63" s="152" t="n">
        <v>0.0084694</v>
      </c>
      <c r="M63" s="151"/>
      <c r="N63" s="152" t="n">
        <f aca="false">AVERAGE(0.012,0.011)</f>
        <v>0.0115</v>
      </c>
      <c r="O63" s="151"/>
      <c r="P63" s="152"/>
      <c r="Q63" s="152"/>
      <c r="R63" s="152"/>
      <c r="S63" s="152"/>
      <c r="T63" s="153" t="n">
        <v>0.005031</v>
      </c>
      <c r="U63" s="152"/>
      <c r="V63" s="152"/>
      <c r="W63" s="152"/>
      <c r="X63" s="152"/>
      <c r="Y63" s="152"/>
      <c r="Z63" s="152"/>
      <c r="AA63" s="152"/>
      <c r="AB63" s="152"/>
      <c r="AC63" s="260" t="n">
        <v>0.0075</v>
      </c>
      <c r="AD63" s="156" t="n">
        <f aca="false">IF(T63="","",T63)</f>
        <v>0.005031</v>
      </c>
      <c r="AE63" s="153"/>
      <c r="AF63" s="494"/>
      <c r="AH63" s="19" t="str">
        <f aca="false">IF(AF63="","N","Y")</f>
        <v>N</v>
      </c>
      <c r="AI63" s="63" t="s">
        <v>96</v>
      </c>
      <c r="AJ63" s="63" t="s">
        <v>97</v>
      </c>
      <c r="AK63" s="19"/>
      <c r="AL63" s="63" t="s">
        <v>98</v>
      </c>
    </row>
    <row r="64" customFormat="false" ht="16.5" hidden="false" customHeight="true" outlineLevel="0" collapsed="false">
      <c r="A64" s="19" t="n">
        <v>8</v>
      </c>
      <c r="B64" s="141" t="n">
        <v>42761</v>
      </c>
      <c r="C64" s="142" t="n">
        <v>42761</v>
      </c>
      <c r="D64" s="142" t="n">
        <v>42851</v>
      </c>
      <c r="E64" s="19" t="n">
        <f aca="false">D64-C64</f>
        <v>90</v>
      </c>
      <c r="F64" s="100" t="n">
        <f aca="false">TRUNC(E64/30,0)</f>
        <v>3</v>
      </c>
      <c r="G64" s="183" t="s">
        <v>95</v>
      </c>
      <c r="H64" s="146" t="n">
        <v>50</v>
      </c>
      <c r="I64" s="147"/>
      <c r="J64" s="148"/>
      <c r="K64" s="149"/>
      <c r="L64" s="152" t="n">
        <v>0.0103789</v>
      </c>
      <c r="M64" s="151"/>
      <c r="N64" s="152" t="n">
        <f aca="false">AVERAGE(0.013,0.014)</f>
        <v>0.0135</v>
      </c>
      <c r="O64" s="151"/>
      <c r="P64" s="152"/>
      <c r="Q64" s="152"/>
      <c r="R64" s="152"/>
      <c r="S64" s="152"/>
      <c r="T64" s="153" t="n">
        <v>0.008046</v>
      </c>
      <c r="U64" s="152"/>
      <c r="V64" s="152"/>
      <c r="W64" s="152"/>
      <c r="X64" s="152"/>
      <c r="Y64" s="152"/>
      <c r="Z64" s="152"/>
      <c r="AA64" s="152"/>
      <c r="AB64" s="152"/>
      <c r="AC64" s="260" t="n">
        <v>0.009</v>
      </c>
      <c r="AD64" s="156" t="n">
        <f aca="false">IF(T64="","",T64)</f>
        <v>0.008046</v>
      </c>
      <c r="AE64" s="153"/>
      <c r="AF64" s="494"/>
      <c r="AH64" s="19" t="str">
        <f aca="false">IF(AF64="","N","Y")</f>
        <v>N</v>
      </c>
      <c r="AI64" s="63" t="s">
        <v>96</v>
      </c>
      <c r="AJ64" s="63" t="s">
        <v>97</v>
      </c>
      <c r="AK64" s="19"/>
      <c r="AL64" s="63" t="s">
        <v>98</v>
      </c>
    </row>
    <row r="65" customFormat="false" ht="16.5" hidden="false" customHeight="true" outlineLevel="0" collapsed="false">
      <c r="A65" s="19" t="n">
        <v>9</v>
      </c>
      <c r="B65" s="141" t="n">
        <v>42760</v>
      </c>
      <c r="C65" s="142" t="n">
        <v>42760</v>
      </c>
      <c r="D65" s="142" t="n">
        <v>42801</v>
      </c>
      <c r="E65" s="19" t="n">
        <f aca="false">D65-C65</f>
        <v>41</v>
      </c>
      <c r="F65" s="100" t="n">
        <f aca="false">TRUNC(E65/30,0)</f>
        <v>1</v>
      </c>
      <c r="G65" s="183" t="s">
        <v>95</v>
      </c>
      <c r="H65" s="146" t="n">
        <v>50</v>
      </c>
      <c r="I65" s="147"/>
      <c r="J65" s="148"/>
      <c r="K65" s="149"/>
      <c r="L65" s="152" t="n">
        <v>0.0077333</v>
      </c>
      <c r="M65" s="151"/>
      <c r="N65" s="152" t="n">
        <f aca="false">AVERAGE(0.0103,0.01)</f>
        <v>0.01015</v>
      </c>
      <c r="O65" s="151"/>
      <c r="P65" s="152"/>
      <c r="Q65" s="152"/>
      <c r="R65" s="152"/>
      <c r="S65" s="152"/>
      <c r="T65" s="153" t="n">
        <v>0.005053</v>
      </c>
      <c r="U65" s="152"/>
      <c r="V65" s="152"/>
      <c r="W65" s="152"/>
      <c r="X65" s="152"/>
      <c r="Y65" s="152"/>
      <c r="Z65" s="152"/>
      <c r="AA65" s="152"/>
      <c r="AB65" s="152"/>
      <c r="AC65" s="260" t="n">
        <v>0.0071</v>
      </c>
      <c r="AD65" s="156" t="n">
        <f aca="false">IF(T65="","",T65)</f>
        <v>0.005053</v>
      </c>
      <c r="AE65" s="153"/>
      <c r="AF65" s="494"/>
      <c r="AH65" s="19" t="str">
        <f aca="false">IF(AF65="","N","Y")</f>
        <v>N</v>
      </c>
      <c r="AI65" s="63" t="s">
        <v>100</v>
      </c>
      <c r="AJ65" s="63" t="s">
        <v>101</v>
      </c>
      <c r="AK65" s="19"/>
      <c r="AL65" s="63" t="s">
        <v>102</v>
      </c>
    </row>
    <row r="66" customFormat="false" ht="16.5" hidden="false" customHeight="true" outlineLevel="0" collapsed="false">
      <c r="A66" s="19" t="n">
        <v>10</v>
      </c>
      <c r="B66" s="141" t="n">
        <v>42761</v>
      </c>
      <c r="C66" s="142" t="n">
        <v>42761</v>
      </c>
      <c r="D66" s="142" t="n">
        <v>42794</v>
      </c>
      <c r="E66" s="19" t="n">
        <f aca="false">D66-C66</f>
        <v>33</v>
      </c>
      <c r="F66" s="100" t="n">
        <f aca="false">TRUNC(E66/30,0)</f>
        <v>1</v>
      </c>
      <c r="G66" s="189" t="s">
        <v>99</v>
      </c>
      <c r="H66" s="146" t="n">
        <v>50</v>
      </c>
      <c r="I66" s="147"/>
      <c r="J66" s="148"/>
      <c r="K66" s="149"/>
      <c r="L66" s="152" t="n">
        <v>0.0077333</v>
      </c>
      <c r="M66" s="151"/>
      <c r="N66" s="152" t="n">
        <f aca="false">AVERAGE(0.0103,0.01)</f>
        <v>0.01015</v>
      </c>
      <c r="O66" s="151"/>
      <c r="P66" s="152"/>
      <c r="Q66" s="152"/>
      <c r="R66" s="152"/>
      <c r="S66" s="152"/>
      <c r="T66" s="153" t="n">
        <v>0.005053</v>
      </c>
      <c r="U66" s="152"/>
      <c r="V66" s="152"/>
      <c r="W66" s="152"/>
      <c r="X66" s="152"/>
      <c r="Y66" s="152"/>
      <c r="Z66" s="152"/>
      <c r="AA66" s="152"/>
      <c r="AB66" s="152"/>
      <c r="AC66" s="260" t="n">
        <v>0.006</v>
      </c>
      <c r="AD66" s="156" t="n">
        <f aca="false">IF(T66="","",T66)</f>
        <v>0.005053</v>
      </c>
      <c r="AE66" s="153"/>
      <c r="AF66" s="494" t="n">
        <v>0.0057</v>
      </c>
      <c r="AH66" s="19" t="str">
        <f aca="false">IF(AF66="","N","Y")</f>
        <v>Y</v>
      </c>
      <c r="AI66" s="63" t="s">
        <v>96</v>
      </c>
      <c r="AJ66" s="63" t="s">
        <v>97</v>
      </c>
      <c r="AK66" s="19"/>
      <c r="AL66" s="19" t="s">
        <v>112</v>
      </c>
    </row>
    <row r="67" customFormat="false" ht="16.5" hidden="false" customHeight="true" outlineLevel="0" collapsed="false">
      <c r="A67" s="19" t="n">
        <v>11</v>
      </c>
      <c r="B67" s="141" t="n">
        <v>42767</v>
      </c>
      <c r="C67" s="142" t="n">
        <v>42767</v>
      </c>
      <c r="D67" s="142" t="n">
        <v>42801</v>
      </c>
      <c r="E67" s="19" t="n">
        <f aca="false">D67-C67</f>
        <v>34</v>
      </c>
      <c r="F67" s="100" t="n">
        <f aca="false">TRUNC(E67/30,0)</f>
        <v>1</v>
      </c>
      <c r="G67" s="183" t="s">
        <v>95</v>
      </c>
      <c r="H67" s="146" t="n">
        <v>70</v>
      </c>
      <c r="I67" s="147"/>
      <c r="J67" s="148"/>
      <c r="K67" s="149"/>
      <c r="L67" s="152" t="n">
        <v>0.0077944</v>
      </c>
      <c r="M67" s="151"/>
      <c r="N67" s="152" t="n">
        <f aca="false">AVERAGE(0.008,0.0087)</f>
        <v>0.00835</v>
      </c>
      <c r="O67" s="151"/>
      <c r="P67" s="152"/>
      <c r="Q67" s="152"/>
      <c r="R67" s="152"/>
      <c r="S67" s="152"/>
      <c r="T67" s="153" t="n">
        <v>0.005113</v>
      </c>
      <c r="U67" s="152"/>
      <c r="V67" s="152"/>
      <c r="W67" s="152"/>
      <c r="X67" s="152"/>
      <c r="Y67" s="152"/>
      <c r="Z67" s="152"/>
      <c r="AA67" s="152"/>
      <c r="AB67" s="152"/>
      <c r="AC67" s="260" t="n">
        <v>0.0063</v>
      </c>
      <c r="AD67" s="156" t="n">
        <f aca="false">IF(T67="","",T67)</f>
        <v>0.005113</v>
      </c>
      <c r="AE67" s="153"/>
      <c r="AF67" s="494"/>
      <c r="AH67" s="19" t="str">
        <f aca="false">IF(AF67="","N","Y")</f>
        <v>N</v>
      </c>
      <c r="AI67" s="63" t="s">
        <v>100</v>
      </c>
      <c r="AJ67" s="63" t="s">
        <v>101</v>
      </c>
      <c r="AK67" s="19"/>
      <c r="AL67" s="63" t="s">
        <v>102</v>
      </c>
    </row>
    <row r="68" customFormat="false" ht="16.5" hidden="false" customHeight="true" outlineLevel="0" collapsed="false">
      <c r="A68" s="19" t="n">
        <v>12</v>
      </c>
      <c r="B68" s="141" t="n">
        <v>42767</v>
      </c>
      <c r="C68" s="142" t="n">
        <v>42767</v>
      </c>
      <c r="D68" s="142" t="n">
        <v>42794</v>
      </c>
      <c r="E68" s="19" t="n">
        <f aca="false">D68-C68</f>
        <v>27</v>
      </c>
      <c r="F68" s="100" t="n">
        <f aca="false">TRUNC(E68/30,0)</f>
        <v>0</v>
      </c>
      <c r="G68" s="189" t="s">
        <v>99</v>
      </c>
      <c r="H68" s="146" t="n">
        <v>50</v>
      </c>
      <c r="I68" s="147"/>
      <c r="J68" s="148"/>
      <c r="K68" s="149"/>
      <c r="L68" s="152" t="n">
        <v>0.0077944</v>
      </c>
      <c r="M68" s="151"/>
      <c r="N68" s="152" t="n">
        <f aca="false">AVERAGE(0.008,0.0085)</f>
        <v>0.00825</v>
      </c>
      <c r="O68" s="151"/>
      <c r="P68" s="152"/>
      <c r="Q68" s="152"/>
      <c r="R68" s="152"/>
      <c r="S68" s="152"/>
      <c r="T68" s="153" t="n">
        <v>0.005113</v>
      </c>
      <c r="U68" s="152"/>
      <c r="V68" s="152"/>
      <c r="W68" s="152"/>
      <c r="X68" s="152"/>
      <c r="Y68" s="152"/>
      <c r="Z68" s="152"/>
      <c r="AA68" s="152"/>
      <c r="AB68" s="152"/>
      <c r="AC68" s="260" t="n">
        <v>0.0063</v>
      </c>
      <c r="AD68" s="156" t="n">
        <f aca="false">IF(T68="","",T68)</f>
        <v>0.005113</v>
      </c>
      <c r="AE68" s="153"/>
      <c r="AF68" s="494"/>
      <c r="AH68" s="19" t="str">
        <f aca="false">IF(AF68="","N","Y")</f>
        <v>N</v>
      </c>
      <c r="AI68" s="63" t="s">
        <v>96</v>
      </c>
      <c r="AJ68" s="63" t="s">
        <v>97</v>
      </c>
      <c r="AK68" s="19"/>
      <c r="AL68" s="63" t="s">
        <v>98</v>
      </c>
    </row>
    <row r="69" customFormat="false" ht="16.5" hidden="false" customHeight="true" outlineLevel="0" collapsed="false">
      <c r="A69" s="19" t="n">
        <v>13</v>
      </c>
      <c r="B69" s="141" t="n">
        <v>42774</v>
      </c>
      <c r="C69" s="142" t="n">
        <v>42774</v>
      </c>
      <c r="D69" s="142" t="n">
        <v>42801</v>
      </c>
      <c r="E69" s="19" t="n">
        <f aca="false">D69-C69</f>
        <v>27</v>
      </c>
      <c r="F69" s="100" t="n">
        <f aca="false">TRUNC(E69/30,0)</f>
        <v>0</v>
      </c>
      <c r="G69" s="183" t="s">
        <v>95</v>
      </c>
      <c r="H69" s="146" t="n">
        <v>40</v>
      </c>
      <c r="I69" s="147"/>
      <c r="J69" s="148"/>
      <c r="K69" s="149"/>
      <c r="L69" s="152" t="n">
        <v>0.0077278</v>
      </c>
      <c r="M69" s="151"/>
      <c r="N69" s="152" t="n">
        <f aca="false">AVERAGE(0.008,0.0087)</f>
        <v>0.00835</v>
      </c>
      <c r="O69" s="151"/>
      <c r="P69" s="152"/>
      <c r="Q69" s="152"/>
      <c r="R69" s="152"/>
      <c r="S69" s="152"/>
      <c r="T69" s="153" t="n">
        <v>0.004043</v>
      </c>
      <c r="U69" s="152"/>
      <c r="V69" s="152"/>
      <c r="W69" s="152"/>
      <c r="X69" s="152"/>
      <c r="Y69" s="152"/>
      <c r="Z69" s="152"/>
      <c r="AA69" s="152"/>
      <c r="AB69" s="152"/>
      <c r="AC69" s="260" t="n">
        <v>0.007</v>
      </c>
      <c r="AD69" s="156" t="n">
        <f aca="false">IF(T69="","",T69)</f>
        <v>0.004043</v>
      </c>
      <c r="AE69" s="153"/>
      <c r="AF69" s="494"/>
      <c r="AH69" s="19" t="str">
        <f aca="false">IF(AF69="","N","Y")</f>
        <v>N</v>
      </c>
      <c r="AI69" s="63" t="s">
        <v>100</v>
      </c>
      <c r="AJ69" s="63" t="s">
        <v>101</v>
      </c>
      <c r="AK69" s="19"/>
      <c r="AL69" s="63" t="s">
        <v>102</v>
      </c>
    </row>
    <row r="70" customFormat="false" ht="16.5" hidden="false" customHeight="true" outlineLevel="0" collapsed="false">
      <c r="A70" s="19" t="n">
        <v>14</v>
      </c>
      <c r="B70" s="141" t="n">
        <v>42781</v>
      </c>
      <c r="C70" s="142" t="n">
        <v>42781</v>
      </c>
      <c r="D70" s="142" t="n">
        <v>42811</v>
      </c>
      <c r="E70" s="19" t="n">
        <f aca="false">D70-C70</f>
        <v>30</v>
      </c>
      <c r="F70" s="100" t="n">
        <f aca="false">TRUNC(E70/30,0)</f>
        <v>1</v>
      </c>
      <c r="G70" s="183" t="s">
        <v>95</v>
      </c>
      <c r="H70" s="146" t="n">
        <v>60</v>
      </c>
      <c r="I70" s="147"/>
      <c r="J70" s="148"/>
      <c r="K70" s="149"/>
      <c r="L70" s="152" t="n">
        <v>0.0077</v>
      </c>
      <c r="M70" s="151"/>
      <c r="N70" s="152" t="n">
        <f aca="false">AVERAGE(0.008,0.0095)</f>
        <v>0.00875</v>
      </c>
      <c r="O70" s="151"/>
      <c r="P70" s="152"/>
      <c r="Q70" s="152"/>
      <c r="R70" s="152"/>
      <c r="S70" s="152"/>
      <c r="T70" s="153" t="n">
        <v>0.005021</v>
      </c>
      <c r="U70" s="152"/>
      <c r="V70" s="152"/>
      <c r="W70" s="152"/>
      <c r="X70" s="152"/>
      <c r="Y70" s="152"/>
      <c r="Z70" s="152"/>
      <c r="AA70" s="152"/>
      <c r="AB70" s="152"/>
      <c r="AC70" s="260" t="n">
        <v>0.007</v>
      </c>
      <c r="AD70" s="156" t="n">
        <f aca="false">IF(T70="","",T70)</f>
        <v>0.005021</v>
      </c>
      <c r="AE70" s="153"/>
      <c r="AF70" s="494"/>
      <c r="AH70" s="19" t="str">
        <f aca="false">IF(AF70="","N","Y")</f>
        <v>N</v>
      </c>
      <c r="AI70" s="63" t="s">
        <v>100</v>
      </c>
      <c r="AJ70" s="63" t="s">
        <v>101</v>
      </c>
      <c r="AK70" s="19"/>
      <c r="AL70" s="63" t="s">
        <v>102</v>
      </c>
    </row>
    <row r="71" customFormat="false" ht="16.5" hidden="false" customHeight="true" outlineLevel="0" collapsed="false">
      <c r="A71" s="19" t="n">
        <v>15</v>
      </c>
      <c r="B71" s="141" t="n">
        <v>42789</v>
      </c>
      <c r="C71" s="142" t="n">
        <v>42789</v>
      </c>
      <c r="D71" s="142" t="n">
        <v>42801</v>
      </c>
      <c r="E71" s="19" t="n">
        <f aca="false">D71-C71</f>
        <v>12</v>
      </c>
      <c r="F71" s="100" t="n">
        <f aca="false">TRUNC(E71/30,0)</f>
        <v>0</v>
      </c>
      <c r="G71" s="183" t="s">
        <v>95</v>
      </c>
      <c r="H71" s="146" t="n">
        <v>60</v>
      </c>
      <c r="I71" s="147"/>
      <c r="J71" s="148"/>
      <c r="K71" s="149"/>
      <c r="L71" s="152" t="n">
        <v>0.0077944</v>
      </c>
      <c r="M71" s="151"/>
      <c r="N71" s="152" t="n">
        <f aca="false">AVERAGE(0.0084,0.0085)</f>
        <v>0.00845</v>
      </c>
      <c r="O71" s="151"/>
      <c r="P71" s="152"/>
      <c r="Q71" s="152"/>
      <c r="R71" s="152"/>
      <c r="S71" s="152"/>
      <c r="T71" s="153" t="n">
        <v>0.003976</v>
      </c>
      <c r="U71" s="152"/>
      <c r="V71" s="152"/>
      <c r="W71" s="152"/>
      <c r="X71" s="152"/>
      <c r="Y71" s="152"/>
      <c r="Z71" s="152"/>
      <c r="AA71" s="152"/>
      <c r="AB71" s="152"/>
      <c r="AC71" s="260" t="n">
        <v>0.007</v>
      </c>
      <c r="AD71" s="156" t="n">
        <f aca="false">IF(T71="","",T71)</f>
        <v>0.003976</v>
      </c>
      <c r="AE71" s="153"/>
      <c r="AF71" s="494"/>
      <c r="AH71" s="19" t="str">
        <f aca="false">IF(AF71="","N","Y")</f>
        <v>N</v>
      </c>
      <c r="AI71" s="63" t="s">
        <v>100</v>
      </c>
      <c r="AJ71" s="63" t="s">
        <v>101</v>
      </c>
      <c r="AK71" s="19"/>
      <c r="AL71" s="63" t="s">
        <v>102</v>
      </c>
    </row>
    <row r="72" customFormat="false" ht="16.5" hidden="false" customHeight="true" outlineLevel="0" collapsed="false">
      <c r="A72" s="19" t="n">
        <v>16</v>
      </c>
      <c r="B72" s="141" t="n">
        <v>42796</v>
      </c>
      <c r="C72" s="142" t="n">
        <v>42796</v>
      </c>
      <c r="D72" s="142" t="n">
        <v>42825</v>
      </c>
      <c r="E72" s="19" t="n">
        <f aca="false">D72-C72</f>
        <v>29</v>
      </c>
      <c r="F72" s="100" t="n">
        <f aca="false">TRUNC(E72/30,0)</f>
        <v>0</v>
      </c>
      <c r="G72" s="189" t="s">
        <v>99</v>
      </c>
      <c r="H72" s="146" t="n">
        <v>100</v>
      </c>
      <c r="I72" s="147"/>
      <c r="J72" s="148"/>
      <c r="K72" s="149"/>
      <c r="L72" s="152" t="n">
        <v>0.0081056</v>
      </c>
      <c r="M72" s="151"/>
      <c r="N72" s="152" t="n">
        <f aca="false">AVERAGE(0.0095,0.0083,0.0082)</f>
        <v>0.00866666666666667</v>
      </c>
      <c r="O72" s="151"/>
      <c r="P72" s="152"/>
      <c r="Q72" s="152"/>
      <c r="R72" s="152"/>
      <c r="S72" s="152"/>
      <c r="T72" s="153" t="n">
        <v>0.00395</v>
      </c>
      <c r="U72" s="152"/>
      <c r="V72" s="152"/>
      <c r="W72" s="152"/>
      <c r="X72" s="152"/>
      <c r="Y72" s="152"/>
      <c r="Z72" s="152"/>
      <c r="AA72" s="152"/>
      <c r="AB72" s="152"/>
      <c r="AC72" s="260" t="n">
        <v>0.0064</v>
      </c>
      <c r="AD72" s="156" t="n">
        <f aca="false">IF(T72="","",T72)</f>
        <v>0.00395</v>
      </c>
      <c r="AE72" s="153"/>
      <c r="AF72" s="494"/>
      <c r="AH72" s="19" t="str">
        <f aca="false">IF(AF72="","N","Y")</f>
        <v>N</v>
      </c>
      <c r="AI72" s="63" t="s">
        <v>96</v>
      </c>
      <c r="AJ72" s="63" t="s">
        <v>97</v>
      </c>
      <c r="AK72" s="19"/>
      <c r="AL72" s="63" t="s">
        <v>98</v>
      </c>
    </row>
    <row r="73" customFormat="false" ht="16.5" hidden="false" customHeight="true" outlineLevel="0" collapsed="false">
      <c r="A73" s="19" t="n">
        <v>17</v>
      </c>
      <c r="B73" s="141" t="n">
        <v>42807</v>
      </c>
      <c r="C73" s="142" t="n">
        <v>42807</v>
      </c>
      <c r="D73" s="142" t="n">
        <v>42814</v>
      </c>
      <c r="E73" s="19" t="n">
        <f aca="false">D73-C73</f>
        <v>7</v>
      </c>
      <c r="F73" s="100" t="n">
        <f aca="false">TRUNC(E73/30,0)</f>
        <v>0</v>
      </c>
      <c r="G73" s="183" t="s">
        <v>95</v>
      </c>
      <c r="H73" s="146" t="n">
        <v>50</v>
      </c>
      <c r="I73" s="147"/>
      <c r="J73" s="148"/>
      <c r="K73" s="149"/>
      <c r="L73" s="152" t="n">
        <v>0.0084611</v>
      </c>
      <c r="M73" s="151"/>
      <c r="N73" s="152" t="n">
        <v>0.007</v>
      </c>
      <c r="O73" s="151"/>
      <c r="P73" s="152"/>
      <c r="Q73" s="152"/>
      <c r="R73" s="152"/>
      <c r="S73" s="152"/>
      <c r="T73" s="153" t="n">
        <v>0.005206</v>
      </c>
      <c r="U73" s="152"/>
      <c r="V73" s="152"/>
      <c r="W73" s="152"/>
      <c r="X73" s="152"/>
      <c r="Y73" s="152"/>
      <c r="Z73" s="152"/>
      <c r="AA73" s="152"/>
      <c r="AB73" s="152"/>
      <c r="AC73" s="260" t="n">
        <v>0.005206</v>
      </c>
      <c r="AD73" s="156" t="n">
        <f aca="false">IF(T73="","",T73)</f>
        <v>0.005206</v>
      </c>
      <c r="AE73" s="153"/>
      <c r="AF73" s="494"/>
      <c r="AH73" s="19" t="str">
        <f aca="false">IF(AF73="","N","Y")</f>
        <v>N</v>
      </c>
      <c r="AI73" s="63" t="s">
        <v>96</v>
      </c>
      <c r="AJ73" s="63" t="s">
        <v>119</v>
      </c>
      <c r="AK73" s="19"/>
      <c r="AL73" s="63" t="s">
        <v>98</v>
      </c>
    </row>
    <row r="74" customFormat="false" ht="16.5" hidden="false" customHeight="true" outlineLevel="0" collapsed="false">
      <c r="A74" s="19" t="n">
        <v>18</v>
      </c>
      <c r="B74" s="141" t="n">
        <v>42807</v>
      </c>
      <c r="C74" s="142" t="n">
        <v>42807</v>
      </c>
      <c r="D74" s="142" t="n">
        <v>42824</v>
      </c>
      <c r="E74" s="19" t="n">
        <f aca="false">D74-C74</f>
        <v>17</v>
      </c>
      <c r="F74" s="100" t="n">
        <f aca="false">TRUNC(E74/30,0)</f>
        <v>0</v>
      </c>
      <c r="G74" s="189" t="s">
        <v>99</v>
      </c>
      <c r="H74" s="146" t="n">
        <v>60</v>
      </c>
      <c r="I74" s="147"/>
      <c r="J74" s="148"/>
      <c r="K74" s="149"/>
      <c r="L74" s="152" t="n">
        <v>0.0084611</v>
      </c>
      <c r="M74" s="151"/>
      <c r="N74" s="152" t="n">
        <v>0.007</v>
      </c>
      <c r="O74" s="151"/>
      <c r="P74" s="152"/>
      <c r="Q74" s="152"/>
      <c r="R74" s="152"/>
      <c r="S74" s="152"/>
      <c r="T74" s="153" t="n">
        <v>0.005206</v>
      </c>
      <c r="U74" s="152"/>
      <c r="V74" s="152"/>
      <c r="W74" s="152"/>
      <c r="X74" s="152"/>
      <c r="Y74" s="152"/>
      <c r="Z74" s="152"/>
      <c r="AA74" s="152"/>
      <c r="AB74" s="152"/>
      <c r="AC74" s="260" t="n">
        <v>0.0062</v>
      </c>
      <c r="AD74" s="156" t="n">
        <f aca="false">IF(T74="","",T74)</f>
        <v>0.005206</v>
      </c>
      <c r="AE74" s="153"/>
      <c r="AF74" s="494"/>
      <c r="AH74" s="19" t="str">
        <f aca="false">IF(AF74="","N","Y")</f>
        <v>N</v>
      </c>
      <c r="AI74" s="63" t="s">
        <v>96</v>
      </c>
      <c r="AJ74" s="63" t="s">
        <v>119</v>
      </c>
      <c r="AK74" s="19"/>
      <c r="AL74" s="63" t="s">
        <v>98</v>
      </c>
    </row>
    <row r="75" customFormat="false" ht="16.5" hidden="false" customHeight="true" outlineLevel="0" collapsed="false">
      <c r="A75" s="19" t="n">
        <v>19</v>
      </c>
      <c r="B75" s="141" t="n">
        <v>42807</v>
      </c>
      <c r="C75" s="142" t="n">
        <v>42807</v>
      </c>
      <c r="D75" s="142" t="n">
        <v>42870</v>
      </c>
      <c r="E75" s="19" t="n">
        <f aca="false">D75-C75</f>
        <v>63</v>
      </c>
      <c r="F75" s="100" t="n">
        <f aca="false">TRUNC(E75/30,0)</f>
        <v>2</v>
      </c>
      <c r="G75" s="183" t="s">
        <v>95</v>
      </c>
      <c r="H75" s="146" t="n">
        <v>1</v>
      </c>
      <c r="I75" s="147"/>
      <c r="J75" s="148"/>
      <c r="K75" s="149"/>
      <c r="L75" s="152" t="n">
        <v>0.006202</v>
      </c>
      <c r="M75" s="151"/>
      <c r="N75" s="152" t="n">
        <f aca="false">AVERAGE(0.0109,0.0125)</f>
        <v>0.0117</v>
      </c>
      <c r="O75" s="151"/>
      <c r="P75" s="152"/>
      <c r="Q75" s="152"/>
      <c r="R75" s="152"/>
      <c r="S75" s="152"/>
      <c r="T75" s="153" t="n">
        <v>0.006202</v>
      </c>
      <c r="U75" s="152"/>
      <c r="V75" s="152"/>
      <c r="W75" s="152"/>
      <c r="X75" s="152"/>
      <c r="Y75" s="152"/>
      <c r="Z75" s="152"/>
      <c r="AA75" s="152"/>
      <c r="AB75" s="152"/>
      <c r="AC75" s="260" t="n">
        <v>0.0068</v>
      </c>
      <c r="AD75" s="156" t="n">
        <f aca="false">IF(T75="","",T75)</f>
        <v>0.006202</v>
      </c>
      <c r="AE75" s="153"/>
      <c r="AF75" s="494" t="n">
        <v>0.0068</v>
      </c>
      <c r="AH75" s="19" t="str">
        <f aca="false">IF(AF75="","N","Y")</f>
        <v>Y</v>
      </c>
      <c r="AI75" s="63" t="s">
        <v>92</v>
      </c>
      <c r="AJ75" s="63" t="s">
        <v>120</v>
      </c>
      <c r="AK75" s="19"/>
      <c r="AL75" s="63" t="s">
        <v>121</v>
      </c>
      <c r="AN75" s="9"/>
    </row>
    <row r="76" customFormat="false" ht="16.5" hidden="false" customHeight="true" outlineLevel="0" collapsed="false">
      <c r="A76" s="19" t="n">
        <v>20</v>
      </c>
      <c r="B76" s="141" t="n">
        <v>42811</v>
      </c>
      <c r="C76" s="142" t="n">
        <v>42811</v>
      </c>
      <c r="D76" s="142" t="n">
        <v>42829</v>
      </c>
      <c r="E76" s="19" t="n">
        <f aca="false">D76-C76</f>
        <v>18</v>
      </c>
      <c r="F76" s="100" t="n">
        <f aca="false">TRUNC(E76/30,0)</f>
        <v>0</v>
      </c>
      <c r="G76" s="183" t="s">
        <v>95</v>
      </c>
      <c r="H76" s="146" t="n">
        <v>60</v>
      </c>
      <c r="I76" s="147"/>
      <c r="J76" s="148"/>
      <c r="K76" s="149"/>
      <c r="L76" s="152" t="n">
        <v>0.0094567</v>
      </c>
      <c r="M76" s="151"/>
      <c r="N76" s="152" t="n">
        <f aca="false">AVERAGE(0.0094,0.01)</f>
        <v>0.0097</v>
      </c>
      <c r="O76" s="151"/>
      <c r="P76" s="152"/>
      <c r="Q76" s="152"/>
      <c r="R76" s="152"/>
      <c r="S76" s="152"/>
      <c r="T76" s="153" t="n">
        <v>0.006132</v>
      </c>
      <c r="U76" s="152"/>
      <c r="V76" s="152"/>
      <c r="W76" s="152"/>
      <c r="X76" s="152"/>
      <c r="Y76" s="152"/>
      <c r="Z76" s="152"/>
      <c r="AA76" s="152"/>
      <c r="AB76" s="152"/>
      <c r="AC76" s="260" t="n">
        <v>0.0074</v>
      </c>
      <c r="AD76" s="156" t="n">
        <f aca="false">IF(T76="","",T76)</f>
        <v>0.006132</v>
      </c>
      <c r="AE76" s="153"/>
      <c r="AF76" s="494"/>
      <c r="AH76" s="19" t="str">
        <f aca="false">IF(AF76="","N","Y")</f>
        <v>N</v>
      </c>
      <c r="AI76" s="63" t="s">
        <v>100</v>
      </c>
      <c r="AJ76" s="63" t="s">
        <v>101</v>
      </c>
      <c r="AK76" s="19"/>
      <c r="AL76" s="63" t="s">
        <v>102</v>
      </c>
      <c r="AN76" s="9"/>
    </row>
    <row r="77" customFormat="false" ht="16.5" hidden="false" customHeight="true" outlineLevel="0" collapsed="false">
      <c r="A77" s="19" t="n">
        <v>21</v>
      </c>
      <c r="B77" s="141" t="n">
        <v>42814</v>
      </c>
      <c r="C77" s="142" t="n">
        <v>42814</v>
      </c>
      <c r="D77" s="142" t="n">
        <v>42821</v>
      </c>
      <c r="E77" s="19" t="n">
        <f aca="false">D77-C77</f>
        <v>7</v>
      </c>
      <c r="F77" s="100" t="n">
        <f aca="false">TRUNC(E77/30,0)</f>
        <v>0</v>
      </c>
      <c r="G77" s="183" t="s">
        <v>95</v>
      </c>
      <c r="H77" s="146"/>
      <c r="I77" s="147"/>
      <c r="J77" s="148"/>
      <c r="K77" s="149"/>
      <c r="L77" s="152" t="n">
        <v>0.0094611</v>
      </c>
      <c r="M77" s="151"/>
      <c r="N77" s="152" t="n">
        <v>0.0094</v>
      </c>
      <c r="O77" s="151"/>
      <c r="P77" s="152"/>
      <c r="Q77" s="152"/>
      <c r="R77" s="152"/>
      <c r="S77" s="152"/>
      <c r="T77" s="153" t="n">
        <v>0.006136</v>
      </c>
      <c r="U77" s="152"/>
      <c r="V77" s="152"/>
      <c r="W77" s="152"/>
      <c r="X77" s="152"/>
      <c r="Y77" s="152"/>
      <c r="Z77" s="152"/>
      <c r="AA77" s="152"/>
      <c r="AB77" s="152"/>
      <c r="AC77" s="260" t="n">
        <v>0.0052</v>
      </c>
      <c r="AD77" s="156" t="n">
        <f aca="false">IF(T77="","",T77)</f>
        <v>0.006136</v>
      </c>
      <c r="AE77" s="153"/>
      <c r="AF77" s="494"/>
      <c r="AH77" s="19" t="str">
        <f aca="false">IF(AF77="","N","Y")</f>
        <v>N</v>
      </c>
      <c r="AI77" s="63" t="s">
        <v>96</v>
      </c>
      <c r="AJ77" s="63" t="s">
        <v>97</v>
      </c>
      <c r="AK77" s="19"/>
      <c r="AL77" s="63" t="s">
        <v>98</v>
      </c>
    </row>
    <row r="78" customFormat="false" ht="16.5" hidden="false" customHeight="true" outlineLevel="0" collapsed="false">
      <c r="A78" s="19" t="n">
        <v>22</v>
      </c>
      <c r="B78" s="141" t="n">
        <v>42816</v>
      </c>
      <c r="C78" s="142" t="n">
        <v>42816</v>
      </c>
      <c r="D78" s="142" t="n">
        <v>42846</v>
      </c>
      <c r="E78" s="19" t="n">
        <f aca="false">D78-C78</f>
        <v>30</v>
      </c>
      <c r="F78" s="100" t="n">
        <f aca="false">TRUNC(E78/30,0)</f>
        <v>1</v>
      </c>
      <c r="G78" s="189" t="s">
        <v>99</v>
      </c>
      <c r="H78" s="146" t="n">
        <v>100</v>
      </c>
      <c r="I78" s="147"/>
      <c r="J78" s="148"/>
      <c r="K78" s="149"/>
      <c r="L78" s="152" t="n">
        <v>0.0092533</v>
      </c>
      <c r="M78" s="151"/>
      <c r="N78" s="152" t="n">
        <v>0.0094</v>
      </c>
      <c r="O78" s="151"/>
      <c r="P78" s="152"/>
      <c r="Q78" s="152"/>
      <c r="R78" s="152"/>
      <c r="S78" s="152"/>
      <c r="T78" s="153" t="n">
        <v>0.005536</v>
      </c>
      <c r="U78" s="152"/>
      <c r="V78" s="152"/>
      <c r="W78" s="152"/>
      <c r="X78" s="152"/>
      <c r="Y78" s="152"/>
      <c r="Z78" s="152"/>
      <c r="AA78" s="152"/>
      <c r="AB78" s="152"/>
      <c r="AC78" s="260" t="n">
        <v>0.0065</v>
      </c>
      <c r="AD78" s="156" t="n">
        <f aca="false">IF(T78="","",T78)</f>
        <v>0.005536</v>
      </c>
      <c r="AE78" s="153"/>
      <c r="AF78" s="494" t="n">
        <v>0.0065</v>
      </c>
      <c r="AH78" s="19" t="str">
        <f aca="false">IF(AF78="","N","Y")</f>
        <v>Y</v>
      </c>
      <c r="AI78" s="63" t="s">
        <v>96</v>
      </c>
      <c r="AJ78" s="63" t="s">
        <v>97</v>
      </c>
      <c r="AK78" s="19"/>
      <c r="AL78" s="19" t="s">
        <v>112</v>
      </c>
    </row>
    <row r="79" customFormat="false" ht="16.5" hidden="false" customHeight="true" outlineLevel="0" collapsed="false">
      <c r="A79" s="19" t="n">
        <v>23</v>
      </c>
      <c r="B79" s="141" t="n">
        <v>42818</v>
      </c>
      <c r="C79" s="142" t="n">
        <v>42818</v>
      </c>
      <c r="D79" s="142" t="n">
        <v>42912</v>
      </c>
      <c r="E79" s="19" t="n">
        <f aca="false">D79-C79</f>
        <v>94</v>
      </c>
      <c r="F79" s="100" t="n">
        <f aca="false">TRUNC(E79/30,0)</f>
        <v>3</v>
      </c>
      <c r="G79" s="183" t="s">
        <v>95</v>
      </c>
      <c r="H79" s="146" t="n">
        <v>50</v>
      </c>
      <c r="I79" s="147"/>
      <c r="J79" s="148"/>
      <c r="K79" s="149"/>
      <c r="L79" s="152" t="n">
        <v>0.0115289</v>
      </c>
      <c r="M79" s="151"/>
      <c r="N79" s="152" t="n">
        <f aca="false">AVERAGE(0.011,0.0145,0.012)</f>
        <v>0.0125</v>
      </c>
      <c r="O79" s="151"/>
      <c r="P79" s="152"/>
      <c r="Q79" s="152"/>
      <c r="R79" s="152"/>
      <c r="S79" s="152"/>
      <c r="T79" s="153" t="n">
        <v>0.009173</v>
      </c>
      <c r="U79" s="152"/>
      <c r="V79" s="152"/>
      <c r="W79" s="152"/>
      <c r="X79" s="152"/>
      <c r="Y79" s="152"/>
      <c r="Z79" s="152"/>
      <c r="AA79" s="152"/>
      <c r="AB79" s="152"/>
      <c r="AC79" s="260" t="n">
        <v>0.01</v>
      </c>
      <c r="AD79" s="156" t="n">
        <f aca="false">IF(T79="","",T79)</f>
        <v>0.009173</v>
      </c>
      <c r="AE79" s="153"/>
      <c r="AF79" s="494"/>
      <c r="AH79" s="19" t="str">
        <f aca="false">IF(AF79="","N","Y")</f>
        <v>N</v>
      </c>
      <c r="AI79" s="63" t="s">
        <v>96</v>
      </c>
      <c r="AJ79" s="63" t="s">
        <v>97</v>
      </c>
      <c r="AK79" s="19"/>
      <c r="AL79" s="63" t="s">
        <v>98</v>
      </c>
    </row>
    <row r="80" customFormat="false" ht="16.5" hidden="false" customHeight="true" outlineLevel="0" collapsed="false">
      <c r="A80" s="19" t="n">
        <v>24</v>
      </c>
      <c r="B80" s="141" t="n">
        <v>42818</v>
      </c>
      <c r="C80" s="142" t="n">
        <v>42818</v>
      </c>
      <c r="D80" s="142" t="n">
        <v>42849</v>
      </c>
      <c r="E80" s="19" t="n">
        <f aca="false">D80-C80</f>
        <v>31</v>
      </c>
      <c r="F80" s="100" t="n">
        <f aca="false">TRUNC(E80/30,0)</f>
        <v>1</v>
      </c>
      <c r="G80" s="189" t="s">
        <v>99</v>
      </c>
      <c r="H80" s="146" t="n">
        <v>50</v>
      </c>
      <c r="I80" s="147"/>
      <c r="J80" s="148"/>
      <c r="K80" s="149"/>
      <c r="L80" s="152" t="n">
        <v>0.0092611</v>
      </c>
      <c r="M80" s="151"/>
      <c r="N80" s="152" t="n">
        <v>0.0094</v>
      </c>
      <c r="O80" s="151"/>
      <c r="P80" s="152"/>
      <c r="Q80" s="152"/>
      <c r="R80" s="152"/>
      <c r="S80" s="152"/>
      <c r="T80" s="153" t="n">
        <v>0.005515</v>
      </c>
      <c r="U80" s="152"/>
      <c r="V80" s="152"/>
      <c r="W80" s="152"/>
      <c r="X80" s="152"/>
      <c r="Y80" s="152"/>
      <c r="Z80" s="152"/>
      <c r="AA80" s="152"/>
      <c r="AB80" s="152"/>
      <c r="AC80" s="260" t="n">
        <v>0.0065</v>
      </c>
      <c r="AD80" s="156" t="n">
        <f aca="false">IF(T80="","",T80)</f>
        <v>0.005515</v>
      </c>
      <c r="AE80" s="153"/>
      <c r="AF80" s="494"/>
      <c r="AH80" s="19" t="str">
        <f aca="false">IF(AF80="","N","Y")</f>
        <v>N</v>
      </c>
      <c r="AI80" s="63" t="s">
        <v>96</v>
      </c>
      <c r="AJ80" s="63" t="s">
        <v>97</v>
      </c>
      <c r="AK80" s="19"/>
      <c r="AL80" s="63" t="s">
        <v>98</v>
      </c>
    </row>
    <row r="81" customFormat="false" ht="16.5" hidden="false" customHeight="true" outlineLevel="0" collapsed="false">
      <c r="A81" s="19" t="n">
        <v>25</v>
      </c>
      <c r="B81" s="141" t="n">
        <v>42822</v>
      </c>
      <c r="C81" s="142" t="n">
        <v>42822</v>
      </c>
      <c r="D81" s="142" t="n">
        <v>42828</v>
      </c>
      <c r="E81" s="19" t="n">
        <f aca="false">D81-C81</f>
        <v>6</v>
      </c>
      <c r="F81" s="100" t="n">
        <f aca="false">TRUNC(E81/30,0)</f>
        <v>0</v>
      </c>
      <c r="G81" s="183" t="s">
        <v>95</v>
      </c>
      <c r="H81" s="146" t="n">
        <v>200</v>
      </c>
      <c r="I81" s="147"/>
      <c r="J81" s="148"/>
      <c r="K81" s="149"/>
      <c r="L81" s="152" t="n">
        <v>0.0094389</v>
      </c>
      <c r="M81" s="151"/>
      <c r="N81" s="152" t="n">
        <v>0.0095</v>
      </c>
      <c r="O81" s="151"/>
      <c r="P81" s="152"/>
      <c r="Q81" s="152"/>
      <c r="R81" s="152"/>
      <c r="S81" s="152"/>
      <c r="T81" s="153" t="n">
        <v>0.005515</v>
      </c>
      <c r="U81" s="152"/>
      <c r="V81" s="152"/>
      <c r="W81" s="152"/>
      <c r="X81" s="152"/>
      <c r="Y81" s="152"/>
      <c r="Z81" s="152"/>
      <c r="AA81" s="152"/>
      <c r="AB81" s="152"/>
      <c r="AC81" s="260" t="n">
        <v>0.0074</v>
      </c>
      <c r="AD81" s="156" t="n">
        <f aca="false">IF(T81="","",T81)</f>
        <v>0.005515</v>
      </c>
      <c r="AE81" s="153"/>
      <c r="AF81" s="494"/>
      <c r="AH81" s="19" t="str">
        <f aca="false">IF(AF81="","N","Y")</f>
        <v>N</v>
      </c>
      <c r="AI81" s="63" t="s">
        <v>100</v>
      </c>
      <c r="AJ81" s="63" t="s">
        <v>101</v>
      </c>
      <c r="AK81" s="19"/>
      <c r="AL81" s="63" t="s">
        <v>102</v>
      </c>
      <c r="AN81" s="975"/>
    </row>
    <row r="82" customFormat="false" ht="16.5" hidden="false" customHeight="true" outlineLevel="0" collapsed="false">
      <c r="A82" s="19" t="n">
        <v>26</v>
      </c>
      <c r="B82" s="141" t="n">
        <v>42822</v>
      </c>
      <c r="C82" s="142" t="n">
        <v>42822</v>
      </c>
      <c r="D82" s="142" t="n">
        <v>42843</v>
      </c>
      <c r="E82" s="19" t="n">
        <f aca="false">D82-C82</f>
        <v>21</v>
      </c>
      <c r="F82" s="100" t="n">
        <f aca="false">TRUNC(E82/30,0)</f>
        <v>0</v>
      </c>
      <c r="G82" s="183" t="s">
        <v>95</v>
      </c>
      <c r="H82" s="146" t="n">
        <v>50</v>
      </c>
      <c r="I82" s="147"/>
      <c r="J82" s="148"/>
      <c r="K82" s="149"/>
      <c r="L82" s="152" t="n">
        <v>0.0094389</v>
      </c>
      <c r="M82" s="151"/>
      <c r="N82" s="152" t="n">
        <f aca="false">AVERAGE(0.0102,0.0105)</f>
        <v>0.01035</v>
      </c>
      <c r="O82" s="151"/>
      <c r="P82" s="152"/>
      <c r="Q82" s="152"/>
      <c r="R82" s="152"/>
      <c r="S82" s="152"/>
      <c r="T82" s="153" t="n">
        <v>0.006115</v>
      </c>
      <c r="U82" s="152"/>
      <c r="V82" s="152"/>
      <c r="W82" s="152"/>
      <c r="X82" s="152"/>
      <c r="Y82" s="152"/>
      <c r="Z82" s="152"/>
      <c r="AA82" s="152"/>
      <c r="AB82" s="152"/>
      <c r="AC82" s="260" t="n">
        <v>0.008</v>
      </c>
      <c r="AD82" s="156" t="n">
        <f aca="false">IF(T82="","",T82)</f>
        <v>0.006115</v>
      </c>
      <c r="AE82" s="153"/>
      <c r="AF82" s="494"/>
      <c r="AH82" s="19" t="str">
        <f aca="false">IF(AF82="","N","Y")</f>
        <v>N</v>
      </c>
      <c r="AI82" s="63" t="s">
        <v>100</v>
      </c>
      <c r="AJ82" s="63" t="s">
        <v>101</v>
      </c>
      <c r="AK82" s="19"/>
      <c r="AL82" s="63" t="s">
        <v>102</v>
      </c>
    </row>
    <row r="83" customFormat="false" ht="16.5" hidden="false" customHeight="true" outlineLevel="0" collapsed="false">
      <c r="A83" s="19" t="n">
        <v>27</v>
      </c>
      <c r="B83" s="141" t="n">
        <v>42822</v>
      </c>
      <c r="C83" s="142" t="n">
        <v>42822</v>
      </c>
      <c r="D83" s="142" t="n">
        <v>42865</v>
      </c>
      <c r="E83" s="19" t="n">
        <f aca="false">D83-C83</f>
        <v>43</v>
      </c>
      <c r="F83" s="100" t="n">
        <f aca="false">TRUNC(E83/30,0)</f>
        <v>1</v>
      </c>
      <c r="G83" s="183" t="s">
        <v>95</v>
      </c>
      <c r="H83" s="146" t="n">
        <v>100</v>
      </c>
      <c r="I83" s="147"/>
      <c r="J83" s="148"/>
      <c r="K83" s="149"/>
      <c r="L83" s="152" t="n">
        <v>0.0098278</v>
      </c>
      <c r="M83" s="151"/>
      <c r="N83" s="152" t="n">
        <f aca="false">AVERAGE(0.0111,0.012)</f>
        <v>0.01155</v>
      </c>
      <c r="O83" s="151"/>
      <c r="P83" s="152"/>
      <c r="Q83" s="152"/>
      <c r="R83" s="152"/>
      <c r="S83" s="152"/>
      <c r="T83" s="153" t="n">
        <v>0.007106</v>
      </c>
      <c r="U83" s="152"/>
      <c r="V83" s="152"/>
      <c r="W83" s="152"/>
      <c r="X83" s="152"/>
      <c r="Y83" s="152"/>
      <c r="Z83" s="152"/>
      <c r="AA83" s="152"/>
      <c r="AB83" s="152"/>
      <c r="AC83" s="260" t="n">
        <v>0.009</v>
      </c>
      <c r="AD83" s="156" t="n">
        <f aca="false">IF(T83="","",T83)</f>
        <v>0.007106</v>
      </c>
      <c r="AE83" s="153"/>
      <c r="AF83" s="494"/>
      <c r="AH83" s="19" t="str">
        <f aca="false">IF(AF83="","N","Y")</f>
        <v>N</v>
      </c>
      <c r="AI83" s="63" t="s">
        <v>100</v>
      </c>
      <c r="AJ83" s="63" t="s">
        <v>101</v>
      </c>
      <c r="AK83" s="19"/>
      <c r="AL83" s="63" t="s">
        <v>102</v>
      </c>
    </row>
    <row r="84" customFormat="false" ht="16.5" hidden="false" customHeight="true" outlineLevel="0" collapsed="false">
      <c r="A84" s="19" t="n">
        <v>28</v>
      </c>
      <c r="B84" s="141" t="n">
        <v>42822</v>
      </c>
      <c r="C84" s="142" t="n">
        <v>42822</v>
      </c>
      <c r="D84" s="142" t="n">
        <v>42893</v>
      </c>
      <c r="E84" s="976" t="n">
        <f aca="false">D84-C84</f>
        <v>71</v>
      </c>
      <c r="F84" s="100" t="n">
        <f aca="false">TRUNC(E84/30,0)</f>
        <v>2</v>
      </c>
      <c r="G84" s="183" t="s">
        <v>95</v>
      </c>
      <c r="H84" s="146" t="n">
        <v>100</v>
      </c>
      <c r="I84" s="147"/>
      <c r="J84" s="148"/>
      <c r="K84" s="149"/>
      <c r="L84" s="152" t="n">
        <v>0.0102278</v>
      </c>
      <c r="M84" s="151"/>
      <c r="N84" s="152" t="n">
        <f aca="false">AVERAGE(0.0114,0.012,0.0119)</f>
        <v>0.0117666666666667</v>
      </c>
      <c r="O84" s="151"/>
      <c r="P84" s="152"/>
      <c r="Q84" s="152"/>
      <c r="R84" s="152"/>
      <c r="S84" s="152"/>
      <c r="T84" s="153" t="n">
        <v>0.007106</v>
      </c>
      <c r="U84" s="152"/>
      <c r="V84" s="152"/>
      <c r="W84" s="152"/>
      <c r="X84" s="152"/>
      <c r="Y84" s="152"/>
      <c r="Z84" s="152"/>
      <c r="AA84" s="152"/>
      <c r="AB84" s="152"/>
      <c r="AC84" s="260" t="n">
        <v>0.0095</v>
      </c>
      <c r="AD84" s="156" t="n">
        <f aca="false">IF(T84="","",T84)</f>
        <v>0.007106</v>
      </c>
      <c r="AE84" s="153"/>
      <c r="AF84" s="494"/>
      <c r="AH84" s="19" t="str">
        <f aca="false">IF(AF84="","N","Y")</f>
        <v>N</v>
      </c>
      <c r="AI84" s="63" t="s">
        <v>100</v>
      </c>
      <c r="AJ84" s="63" t="s">
        <v>101</v>
      </c>
      <c r="AK84" s="19"/>
      <c r="AL84" s="63" t="s">
        <v>102</v>
      </c>
    </row>
    <row r="85" customFormat="false" ht="16.5" hidden="false" customHeight="true" outlineLevel="0" collapsed="false">
      <c r="A85" s="19" t="n">
        <v>29</v>
      </c>
      <c r="B85" s="141" t="n">
        <v>42822</v>
      </c>
      <c r="C85" s="142" t="n">
        <v>42822</v>
      </c>
      <c r="D85" s="142" t="n">
        <v>42920</v>
      </c>
      <c r="E85" s="19" t="n">
        <f aca="false">D85-C85</f>
        <v>98</v>
      </c>
      <c r="F85" s="100" t="n">
        <f aca="false">TRUNC(E85/30,0)</f>
        <v>3</v>
      </c>
      <c r="G85" s="183" t="s">
        <v>95</v>
      </c>
      <c r="H85" s="146" t="n">
        <v>200</v>
      </c>
      <c r="I85" s="147"/>
      <c r="J85" s="148"/>
      <c r="K85" s="149"/>
      <c r="L85" s="152" t="n">
        <v>0.0115128</v>
      </c>
      <c r="M85" s="151"/>
      <c r="N85" s="152" t="n">
        <f aca="false">AVERAGE(0.012,0.0119,0.012)</f>
        <v>0.0119666666666667</v>
      </c>
      <c r="O85" s="151"/>
      <c r="P85" s="152"/>
      <c r="Q85" s="152"/>
      <c r="R85" s="152"/>
      <c r="S85" s="152"/>
      <c r="T85" s="153" t="n">
        <v>0.009157</v>
      </c>
      <c r="U85" s="152"/>
      <c r="V85" s="152"/>
      <c r="W85" s="152"/>
      <c r="X85" s="152"/>
      <c r="Y85" s="152"/>
      <c r="Z85" s="152"/>
      <c r="AA85" s="152"/>
      <c r="AB85" s="152"/>
      <c r="AC85" s="260" t="n">
        <v>0.01</v>
      </c>
      <c r="AD85" s="156" t="n">
        <f aca="false">IF(T85="","",T85)</f>
        <v>0.009157</v>
      </c>
      <c r="AE85" s="153"/>
      <c r="AF85" s="494"/>
      <c r="AH85" s="19" t="str">
        <f aca="false">IF(AF85="","N","Y")</f>
        <v>N</v>
      </c>
      <c r="AI85" s="63" t="s">
        <v>100</v>
      </c>
      <c r="AJ85" s="63" t="s">
        <v>101</v>
      </c>
      <c r="AK85" s="19"/>
      <c r="AL85" s="63" t="s">
        <v>102</v>
      </c>
    </row>
    <row r="86" customFormat="false" ht="16.5" hidden="false" customHeight="true" outlineLevel="0" collapsed="false">
      <c r="A86" s="19" t="n">
        <v>30</v>
      </c>
      <c r="B86" s="141" t="n">
        <v>42821</v>
      </c>
      <c r="C86" s="142" t="n">
        <v>42821</v>
      </c>
      <c r="D86" s="142" t="n">
        <v>42852</v>
      </c>
      <c r="E86" s="19" t="n">
        <f aca="false">D86-C86</f>
        <v>31</v>
      </c>
      <c r="F86" s="100" t="n">
        <f aca="false">TRUNC(E86/30,0)</f>
        <v>1</v>
      </c>
      <c r="G86" s="189" t="s">
        <v>99</v>
      </c>
      <c r="H86" s="146" t="n">
        <v>70</v>
      </c>
      <c r="I86" s="147"/>
      <c r="J86" s="148"/>
      <c r="K86" s="149"/>
      <c r="L86" s="152" t="n">
        <v>0.0092667</v>
      </c>
      <c r="M86" s="151"/>
      <c r="N86" s="152" t="n">
        <f aca="false">AVERAGE(0.0098,0.0097,0.0096)</f>
        <v>0.0097</v>
      </c>
      <c r="O86" s="151"/>
      <c r="P86" s="152"/>
      <c r="Q86" s="152"/>
      <c r="R86" s="152"/>
      <c r="S86" s="152"/>
      <c r="T86" s="153" t="n">
        <v>0.005515</v>
      </c>
      <c r="U86" s="152"/>
      <c r="V86" s="152"/>
      <c r="W86" s="152"/>
      <c r="X86" s="152"/>
      <c r="Y86" s="152"/>
      <c r="Z86" s="152"/>
      <c r="AA86" s="152"/>
      <c r="AB86" s="152"/>
      <c r="AC86" s="260" t="n">
        <v>0.0066</v>
      </c>
      <c r="AD86" s="156" t="n">
        <f aca="false">IF(T86="","",T86)</f>
        <v>0.005515</v>
      </c>
      <c r="AE86" s="153"/>
      <c r="AF86" s="494"/>
      <c r="AH86" s="19" t="str">
        <f aca="false">IF(AF86="","N","Y")</f>
        <v>N</v>
      </c>
      <c r="AI86" s="63" t="s">
        <v>96</v>
      </c>
      <c r="AJ86" s="63" t="s">
        <v>97</v>
      </c>
      <c r="AK86" s="19"/>
      <c r="AL86" s="63" t="s">
        <v>98</v>
      </c>
    </row>
    <row r="87" customFormat="false" ht="16.5" hidden="false" customHeight="true" outlineLevel="0" collapsed="false">
      <c r="A87" s="19" t="n">
        <v>31</v>
      </c>
      <c r="B87" s="141" t="n">
        <v>42823</v>
      </c>
      <c r="C87" s="142" t="n">
        <v>42823</v>
      </c>
      <c r="D87" s="142" t="n">
        <v>42854</v>
      </c>
      <c r="E87" s="19" t="n">
        <f aca="false">D87-C87</f>
        <v>31</v>
      </c>
      <c r="F87" s="100" t="n">
        <f aca="false">TRUNC(E87/30,0)</f>
        <v>1</v>
      </c>
      <c r="G87" s="189" t="s">
        <v>99</v>
      </c>
      <c r="H87" s="146" t="n">
        <v>50</v>
      </c>
      <c r="I87" s="147"/>
      <c r="J87" s="148"/>
      <c r="K87" s="149"/>
      <c r="L87" s="152" t="n">
        <v>0.0092667</v>
      </c>
      <c r="M87" s="151"/>
      <c r="N87" s="152" t="n">
        <f aca="false">AVERAGE(0.0098,0.0097,0.0096)</f>
        <v>0.0097</v>
      </c>
      <c r="O87" s="151"/>
      <c r="P87" s="152"/>
      <c r="Q87" s="152"/>
      <c r="R87" s="152"/>
      <c r="S87" s="152"/>
      <c r="T87" s="153" t="n">
        <v>0.005515</v>
      </c>
      <c r="U87" s="152"/>
      <c r="V87" s="152"/>
      <c r="W87" s="152"/>
      <c r="X87" s="152"/>
      <c r="Y87" s="152"/>
      <c r="Z87" s="152"/>
      <c r="AA87" s="152"/>
      <c r="AB87" s="152"/>
      <c r="AC87" s="260" t="n">
        <v>0.0063</v>
      </c>
      <c r="AD87" s="156" t="n">
        <f aca="false">IF(T87="","",T87)</f>
        <v>0.005515</v>
      </c>
      <c r="AE87" s="153"/>
      <c r="AF87" s="494" t="n">
        <v>0.0065</v>
      </c>
      <c r="AH87" s="19" t="str">
        <f aca="false">IF(AF87="","N","Y")</f>
        <v>Y</v>
      </c>
      <c r="AI87" s="63" t="s">
        <v>96</v>
      </c>
      <c r="AJ87" s="63" t="s">
        <v>119</v>
      </c>
      <c r="AK87" s="19"/>
      <c r="AL87" s="19" t="s">
        <v>112</v>
      </c>
    </row>
    <row r="88" customFormat="false" ht="16.5" hidden="false" customHeight="true" outlineLevel="0" collapsed="false">
      <c r="A88" s="19" t="n">
        <v>32</v>
      </c>
      <c r="B88" s="141" t="n">
        <v>42824</v>
      </c>
      <c r="C88" s="142" t="n">
        <v>42824</v>
      </c>
      <c r="D88" s="142" t="n">
        <v>42855</v>
      </c>
      <c r="E88" s="19" t="n">
        <f aca="false">D88-C88</f>
        <v>31</v>
      </c>
      <c r="F88" s="100" t="n">
        <f aca="false">TRUNC(E88/30,0)</f>
        <v>1</v>
      </c>
      <c r="G88" s="189" t="s">
        <v>99</v>
      </c>
      <c r="H88" s="146" t="n">
        <v>30</v>
      </c>
      <c r="I88" s="147"/>
      <c r="J88" s="148"/>
      <c r="K88" s="149"/>
      <c r="L88" s="152" t="n">
        <v>0.0092556</v>
      </c>
      <c r="M88" s="151"/>
      <c r="N88" s="152" t="n">
        <f aca="false">AVERAGE(0.0098,0.0097)</f>
        <v>0.00975</v>
      </c>
      <c r="O88" s="151"/>
      <c r="P88" s="152"/>
      <c r="Q88" s="152"/>
      <c r="R88" s="152"/>
      <c r="S88" s="152"/>
      <c r="T88" s="153" t="n">
        <v>0.005551</v>
      </c>
      <c r="U88" s="152"/>
      <c r="V88" s="152"/>
      <c r="W88" s="152"/>
      <c r="X88" s="152"/>
      <c r="Y88" s="152"/>
      <c r="Z88" s="152"/>
      <c r="AA88" s="152"/>
      <c r="AB88" s="152"/>
      <c r="AC88" s="260" t="n">
        <v>0.0066</v>
      </c>
      <c r="AD88" s="156" t="n">
        <f aca="false">IF(T88="","",T88)</f>
        <v>0.005551</v>
      </c>
      <c r="AE88" s="153"/>
      <c r="AF88" s="494"/>
      <c r="AH88" s="19" t="str">
        <f aca="false">IF(AF88="","N","Y")</f>
        <v>N</v>
      </c>
      <c r="AI88" s="63" t="s">
        <v>96</v>
      </c>
      <c r="AJ88" s="63" t="s">
        <v>97</v>
      </c>
      <c r="AK88" s="19"/>
      <c r="AL88" s="63" t="s">
        <v>98</v>
      </c>
    </row>
    <row r="89" customFormat="false" ht="16.5" hidden="false" customHeight="true" outlineLevel="0" collapsed="false">
      <c r="A89" s="19" t="n">
        <v>33</v>
      </c>
      <c r="B89" s="141" t="n">
        <v>42829</v>
      </c>
      <c r="C89" s="142" t="n">
        <v>42829</v>
      </c>
      <c r="D89" s="142" t="n">
        <v>42850</v>
      </c>
      <c r="E89" s="19" t="n">
        <f aca="false">D89-C89</f>
        <v>21</v>
      </c>
      <c r="F89" s="100" t="n">
        <f aca="false">TRUNC(E89/30,0)</f>
        <v>0</v>
      </c>
      <c r="G89" s="183" t="s">
        <v>95</v>
      </c>
      <c r="H89" s="146" t="n">
        <v>60</v>
      </c>
      <c r="I89" s="147"/>
      <c r="J89" s="148"/>
      <c r="K89" s="149"/>
      <c r="L89" s="152" t="n">
        <v>0.009511</v>
      </c>
      <c r="M89" s="151"/>
      <c r="N89" s="152" t="n">
        <f aca="false">AVERAGE(0.011,0.0103)</f>
        <v>0.01065</v>
      </c>
      <c r="O89" s="151"/>
      <c r="P89" s="152"/>
      <c r="Q89" s="152"/>
      <c r="R89" s="152"/>
      <c r="S89" s="152"/>
      <c r="T89" s="153" t="n">
        <v>0.006181</v>
      </c>
      <c r="U89" s="152"/>
      <c r="V89" s="152"/>
      <c r="W89" s="152"/>
      <c r="X89" s="152"/>
      <c r="Y89" s="152"/>
      <c r="Z89" s="152"/>
      <c r="AA89" s="152"/>
      <c r="AB89" s="152"/>
      <c r="AC89" s="260" t="n">
        <v>0.0074</v>
      </c>
      <c r="AD89" s="156" t="n">
        <f aca="false">IF(T89="","",T89)</f>
        <v>0.006181</v>
      </c>
      <c r="AE89" s="153"/>
      <c r="AF89" s="494"/>
      <c r="AH89" s="19" t="str">
        <f aca="false">IF(AF89="","N","Y")</f>
        <v>N</v>
      </c>
      <c r="AI89" s="63" t="s">
        <v>100</v>
      </c>
      <c r="AJ89" s="63" t="s">
        <v>101</v>
      </c>
      <c r="AK89" s="19"/>
      <c r="AL89" s="63" t="s">
        <v>102</v>
      </c>
    </row>
    <row r="90" customFormat="false" ht="16.5" hidden="false" customHeight="true" outlineLevel="0" collapsed="false">
      <c r="A90" s="19" t="n">
        <v>34</v>
      </c>
      <c r="B90" s="141" t="n">
        <v>42839</v>
      </c>
      <c r="C90" s="142" t="n">
        <v>42839</v>
      </c>
      <c r="D90" s="142" t="n">
        <v>42849</v>
      </c>
      <c r="E90" s="19" t="n">
        <f aca="false">D90-C90</f>
        <v>10</v>
      </c>
      <c r="F90" s="100" t="n">
        <f aca="false">TRUNC(E90/30,0)</f>
        <v>0</v>
      </c>
      <c r="G90" s="183" t="s">
        <v>95</v>
      </c>
      <c r="H90" s="146" t="n">
        <v>50</v>
      </c>
      <c r="I90" s="147"/>
      <c r="J90" s="148"/>
      <c r="K90" s="149"/>
      <c r="L90" s="152" t="n">
        <v>0.008205</v>
      </c>
      <c r="M90" s="151"/>
      <c r="N90" s="152" t="n">
        <v>0.0097</v>
      </c>
      <c r="O90" s="151"/>
      <c r="P90" s="152"/>
      <c r="Q90" s="152"/>
      <c r="R90" s="152"/>
      <c r="S90" s="152"/>
      <c r="T90" s="153" t="n">
        <v>0.005131</v>
      </c>
      <c r="U90" s="152"/>
      <c r="V90" s="152"/>
      <c r="W90" s="152"/>
      <c r="X90" s="152"/>
      <c r="Y90" s="152"/>
      <c r="Z90" s="152"/>
      <c r="AA90" s="152"/>
      <c r="AB90" s="152"/>
      <c r="AC90" s="260" t="n">
        <v>0.007</v>
      </c>
      <c r="AD90" s="156" t="n">
        <f aca="false">IF(T90="","",T90)</f>
        <v>0.005131</v>
      </c>
      <c r="AE90" s="153"/>
      <c r="AF90" s="494"/>
      <c r="AH90" s="19" t="str">
        <f aca="false">IF(AF90="","N","Y")</f>
        <v>N</v>
      </c>
      <c r="AI90" s="63" t="s">
        <v>96</v>
      </c>
      <c r="AJ90" s="63" t="s">
        <v>97</v>
      </c>
      <c r="AK90" s="19"/>
      <c r="AL90" s="63" t="s">
        <v>98</v>
      </c>
    </row>
    <row r="91" customFormat="false" ht="16.5" hidden="false" customHeight="true" outlineLevel="0" collapsed="false">
      <c r="A91" s="19" t="n">
        <v>35</v>
      </c>
      <c r="B91" s="141" t="n">
        <v>42839</v>
      </c>
      <c r="C91" s="142" t="n">
        <v>42839</v>
      </c>
      <c r="D91" s="142" t="n">
        <v>42853</v>
      </c>
      <c r="E91" s="19" t="n">
        <f aca="false">D91-C91</f>
        <v>14</v>
      </c>
      <c r="F91" s="100" t="n">
        <f aca="false">TRUNC(E91/30,0)</f>
        <v>0</v>
      </c>
      <c r="G91" s="189" t="s">
        <v>99</v>
      </c>
      <c r="H91" s="146" t="n">
        <v>45</v>
      </c>
      <c r="I91" s="147"/>
      <c r="J91" s="148"/>
      <c r="K91" s="149"/>
      <c r="L91" s="152" t="n">
        <v>0.008011</v>
      </c>
      <c r="M91" s="151"/>
      <c r="N91" s="152" t="n">
        <v>0.0097</v>
      </c>
      <c r="O91" s="151"/>
      <c r="P91" s="152"/>
      <c r="Q91" s="152"/>
      <c r="R91" s="152"/>
      <c r="S91" s="152"/>
      <c r="T91" s="153" t="n">
        <v>0.004331</v>
      </c>
      <c r="U91" s="152"/>
      <c r="V91" s="152"/>
      <c r="W91" s="152"/>
      <c r="X91" s="152"/>
      <c r="Y91" s="152"/>
      <c r="Z91" s="152"/>
      <c r="AA91" s="152"/>
      <c r="AB91" s="152"/>
      <c r="AC91" s="260" t="n">
        <v>0.0064</v>
      </c>
      <c r="AD91" s="156" t="n">
        <f aca="false">IF(T91="","",T91)</f>
        <v>0.004331</v>
      </c>
      <c r="AE91" s="153"/>
      <c r="AF91" s="494"/>
      <c r="AH91" s="19" t="str">
        <f aca="false">IF(AF91="","N","Y")</f>
        <v>N</v>
      </c>
      <c r="AI91" s="63" t="s">
        <v>96</v>
      </c>
      <c r="AJ91" s="63" t="s">
        <v>97</v>
      </c>
      <c r="AK91" s="19"/>
      <c r="AL91" s="63" t="s">
        <v>98</v>
      </c>
    </row>
    <row r="92" customFormat="false" ht="16.5" hidden="false" customHeight="true" outlineLevel="0" collapsed="false">
      <c r="A92" s="19" t="n">
        <v>36</v>
      </c>
      <c r="B92" s="141" t="n">
        <v>42843</v>
      </c>
      <c r="C92" s="142" t="n">
        <v>42843</v>
      </c>
      <c r="D92" s="142" t="n">
        <v>42879</v>
      </c>
      <c r="E92" s="19" t="n">
        <f aca="false">D92-C92</f>
        <v>36</v>
      </c>
      <c r="F92" s="100" t="n">
        <f aca="false">TRUNC(E92/30,0)</f>
        <v>1</v>
      </c>
      <c r="G92" s="183" t="s">
        <v>95</v>
      </c>
      <c r="H92" s="146" t="n">
        <v>40</v>
      </c>
      <c r="I92" s="147"/>
      <c r="J92" s="148"/>
      <c r="K92" s="149"/>
      <c r="L92" s="152" t="n">
        <v>0.0099444</v>
      </c>
      <c r="M92" s="151"/>
      <c r="N92" s="152" t="n">
        <f aca="false">AVERAGE(0.0113,0.0112)</f>
        <v>0.01125</v>
      </c>
      <c r="O92" s="151"/>
      <c r="P92" s="152"/>
      <c r="Q92" s="152"/>
      <c r="R92" s="152"/>
      <c r="S92" s="152"/>
      <c r="T92" s="153" t="n">
        <v>0.00632</v>
      </c>
      <c r="U92" s="152"/>
      <c r="V92" s="152"/>
      <c r="W92" s="152"/>
      <c r="X92" s="152"/>
      <c r="Y92" s="152"/>
      <c r="Z92" s="152"/>
      <c r="AA92" s="152"/>
      <c r="AB92" s="152"/>
      <c r="AC92" s="260" t="n">
        <v>0.009</v>
      </c>
      <c r="AD92" s="156" t="n">
        <f aca="false">IF(T92="","",T92)</f>
        <v>0.00632</v>
      </c>
      <c r="AE92" s="153"/>
      <c r="AF92" s="494"/>
      <c r="AH92" s="19" t="str">
        <f aca="false">IF(AF92="","N","Y")</f>
        <v>N</v>
      </c>
      <c r="AI92" s="63" t="s">
        <v>100</v>
      </c>
      <c r="AJ92" s="63" t="s">
        <v>101</v>
      </c>
      <c r="AK92" s="19"/>
      <c r="AL92" s="63" t="s">
        <v>102</v>
      </c>
    </row>
    <row r="93" customFormat="false" ht="16.5" hidden="false" customHeight="true" outlineLevel="0" collapsed="false">
      <c r="A93" s="19" t="n">
        <v>37</v>
      </c>
      <c r="B93" s="141" t="n">
        <v>42845</v>
      </c>
      <c r="C93" s="142" t="n">
        <v>42845</v>
      </c>
      <c r="D93" s="142" t="n">
        <v>42877</v>
      </c>
      <c r="E93" s="19" t="n">
        <f aca="false">D93-C93</f>
        <v>32</v>
      </c>
      <c r="F93" s="100" t="n">
        <f aca="false">TRUNC(E93/30,0)</f>
        <v>1</v>
      </c>
      <c r="G93" s="189" t="s">
        <v>99</v>
      </c>
      <c r="H93" s="146" t="n">
        <v>150</v>
      </c>
      <c r="I93" s="147"/>
      <c r="J93" s="148"/>
      <c r="K93" s="149"/>
      <c r="L93" s="152" t="n">
        <v>0.0093</v>
      </c>
      <c r="M93" s="151"/>
      <c r="N93" s="152" t="n">
        <f aca="false">AVERAGE(0.0098,0.0096)</f>
        <v>0.0097</v>
      </c>
      <c r="O93" s="151"/>
      <c r="P93" s="152"/>
      <c r="Q93" s="152"/>
      <c r="R93" s="152"/>
      <c r="S93" s="152"/>
      <c r="T93" s="153" t="n">
        <v>0.004336</v>
      </c>
      <c r="U93" s="152"/>
      <c r="V93" s="152"/>
      <c r="W93" s="152"/>
      <c r="X93" s="152"/>
      <c r="Y93" s="152"/>
      <c r="Z93" s="152"/>
      <c r="AA93" s="152"/>
      <c r="AB93" s="152"/>
      <c r="AC93" s="260" t="n">
        <v>0.0065</v>
      </c>
      <c r="AD93" s="156" t="n">
        <f aca="false">IF(T93="","",T93)</f>
        <v>0.004336</v>
      </c>
      <c r="AE93" s="153"/>
      <c r="AF93" s="494"/>
      <c r="AH93" s="19" t="str">
        <f aca="false">IF(AF93="","N","Y")</f>
        <v>N</v>
      </c>
      <c r="AI93" s="63" t="s">
        <v>96</v>
      </c>
      <c r="AJ93" s="63" t="s">
        <v>97</v>
      </c>
      <c r="AK93" s="19"/>
      <c r="AL93" s="19" t="s">
        <v>112</v>
      </c>
    </row>
    <row r="94" customFormat="false" ht="16.5" hidden="false" customHeight="true" outlineLevel="0" collapsed="false">
      <c r="A94" s="19" t="n">
        <v>38</v>
      </c>
      <c r="B94" s="141" t="n">
        <v>42849</v>
      </c>
      <c r="C94" s="142" t="n">
        <v>42849</v>
      </c>
      <c r="D94" s="142" t="n">
        <v>42879</v>
      </c>
      <c r="E94" s="19" t="n">
        <f aca="false">D94-C94</f>
        <v>30</v>
      </c>
      <c r="F94" s="100" t="n">
        <f aca="false">TRUNC(E94/30,0)</f>
        <v>1</v>
      </c>
      <c r="G94" s="189" t="s">
        <v>99</v>
      </c>
      <c r="H94" s="146" t="n">
        <v>50</v>
      </c>
      <c r="I94" s="147"/>
      <c r="J94" s="148"/>
      <c r="K94" s="149"/>
      <c r="L94" s="152" t="n">
        <v>0.0092944</v>
      </c>
      <c r="M94" s="151"/>
      <c r="N94" s="152" t="n">
        <f aca="false">AVERAGE(0.0098,0.0096)</f>
        <v>0.0097</v>
      </c>
      <c r="O94" s="151"/>
      <c r="P94" s="152"/>
      <c r="Q94" s="152"/>
      <c r="R94" s="152"/>
      <c r="S94" s="152"/>
      <c r="T94" s="153" t="n">
        <v>0.004326</v>
      </c>
      <c r="U94" s="152"/>
      <c r="V94" s="152"/>
      <c r="W94" s="152"/>
      <c r="X94" s="152"/>
      <c r="Y94" s="152"/>
      <c r="Z94" s="152"/>
      <c r="AA94" s="152"/>
      <c r="AB94" s="152"/>
      <c r="AC94" s="260" t="n">
        <v>0.0068</v>
      </c>
      <c r="AD94" s="156" t="n">
        <f aca="false">IF(T94="","",T94)</f>
        <v>0.004326</v>
      </c>
      <c r="AE94" s="153"/>
      <c r="AF94" s="494"/>
      <c r="AH94" s="19" t="str">
        <f aca="false">IF(AF94="","N","Y")</f>
        <v>N</v>
      </c>
      <c r="AI94" s="63" t="s">
        <v>96</v>
      </c>
      <c r="AJ94" s="63" t="s">
        <v>97</v>
      </c>
      <c r="AK94" s="19"/>
      <c r="AL94" s="63" t="s">
        <v>98</v>
      </c>
    </row>
    <row r="95" customFormat="false" ht="16.5" hidden="false" customHeight="true" outlineLevel="0" collapsed="false">
      <c r="A95" s="19" t="n">
        <v>39</v>
      </c>
      <c r="B95" s="141" t="n">
        <v>42850</v>
      </c>
      <c r="C95" s="142" t="n">
        <v>42850</v>
      </c>
      <c r="D95" s="142" t="n">
        <v>42885</v>
      </c>
      <c r="E95" s="19" t="n">
        <f aca="false">D95-C95</f>
        <v>35</v>
      </c>
      <c r="F95" s="100" t="n">
        <f aca="false">TRUNC(E95/30,0)</f>
        <v>1</v>
      </c>
      <c r="G95" s="183" t="s">
        <v>95</v>
      </c>
      <c r="H95" s="146" t="n">
        <v>60</v>
      </c>
      <c r="I95" s="147"/>
      <c r="J95" s="148"/>
      <c r="K95" s="149"/>
      <c r="L95" s="152" t="n">
        <v>0.0099111</v>
      </c>
      <c r="M95" s="151"/>
      <c r="N95" s="152" t="n">
        <f aca="false">AVERAGE(0.0111,0.0115)</f>
        <v>0.0113</v>
      </c>
      <c r="O95" s="151"/>
      <c r="P95" s="152"/>
      <c r="Q95" s="152"/>
      <c r="R95" s="152"/>
      <c r="S95" s="152"/>
      <c r="T95" s="153" t="n">
        <v>0.006287</v>
      </c>
      <c r="U95" s="152"/>
      <c r="V95" s="152"/>
      <c r="W95" s="152"/>
      <c r="X95" s="152"/>
      <c r="Y95" s="152"/>
      <c r="Z95" s="152"/>
      <c r="AA95" s="152"/>
      <c r="AB95" s="152"/>
      <c r="AC95" s="260" t="n">
        <v>0.0085</v>
      </c>
      <c r="AD95" s="156" t="n">
        <f aca="false">IF(T95="","",T95)</f>
        <v>0.006287</v>
      </c>
      <c r="AE95" s="153"/>
      <c r="AF95" s="494"/>
      <c r="AH95" s="19" t="str">
        <f aca="false">IF(AF95="","N","Y")</f>
        <v>N</v>
      </c>
      <c r="AI95" s="63" t="s">
        <v>100</v>
      </c>
      <c r="AJ95" s="63" t="s">
        <v>101</v>
      </c>
      <c r="AK95" s="19"/>
      <c r="AL95" s="63" t="s">
        <v>102</v>
      </c>
    </row>
    <row r="96" customFormat="false" ht="16.5" hidden="false" customHeight="true" outlineLevel="0" collapsed="false">
      <c r="A96" s="19" t="n">
        <v>40</v>
      </c>
      <c r="B96" s="141" t="n">
        <v>42851</v>
      </c>
      <c r="C96" s="142" t="n">
        <v>42851</v>
      </c>
      <c r="D96" s="142" t="n">
        <v>42881</v>
      </c>
      <c r="E96" s="19" t="n">
        <f aca="false">D96-C96</f>
        <v>30</v>
      </c>
      <c r="F96" s="100" t="n">
        <f aca="false">TRUNC(E96/30,0)</f>
        <v>1</v>
      </c>
      <c r="G96" s="183" t="s">
        <v>95</v>
      </c>
      <c r="H96" s="146" t="n">
        <v>50</v>
      </c>
      <c r="I96" s="147"/>
      <c r="J96" s="148"/>
      <c r="K96" s="149"/>
      <c r="L96" s="152" t="n">
        <v>0.0099222</v>
      </c>
      <c r="M96" s="151"/>
      <c r="N96" s="152" t="n">
        <f aca="false">AVERAGE(0.0111,0.0115)</f>
        <v>0.0113</v>
      </c>
      <c r="O96" s="151"/>
      <c r="P96" s="152"/>
      <c r="Q96" s="152"/>
      <c r="R96" s="152"/>
      <c r="S96" s="152"/>
      <c r="T96" s="153" t="n">
        <v>0.006298</v>
      </c>
      <c r="U96" s="152"/>
      <c r="V96" s="152" t="n">
        <v>0.0021</v>
      </c>
      <c r="W96" s="152"/>
      <c r="X96" s="152"/>
      <c r="Y96" s="152" t="n">
        <v>0.001</v>
      </c>
      <c r="Z96" s="152"/>
      <c r="AA96" s="152"/>
      <c r="AB96" s="152" t="n">
        <f aca="false">N96-V96-Y96</f>
        <v>0.0082</v>
      </c>
      <c r="AC96" s="260" t="n">
        <v>0.009</v>
      </c>
      <c r="AD96" s="156" t="n">
        <f aca="false">IF(T96="","",T96)</f>
        <v>0.006298</v>
      </c>
      <c r="AE96" s="153"/>
      <c r="AF96" s="494"/>
      <c r="AH96" s="19" t="str">
        <f aca="false">IF(AF96="","N","Y")</f>
        <v>N</v>
      </c>
      <c r="AI96" s="63" t="s">
        <v>96</v>
      </c>
      <c r="AJ96" s="63" t="s">
        <v>97</v>
      </c>
      <c r="AK96" s="19"/>
      <c r="AL96" s="63" t="s">
        <v>98</v>
      </c>
      <c r="AM96" s="977" t="s">
        <v>122</v>
      </c>
    </row>
    <row r="97" customFormat="false" ht="16.5" hidden="false" customHeight="true" outlineLevel="0" collapsed="false">
      <c r="A97" s="19" t="n">
        <v>41</v>
      </c>
      <c r="B97" s="141" t="n">
        <v>42851</v>
      </c>
      <c r="C97" s="142" t="n">
        <v>42851</v>
      </c>
      <c r="D97" s="142" t="n">
        <v>42912</v>
      </c>
      <c r="E97" s="19" t="n">
        <f aca="false">D97-C97</f>
        <v>61</v>
      </c>
      <c r="F97" s="100" t="n">
        <f aca="false">TRUNC(E97/30,0)</f>
        <v>2</v>
      </c>
      <c r="G97" s="183" t="s">
        <v>95</v>
      </c>
      <c r="H97" s="146" t="n">
        <v>50</v>
      </c>
      <c r="I97" s="147"/>
      <c r="J97" s="148"/>
      <c r="K97" s="149"/>
      <c r="L97" s="152" t="n">
        <v>0.0104056</v>
      </c>
      <c r="M97" s="151"/>
      <c r="N97" s="152" t="n">
        <v>0.0124</v>
      </c>
      <c r="O97" s="151"/>
      <c r="P97" s="152"/>
      <c r="Q97" s="152"/>
      <c r="R97" s="152"/>
      <c r="S97" s="152"/>
      <c r="T97" s="153" t="n">
        <v>0.006771</v>
      </c>
      <c r="U97" s="152"/>
      <c r="V97" s="152" t="n">
        <v>0.0021</v>
      </c>
      <c r="W97" s="152"/>
      <c r="X97" s="152"/>
      <c r="Y97" s="152" t="n">
        <v>0.001</v>
      </c>
      <c r="Z97" s="152"/>
      <c r="AA97" s="152"/>
      <c r="AB97" s="152" t="n">
        <f aca="false">N97-V97-Y97</f>
        <v>0.0093</v>
      </c>
      <c r="AC97" s="260" t="n">
        <v>0.0092</v>
      </c>
      <c r="AD97" s="156" t="n">
        <f aca="false">IF(T97="","",T97)</f>
        <v>0.006771</v>
      </c>
      <c r="AE97" s="153"/>
      <c r="AF97" s="494"/>
      <c r="AH97" s="19" t="str">
        <f aca="false">IF(AF97="","N","Y")</f>
        <v>N</v>
      </c>
      <c r="AI97" s="63" t="s">
        <v>96</v>
      </c>
      <c r="AJ97" s="63" t="s">
        <v>97</v>
      </c>
      <c r="AK97" s="19"/>
      <c r="AL97" s="63" t="s">
        <v>98</v>
      </c>
    </row>
    <row r="98" customFormat="false" ht="16.5" hidden="false" customHeight="true" outlineLevel="0" collapsed="false">
      <c r="A98" s="19" t="n">
        <v>42</v>
      </c>
      <c r="B98" s="141" t="n">
        <v>42851</v>
      </c>
      <c r="C98" s="142" t="n">
        <v>42851</v>
      </c>
      <c r="D98" s="142" t="n">
        <v>42943</v>
      </c>
      <c r="E98" s="19" t="n">
        <f aca="false">D98-C98</f>
        <v>92</v>
      </c>
      <c r="F98" s="100" t="n">
        <f aca="false">TRUNC(E98/30,0)</f>
        <v>3</v>
      </c>
      <c r="G98" s="183" t="s">
        <v>95</v>
      </c>
      <c r="H98" s="146" t="n">
        <v>50</v>
      </c>
      <c r="I98" s="147"/>
      <c r="J98" s="148"/>
      <c r="K98" s="149"/>
      <c r="L98" s="152" t="n">
        <v>0.0117039</v>
      </c>
      <c r="M98" s="151"/>
      <c r="N98" s="152" t="n">
        <f aca="false">AVERAGE(0.0133,0.014)</f>
        <v>0.01365</v>
      </c>
      <c r="O98" s="151"/>
      <c r="P98" s="152"/>
      <c r="Q98" s="152"/>
      <c r="R98" s="152"/>
      <c r="S98" s="152"/>
      <c r="T98" s="153" t="n">
        <v>0.007544</v>
      </c>
      <c r="U98" s="152"/>
      <c r="V98" s="152" t="n">
        <v>0.0021</v>
      </c>
      <c r="W98" s="152"/>
      <c r="X98" s="152"/>
      <c r="Y98" s="152" t="n">
        <v>0.001</v>
      </c>
      <c r="Z98" s="152"/>
      <c r="AA98" s="152"/>
      <c r="AB98" s="152" t="n">
        <f aca="false">N98-V98-Y98</f>
        <v>0.01055</v>
      </c>
      <c r="AC98" s="260" t="n">
        <v>0.011</v>
      </c>
      <c r="AD98" s="156" t="n">
        <f aca="false">IF(T98="","",T98)</f>
        <v>0.007544</v>
      </c>
      <c r="AE98" s="153"/>
      <c r="AF98" s="494"/>
      <c r="AH98" s="19" t="str">
        <f aca="false">IF(AF98="","N","Y")</f>
        <v>N</v>
      </c>
      <c r="AI98" s="63" t="s">
        <v>96</v>
      </c>
      <c r="AJ98" s="63" t="s">
        <v>97</v>
      </c>
      <c r="AK98" s="19"/>
      <c r="AL98" s="63" t="s">
        <v>98</v>
      </c>
      <c r="AM98" s="977" t="s">
        <v>123</v>
      </c>
    </row>
    <row r="99" customFormat="false" ht="16.5" hidden="false" customHeight="true" outlineLevel="0" collapsed="false">
      <c r="A99" s="19" t="n">
        <v>43</v>
      </c>
      <c r="B99" s="141" t="n">
        <v>42865</v>
      </c>
      <c r="C99" s="142" t="n">
        <v>42865</v>
      </c>
      <c r="D99" s="142" t="n">
        <v>42907</v>
      </c>
      <c r="E99" s="19" t="n">
        <f aca="false">D99-C99</f>
        <v>42</v>
      </c>
      <c r="F99" s="100" t="n">
        <f aca="false">TRUNC(E99/30,0)</f>
        <v>1</v>
      </c>
      <c r="G99" s="183" t="s">
        <v>95</v>
      </c>
      <c r="H99" s="146" t="n">
        <v>30</v>
      </c>
      <c r="I99" s="147"/>
      <c r="J99" s="148"/>
      <c r="K99" s="149"/>
      <c r="L99" s="152" t="n">
        <v>0.0098856</v>
      </c>
      <c r="M99" s="151"/>
      <c r="N99" s="152" t="n">
        <f aca="false">AVERAGE(0.0113,0.0112)</f>
        <v>0.01125</v>
      </c>
      <c r="O99" s="151"/>
      <c r="P99" s="152"/>
      <c r="Q99" s="152"/>
      <c r="R99" s="152"/>
      <c r="S99" s="152"/>
      <c r="T99" s="153" t="n">
        <v>0.006262</v>
      </c>
      <c r="U99" s="152"/>
      <c r="V99" s="152" t="n">
        <v>0.0021</v>
      </c>
      <c r="W99" s="152"/>
      <c r="X99" s="152"/>
      <c r="Y99" s="152" t="n">
        <v>0.001</v>
      </c>
      <c r="Z99" s="152"/>
      <c r="AA99" s="152"/>
      <c r="AB99" s="152" t="n">
        <f aca="false">N99-V99-Y99</f>
        <v>0.00815</v>
      </c>
      <c r="AC99" s="260" t="n">
        <v>0.009</v>
      </c>
      <c r="AD99" s="156" t="n">
        <f aca="false">IF(T99="","",T99)</f>
        <v>0.006262</v>
      </c>
      <c r="AE99" s="153"/>
      <c r="AF99" s="494"/>
      <c r="AH99" s="19" t="str">
        <f aca="false">IF(AF99="","N","Y")</f>
        <v>N</v>
      </c>
      <c r="AI99" s="63" t="s">
        <v>100</v>
      </c>
      <c r="AJ99" s="63" t="s">
        <v>101</v>
      </c>
      <c r="AK99" s="19"/>
      <c r="AL99" s="63" t="s">
        <v>102</v>
      </c>
    </row>
    <row r="100" customFormat="false" ht="16.5" hidden="false" customHeight="true" outlineLevel="0" collapsed="false">
      <c r="A100" s="19" t="n">
        <v>44</v>
      </c>
      <c r="B100" s="141" t="n">
        <v>42874</v>
      </c>
      <c r="C100" s="142" t="n">
        <v>42874</v>
      </c>
      <c r="D100" s="142" t="n">
        <v>42905</v>
      </c>
      <c r="E100" s="19" t="n">
        <f aca="false">D100-C100</f>
        <v>31</v>
      </c>
      <c r="F100" s="100" t="n">
        <f aca="false">TRUNC(E100/30,0)</f>
        <v>1</v>
      </c>
      <c r="G100" s="189" t="s">
        <v>99</v>
      </c>
      <c r="H100" s="146" t="n">
        <v>10</v>
      </c>
      <c r="I100" s="147"/>
      <c r="J100" s="148"/>
      <c r="K100" s="149"/>
      <c r="L100" s="152" t="n">
        <v>0.0092778</v>
      </c>
      <c r="M100" s="151"/>
      <c r="N100" s="152" t="n">
        <f aca="false">AVERAGE(0.0099,0.0098)</f>
        <v>0.00985</v>
      </c>
      <c r="O100" s="151"/>
      <c r="P100" s="152"/>
      <c r="Q100" s="152"/>
      <c r="R100" s="152"/>
      <c r="S100" s="152"/>
      <c r="T100" s="153" t="n">
        <v>0.004346</v>
      </c>
      <c r="U100" s="152"/>
      <c r="V100" s="152" t="n">
        <v>0.0032</v>
      </c>
      <c r="W100" s="152"/>
      <c r="X100" s="152"/>
      <c r="Y100" s="152" t="n">
        <v>0.001</v>
      </c>
      <c r="Z100" s="152"/>
      <c r="AA100" s="152"/>
      <c r="AB100" s="152" t="n">
        <f aca="false">N100-V100-Y100</f>
        <v>0.00565</v>
      </c>
      <c r="AC100" s="260" t="n">
        <v>0.006</v>
      </c>
      <c r="AD100" s="156" t="n">
        <f aca="false">IF(T100="","",T100)</f>
        <v>0.004346</v>
      </c>
      <c r="AE100" s="153"/>
      <c r="AF100" s="494" t="n">
        <v>0.006</v>
      </c>
      <c r="AH100" s="19" t="str">
        <f aca="false">IF(AF100="","N","Y")</f>
        <v>Y</v>
      </c>
      <c r="AI100" s="63" t="s">
        <v>103</v>
      </c>
      <c r="AJ100" s="63" t="s">
        <v>104</v>
      </c>
      <c r="AK100" s="19"/>
      <c r="AL100" s="63" t="s">
        <v>105</v>
      </c>
    </row>
    <row r="101" customFormat="false" ht="16.5" hidden="false" customHeight="true" outlineLevel="0" collapsed="false">
      <c r="A101" s="19" t="n">
        <v>45</v>
      </c>
      <c r="B101" s="141" t="n">
        <v>42874</v>
      </c>
      <c r="C101" s="142" t="n">
        <v>42874</v>
      </c>
      <c r="D101" s="142" t="n">
        <v>42908</v>
      </c>
      <c r="E101" s="19" t="n">
        <f aca="false">D101-C101</f>
        <v>34</v>
      </c>
      <c r="F101" s="100" t="n">
        <f aca="false">TRUNC(E101/30,0)</f>
        <v>1</v>
      </c>
      <c r="G101" s="189" t="s">
        <v>99</v>
      </c>
      <c r="H101" s="146" t="n">
        <v>150</v>
      </c>
      <c r="I101" s="147"/>
      <c r="J101" s="148"/>
      <c r="K101" s="149"/>
      <c r="L101" s="152" t="n">
        <v>0.0092778</v>
      </c>
      <c r="M101" s="151"/>
      <c r="N101" s="152" t="n">
        <f aca="false">AVERAGE(0.0099,0.0098)</f>
        <v>0.00985</v>
      </c>
      <c r="O101" s="151"/>
      <c r="P101" s="152"/>
      <c r="Q101" s="152"/>
      <c r="R101" s="152"/>
      <c r="S101" s="152"/>
      <c r="T101" s="153" t="n">
        <v>0.004346</v>
      </c>
      <c r="U101" s="152"/>
      <c r="V101" s="152" t="n">
        <v>0.0032</v>
      </c>
      <c r="W101" s="152"/>
      <c r="X101" s="152"/>
      <c r="Y101" s="152" t="n">
        <v>0.001</v>
      </c>
      <c r="Z101" s="152"/>
      <c r="AA101" s="152"/>
      <c r="AB101" s="152" t="n">
        <f aca="false">N101-V101-Y101</f>
        <v>0.00565</v>
      </c>
      <c r="AC101" s="260" t="n">
        <v>0.0065</v>
      </c>
      <c r="AD101" s="156" t="n">
        <f aca="false">IF(T101="","",T101)</f>
        <v>0.004346</v>
      </c>
      <c r="AE101" s="153"/>
      <c r="AF101" s="494" t="n">
        <v>0.0065</v>
      </c>
      <c r="AH101" s="19" t="str">
        <f aca="false">IF(AF101="","N","Y")</f>
        <v>Y</v>
      </c>
      <c r="AI101" s="63" t="s">
        <v>96</v>
      </c>
      <c r="AJ101" s="63" t="s">
        <v>97</v>
      </c>
      <c r="AK101" s="19"/>
      <c r="AL101" s="19" t="s">
        <v>112</v>
      </c>
    </row>
    <row r="102" customFormat="false" ht="16.5" hidden="false" customHeight="true" outlineLevel="0" collapsed="false">
      <c r="A102" s="19" t="n">
        <v>46</v>
      </c>
      <c r="B102" s="141" t="n">
        <v>42877</v>
      </c>
      <c r="C102" s="142" t="n">
        <v>42877</v>
      </c>
      <c r="D102" s="142" t="n">
        <v>42908</v>
      </c>
      <c r="E102" s="19" t="n">
        <f aca="false">D102-C102</f>
        <v>31</v>
      </c>
      <c r="F102" s="100" t="n">
        <f aca="false">TRUNC(E102/30,0)</f>
        <v>1</v>
      </c>
      <c r="G102" s="183" t="s">
        <v>95</v>
      </c>
      <c r="H102" s="146" t="n">
        <v>20</v>
      </c>
      <c r="I102" s="147"/>
      <c r="J102" s="148"/>
      <c r="K102" s="149"/>
      <c r="L102" s="152" t="n">
        <v>0.0100994</v>
      </c>
      <c r="M102" s="151"/>
      <c r="N102" s="152" t="n">
        <f aca="false">AVERAGE(0.012,0.012)</f>
        <v>0.012</v>
      </c>
      <c r="O102" s="151"/>
      <c r="P102" s="152"/>
      <c r="Q102" s="152"/>
      <c r="R102" s="152"/>
      <c r="S102" s="152"/>
      <c r="T102" s="153" t="n">
        <v>0.006472</v>
      </c>
      <c r="U102" s="152"/>
      <c r="V102" s="152" t="n">
        <v>0.002</v>
      </c>
      <c r="W102" s="152"/>
      <c r="X102" s="152"/>
      <c r="Y102" s="152" t="n">
        <v>0.0015</v>
      </c>
      <c r="Z102" s="152"/>
      <c r="AA102" s="152"/>
      <c r="AB102" s="152" t="n">
        <f aca="false">N102-V102-Y102</f>
        <v>0.0085</v>
      </c>
      <c r="AC102" s="260" t="n">
        <v>0.0086</v>
      </c>
      <c r="AD102" s="156" t="n">
        <f aca="false">IF(T102="","",T102)</f>
        <v>0.006472</v>
      </c>
      <c r="AE102" s="153"/>
      <c r="AF102" s="494" t="n">
        <v>0.0086</v>
      </c>
      <c r="AH102" s="19" t="str">
        <f aca="false">IF(AF102="","N","Y")</f>
        <v>Y</v>
      </c>
      <c r="AI102" s="63" t="s">
        <v>124</v>
      </c>
      <c r="AJ102" s="63" t="s">
        <v>125</v>
      </c>
      <c r="AK102" s="19"/>
      <c r="AL102" s="63" t="s">
        <v>126</v>
      </c>
    </row>
    <row r="103" customFormat="false" ht="16.5" hidden="false" customHeight="true" outlineLevel="0" collapsed="false">
      <c r="A103" s="19" t="n">
        <v>47</v>
      </c>
      <c r="B103" s="141" t="n">
        <v>42877</v>
      </c>
      <c r="C103" s="142" t="n">
        <v>42877</v>
      </c>
      <c r="D103" s="142" t="n">
        <v>42940</v>
      </c>
      <c r="E103" s="19" t="n">
        <f aca="false">D103-C103</f>
        <v>63</v>
      </c>
      <c r="F103" s="100" t="n">
        <f aca="false">TRUNC(E103/30,0)</f>
        <v>2</v>
      </c>
      <c r="G103" s="183" t="s">
        <v>95</v>
      </c>
      <c r="H103" s="146" t="n">
        <v>20</v>
      </c>
      <c r="I103" s="147"/>
      <c r="J103" s="148"/>
      <c r="K103" s="149"/>
      <c r="L103" s="152" t="n">
        <v>0.0107639</v>
      </c>
      <c r="M103" s="151"/>
      <c r="N103" s="152" t="n">
        <f aca="false">AVERAGE(0.013,0.014)</f>
        <v>0.0135</v>
      </c>
      <c r="O103" s="151"/>
      <c r="P103" s="152"/>
      <c r="Q103" s="152"/>
      <c r="R103" s="152"/>
      <c r="S103" s="152"/>
      <c r="T103" s="153" t="n">
        <v>0.007122</v>
      </c>
      <c r="U103" s="152"/>
      <c r="V103" s="152" t="n">
        <v>0.002</v>
      </c>
      <c r="W103" s="152"/>
      <c r="X103" s="152"/>
      <c r="Y103" s="152" t="n">
        <v>0.002</v>
      </c>
      <c r="Z103" s="152"/>
      <c r="AA103" s="152"/>
      <c r="AB103" s="152" t="n">
        <f aca="false">N103-V103-Y103</f>
        <v>0.0095</v>
      </c>
      <c r="AC103" s="260" t="n">
        <v>0.0095</v>
      </c>
      <c r="AD103" s="156" t="n">
        <f aca="false">IF(T103="","",T103)</f>
        <v>0.007122</v>
      </c>
      <c r="AE103" s="153"/>
      <c r="AF103" s="494"/>
      <c r="AH103" s="19" t="str">
        <f aca="false">IF(AF103="","N","Y")</f>
        <v>N</v>
      </c>
      <c r="AI103" s="63" t="s">
        <v>124</v>
      </c>
      <c r="AJ103" s="63" t="s">
        <v>125</v>
      </c>
      <c r="AK103" s="19"/>
      <c r="AL103" s="63" t="s">
        <v>126</v>
      </c>
    </row>
    <row r="104" customFormat="false" ht="16.5" hidden="false" customHeight="true" outlineLevel="0" collapsed="false">
      <c r="A104" s="19" t="n">
        <v>48</v>
      </c>
      <c r="B104" s="141" t="n">
        <v>42877</v>
      </c>
      <c r="C104" s="142" t="n">
        <v>42877</v>
      </c>
      <c r="D104" s="142" t="n">
        <v>42969</v>
      </c>
      <c r="E104" s="19" t="n">
        <f aca="false">D104-C104</f>
        <v>92</v>
      </c>
      <c r="F104" s="100" t="n">
        <f aca="false">TRUNC(E104/30,0)</f>
        <v>3</v>
      </c>
      <c r="G104" s="183" t="s">
        <v>95</v>
      </c>
      <c r="H104" s="146" t="n">
        <v>20</v>
      </c>
      <c r="I104" s="147"/>
      <c r="J104" s="148"/>
      <c r="K104" s="149"/>
      <c r="L104" s="152" t="n">
        <v>0.0117172</v>
      </c>
      <c r="M104" s="151"/>
      <c r="N104" s="152" t="n">
        <f aca="false">AVERAGE(0.015,0.015)</f>
        <v>0.015</v>
      </c>
      <c r="O104" s="151"/>
      <c r="P104" s="152"/>
      <c r="Q104" s="152"/>
      <c r="R104" s="152"/>
      <c r="S104" s="152"/>
      <c r="T104" s="153" t="n">
        <v>0.007557</v>
      </c>
      <c r="U104" s="152"/>
      <c r="V104" s="152" t="n">
        <v>0.002</v>
      </c>
      <c r="W104" s="152"/>
      <c r="X104" s="152"/>
      <c r="Y104" s="152" t="n">
        <v>0.0015</v>
      </c>
      <c r="Z104" s="152"/>
      <c r="AA104" s="152"/>
      <c r="AB104" s="152" t="n">
        <f aca="false">N104-V104-Y104</f>
        <v>0.0115</v>
      </c>
      <c r="AC104" s="260" t="n">
        <v>0.0115</v>
      </c>
      <c r="AD104" s="156" t="n">
        <f aca="false">IF(T104="","",T104)</f>
        <v>0.007557</v>
      </c>
      <c r="AE104" s="153"/>
      <c r="AF104" s="494"/>
      <c r="AH104" s="19" t="str">
        <f aca="false">IF(AF104="","N","Y")</f>
        <v>N</v>
      </c>
      <c r="AI104" s="63" t="s">
        <v>124</v>
      </c>
      <c r="AJ104" s="63" t="s">
        <v>125</v>
      </c>
      <c r="AK104" s="19"/>
      <c r="AL104" s="63" t="s">
        <v>126</v>
      </c>
    </row>
    <row r="105" customFormat="false" ht="16.5" hidden="false" customHeight="true" outlineLevel="0" collapsed="false">
      <c r="A105" s="19" t="n">
        <v>49</v>
      </c>
      <c r="B105" s="141" t="n">
        <v>42878</v>
      </c>
      <c r="C105" s="142" t="n">
        <v>42878</v>
      </c>
      <c r="D105" s="142" t="n">
        <v>42970</v>
      </c>
      <c r="E105" s="19" t="n">
        <f aca="false">D105-C105</f>
        <v>92</v>
      </c>
      <c r="F105" s="100" t="n">
        <f aca="false">TRUNC(E105/30,0)</f>
        <v>3</v>
      </c>
      <c r="G105" s="183" t="s">
        <v>95</v>
      </c>
      <c r="H105" s="146" t="n">
        <v>3</v>
      </c>
      <c r="I105" s="147"/>
      <c r="J105" s="148"/>
      <c r="K105" s="149"/>
      <c r="L105" s="152" t="n">
        <v>0.01192</v>
      </c>
      <c r="M105" s="151"/>
      <c r="N105" s="152" t="n">
        <f aca="false">AVERAGE(0.015,0.015)</f>
        <v>0.015</v>
      </c>
      <c r="O105" s="151"/>
      <c r="P105" s="152"/>
      <c r="Q105" s="152"/>
      <c r="R105" s="152"/>
      <c r="S105" s="152"/>
      <c r="T105" s="153" t="n">
        <v>0.007756</v>
      </c>
      <c r="U105" s="152"/>
      <c r="V105" s="152" t="n">
        <v>0.002</v>
      </c>
      <c r="W105" s="152"/>
      <c r="X105" s="152"/>
      <c r="Y105" s="152" t="n">
        <v>0.0045</v>
      </c>
      <c r="Z105" s="152"/>
      <c r="AA105" s="152"/>
      <c r="AB105" s="152" t="n">
        <f aca="false">N105-V105-Y105</f>
        <v>0.0085</v>
      </c>
      <c r="AC105" s="260" t="n">
        <v>0.0085</v>
      </c>
      <c r="AD105" s="156" t="n">
        <f aca="false">IF(T105="","",T105)</f>
        <v>0.007756</v>
      </c>
      <c r="AE105" s="153"/>
      <c r="AF105" s="494"/>
      <c r="AH105" s="19" t="str">
        <f aca="false">IF(AF105="","N","Y")</f>
        <v>N</v>
      </c>
      <c r="AI105" s="63" t="s">
        <v>127</v>
      </c>
      <c r="AJ105" s="63" t="s">
        <v>128</v>
      </c>
      <c r="AK105" s="19"/>
      <c r="AL105" s="63" t="s">
        <v>129</v>
      </c>
    </row>
    <row r="106" customFormat="false" ht="16.5" hidden="false" customHeight="true" outlineLevel="0" collapsed="false">
      <c r="A106" s="19" t="n">
        <v>50</v>
      </c>
      <c r="B106" s="141" t="n">
        <v>42878</v>
      </c>
      <c r="C106" s="142" t="n">
        <v>42878</v>
      </c>
      <c r="D106" s="142" t="n">
        <v>42909</v>
      </c>
      <c r="E106" s="19" t="n">
        <f aca="false">D106-C106</f>
        <v>31</v>
      </c>
      <c r="F106" s="100" t="n">
        <f aca="false">TRUNC(E106/30,0)</f>
        <v>1</v>
      </c>
      <c r="G106" s="183" t="s">
        <v>95</v>
      </c>
      <c r="H106" s="146" t="n">
        <v>3</v>
      </c>
      <c r="I106" s="147"/>
      <c r="J106" s="148"/>
      <c r="K106" s="149"/>
      <c r="L106" s="152" t="n">
        <v>0.0102939</v>
      </c>
      <c r="M106" s="151"/>
      <c r="N106" s="152" t="n">
        <v>0.012</v>
      </c>
      <c r="O106" s="151"/>
      <c r="P106" s="152"/>
      <c r="Q106" s="152"/>
      <c r="R106" s="152"/>
      <c r="S106" s="152"/>
      <c r="T106" s="153" t="n">
        <v>0.006663</v>
      </c>
      <c r="U106" s="152"/>
      <c r="V106" s="152" t="n">
        <v>0.002</v>
      </c>
      <c r="W106" s="152"/>
      <c r="X106" s="152"/>
      <c r="Y106" s="152" t="n">
        <v>0.0025</v>
      </c>
      <c r="Z106" s="152"/>
      <c r="AA106" s="152"/>
      <c r="AB106" s="152" t="n">
        <f aca="false">N106-V106-Y106</f>
        <v>0.0075</v>
      </c>
      <c r="AC106" s="260" t="n">
        <v>0.008</v>
      </c>
      <c r="AD106" s="156" t="n">
        <f aca="false">IF(T106="","",T106)</f>
        <v>0.006663</v>
      </c>
      <c r="AE106" s="153"/>
      <c r="AF106" s="494"/>
      <c r="AH106" s="19" t="str">
        <f aca="false">IF(AF106="","N","Y")</f>
        <v>N</v>
      </c>
      <c r="AI106" s="63" t="s">
        <v>130</v>
      </c>
      <c r="AJ106" s="63" t="s">
        <v>131</v>
      </c>
      <c r="AK106" s="19"/>
      <c r="AL106" s="63" t="s">
        <v>132</v>
      </c>
    </row>
    <row r="107" customFormat="false" ht="16.5" hidden="false" customHeight="true" outlineLevel="0" collapsed="false">
      <c r="A107" s="19" t="n">
        <v>51</v>
      </c>
      <c r="B107" s="141" t="n">
        <v>42879</v>
      </c>
      <c r="C107" s="142" t="n">
        <v>42879</v>
      </c>
      <c r="D107" s="142" t="n">
        <v>43244</v>
      </c>
      <c r="E107" s="19" t="n">
        <f aca="false">D107-C107</f>
        <v>365</v>
      </c>
      <c r="F107" s="100" t="n">
        <f aca="false">TRUNC(E107/30,0)</f>
        <v>12</v>
      </c>
      <c r="G107" s="183" t="s">
        <v>95</v>
      </c>
      <c r="H107" s="146" t="n">
        <v>1.5</v>
      </c>
      <c r="I107" s="147"/>
      <c r="J107" s="148"/>
      <c r="K107" s="149"/>
      <c r="L107" s="152" t="n">
        <v>0.0171956</v>
      </c>
      <c r="M107" s="151"/>
      <c r="N107" s="152" t="n">
        <f aca="false">AVERAGE(0.02,0.018)</f>
        <v>0.019</v>
      </c>
      <c r="O107" s="151"/>
      <c r="P107" s="152"/>
      <c r="Q107" s="152"/>
      <c r="R107" s="152"/>
      <c r="S107" s="152"/>
      <c r="T107" s="153" t="n">
        <v>0.011826</v>
      </c>
      <c r="U107" s="152"/>
      <c r="V107" s="152" t="n">
        <v>0.0023</v>
      </c>
      <c r="W107" s="152"/>
      <c r="X107" s="152"/>
      <c r="Y107" s="152" t="n">
        <v>0.004</v>
      </c>
      <c r="Z107" s="152"/>
      <c r="AA107" s="152"/>
      <c r="AB107" s="152" t="n">
        <f aca="false">N107-V107-Y107</f>
        <v>0.0127</v>
      </c>
      <c r="AC107" s="260" t="n">
        <v>0.013</v>
      </c>
      <c r="AD107" s="156" t="n">
        <f aca="false">IF(T107="","",T107)</f>
        <v>0.011826</v>
      </c>
      <c r="AE107" s="153"/>
      <c r="AF107" s="494"/>
      <c r="AH107" s="19" t="str">
        <f aca="false">IF(AF107="","N","Y")</f>
        <v>N</v>
      </c>
      <c r="AI107" s="63" t="s">
        <v>133</v>
      </c>
      <c r="AJ107" s="63" t="s">
        <v>134</v>
      </c>
      <c r="AK107" s="19"/>
      <c r="AL107" s="19"/>
    </row>
    <row r="108" customFormat="false" ht="16.5" hidden="false" customHeight="true" outlineLevel="0" collapsed="false">
      <c r="A108" s="19" t="n">
        <v>52</v>
      </c>
      <c r="B108" s="141" t="n">
        <v>42879</v>
      </c>
      <c r="C108" s="142" t="n">
        <v>42879</v>
      </c>
      <c r="D108" s="142" t="n">
        <v>42920</v>
      </c>
      <c r="E108" s="19" t="n">
        <f aca="false">D108-C108</f>
        <v>41</v>
      </c>
      <c r="F108" s="100" t="n">
        <f aca="false">TRUNC(E108/30,0)</f>
        <v>1</v>
      </c>
      <c r="G108" s="183" t="s">
        <v>95</v>
      </c>
      <c r="H108" s="146" t="n">
        <v>60</v>
      </c>
      <c r="I108" s="147"/>
      <c r="J108" s="148"/>
      <c r="K108" s="149"/>
      <c r="L108" s="152" t="n">
        <v>0.0102356</v>
      </c>
      <c r="M108" s="151"/>
      <c r="N108" s="152" t="n">
        <f aca="false">AVERAGE(0.0117,0.0115)</f>
        <v>0.0116</v>
      </c>
      <c r="O108" s="151"/>
      <c r="P108" s="152"/>
      <c r="Q108" s="152"/>
      <c r="R108" s="152"/>
      <c r="S108" s="152"/>
      <c r="T108" s="153" t="n">
        <v>0.006605</v>
      </c>
      <c r="U108" s="152"/>
      <c r="V108" s="152" t="n">
        <v>0.002</v>
      </c>
      <c r="W108" s="152"/>
      <c r="X108" s="152"/>
      <c r="Y108" s="152" t="n">
        <v>0.002</v>
      </c>
      <c r="Z108" s="152"/>
      <c r="AA108" s="152"/>
      <c r="AB108" s="152" t="n">
        <f aca="false">N108-V108-Y108</f>
        <v>0.0076</v>
      </c>
      <c r="AC108" s="260" t="n">
        <v>0.0086</v>
      </c>
      <c r="AD108" s="156" t="n">
        <f aca="false">IF(T108="","",T108)</f>
        <v>0.006605</v>
      </c>
      <c r="AE108" s="153"/>
      <c r="AF108" s="494"/>
      <c r="AH108" s="19" t="str">
        <f aca="false">IF(AF108="","N","Y")</f>
        <v>N</v>
      </c>
      <c r="AI108" s="63" t="s">
        <v>100</v>
      </c>
      <c r="AJ108" s="63" t="s">
        <v>101</v>
      </c>
      <c r="AK108" s="19"/>
      <c r="AL108" s="63" t="s">
        <v>102</v>
      </c>
    </row>
    <row r="109" customFormat="false" ht="16.5" hidden="false" customHeight="true" outlineLevel="0" collapsed="false">
      <c r="A109" s="19" t="n">
        <v>53</v>
      </c>
      <c r="B109" s="141" t="n">
        <v>42880</v>
      </c>
      <c r="C109" s="142" t="n">
        <v>42880</v>
      </c>
      <c r="D109" s="142" t="n">
        <v>42911</v>
      </c>
      <c r="E109" s="19" t="n">
        <f aca="false">D109-C109</f>
        <v>31</v>
      </c>
      <c r="F109" s="100" t="n">
        <f aca="false">TRUNC(E109/30,0)</f>
        <v>1</v>
      </c>
      <c r="G109" s="183" t="s">
        <v>95</v>
      </c>
      <c r="H109" s="146" t="n">
        <v>100</v>
      </c>
      <c r="I109" s="147"/>
      <c r="J109" s="148"/>
      <c r="K109" s="149"/>
      <c r="L109" s="152" t="n">
        <v>0.0103272</v>
      </c>
      <c r="M109" s="151"/>
      <c r="N109" s="152" t="n">
        <f aca="false">AVERAGE(0.0117,0.0115)</f>
        <v>0.0116</v>
      </c>
      <c r="O109" s="151"/>
      <c r="P109" s="152"/>
      <c r="Q109" s="152"/>
      <c r="R109" s="152"/>
      <c r="S109" s="152"/>
      <c r="T109" s="153" t="n">
        <v>0.006695</v>
      </c>
      <c r="U109" s="152"/>
      <c r="V109" s="152" t="n">
        <v>0.002</v>
      </c>
      <c r="W109" s="152"/>
      <c r="X109" s="152"/>
      <c r="Y109" s="152" t="n">
        <v>0.002</v>
      </c>
      <c r="Z109" s="152"/>
      <c r="AA109" s="152"/>
      <c r="AB109" s="152" t="n">
        <f aca="false">N109-V109-Y109</f>
        <v>0.0076</v>
      </c>
      <c r="AC109" s="260" t="n">
        <v>0.0086</v>
      </c>
      <c r="AD109" s="156" t="n">
        <f aca="false">IF(T109="","",T109)</f>
        <v>0.006695</v>
      </c>
      <c r="AE109" s="153"/>
      <c r="AF109" s="494"/>
      <c r="AH109" s="19" t="str">
        <f aca="false">IF(AF109="","N","Y")</f>
        <v>N</v>
      </c>
      <c r="AI109" s="63" t="s">
        <v>96</v>
      </c>
      <c r="AJ109" s="63" t="s">
        <v>97</v>
      </c>
      <c r="AK109" s="19"/>
      <c r="AL109" s="63" t="s">
        <v>98</v>
      </c>
    </row>
    <row r="110" customFormat="false" ht="16.5" hidden="false" customHeight="true" outlineLevel="0" collapsed="false">
      <c r="A110" s="19" t="n">
        <v>54</v>
      </c>
      <c r="B110" s="141" t="n">
        <v>42880</v>
      </c>
      <c r="C110" s="142" t="n">
        <v>42880</v>
      </c>
      <c r="D110" s="142" t="n">
        <v>42941</v>
      </c>
      <c r="E110" s="19" t="n">
        <f aca="false">D110-C110</f>
        <v>61</v>
      </c>
      <c r="F110" s="100" t="n">
        <f aca="false">TRUNC(E110/30,0)</f>
        <v>2</v>
      </c>
      <c r="G110" s="183" t="s">
        <v>95</v>
      </c>
      <c r="H110" s="146" t="n">
        <v>100</v>
      </c>
      <c r="I110" s="147"/>
      <c r="J110" s="148"/>
      <c r="K110" s="149"/>
      <c r="L110" s="152" t="n">
        <v>0.0111056</v>
      </c>
      <c r="M110" s="151"/>
      <c r="N110" s="152" t="n">
        <f aca="false">AVERAGE(0.013,0.014)</f>
        <v>0.0135</v>
      </c>
      <c r="O110" s="151"/>
      <c r="P110" s="152"/>
      <c r="Q110" s="152"/>
      <c r="R110" s="152"/>
      <c r="S110" s="152"/>
      <c r="T110" s="153" t="n">
        <v>0.007457</v>
      </c>
      <c r="U110" s="152"/>
      <c r="V110" s="152" t="n">
        <v>0.002</v>
      </c>
      <c r="W110" s="152"/>
      <c r="X110" s="152"/>
      <c r="Y110" s="152" t="n">
        <v>0.002</v>
      </c>
      <c r="Z110" s="152"/>
      <c r="AA110" s="152"/>
      <c r="AB110" s="152" t="n">
        <f aca="false">N110-V110-Y110</f>
        <v>0.0095</v>
      </c>
      <c r="AC110" s="260" t="n">
        <v>0.011</v>
      </c>
      <c r="AD110" s="156" t="n">
        <f aca="false">IF(T110="","",T110)</f>
        <v>0.007457</v>
      </c>
      <c r="AE110" s="153"/>
      <c r="AF110" s="494"/>
      <c r="AH110" s="19" t="str">
        <f aca="false">IF(AF110="","N","Y")</f>
        <v>N</v>
      </c>
      <c r="AI110" s="63" t="s">
        <v>96</v>
      </c>
      <c r="AJ110" s="63" t="s">
        <v>97</v>
      </c>
      <c r="AK110" s="19"/>
      <c r="AL110" s="63" t="s">
        <v>98</v>
      </c>
    </row>
    <row r="111" customFormat="false" ht="16.5" hidden="false" customHeight="true" outlineLevel="0" collapsed="false">
      <c r="A111" s="19" t="n">
        <v>55</v>
      </c>
      <c r="B111" s="141" t="n">
        <v>42885</v>
      </c>
      <c r="C111" s="142" t="n">
        <v>42885</v>
      </c>
      <c r="D111" s="142" t="n">
        <v>42937</v>
      </c>
      <c r="E111" s="19" t="n">
        <f aca="false">D111-C111</f>
        <v>52</v>
      </c>
      <c r="F111" s="100" t="n">
        <f aca="false">TRUNC(E111/30,0)</f>
        <v>1</v>
      </c>
      <c r="G111" s="183" t="s">
        <v>95</v>
      </c>
      <c r="H111" s="146" t="n">
        <v>60</v>
      </c>
      <c r="I111" s="147"/>
      <c r="J111" s="148"/>
      <c r="K111" s="149"/>
      <c r="L111" s="152" t="n">
        <v>0.0104467</v>
      </c>
      <c r="M111" s="151"/>
      <c r="N111" s="152" t="n">
        <f aca="false">AVERAGE(0.0117,0.0128)</f>
        <v>0.01225</v>
      </c>
      <c r="O111" s="151"/>
      <c r="P111" s="152"/>
      <c r="Q111" s="152"/>
      <c r="R111" s="152"/>
      <c r="S111" s="152"/>
      <c r="T111" s="153" t="n">
        <v>0.006812</v>
      </c>
      <c r="U111" s="152"/>
      <c r="V111" s="152" t="n">
        <v>0.002</v>
      </c>
      <c r="W111" s="152"/>
      <c r="X111" s="152"/>
      <c r="Y111" s="152" t="n">
        <v>0.001</v>
      </c>
      <c r="Z111" s="152"/>
      <c r="AA111" s="152"/>
      <c r="AB111" s="152" t="n">
        <f aca="false">N111-V111-Y111</f>
        <v>0.00925</v>
      </c>
      <c r="AC111" s="260" t="n">
        <v>0.009</v>
      </c>
      <c r="AD111" s="156" t="n">
        <f aca="false">IF(T111="","",T111)</f>
        <v>0.006812</v>
      </c>
      <c r="AE111" s="153"/>
      <c r="AF111" s="494"/>
      <c r="AH111" s="19" t="str">
        <f aca="false">IF(AF111="","N","Y")</f>
        <v>N</v>
      </c>
      <c r="AI111" s="63" t="s">
        <v>100</v>
      </c>
      <c r="AJ111" s="63" t="s">
        <v>101</v>
      </c>
      <c r="AK111" s="19"/>
      <c r="AL111" s="63" t="s">
        <v>102</v>
      </c>
    </row>
    <row r="112" customFormat="false" ht="16.5" hidden="false" customHeight="true" outlineLevel="0" collapsed="false">
      <c r="A112" s="19" t="n">
        <v>56</v>
      </c>
      <c r="B112" s="141" t="n">
        <v>42886</v>
      </c>
      <c r="C112" s="142" t="n">
        <v>42886</v>
      </c>
      <c r="D112" s="142" t="n">
        <v>42893</v>
      </c>
      <c r="E112" s="19" t="n">
        <f aca="false">D112-C112</f>
        <v>7</v>
      </c>
      <c r="F112" s="100" t="n">
        <f aca="false">TRUNC(E112/30,0)</f>
        <v>0</v>
      </c>
      <c r="G112" s="183" t="s">
        <v>95</v>
      </c>
      <c r="H112" s="146" t="n">
        <v>150</v>
      </c>
      <c r="I112" s="147"/>
      <c r="J112" s="148"/>
      <c r="K112" s="149"/>
      <c r="L112" s="152" t="n">
        <v>0.0095061</v>
      </c>
      <c r="M112" s="151"/>
      <c r="N112" s="152" t="n">
        <v>0.01</v>
      </c>
      <c r="O112" s="151"/>
      <c r="P112" s="152"/>
      <c r="Q112" s="152"/>
      <c r="R112" s="152"/>
      <c r="S112" s="152"/>
      <c r="T112" s="153" t="n">
        <v>0.005178</v>
      </c>
      <c r="U112" s="152"/>
      <c r="V112" s="152" t="n">
        <v>0.002</v>
      </c>
      <c r="W112" s="152"/>
      <c r="X112" s="152"/>
      <c r="Y112" s="152" t="n">
        <v>0.001</v>
      </c>
      <c r="Z112" s="152"/>
      <c r="AA112" s="152"/>
      <c r="AB112" s="152" t="n">
        <f aca="false">N112-V112-Y112</f>
        <v>0.007</v>
      </c>
      <c r="AC112" s="260" t="n">
        <v>0.007</v>
      </c>
      <c r="AD112" s="156" t="n">
        <f aca="false">IF(T112="","",T112)</f>
        <v>0.005178</v>
      </c>
      <c r="AE112" s="153"/>
      <c r="AF112" s="494"/>
      <c r="AH112" s="19" t="str">
        <f aca="false">IF(AF112="","N","Y")</f>
        <v>N</v>
      </c>
      <c r="AI112" s="63" t="s">
        <v>96</v>
      </c>
      <c r="AJ112" s="63" t="s">
        <v>97</v>
      </c>
      <c r="AK112" s="19"/>
      <c r="AL112" s="63" t="s">
        <v>98</v>
      </c>
    </row>
    <row r="113" customFormat="false" ht="16.5" hidden="false" customHeight="true" outlineLevel="0" collapsed="false">
      <c r="A113" s="19" t="n">
        <v>57</v>
      </c>
      <c r="B113" s="141" t="n">
        <v>42886</v>
      </c>
      <c r="C113" s="142" t="n">
        <v>42886</v>
      </c>
      <c r="D113" s="142" t="n">
        <v>42916</v>
      </c>
      <c r="E113" s="19" t="n">
        <f aca="false">D113-C113</f>
        <v>30</v>
      </c>
      <c r="F113" s="100" t="n">
        <f aca="false">TRUNC(E113/30,0)</f>
        <v>1</v>
      </c>
      <c r="G113" s="189" t="s">
        <v>99</v>
      </c>
      <c r="H113" s="146" t="n">
        <v>80</v>
      </c>
      <c r="I113" s="147"/>
      <c r="J113" s="148"/>
      <c r="K113" s="149"/>
      <c r="L113" s="152" t="n">
        <v>0.0093111</v>
      </c>
      <c r="M113" s="151"/>
      <c r="N113" s="152" t="n">
        <v>0.0099</v>
      </c>
      <c r="O113" s="151"/>
      <c r="P113" s="152"/>
      <c r="Q113" s="152"/>
      <c r="R113" s="152"/>
      <c r="S113" s="152"/>
      <c r="T113" s="153" t="n">
        <v>0.004378</v>
      </c>
      <c r="U113" s="152"/>
      <c r="V113" s="152" t="n">
        <v>0.0032</v>
      </c>
      <c r="W113" s="152"/>
      <c r="X113" s="152"/>
      <c r="Y113" s="152" t="n">
        <v>0.001</v>
      </c>
      <c r="Z113" s="152"/>
      <c r="AA113" s="152"/>
      <c r="AB113" s="152" t="n">
        <f aca="false">N113-V113-Y113</f>
        <v>0.0057</v>
      </c>
      <c r="AC113" s="260" t="n">
        <v>0.0065</v>
      </c>
      <c r="AD113" s="156" t="n">
        <f aca="false">IF(T113="","",T113)</f>
        <v>0.004378</v>
      </c>
      <c r="AE113" s="153"/>
      <c r="AF113" s="494"/>
      <c r="AH113" s="19" t="str">
        <f aca="false">IF(AF113="","N","Y")</f>
        <v>N</v>
      </c>
      <c r="AI113" s="63" t="s">
        <v>96</v>
      </c>
      <c r="AJ113" s="63" t="s">
        <v>97</v>
      </c>
      <c r="AK113" s="19"/>
      <c r="AL113" s="63" t="s">
        <v>98</v>
      </c>
    </row>
    <row r="114" customFormat="false" ht="16.5" hidden="false" customHeight="true" outlineLevel="0" collapsed="false">
      <c r="A114" s="19" t="n">
        <v>58</v>
      </c>
      <c r="B114" s="141" t="n">
        <v>42886</v>
      </c>
      <c r="C114" s="142" t="n">
        <v>42886</v>
      </c>
      <c r="D114" s="142" t="n">
        <v>42978</v>
      </c>
      <c r="E114" s="19" t="n">
        <f aca="false">D114-C114</f>
        <v>92</v>
      </c>
      <c r="F114" s="100" t="n">
        <f aca="false">TRUNC(E114/30,0)</f>
        <v>3</v>
      </c>
      <c r="G114" s="183" t="s">
        <v>95</v>
      </c>
      <c r="H114" s="146" t="n">
        <v>1</v>
      </c>
      <c r="I114" s="147"/>
      <c r="J114" s="148"/>
      <c r="K114" s="149"/>
      <c r="L114" s="152" t="n">
        <v>0.0120178</v>
      </c>
      <c r="M114" s="151"/>
      <c r="N114" s="152" t="n">
        <f aca="false">AVERAGE(0.015,0.015)</f>
        <v>0.015</v>
      </c>
      <c r="O114" s="151"/>
      <c r="P114" s="152"/>
      <c r="Q114" s="152"/>
      <c r="R114" s="152"/>
      <c r="S114" s="152"/>
      <c r="T114" s="153" t="n">
        <v>0.007756</v>
      </c>
      <c r="U114" s="152"/>
      <c r="V114" s="152" t="n">
        <v>0.002</v>
      </c>
      <c r="W114" s="152"/>
      <c r="X114" s="152"/>
      <c r="Y114" s="152" t="n">
        <v>0.0045</v>
      </c>
      <c r="Z114" s="152"/>
      <c r="AA114" s="152"/>
      <c r="AB114" s="152" t="n">
        <f aca="false">N114-V114-Y114</f>
        <v>0.0085</v>
      </c>
      <c r="AC114" s="260" t="n">
        <v>0.0085</v>
      </c>
      <c r="AD114" s="156" t="n">
        <f aca="false">IF(T114="","",T114)</f>
        <v>0.007756</v>
      </c>
      <c r="AE114" s="153"/>
      <c r="AF114" s="494"/>
      <c r="AH114" s="19" t="str">
        <f aca="false">IF(AF114="","N","Y")</f>
        <v>N</v>
      </c>
      <c r="AI114" s="63" t="s">
        <v>127</v>
      </c>
      <c r="AJ114" s="63" t="s">
        <v>128</v>
      </c>
      <c r="AK114" s="19"/>
      <c r="AL114" s="63" t="s">
        <v>129</v>
      </c>
    </row>
    <row r="115" customFormat="false" ht="16.5" hidden="false" customHeight="true" outlineLevel="0" collapsed="false">
      <c r="A115" s="19" t="n">
        <v>59</v>
      </c>
      <c r="B115" s="141" t="n">
        <v>42893</v>
      </c>
      <c r="C115" s="142" t="n">
        <v>42893</v>
      </c>
      <c r="D115" s="142" t="n">
        <v>42914</v>
      </c>
      <c r="E115" s="19" t="n">
        <f aca="false">D115-C115</f>
        <v>21</v>
      </c>
      <c r="F115" s="100" t="n">
        <f aca="false">TRUNC(E115/30,0)</f>
        <v>0</v>
      </c>
      <c r="G115" s="183" t="s">
        <v>95</v>
      </c>
      <c r="H115" s="146" t="n">
        <v>50</v>
      </c>
      <c r="I115" s="147"/>
      <c r="J115" s="148"/>
      <c r="K115" s="149"/>
      <c r="L115" s="152" t="n">
        <v>0.0108867</v>
      </c>
      <c r="M115" s="151"/>
      <c r="N115" s="152" t="n">
        <f aca="false">AVERAGE(0.0117,0.0125)</f>
        <v>0.0121</v>
      </c>
      <c r="O115" s="151"/>
      <c r="P115" s="152"/>
      <c r="Q115" s="152"/>
      <c r="R115" s="152"/>
      <c r="S115" s="152"/>
      <c r="T115" s="153" t="n">
        <v>0.005202</v>
      </c>
      <c r="U115" s="152"/>
      <c r="V115" s="152" t="n">
        <v>0.002</v>
      </c>
      <c r="W115" s="152"/>
      <c r="X115" s="152"/>
      <c r="Y115" s="152" t="n">
        <v>0.002</v>
      </c>
      <c r="Z115" s="152"/>
      <c r="AA115" s="152"/>
      <c r="AB115" s="152" t="n">
        <f aca="false">N115-V115-Y115</f>
        <v>0.0081</v>
      </c>
      <c r="AC115" s="260" t="n">
        <v>0.0085</v>
      </c>
      <c r="AD115" s="156" t="n">
        <f aca="false">IF(T115="","",T115)</f>
        <v>0.005202</v>
      </c>
      <c r="AE115" s="153"/>
      <c r="AF115" s="494" t="n">
        <v>0.008</v>
      </c>
      <c r="AH115" s="19" t="str">
        <f aca="false">IF(AF115="","N","Y")</f>
        <v>Y</v>
      </c>
      <c r="AI115" s="63" t="s">
        <v>100</v>
      </c>
      <c r="AJ115" s="63" t="s">
        <v>101</v>
      </c>
      <c r="AK115" s="19"/>
      <c r="AL115" s="63" t="s">
        <v>102</v>
      </c>
    </row>
    <row r="116" customFormat="false" ht="16.5" hidden="false" customHeight="true" outlineLevel="0" collapsed="false">
      <c r="A116" s="19" t="n">
        <v>60</v>
      </c>
      <c r="B116" s="141" t="n">
        <v>42893</v>
      </c>
      <c r="C116" s="142" t="n">
        <v>42893</v>
      </c>
      <c r="D116" s="142" t="n">
        <v>42900</v>
      </c>
      <c r="E116" s="19" t="n">
        <f aca="false">D116-C116</f>
        <v>7</v>
      </c>
      <c r="F116" s="100" t="n">
        <f aca="false">TRUNC(E116/30,0)</f>
        <v>0</v>
      </c>
      <c r="G116" s="183" t="s">
        <v>95</v>
      </c>
      <c r="H116" s="146" t="n">
        <v>50</v>
      </c>
      <c r="I116" s="147"/>
      <c r="J116" s="148"/>
      <c r="K116" s="149"/>
      <c r="L116" s="152" t="n">
        <v>0.0095322</v>
      </c>
      <c r="M116" s="151"/>
      <c r="N116" s="152" t="n">
        <v>0.01</v>
      </c>
      <c r="O116" s="151"/>
      <c r="P116" s="152"/>
      <c r="Q116" s="152"/>
      <c r="R116" s="152"/>
      <c r="S116" s="152"/>
      <c r="T116" s="153" t="n">
        <v>0.005202</v>
      </c>
      <c r="U116" s="152"/>
      <c r="V116" s="152" t="n">
        <v>0.002</v>
      </c>
      <c r="W116" s="152"/>
      <c r="X116" s="152"/>
      <c r="Y116" s="152" t="n">
        <v>0.002</v>
      </c>
      <c r="Z116" s="152"/>
      <c r="AA116" s="152"/>
      <c r="AB116" s="152" t="n">
        <f aca="false">N116-V116-Y116</f>
        <v>0.006</v>
      </c>
      <c r="AC116" s="260" t="n">
        <v>0.007</v>
      </c>
      <c r="AD116" s="156" t="n">
        <f aca="false">IF(T116="","",T116)</f>
        <v>0.005202</v>
      </c>
      <c r="AE116" s="153"/>
      <c r="AF116" s="494"/>
      <c r="AH116" s="19" t="str">
        <f aca="false">IF(AF116="","N","Y")</f>
        <v>N</v>
      </c>
      <c r="AI116" s="63" t="s">
        <v>96</v>
      </c>
      <c r="AJ116" s="63" t="s">
        <v>97</v>
      </c>
      <c r="AK116" s="19"/>
      <c r="AL116" s="63" t="s">
        <v>98</v>
      </c>
    </row>
    <row r="117" customFormat="false" ht="16.5" hidden="false" customHeight="true" outlineLevel="0" collapsed="false">
      <c r="A117" s="19" t="n">
        <v>61</v>
      </c>
      <c r="B117" s="141" t="n">
        <v>42893</v>
      </c>
      <c r="C117" s="142" t="n">
        <v>42893</v>
      </c>
      <c r="D117" s="142" t="n">
        <v>42923</v>
      </c>
      <c r="E117" s="19" t="n">
        <f aca="false">D117-C117</f>
        <v>30</v>
      </c>
      <c r="F117" s="100" t="n">
        <f aca="false">TRUNC(E117/30,0)</f>
        <v>1</v>
      </c>
      <c r="G117" s="189" t="s">
        <v>99</v>
      </c>
      <c r="H117" s="146" t="n">
        <v>50</v>
      </c>
      <c r="I117" s="147"/>
      <c r="J117" s="148"/>
      <c r="K117" s="149"/>
      <c r="L117" s="152" t="n">
        <v>0.0093056</v>
      </c>
      <c r="M117" s="151"/>
      <c r="N117" s="152" t="n">
        <v>0.0099</v>
      </c>
      <c r="O117" s="151"/>
      <c r="P117" s="152"/>
      <c r="Q117" s="152"/>
      <c r="R117" s="152"/>
      <c r="S117" s="152"/>
      <c r="T117" s="153" t="n">
        <v>0.004402</v>
      </c>
      <c r="U117" s="152"/>
      <c r="V117" s="152" t="n">
        <v>0.0032</v>
      </c>
      <c r="W117" s="152"/>
      <c r="X117" s="152"/>
      <c r="Y117" s="152" t="n">
        <v>0.002</v>
      </c>
      <c r="Z117" s="152"/>
      <c r="AA117" s="152"/>
      <c r="AB117" s="152" t="n">
        <f aca="false">N117-V117-Y117</f>
        <v>0.0047</v>
      </c>
      <c r="AC117" s="260" t="n">
        <v>0.0065</v>
      </c>
      <c r="AD117" s="156" t="n">
        <f aca="false">IF(T117="","",T117)</f>
        <v>0.004402</v>
      </c>
      <c r="AE117" s="153"/>
      <c r="AF117" s="494"/>
      <c r="AH117" s="19" t="str">
        <f aca="false">IF(AF117="","N","Y")</f>
        <v>N</v>
      </c>
      <c r="AI117" s="63" t="s">
        <v>96</v>
      </c>
      <c r="AJ117" s="63" t="s">
        <v>97</v>
      </c>
      <c r="AK117" s="19"/>
      <c r="AL117" s="63" t="s">
        <v>98</v>
      </c>
    </row>
    <row r="118" customFormat="false" ht="16.5" hidden="false" customHeight="true" outlineLevel="0" collapsed="false">
      <c r="A118" s="19" t="n">
        <v>62</v>
      </c>
      <c r="B118" s="141" t="n">
        <v>42902</v>
      </c>
      <c r="C118" s="142" t="n">
        <v>42902</v>
      </c>
      <c r="D118" s="142" t="n">
        <v>42933</v>
      </c>
      <c r="E118" s="19" t="n">
        <f aca="false">D118-C118</f>
        <v>31</v>
      </c>
      <c r="F118" s="100" t="n">
        <f aca="false">TRUNC(E118/30,0)</f>
        <v>1</v>
      </c>
      <c r="G118" s="189" t="s">
        <v>99</v>
      </c>
      <c r="H118" s="146" t="n">
        <v>50</v>
      </c>
      <c r="I118" s="147"/>
      <c r="J118" s="148"/>
      <c r="K118" s="149"/>
      <c r="L118" s="152" t="n">
        <v>0.01175</v>
      </c>
      <c r="M118" s="151"/>
      <c r="N118" s="152" t="n">
        <f aca="false">AVERAGE(0.0122,0.0123,0.0121,0.0122)</f>
        <v>0.0122</v>
      </c>
      <c r="O118" s="151"/>
      <c r="P118" s="152"/>
      <c r="Q118" s="152"/>
      <c r="R118" s="152"/>
      <c r="S118" s="152"/>
      <c r="T118" s="153" t="n">
        <v>0.006588</v>
      </c>
      <c r="U118" s="152"/>
      <c r="V118" s="152" t="n">
        <v>0.0032</v>
      </c>
      <c r="W118" s="152"/>
      <c r="X118" s="152"/>
      <c r="Y118" s="152" t="n">
        <v>0.0015</v>
      </c>
      <c r="Z118" s="152"/>
      <c r="AA118" s="152"/>
      <c r="AB118" s="152" t="n">
        <f aca="false">N118-V118-Y118</f>
        <v>0.0075</v>
      </c>
      <c r="AC118" s="260" t="n">
        <v>0.0075</v>
      </c>
      <c r="AD118" s="156" t="n">
        <f aca="false">IF(T118="","",T118)</f>
        <v>0.006588</v>
      </c>
      <c r="AE118" s="153"/>
      <c r="AF118" s="494"/>
      <c r="AH118" s="19" t="str">
        <f aca="false">IF(AF118="","N","Y")</f>
        <v>N</v>
      </c>
      <c r="AI118" s="63" t="s">
        <v>96</v>
      </c>
      <c r="AJ118" s="63" t="s">
        <v>97</v>
      </c>
      <c r="AK118" s="19"/>
      <c r="AL118" s="63" t="s">
        <v>98</v>
      </c>
    </row>
    <row r="119" customFormat="false" ht="16.5" hidden="false" customHeight="true" outlineLevel="0" collapsed="false">
      <c r="A119" s="19" t="n">
        <v>63</v>
      </c>
      <c r="B119" s="141" t="n">
        <v>42905</v>
      </c>
      <c r="C119" s="142" t="n">
        <v>42905</v>
      </c>
      <c r="D119" s="142" t="n">
        <v>42997</v>
      </c>
      <c r="E119" s="19" t="n">
        <f aca="false">D119-C119</f>
        <v>92</v>
      </c>
      <c r="F119" s="100" t="n">
        <f aca="false">TRUNC(E119/30,0)</f>
        <v>3</v>
      </c>
      <c r="G119" s="183" t="s">
        <v>95</v>
      </c>
      <c r="H119" s="146" t="n">
        <v>13</v>
      </c>
      <c r="I119" s="147"/>
      <c r="J119" s="148"/>
      <c r="K119" s="149"/>
      <c r="L119" s="152" t="n">
        <v>0.0127356</v>
      </c>
      <c r="M119" s="151"/>
      <c r="N119" s="152" t="n">
        <f aca="false">AVERAGE(0.0134,0.014,0.0185)</f>
        <v>0.0153</v>
      </c>
      <c r="O119" s="151"/>
      <c r="P119" s="152"/>
      <c r="Q119" s="152"/>
      <c r="R119" s="152"/>
      <c r="S119" s="152"/>
      <c r="T119" s="153" t="n">
        <v>0.008555</v>
      </c>
      <c r="U119" s="152"/>
      <c r="V119" s="152" t="n">
        <v>0.002</v>
      </c>
      <c r="W119" s="152"/>
      <c r="X119" s="152"/>
      <c r="Y119" s="152" t="n">
        <v>0.002</v>
      </c>
      <c r="Z119" s="152"/>
      <c r="AA119" s="152"/>
      <c r="AB119" s="152" t="n">
        <f aca="false">N119-V119-Y119</f>
        <v>0.0113</v>
      </c>
      <c r="AC119" s="260" t="n">
        <v>0.0105</v>
      </c>
      <c r="AD119" s="156" t="n">
        <f aca="false">IF(T119="","",T119)</f>
        <v>0.008555</v>
      </c>
      <c r="AE119" s="153"/>
      <c r="AF119" s="494"/>
      <c r="AH119" s="19" t="str">
        <f aca="false">IF(AF119="","N","Y")</f>
        <v>N</v>
      </c>
      <c r="AI119" s="63" t="s">
        <v>96</v>
      </c>
      <c r="AJ119" s="63" t="s">
        <v>119</v>
      </c>
      <c r="AK119" s="19"/>
      <c r="AL119" s="63" t="s">
        <v>135</v>
      </c>
    </row>
    <row r="120" customFormat="false" ht="16.5" hidden="false" customHeight="true" outlineLevel="0" collapsed="false">
      <c r="A120" s="19" t="n">
        <v>64</v>
      </c>
      <c r="B120" s="141" t="n">
        <v>42905</v>
      </c>
      <c r="C120" s="142" t="n">
        <v>42905</v>
      </c>
      <c r="D120" s="142" t="n">
        <v>42935</v>
      </c>
      <c r="E120" s="19" t="n">
        <f aca="false">D120-C120</f>
        <v>30</v>
      </c>
      <c r="F120" s="100" t="n">
        <f aca="false">TRUNC(E120/30,0)</f>
        <v>1</v>
      </c>
      <c r="G120" s="189" t="s">
        <v>99</v>
      </c>
      <c r="H120" s="146" t="n">
        <v>10</v>
      </c>
      <c r="I120" s="147"/>
      <c r="J120" s="148"/>
      <c r="K120" s="149"/>
      <c r="L120" s="152" t="n">
        <v>0.0117722</v>
      </c>
      <c r="M120" s="151"/>
      <c r="N120" s="152" t="n">
        <f aca="false">AVERAGE(0.0122,0.0121,0.0122)</f>
        <v>0.0121666666666667</v>
      </c>
      <c r="O120" s="151"/>
      <c r="P120" s="152"/>
      <c r="Q120" s="152"/>
      <c r="R120" s="152"/>
      <c r="S120" s="152"/>
      <c r="T120" s="153" t="n">
        <v>0.006604</v>
      </c>
      <c r="U120" s="152"/>
      <c r="V120" s="152" t="n">
        <v>0.0032</v>
      </c>
      <c r="W120" s="152"/>
      <c r="X120" s="152"/>
      <c r="Y120" s="152" t="n">
        <v>0.0015</v>
      </c>
      <c r="Z120" s="152"/>
      <c r="AA120" s="152"/>
      <c r="AB120" s="152" t="n">
        <f aca="false">N120-V120-Y120</f>
        <v>0.00746666666666667</v>
      </c>
      <c r="AC120" s="260" t="n">
        <v>0.006604</v>
      </c>
      <c r="AD120" s="156" t="n">
        <f aca="false">IF(T120="","",T120)</f>
        <v>0.006604</v>
      </c>
      <c r="AE120" s="153"/>
      <c r="AF120" s="494"/>
      <c r="AH120" s="19" t="str">
        <f aca="false">IF(AF120="","N","Y")</f>
        <v>N</v>
      </c>
      <c r="AI120" s="63" t="s">
        <v>103</v>
      </c>
      <c r="AJ120" s="63" t="s">
        <v>104</v>
      </c>
      <c r="AK120" s="19"/>
      <c r="AL120" s="63" t="s">
        <v>136</v>
      </c>
    </row>
    <row r="121" customFormat="false" ht="16.5" hidden="false" customHeight="true" outlineLevel="0" collapsed="false">
      <c r="A121" s="19" t="n">
        <v>65</v>
      </c>
      <c r="B121" s="141" t="n">
        <v>42906</v>
      </c>
      <c r="C121" s="142" t="n">
        <v>42906</v>
      </c>
      <c r="D121" s="142" t="n">
        <v>42936</v>
      </c>
      <c r="E121" s="19" t="n">
        <f aca="false">D121-C121</f>
        <v>30</v>
      </c>
      <c r="F121" s="100" t="n">
        <f aca="false">TRUNC(E121/30,0)</f>
        <v>1</v>
      </c>
      <c r="G121" s="189" t="s">
        <v>99</v>
      </c>
      <c r="H121" s="146" t="n">
        <v>13.22</v>
      </c>
      <c r="I121" s="147"/>
      <c r="J121" s="148"/>
      <c r="K121" s="149"/>
      <c r="L121" s="152" t="n">
        <v>0.0117667</v>
      </c>
      <c r="M121" s="151"/>
      <c r="N121" s="152" t="n">
        <f aca="false">AVERAGE(0.0122,0.0121,0.0122)</f>
        <v>0.0121666666666667</v>
      </c>
      <c r="O121" s="151"/>
      <c r="P121" s="152"/>
      <c r="Q121" s="152"/>
      <c r="R121" s="152"/>
      <c r="S121" s="152"/>
      <c r="T121" s="153" t="n">
        <v>0.00663</v>
      </c>
      <c r="U121" s="152"/>
      <c r="V121" s="152" t="n">
        <v>0.0032</v>
      </c>
      <c r="W121" s="152"/>
      <c r="X121" s="152"/>
      <c r="Y121" s="152" t="n">
        <v>0.0015</v>
      </c>
      <c r="Z121" s="152"/>
      <c r="AA121" s="152"/>
      <c r="AB121" s="152" t="n">
        <f aca="false">N121-V121-Y121</f>
        <v>0.00746666666666667</v>
      </c>
      <c r="AC121" s="260" t="n">
        <v>0.0078</v>
      </c>
      <c r="AD121" s="156" t="n">
        <f aca="false">IF(T121="","",T121)</f>
        <v>0.00663</v>
      </c>
      <c r="AE121" s="153"/>
      <c r="AF121" s="494" t="n">
        <v>0.0078</v>
      </c>
      <c r="AH121" s="19" t="str">
        <f aca="false">IF(AF121="","N","Y")</f>
        <v>Y</v>
      </c>
      <c r="AI121" s="63" t="s">
        <v>96</v>
      </c>
      <c r="AJ121" s="63" t="s">
        <v>119</v>
      </c>
      <c r="AK121" s="19"/>
      <c r="AL121" s="63" t="s">
        <v>137</v>
      </c>
    </row>
    <row r="122" customFormat="false" ht="16.5" hidden="false" customHeight="true" outlineLevel="0" collapsed="false">
      <c r="A122" s="19" t="n">
        <v>66</v>
      </c>
      <c r="B122" s="141" t="n">
        <v>42906</v>
      </c>
      <c r="C122" s="142" t="n">
        <v>42906</v>
      </c>
      <c r="D122" s="142" t="n">
        <v>42971</v>
      </c>
      <c r="E122" s="19" t="n">
        <f aca="false">D122-C122</f>
        <v>65</v>
      </c>
      <c r="F122" s="100" t="n">
        <f aca="false">TRUNC(E122/30,0)</f>
        <v>2</v>
      </c>
      <c r="G122" s="183" t="s">
        <v>95</v>
      </c>
      <c r="H122" s="146" t="n">
        <v>40</v>
      </c>
      <c r="I122" s="147"/>
      <c r="J122" s="148"/>
      <c r="K122" s="149"/>
      <c r="L122" s="152" t="n">
        <v>0.0124611</v>
      </c>
      <c r="M122" s="151"/>
      <c r="N122" s="152" t="n">
        <v>0.014</v>
      </c>
      <c r="O122" s="151"/>
      <c r="P122" s="152"/>
      <c r="Q122" s="152"/>
      <c r="R122" s="152"/>
      <c r="S122" s="152"/>
      <c r="T122" s="153" t="n">
        <v>0.008487</v>
      </c>
      <c r="U122" s="152"/>
      <c r="V122" s="152" t="n">
        <v>0.002</v>
      </c>
      <c r="W122" s="152"/>
      <c r="X122" s="152"/>
      <c r="Y122" s="152" t="n">
        <v>0.002</v>
      </c>
      <c r="Z122" s="152"/>
      <c r="AA122" s="152"/>
      <c r="AB122" s="152" t="n">
        <f aca="false">N122-V122-Y122</f>
        <v>0.01</v>
      </c>
      <c r="AC122" s="260" t="n">
        <v>0.0105</v>
      </c>
      <c r="AD122" s="156" t="n">
        <f aca="false">IF(T122="","",T122)</f>
        <v>0.008487</v>
      </c>
      <c r="AE122" s="153"/>
      <c r="AF122" s="494"/>
      <c r="AH122" s="19" t="str">
        <f aca="false">IF(AF122="","N","Y")</f>
        <v>N</v>
      </c>
      <c r="AI122" s="63" t="s">
        <v>100</v>
      </c>
      <c r="AJ122" s="63" t="s">
        <v>101</v>
      </c>
      <c r="AK122" s="19"/>
      <c r="AL122" s="63" t="s">
        <v>102</v>
      </c>
    </row>
    <row r="123" customFormat="false" ht="16.5" hidden="false" customHeight="true" outlineLevel="0" collapsed="false">
      <c r="A123" s="19" t="n">
        <v>67</v>
      </c>
      <c r="B123" s="141" t="n">
        <v>42908</v>
      </c>
      <c r="C123" s="142" t="n">
        <v>42908</v>
      </c>
      <c r="D123" s="142" t="n">
        <v>42940</v>
      </c>
      <c r="E123" s="19" t="n">
        <f aca="false">D123-C123</f>
        <v>32</v>
      </c>
      <c r="F123" s="100" t="n">
        <f aca="false">TRUNC(E123/30,0)</f>
        <v>1</v>
      </c>
      <c r="G123" s="183" t="s">
        <v>95</v>
      </c>
      <c r="H123" s="146" t="n">
        <v>50</v>
      </c>
      <c r="I123" s="147"/>
      <c r="J123" s="148"/>
      <c r="K123" s="149"/>
      <c r="L123" s="152" t="n">
        <v>0.0121556</v>
      </c>
      <c r="M123" s="151"/>
      <c r="N123" s="152" t="n">
        <f aca="false">AVERAGE(0.018,0.014,0.0125)</f>
        <v>0.0148333333333333</v>
      </c>
      <c r="O123" s="151"/>
      <c r="P123" s="152"/>
      <c r="Q123" s="152"/>
      <c r="R123" s="152"/>
      <c r="S123" s="152"/>
      <c r="T123" s="153" t="n">
        <v>0.006587</v>
      </c>
      <c r="U123" s="152"/>
      <c r="V123" s="152" t="n">
        <v>0.002</v>
      </c>
      <c r="W123" s="152"/>
      <c r="X123" s="152"/>
      <c r="Y123" s="152" t="n">
        <v>0.002</v>
      </c>
      <c r="Z123" s="152"/>
      <c r="AA123" s="152"/>
      <c r="AB123" s="152" t="n">
        <f aca="false">N123-V123-Y123</f>
        <v>0.0108333333333333</v>
      </c>
      <c r="AC123" s="260" t="n">
        <v>0.0095</v>
      </c>
      <c r="AD123" s="156" t="n">
        <f aca="false">IF(T123="","",T123)</f>
        <v>0.006587</v>
      </c>
      <c r="AE123" s="153"/>
      <c r="AF123" s="494"/>
      <c r="AH123" s="19" t="str">
        <f aca="false">IF(AF123="","N","Y")</f>
        <v>N</v>
      </c>
      <c r="AI123" s="63" t="s">
        <v>96</v>
      </c>
      <c r="AJ123" s="63" t="s">
        <v>97</v>
      </c>
      <c r="AK123" s="19"/>
      <c r="AL123" s="63" t="s">
        <v>98</v>
      </c>
    </row>
    <row r="124" customFormat="false" ht="16.5" hidden="false" customHeight="true" outlineLevel="0" collapsed="false">
      <c r="A124" s="19" t="n">
        <v>68</v>
      </c>
      <c r="B124" s="141" t="n">
        <v>42908</v>
      </c>
      <c r="C124" s="142" t="n">
        <v>42908</v>
      </c>
      <c r="D124" s="142" t="n">
        <v>42969</v>
      </c>
      <c r="E124" s="19" t="n">
        <f aca="false">D124-C124</f>
        <v>61</v>
      </c>
      <c r="F124" s="100" t="n">
        <f aca="false">TRUNC(E124/30,0)</f>
        <v>2</v>
      </c>
      <c r="G124" s="183" t="s">
        <v>95</v>
      </c>
      <c r="H124" s="146" t="n">
        <v>50</v>
      </c>
      <c r="I124" s="147"/>
      <c r="J124" s="148"/>
      <c r="K124" s="149"/>
      <c r="L124" s="152" t="n">
        <v>0.0125056</v>
      </c>
      <c r="M124" s="151"/>
      <c r="N124" s="152" t="n">
        <f aca="false">AVERAGE(0.016,0.0165)</f>
        <v>0.01625</v>
      </c>
      <c r="O124" s="151"/>
      <c r="P124" s="152"/>
      <c r="Q124" s="152"/>
      <c r="R124" s="152"/>
      <c r="S124" s="152"/>
      <c r="T124" s="153" t="n">
        <v>0.006929</v>
      </c>
      <c r="U124" s="152"/>
      <c r="V124" s="152" t="n">
        <v>0.002</v>
      </c>
      <c r="W124" s="152"/>
      <c r="X124" s="152"/>
      <c r="Y124" s="152" t="n">
        <v>0.002</v>
      </c>
      <c r="Z124" s="152"/>
      <c r="AA124" s="152"/>
      <c r="AB124" s="152" t="n">
        <f aca="false">N124-V124-Y124</f>
        <v>0.01225</v>
      </c>
      <c r="AC124" s="260" t="n">
        <v>0.01</v>
      </c>
      <c r="AD124" s="156" t="n">
        <f aca="false">IF(T124="","",T124)</f>
        <v>0.006929</v>
      </c>
      <c r="AE124" s="153"/>
      <c r="AF124" s="494"/>
      <c r="AH124" s="19" t="str">
        <f aca="false">IF(AF124="","N","Y")</f>
        <v>N</v>
      </c>
      <c r="AI124" s="63" t="s">
        <v>96</v>
      </c>
      <c r="AJ124" s="63" t="s">
        <v>97</v>
      </c>
      <c r="AK124" s="19"/>
      <c r="AL124" s="63" t="s">
        <v>98</v>
      </c>
    </row>
    <row r="125" customFormat="false" ht="16.5" hidden="false" customHeight="true" outlineLevel="0" collapsed="false">
      <c r="A125" s="19" t="n">
        <v>69</v>
      </c>
      <c r="B125" s="141" t="n">
        <v>42908</v>
      </c>
      <c r="C125" s="142" t="n">
        <v>42908</v>
      </c>
      <c r="D125" s="142" t="n">
        <v>43000</v>
      </c>
      <c r="E125" s="19" t="n">
        <f aca="false">D125-C125</f>
        <v>92</v>
      </c>
      <c r="F125" s="100" t="n">
        <f aca="false">TRUNC(E125/30,0)</f>
        <v>3</v>
      </c>
      <c r="G125" s="183" t="s">
        <v>95</v>
      </c>
      <c r="H125" s="146" t="n">
        <v>50</v>
      </c>
      <c r="I125" s="147"/>
      <c r="J125" s="148"/>
      <c r="K125" s="149"/>
      <c r="L125" s="152" t="n">
        <v>0.0128944</v>
      </c>
      <c r="M125" s="151"/>
      <c r="N125" s="152" t="n">
        <f aca="false">AVERAGE(0.016,0.018)</f>
        <v>0.017</v>
      </c>
      <c r="O125" s="151"/>
      <c r="P125" s="152"/>
      <c r="Q125" s="152"/>
      <c r="R125" s="152"/>
      <c r="S125" s="152"/>
      <c r="T125" s="153" t="n">
        <v>0.008511</v>
      </c>
      <c r="U125" s="152"/>
      <c r="V125" s="152" t="n">
        <v>0.002</v>
      </c>
      <c r="W125" s="152"/>
      <c r="X125" s="152"/>
      <c r="Y125" s="152" t="n">
        <v>0.002</v>
      </c>
      <c r="Z125" s="152"/>
      <c r="AA125" s="152"/>
      <c r="AB125" s="152" t="n">
        <f aca="false">N125-V125-Y125</f>
        <v>0.013</v>
      </c>
      <c r="AC125" s="260" t="n">
        <v>0.011</v>
      </c>
      <c r="AD125" s="156" t="n">
        <f aca="false">IF(T125="","",T125)</f>
        <v>0.008511</v>
      </c>
      <c r="AE125" s="153"/>
      <c r="AF125" s="494"/>
      <c r="AH125" s="19" t="str">
        <f aca="false">IF(AF125="","N","Y")</f>
        <v>N</v>
      </c>
      <c r="AI125" s="63" t="s">
        <v>96</v>
      </c>
      <c r="AJ125" s="63" t="s">
        <v>97</v>
      </c>
      <c r="AK125" s="19"/>
      <c r="AL125" s="63" t="s">
        <v>98</v>
      </c>
    </row>
    <row r="126" customFormat="false" ht="16.5" hidden="false" customHeight="true" outlineLevel="0" collapsed="false">
      <c r="A126" s="19" t="n">
        <v>70</v>
      </c>
      <c r="B126" s="141" t="n">
        <v>42908</v>
      </c>
      <c r="C126" s="142" t="n">
        <v>42908</v>
      </c>
      <c r="D126" s="142" t="n">
        <v>42938</v>
      </c>
      <c r="E126" s="19" t="n">
        <f aca="false">D126-C126</f>
        <v>30</v>
      </c>
      <c r="F126" s="100" t="n">
        <f aca="false">TRUNC(E126/30,0)</f>
        <v>1</v>
      </c>
      <c r="G126" s="183" t="s">
        <v>95</v>
      </c>
      <c r="H126" s="146" t="n">
        <v>20</v>
      </c>
      <c r="I126" s="147"/>
      <c r="J126" s="148"/>
      <c r="K126" s="149"/>
      <c r="L126" s="152" t="n">
        <v>0.0121556</v>
      </c>
      <c r="M126" s="151"/>
      <c r="N126" s="152" t="n">
        <v>0.013</v>
      </c>
      <c r="O126" s="151"/>
      <c r="P126" s="152"/>
      <c r="Q126" s="152"/>
      <c r="R126" s="152"/>
      <c r="S126" s="152"/>
      <c r="T126" s="153" t="n">
        <v>0.008487</v>
      </c>
      <c r="U126" s="152"/>
      <c r="V126" s="152" t="n">
        <v>0.002</v>
      </c>
      <c r="W126" s="152"/>
      <c r="X126" s="152"/>
      <c r="Y126" s="152" t="n">
        <v>0.002</v>
      </c>
      <c r="Z126" s="152"/>
      <c r="AA126" s="152"/>
      <c r="AB126" s="152" t="n">
        <f aca="false">N126-V126-Y126</f>
        <v>0.009</v>
      </c>
      <c r="AC126" s="260" t="n">
        <v>0.0095</v>
      </c>
      <c r="AD126" s="156" t="n">
        <f aca="false">IF(T126="","",T126)</f>
        <v>0.008487</v>
      </c>
      <c r="AE126" s="153"/>
      <c r="AF126" s="494"/>
      <c r="AH126" s="19" t="str">
        <f aca="false">IF(AF126="","N","Y")</f>
        <v>N</v>
      </c>
      <c r="AI126" s="63" t="s">
        <v>124</v>
      </c>
      <c r="AJ126" s="63" t="s">
        <v>125</v>
      </c>
      <c r="AK126" s="19"/>
      <c r="AL126" s="63" t="s">
        <v>126</v>
      </c>
    </row>
    <row r="127" customFormat="false" ht="16.5" hidden="false" customHeight="true" outlineLevel="0" collapsed="false">
      <c r="A127" s="19" t="n">
        <v>71</v>
      </c>
      <c r="B127" s="141" t="n">
        <v>42909</v>
      </c>
      <c r="C127" s="142" t="n">
        <v>42909</v>
      </c>
      <c r="D127" s="142" t="n">
        <v>42940</v>
      </c>
      <c r="E127" s="19" t="n">
        <f aca="false">D127-C127</f>
        <v>31</v>
      </c>
      <c r="F127" s="100" t="n">
        <f aca="false">TRUNC(E127/30,0)</f>
        <v>1</v>
      </c>
      <c r="G127" s="183" t="s">
        <v>95</v>
      </c>
      <c r="H127" s="146" t="n">
        <v>10</v>
      </c>
      <c r="I127" s="147"/>
      <c r="J127" s="148"/>
      <c r="K127" s="149"/>
      <c r="L127" s="152" t="n">
        <v>0.0121611</v>
      </c>
      <c r="M127" s="151"/>
      <c r="N127" s="152" t="n">
        <f aca="false">AVERAGE(0.017,0.0124)</f>
        <v>0.0147</v>
      </c>
      <c r="O127" s="151"/>
      <c r="P127" s="152"/>
      <c r="Q127" s="152"/>
      <c r="R127" s="152"/>
      <c r="S127" s="152"/>
      <c r="T127" s="153" t="n">
        <v>0.006592</v>
      </c>
      <c r="U127" s="152"/>
      <c r="V127" s="152" t="n">
        <v>0.002</v>
      </c>
      <c r="W127" s="152"/>
      <c r="X127" s="152"/>
      <c r="Y127" s="152" t="n">
        <v>0.002</v>
      </c>
      <c r="Z127" s="152"/>
      <c r="AA127" s="152"/>
      <c r="AB127" s="152" t="n">
        <f aca="false">N127-V127-Y127</f>
        <v>0.0107</v>
      </c>
      <c r="AC127" s="260" t="n">
        <v>0.0095</v>
      </c>
      <c r="AD127" s="156" t="n">
        <f aca="false">IF(T127="","",T127)</f>
        <v>0.006592</v>
      </c>
      <c r="AE127" s="153"/>
      <c r="AF127" s="494" t="n">
        <v>0.0086</v>
      </c>
      <c r="AH127" s="19" t="str">
        <f aca="false">IF(AF127="","N","Y")</f>
        <v>Y</v>
      </c>
      <c r="AI127" s="63" t="s">
        <v>124</v>
      </c>
      <c r="AJ127" s="63" t="s">
        <v>125</v>
      </c>
      <c r="AK127" s="19"/>
      <c r="AL127" s="63" t="s">
        <v>138</v>
      </c>
    </row>
    <row r="128" customFormat="false" ht="16.5" hidden="false" customHeight="true" outlineLevel="0" collapsed="false">
      <c r="A128" s="19" t="n">
        <v>72</v>
      </c>
      <c r="B128" s="141" t="n">
        <v>42909</v>
      </c>
      <c r="C128" s="142" t="n">
        <v>42909</v>
      </c>
      <c r="D128" s="142" t="n">
        <v>42940</v>
      </c>
      <c r="E128" s="19" t="n">
        <f aca="false">D128-C128</f>
        <v>31</v>
      </c>
      <c r="F128" s="100" t="n">
        <f aca="false">TRUNC(E128/30,0)</f>
        <v>1</v>
      </c>
      <c r="G128" s="183" t="s">
        <v>95</v>
      </c>
      <c r="H128" s="146" t="n">
        <v>10</v>
      </c>
      <c r="I128" s="147"/>
      <c r="J128" s="148"/>
      <c r="K128" s="149"/>
      <c r="L128" s="152" t="n">
        <v>0.0121611</v>
      </c>
      <c r="M128" s="151"/>
      <c r="N128" s="152" t="n">
        <f aca="false">AVERAGE(0.017,0.0124)</f>
        <v>0.0147</v>
      </c>
      <c r="O128" s="151"/>
      <c r="P128" s="152"/>
      <c r="Q128" s="152"/>
      <c r="R128" s="152"/>
      <c r="S128" s="152"/>
      <c r="T128" s="153" t="n">
        <v>0.006592</v>
      </c>
      <c r="U128" s="152"/>
      <c r="V128" s="152" t="n">
        <v>0.002</v>
      </c>
      <c r="W128" s="152"/>
      <c r="X128" s="152"/>
      <c r="Y128" s="152" t="n">
        <v>0.002</v>
      </c>
      <c r="Z128" s="152"/>
      <c r="AA128" s="152"/>
      <c r="AB128" s="152" t="n">
        <f aca="false">N128-V128-Y128</f>
        <v>0.0107</v>
      </c>
      <c r="AC128" s="260" t="n">
        <v>0.0095</v>
      </c>
      <c r="AD128" s="156" t="n">
        <f aca="false">IF(T128="","",T128)</f>
        <v>0.006592</v>
      </c>
      <c r="AE128" s="153"/>
      <c r="AF128" s="494" t="n">
        <v>0.0086</v>
      </c>
      <c r="AH128" s="19" t="str">
        <f aca="false">IF(AF128="","N","Y")</f>
        <v>Y</v>
      </c>
      <c r="AI128" s="63" t="s">
        <v>124</v>
      </c>
      <c r="AJ128" s="63" t="s">
        <v>125</v>
      </c>
      <c r="AK128" s="19"/>
      <c r="AL128" s="63" t="s">
        <v>139</v>
      </c>
    </row>
    <row r="129" customFormat="false" ht="16.5" hidden="false" customHeight="true" outlineLevel="0" collapsed="false">
      <c r="A129" s="19" t="n">
        <v>73</v>
      </c>
      <c r="B129" s="141" t="n">
        <v>42909</v>
      </c>
      <c r="C129" s="142" t="n">
        <v>42909</v>
      </c>
      <c r="D129" s="142" t="n">
        <v>42940</v>
      </c>
      <c r="E129" s="19" t="n">
        <f aca="false">D129-C129</f>
        <v>31</v>
      </c>
      <c r="F129" s="100" t="n">
        <f aca="false">TRUNC(E129/30,0)</f>
        <v>1</v>
      </c>
      <c r="G129" s="183" t="s">
        <v>95</v>
      </c>
      <c r="H129" s="146" t="n">
        <v>3</v>
      </c>
      <c r="I129" s="147"/>
      <c r="J129" s="148"/>
      <c r="K129" s="149"/>
      <c r="L129" s="152" t="n">
        <v>0.0121611</v>
      </c>
      <c r="M129" s="151"/>
      <c r="N129" s="152" t="n">
        <f aca="false">AVERAGE(0.017,0.0124)</f>
        <v>0.0147</v>
      </c>
      <c r="O129" s="151"/>
      <c r="P129" s="152"/>
      <c r="Q129" s="152"/>
      <c r="R129" s="152"/>
      <c r="S129" s="152"/>
      <c r="T129" s="153" t="n">
        <v>0.006592</v>
      </c>
      <c r="U129" s="152"/>
      <c r="V129" s="152" t="n">
        <v>0.002</v>
      </c>
      <c r="W129" s="152"/>
      <c r="X129" s="152"/>
      <c r="Y129" s="152" t="n">
        <v>0.002</v>
      </c>
      <c r="Z129" s="152"/>
      <c r="AA129" s="152"/>
      <c r="AB129" s="152" t="n">
        <f aca="false">N129-V129-Y129</f>
        <v>0.0107</v>
      </c>
      <c r="AC129" s="260" t="n">
        <v>0.0085</v>
      </c>
      <c r="AD129" s="156" t="n">
        <f aca="false">IF(T129="","",T129)</f>
        <v>0.006592</v>
      </c>
      <c r="AE129" s="153"/>
      <c r="AF129" s="494" t="n">
        <v>0.0081</v>
      </c>
      <c r="AH129" s="19" t="str">
        <f aca="false">IF(AF129="","N","Y")</f>
        <v>Y</v>
      </c>
      <c r="AI129" s="63" t="s">
        <v>130</v>
      </c>
      <c r="AJ129" s="63" t="s">
        <v>140</v>
      </c>
      <c r="AK129" s="19"/>
      <c r="AL129" s="63" t="s">
        <v>132</v>
      </c>
    </row>
    <row r="130" customFormat="false" ht="16.5" hidden="false" customHeight="true" outlineLevel="0" collapsed="false">
      <c r="A130" s="19" t="n">
        <v>74</v>
      </c>
      <c r="B130" s="141" t="n">
        <v>42914</v>
      </c>
      <c r="C130" s="142" t="n">
        <v>42914</v>
      </c>
      <c r="D130" s="142" t="n">
        <v>42964</v>
      </c>
      <c r="E130" s="19" t="n">
        <f aca="false">D130-C130</f>
        <v>50</v>
      </c>
      <c r="F130" s="100" t="n">
        <f aca="false">TRUNC(E130/30,0)</f>
        <v>1</v>
      </c>
      <c r="G130" s="183" t="s">
        <v>95</v>
      </c>
      <c r="H130" s="146" t="n">
        <v>40</v>
      </c>
      <c r="I130" s="147"/>
      <c r="J130" s="148"/>
      <c r="K130" s="149"/>
      <c r="L130" s="152" t="n">
        <v>0.0122378</v>
      </c>
      <c r="M130" s="151"/>
      <c r="N130" s="152" t="n">
        <f aca="false">AVERAGE(0.017,0.0124)</f>
        <v>0.0147</v>
      </c>
      <c r="O130" s="151"/>
      <c r="P130" s="152"/>
      <c r="Q130" s="152"/>
      <c r="R130" s="152"/>
      <c r="S130" s="152"/>
      <c r="T130" s="153" t="n">
        <v>0.006667</v>
      </c>
      <c r="U130" s="152"/>
      <c r="V130" s="152" t="n">
        <v>0.002</v>
      </c>
      <c r="W130" s="152"/>
      <c r="X130" s="152"/>
      <c r="Y130" s="152" t="n">
        <v>0.002</v>
      </c>
      <c r="Z130" s="152"/>
      <c r="AA130" s="152"/>
      <c r="AB130" s="152" t="n">
        <f aca="false">N130-V130-Y130</f>
        <v>0.0107</v>
      </c>
      <c r="AC130" s="260" t="n">
        <v>0.0152</v>
      </c>
      <c r="AD130" s="156" t="n">
        <f aca="false">IF(T130="","",T130)</f>
        <v>0.006667</v>
      </c>
      <c r="AE130" s="153"/>
      <c r="AF130" s="494"/>
      <c r="AH130" s="19" t="str">
        <f aca="false">IF(AF130="","N","Y")</f>
        <v>N</v>
      </c>
      <c r="AI130" s="63" t="s">
        <v>100</v>
      </c>
      <c r="AJ130" s="63" t="s">
        <v>101</v>
      </c>
      <c r="AK130" s="19"/>
      <c r="AL130" s="63" t="s">
        <v>102</v>
      </c>
    </row>
    <row r="131" customFormat="false" ht="16.5" hidden="false" customHeight="true" outlineLevel="0" collapsed="false">
      <c r="A131" s="19" t="n">
        <v>75</v>
      </c>
      <c r="B131" s="141" t="n">
        <v>42914</v>
      </c>
      <c r="C131" s="142" t="n">
        <v>42914</v>
      </c>
      <c r="D131" s="142" t="n">
        <v>42942</v>
      </c>
      <c r="E131" s="19" t="n">
        <f aca="false">D131-C131</f>
        <v>28</v>
      </c>
      <c r="F131" s="100" t="n">
        <f aca="false">TRUNC(E131/30,0)</f>
        <v>0</v>
      </c>
      <c r="G131" s="183" t="s">
        <v>95</v>
      </c>
      <c r="H131" s="146" t="n">
        <v>10</v>
      </c>
      <c r="I131" s="147"/>
      <c r="J131" s="148"/>
      <c r="K131" s="149"/>
      <c r="L131" s="152" t="n">
        <v>0.0122378</v>
      </c>
      <c r="M131" s="151"/>
      <c r="N131" s="152" t="n">
        <f aca="false">AVERAGE(0.017,0.0124)</f>
        <v>0.0147</v>
      </c>
      <c r="O131" s="151"/>
      <c r="P131" s="152"/>
      <c r="Q131" s="152"/>
      <c r="R131" s="152"/>
      <c r="S131" s="152"/>
      <c r="T131" s="153" t="n">
        <v>0.006667</v>
      </c>
      <c r="U131" s="152"/>
      <c r="V131" s="152" t="n">
        <v>0.002</v>
      </c>
      <c r="W131" s="152"/>
      <c r="X131" s="152"/>
      <c r="Y131" s="152" t="n">
        <v>0.002</v>
      </c>
      <c r="Z131" s="152"/>
      <c r="AA131" s="152"/>
      <c r="AB131" s="152" t="n">
        <f aca="false">N131-V131-Y131</f>
        <v>0.0107</v>
      </c>
      <c r="AC131" s="260" t="n">
        <v>0.0148</v>
      </c>
      <c r="AD131" s="156" t="n">
        <f aca="false">IF(T131="","",T131)</f>
        <v>0.006667</v>
      </c>
      <c r="AE131" s="153"/>
      <c r="AF131" s="494"/>
      <c r="AH131" s="19" t="str">
        <f aca="false">IF(AF131="","N","Y")</f>
        <v>N</v>
      </c>
      <c r="AI131" s="63" t="s">
        <v>100</v>
      </c>
      <c r="AJ131" s="63" t="s">
        <v>101</v>
      </c>
      <c r="AK131" s="19"/>
      <c r="AL131" s="63" t="s">
        <v>102</v>
      </c>
    </row>
    <row r="132" customFormat="false" ht="16.5" hidden="false" customHeight="true" outlineLevel="0" collapsed="false">
      <c r="A132" s="19" t="n">
        <v>76</v>
      </c>
      <c r="B132" s="141" t="n">
        <v>42919</v>
      </c>
      <c r="C132" s="142" t="n">
        <v>42919</v>
      </c>
      <c r="D132" s="142" t="n">
        <v>42950</v>
      </c>
      <c r="E132" s="19" t="n">
        <f aca="false">D132-C132</f>
        <v>31</v>
      </c>
      <c r="F132" s="100" t="n">
        <f aca="false">TRUNC(E132/30,0)</f>
        <v>1</v>
      </c>
      <c r="G132" s="183" t="s">
        <v>95</v>
      </c>
      <c r="H132" s="146" t="n">
        <v>5.3</v>
      </c>
      <c r="I132" s="147"/>
      <c r="J132" s="148"/>
      <c r="K132" s="149"/>
      <c r="L132" s="152" t="n">
        <v>0.0122389</v>
      </c>
      <c r="M132" s="151"/>
      <c r="N132" s="152" t="n">
        <f aca="false">AVERAGE(0.0133,0.0138,0.0138)</f>
        <v>0.0136333333333333</v>
      </c>
      <c r="O132" s="151"/>
      <c r="P132" s="152"/>
      <c r="Q132" s="152"/>
      <c r="R132" s="152"/>
      <c r="S132" s="152"/>
      <c r="T132" s="153" t="n">
        <v>0.006669</v>
      </c>
      <c r="U132" s="152"/>
      <c r="V132" s="152" t="n">
        <v>0.002</v>
      </c>
      <c r="W132" s="152"/>
      <c r="X132" s="152"/>
      <c r="Y132" s="152" t="n">
        <v>0.002</v>
      </c>
      <c r="Z132" s="152"/>
      <c r="AA132" s="152"/>
      <c r="AB132" s="152" t="n">
        <f aca="false">N132-V132-Y132</f>
        <v>0.00963333333333333</v>
      </c>
      <c r="AC132" s="260"/>
      <c r="AD132" s="156" t="n">
        <f aca="false">IF(T132="","",T132)</f>
        <v>0.006669</v>
      </c>
      <c r="AE132" s="153"/>
      <c r="AF132" s="494" t="n">
        <v>0.006669</v>
      </c>
      <c r="AH132" s="19" t="str">
        <f aca="false">IF(AF132="","N","Y")</f>
        <v>Y</v>
      </c>
      <c r="AI132" s="63" t="s">
        <v>103</v>
      </c>
      <c r="AJ132" s="63" t="s">
        <v>104</v>
      </c>
      <c r="AK132" s="19"/>
      <c r="AL132" s="63" t="s">
        <v>141</v>
      </c>
    </row>
    <row r="133" customFormat="false" ht="16.5" hidden="false" customHeight="true" outlineLevel="0" collapsed="false">
      <c r="A133" s="19" t="n">
        <v>77</v>
      </c>
      <c r="B133" s="141" t="n">
        <v>42920</v>
      </c>
      <c r="C133" s="142" t="n">
        <v>42920</v>
      </c>
      <c r="D133" s="142" t="n">
        <v>42955</v>
      </c>
      <c r="E133" s="19" t="n">
        <f aca="false">D133-C133</f>
        <v>35</v>
      </c>
      <c r="F133" s="100" t="n">
        <f aca="false">TRUNC(E133/30,0)</f>
        <v>1</v>
      </c>
      <c r="G133" s="183" t="s">
        <v>95</v>
      </c>
      <c r="H133" s="146" t="n">
        <v>60</v>
      </c>
      <c r="I133" s="147"/>
      <c r="J133" s="148"/>
      <c r="K133" s="149"/>
      <c r="L133" s="152" t="n">
        <v>0.0122689</v>
      </c>
      <c r="M133" s="151"/>
      <c r="N133" s="152" t="n">
        <f aca="false">AVERAGE(0.0133,0.0138,0.0138)</f>
        <v>0.0136333333333333</v>
      </c>
      <c r="O133" s="151"/>
      <c r="P133" s="152"/>
      <c r="Q133" s="152"/>
      <c r="R133" s="152"/>
      <c r="S133" s="152"/>
      <c r="T133" s="153" t="n">
        <v>0.006698</v>
      </c>
      <c r="U133" s="152"/>
      <c r="V133" s="152" t="n">
        <v>0.002</v>
      </c>
      <c r="W133" s="152"/>
      <c r="X133" s="152"/>
      <c r="Y133" s="152" t="n">
        <v>0.002</v>
      </c>
      <c r="Z133" s="152"/>
      <c r="AA133" s="152"/>
      <c r="AB133" s="152" t="n">
        <f aca="false">N133-V133-Y133</f>
        <v>0.00963333333333333</v>
      </c>
      <c r="AC133" s="260" t="n">
        <v>0.014</v>
      </c>
      <c r="AD133" s="156" t="n">
        <f aca="false">IF(T133="","",T133)</f>
        <v>0.006698</v>
      </c>
      <c r="AE133" s="153"/>
      <c r="AF133" s="494"/>
      <c r="AH133" s="19" t="str">
        <f aca="false">IF(AF133="","N","Y")</f>
        <v>N</v>
      </c>
      <c r="AI133" s="63" t="s">
        <v>100</v>
      </c>
      <c r="AJ133" s="63" t="s">
        <v>101</v>
      </c>
      <c r="AK133" s="19"/>
      <c r="AL133" s="63" t="s">
        <v>102</v>
      </c>
    </row>
    <row r="134" customFormat="false" ht="16.5" hidden="false" customHeight="true" outlineLevel="0" collapsed="false">
      <c r="A134" s="19" t="n">
        <v>78</v>
      </c>
      <c r="B134" s="141" t="n">
        <v>42921</v>
      </c>
      <c r="C134" s="142" t="n">
        <v>42921</v>
      </c>
      <c r="D134" s="142" t="n">
        <v>42942</v>
      </c>
      <c r="E134" s="19" t="n">
        <f aca="false">D134-C134</f>
        <v>21</v>
      </c>
      <c r="F134" s="100" t="n">
        <f aca="false">TRUNC(E134/30,0)</f>
        <v>0</v>
      </c>
      <c r="G134" s="183" t="s">
        <v>95</v>
      </c>
      <c r="H134" s="146" t="n">
        <v>40</v>
      </c>
      <c r="I134" s="147"/>
      <c r="J134" s="148"/>
      <c r="K134" s="149"/>
      <c r="L134" s="152" t="n">
        <v>0.0122333</v>
      </c>
      <c r="M134" s="151"/>
      <c r="N134" s="152" t="n">
        <f aca="false">AVERAGE(0.0133,0.0138,0.0138)</f>
        <v>0.0136333333333333</v>
      </c>
      <c r="O134" s="151"/>
      <c r="P134" s="152"/>
      <c r="Q134" s="152"/>
      <c r="R134" s="152"/>
      <c r="S134" s="152"/>
      <c r="T134" s="153" t="n">
        <v>0.005009</v>
      </c>
      <c r="U134" s="152"/>
      <c r="V134" s="152" t="n">
        <v>0.002</v>
      </c>
      <c r="W134" s="152"/>
      <c r="X134" s="152"/>
      <c r="Y134" s="152" t="n">
        <v>0.002</v>
      </c>
      <c r="Z134" s="152"/>
      <c r="AA134" s="152"/>
      <c r="AB134" s="152" t="n">
        <f aca="false">N134-V134-Y134</f>
        <v>0.00963333333333333</v>
      </c>
      <c r="AC134" s="260" t="n">
        <v>0.014</v>
      </c>
      <c r="AD134" s="156" t="n">
        <f aca="false">IF(T134="","",T134)</f>
        <v>0.005009</v>
      </c>
      <c r="AE134" s="153"/>
      <c r="AF134" s="494"/>
      <c r="AH134" s="19" t="str">
        <f aca="false">IF(AF134="","N","Y")</f>
        <v>N</v>
      </c>
      <c r="AI134" s="63" t="s">
        <v>100</v>
      </c>
      <c r="AJ134" s="63" t="s">
        <v>101</v>
      </c>
      <c r="AK134" s="19"/>
      <c r="AL134" s="63" t="s">
        <v>102</v>
      </c>
    </row>
    <row r="135" customFormat="false" ht="16.5" hidden="false" customHeight="true" outlineLevel="0" collapsed="false">
      <c r="A135" s="19" t="n">
        <v>79</v>
      </c>
      <c r="B135" s="141" t="n">
        <v>42934</v>
      </c>
      <c r="C135" s="142" t="n">
        <v>42934</v>
      </c>
      <c r="D135" s="142" t="n">
        <v>42965</v>
      </c>
      <c r="E135" s="19" t="n">
        <f aca="false">D135-C135</f>
        <v>31</v>
      </c>
      <c r="F135" s="100" t="n">
        <f aca="false">TRUNC(E135/30,0)</f>
        <v>1</v>
      </c>
      <c r="G135" s="189" t="s">
        <v>99</v>
      </c>
      <c r="H135" s="146" t="n">
        <v>50</v>
      </c>
      <c r="I135" s="147"/>
      <c r="J135" s="148"/>
      <c r="K135" s="149"/>
      <c r="L135" s="152" t="n">
        <v>0.0117778</v>
      </c>
      <c r="M135" s="151"/>
      <c r="N135" s="152" t="n">
        <f aca="false">AVERAGE(0.014,0.015,0.0139)</f>
        <v>0.0143</v>
      </c>
      <c r="O135" s="151"/>
      <c r="P135" s="152"/>
      <c r="Q135" s="152"/>
      <c r="R135" s="152"/>
      <c r="S135" s="152"/>
      <c r="T135" s="153" t="n">
        <v>0.003014</v>
      </c>
      <c r="U135" s="152"/>
      <c r="V135" s="152" t="n">
        <v>0.0033</v>
      </c>
      <c r="W135" s="152"/>
      <c r="X135" s="152"/>
      <c r="Y135" s="152" t="n">
        <v>0.002</v>
      </c>
      <c r="Z135" s="152"/>
      <c r="AA135" s="152"/>
      <c r="AB135" s="152" t="n">
        <f aca="false">N135-V135-Y135</f>
        <v>0.009</v>
      </c>
      <c r="AC135" s="260" t="n">
        <v>0.0075</v>
      </c>
      <c r="AD135" s="156" t="n">
        <f aca="false">IF(T135="","",T135)</f>
        <v>0.003014</v>
      </c>
      <c r="AE135" s="153"/>
      <c r="AF135" s="494" t="n">
        <v>0.008</v>
      </c>
      <c r="AH135" s="19" t="str">
        <f aca="false">IF(AF135="","N","Y")</f>
        <v>Y</v>
      </c>
      <c r="AI135" s="63" t="s">
        <v>96</v>
      </c>
      <c r="AJ135" s="63" t="s">
        <v>142</v>
      </c>
      <c r="AK135" s="19"/>
      <c r="AL135" s="19" t="s">
        <v>112</v>
      </c>
    </row>
    <row r="136" customFormat="false" ht="16.5" hidden="false" customHeight="true" outlineLevel="0" collapsed="false">
      <c r="A136" s="19" t="n">
        <v>80</v>
      </c>
      <c r="B136" s="141" t="n">
        <v>42936</v>
      </c>
      <c r="C136" s="142" t="n">
        <v>42936</v>
      </c>
      <c r="D136" s="142" t="n">
        <v>42968</v>
      </c>
      <c r="E136" s="19" t="n">
        <f aca="false">D136-C136</f>
        <v>32</v>
      </c>
      <c r="F136" s="100" t="n">
        <f aca="false">TRUNC(E136/30,0)</f>
        <v>1</v>
      </c>
      <c r="G136" s="189" t="s">
        <v>99</v>
      </c>
      <c r="H136" s="146" t="n">
        <v>50</v>
      </c>
      <c r="I136" s="147"/>
      <c r="J136" s="148"/>
      <c r="K136" s="149"/>
      <c r="L136" s="152" t="n">
        <v>0.0117889</v>
      </c>
      <c r="M136" s="151"/>
      <c r="N136" s="152" t="n">
        <f aca="false">AVERAGE(0.014,0.015,0.0139)</f>
        <v>0.0143</v>
      </c>
      <c r="O136" s="151"/>
      <c r="P136" s="152"/>
      <c r="Q136" s="152"/>
      <c r="R136" s="152"/>
      <c r="S136" s="152"/>
      <c r="T136" s="153" t="n">
        <v>0.003004</v>
      </c>
      <c r="U136" s="152"/>
      <c r="V136" s="152" t="n">
        <v>0.0033</v>
      </c>
      <c r="W136" s="152"/>
      <c r="X136" s="152"/>
      <c r="Y136" s="152" t="n">
        <v>0.002</v>
      </c>
      <c r="Z136" s="152"/>
      <c r="AA136" s="152"/>
      <c r="AB136" s="152" t="n">
        <f aca="false">N136-V136-Y136</f>
        <v>0.009</v>
      </c>
      <c r="AC136" s="260" t="n">
        <v>0.0075</v>
      </c>
      <c r="AD136" s="156" t="n">
        <f aca="false">IF(T136="","",T136)</f>
        <v>0.003004</v>
      </c>
      <c r="AE136" s="153"/>
      <c r="AF136" s="494"/>
      <c r="AH136" s="19" t="str">
        <f aca="false">IF(AF136="","N","Y")</f>
        <v>N</v>
      </c>
      <c r="AI136" s="63" t="s">
        <v>96</v>
      </c>
      <c r="AJ136" s="63" t="s">
        <v>97</v>
      </c>
      <c r="AK136" s="19"/>
      <c r="AL136" s="63" t="s">
        <v>98</v>
      </c>
    </row>
    <row r="137" customFormat="false" ht="16.5" hidden="false" customHeight="true" outlineLevel="0" collapsed="false">
      <c r="A137" s="19" t="n">
        <v>81</v>
      </c>
      <c r="B137" s="141" t="n">
        <v>42936</v>
      </c>
      <c r="C137" s="142" t="n">
        <v>42936</v>
      </c>
      <c r="D137" s="142" t="n">
        <v>42967</v>
      </c>
      <c r="E137" s="19" t="n">
        <f aca="false">D137-C137</f>
        <v>31</v>
      </c>
      <c r="F137" s="100" t="n">
        <f aca="false">TRUNC(E137/30,0)</f>
        <v>1</v>
      </c>
      <c r="G137" s="189" t="s">
        <v>99</v>
      </c>
      <c r="H137" s="146" t="n">
        <v>10</v>
      </c>
      <c r="I137" s="147"/>
      <c r="J137" s="148"/>
      <c r="K137" s="149"/>
      <c r="L137" s="152" t="n">
        <v>0.0117889</v>
      </c>
      <c r="M137" s="151"/>
      <c r="N137" s="152" t="n">
        <f aca="false">AVERAGE(0.014,0.015,0.0139)</f>
        <v>0.0143</v>
      </c>
      <c r="O137" s="151"/>
      <c r="P137" s="152"/>
      <c r="Q137" s="152"/>
      <c r="R137" s="152"/>
      <c r="S137" s="152"/>
      <c r="T137" s="153" t="n">
        <v>0.003004</v>
      </c>
      <c r="U137" s="152"/>
      <c r="V137" s="152" t="n">
        <v>0.0033</v>
      </c>
      <c r="W137" s="152"/>
      <c r="X137" s="152"/>
      <c r="Y137" s="152" t="n">
        <v>0.002</v>
      </c>
      <c r="Z137" s="152"/>
      <c r="AA137" s="152"/>
      <c r="AB137" s="152" t="n">
        <f aca="false">N137-V137-Y137</f>
        <v>0.009</v>
      </c>
      <c r="AC137" s="260" t="n">
        <v>0.0075</v>
      </c>
      <c r="AD137" s="156" t="n">
        <f aca="false">IF(T137="","",T137)</f>
        <v>0.003004</v>
      </c>
      <c r="AE137" s="153"/>
      <c r="AF137" s="494"/>
      <c r="AH137" s="19" t="str">
        <f aca="false">IF(AF137="","N","Y")</f>
        <v>N</v>
      </c>
      <c r="AI137" s="63" t="s">
        <v>96</v>
      </c>
      <c r="AJ137" s="63" t="s">
        <v>143</v>
      </c>
      <c r="AK137" s="19"/>
      <c r="AL137" s="63" t="s">
        <v>137</v>
      </c>
    </row>
    <row r="138" customFormat="false" ht="16.5" hidden="false" customHeight="true" outlineLevel="0" collapsed="false">
      <c r="A138" s="19" t="n">
        <v>82</v>
      </c>
      <c r="B138" s="141" t="n">
        <v>42936</v>
      </c>
      <c r="C138" s="142" t="n">
        <v>42936</v>
      </c>
      <c r="D138" s="142" t="n">
        <v>42967</v>
      </c>
      <c r="E138" s="19" t="n">
        <f aca="false">D138-C138</f>
        <v>31</v>
      </c>
      <c r="F138" s="100" t="n">
        <f aca="false">TRUNC(E138/30,0)</f>
        <v>1</v>
      </c>
      <c r="G138" s="189" t="s">
        <v>99</v>
      </c>
      <c r="H138" s="146" t="n">
        <v>10</v>
      </c>
      <c r="I138" s="147"/>
      <c r="J138" s="148"/>
      <c r="K138" s="149"/>
      <c r="L138" s="152" t="n">
        <v>0.0117889</v>
      </c>
      <c r="M138" s="151"/>
      <c r="N138" s="152" t="n">
        <f aca="false">AVERAGE(0.014,0.015,0.0139)</f>
        <v>0.0143</v>
      </c>
      <c r="O138" s="151"/>
      <c r="P138" s="152"/>
      <c r="Q138" s="152"/>
      <c r="R138" s="152"/>
      <c r="S138" s="152"/>
      <c r="T138" s="153" t="n">
        <v>0.003004</v>
      </c>
      <c r="U138" s="152"/>
      <c r="V138" s="152" t="n">
        <v>0.0033</v>
      </c>
      <c r="W138" s="152"/>
      <c r="X138" s="152"/>
      <c r="Y138" s="152" t="n">
        <v>0.002</v>
      </c>
      <c r="Z138" s="152"/>
      <c r="AA138" s="152"/>
      <c r="AB138" s="152" t="n">
        <f aca="false">N138-V138-Y138</f>
        <v>0.009</v>
      </c>
      <c r="AC138" s="260" t="n">
        <v>0.0075</v>
      </c>
      <c r="AD138" s="156" t="n">
        <f aca="false">IF(T138="","",T138)</f>
        <v>0.003004</v>
      </c>
      <c r="AE138" s="153"/>
      <c r="AF138" s="494"/>
      <c r="AH138" s="19" t="str">
        <f aca="false">IF(AF138="","N","Y")</f>
        <v>N</v>
      </c>
      <c r="AI138" s="63" t="s">
        <v>103</v>
      </c>
      <c r="AJ138" s="63" t="s">
        <v>104</v>
      </c>
      <c r="AK138" s="19"/>
      <c r="AL138" s="63" t="s">
        <v>144</v>
      </c>
    </row>
    <row r="139" customFormat="false" ht="16.5" hidden="false" customHeight="true" outlineLevel="0" collapsed="false">
      <c r="A139" s="19" t="n">
        <v>83</v>
      </c>
      <c r="B139" s="141" t="n">
        <v>42937</v>
      </c>
      <c r="C139" s="142" t="n">
        <v>42937</v>
      </c>
      <c r="D139" s="142" t="n">
        <v>42990</v>
      </c>
      <c r="E139" s="19" t="n">
        <f aca="false">D139-C139</f>
        <v>53</v>
      </c>
      <c r="F139" s="100" t="n">
        <f aca="false">TRUNC(E139/30,0)</f>
        <v>1</v>
      </c>
      <c r="G139" s="183" t="s">
        <v>95</v>
      </c>
      <c r="H139" s="146" t="n">
        <v>60</v>
      </c>
      <c r="I139" s="147"/>
      <c r="J139" s="148"/>
      <c r="K139" s="149"/>
      <c r="L139" s="152" t="n">
        <v>0.0122889</v>
      </c>
      <c r="M139" s="151"/>
      <c r="N139" s="152" t="n">
        <f aca="false">AVERAGE(0.014,0.016,0.0139)</f>
        <v>0.0146333333333333</v>
      </c>
      <c r="O139" s="151"/>
      <c r="P139" s="152"/>
      <c r="Q139" s="152"/>
      <c r="R139" s="152"/>
      <c r="S139" s="152"/>
      <c r="T139" s="153" t="n">
        <v>0.006718</v>
      </c>
      <c r="U139" s="152"/>
      <c r="V139" s="152" t="n">
        <v>0.002</v>
      </c>
      <c r="W139" s="152"/>
      <c r="X139" s="152"/>
      <c r="Y139" s="152" t="n">
        <v>0.002</v>
      </c>
      <c r="Z139" s="152"/>
      <c r="AA139" s="152"/>
      <c r="AB139" s="152" t="n">
        <f aca="false">N139-V139-Y139</f>
        <v>0.0106333333333333</v>
      </c>
      <c r="AC139" s="260" t="n">
        <v>0.0115</v>
      </c>
      <c r="AD139" s="156" t="n">
        <f aca="false">IF(T139="","",T139)</f>
        <v>0.006718</v>
      </c>
      <c r="AE139" s="153"/>
      <c r="AF139" s="494"/>
      <c r="AH139" s="19" t="str">
        <f aca="false">IF(AF139="","N","Y")</f>
        <v>N</v>
      </c>
      <c r="AI139" s="63" t="s">
        <v>100</v>
      </c>
      <c r="AJ139" s="63" t="s">
        <v>101</v>
      </c>
      <c r="AK139" s="19"/>
      <c r="AL139" s="63" t="s">
        <v>102</v>
      </c>
    </row>
    <row r="140" customFormat="false" ht="16.5" hidden="false" customHeight="true" outlineLevel="0" collapsed="false">
      <c r="A140" s="19" t="n">
        <v>84</v>
      </c>
      <c r="B140" s="141" t="n">
        <v>42940</v>
      </c>
      <c r="C140" s="142" t="n">
        <v>42940</v>
      </c>
      <c r="D140" s="142" t="n">
        <v>42971</v>
      </c>
      <c r="E140" s="19" t="n">
        <f aca="false">D140-C140</f>
        <v>31</v>
      </c>
      <c r="F140" s="100" t="n">
        <f aca="false">TRUNC(E140/30,0)</f>
        <v>1</v>
      </c>
      <c r="G140" s="183" t="s">
        <v>95</v>
      </c>
      <c r="H140" s="146" t="n">
        <v>33.23</v>
      </c>
      <c r="I140" s="147"/>
      <c r="J140" s="148"/>
      <c r="K140" s="149"/>
      <c r="L140" s="152" t="n">
        <v>0.0123222</v>
      </c>
      <c r="M140" s="151"/>
      <c r="N140" s="152" t="n">
        <f aca="false">AVERAGE(0.014,0.016,0.0139)</f>
        <v>0.0146333333333333</v>
      </c>
      <c r="O140" s="151"/>
      <c r="P140" s="152"/>
      <c r="Q140" s="152"/>
      <c r="R140" s="152"/>
      <c r="S140" s="152"/>
      <c r="T140" s="153" t="n">
        <v>0.006701</v>
      </c>
      <c r="U140" s="152"/>
      <c r="V140" s="152" t="n">
        <v>0.002</v>
      </c>
      <c r="W140" s="152"/>
      <c r="X140" s="152"/>
      <c r="Y140" s="152" t="n">
        <v>0.002</v>
      </c>
      <c r="Z140" s="152"/>
      <c r="AA140" s="152"/>
      <c r="AB140" s="152" t="n">
        <f aca="false">N140-V140-Y140</f>
        <v>0.0106333333333333</v>
      </c>
      <c r="AC140" s="260" t="n">
        <v>0.0081</v>
      </c>
      <c r="AD140" s="156" t="n">
        <f aca="false">IF(T140="","",T140)</f>
        <v>0.006701</v>
      </c>
      <c r="AE140" s="153"/>
      <c r="AF140" s="494"/>
      <c r="AH140" s="19" t="str">
        <f aca="false">IF(AF140="","N","Y")</f>
        <v>N</v>
      </c>
      <c r="AI140" s="63" t="s">
        <v>130</v>
      </c>
      <c r="AJ140" s="63" t="s">
        <v>140</v>
      </c>
      <c r="AK140" s="19"/>
      <c r="AL140" s="63" t="s">
        <v>132</v>
      </c>
    </row>
    <row r="141" customFormat="false" ht="16.5" hidden="false" customHeight="true" outlineLevel="0" collapsed="false">
      <c r="A141" s="19" t="n">
        <v>85</v>
      </c>
      <c r="B141" s="141" t="n">
        <v>42942</v>
      </c>
      <c r="C141" s="142" t="n">
        <v>42942</v>
      </c>
      <c r="D141" s="142" t="n">
        <v>42956</v>
      </c>
      <c r="E141" s="19" t="n">
        <f aca="false">D141-C141</f>
        <v>14</v>
      </c>
      <c r="F141" s="100" t="n">
        <f aca="false">TRUNC(E141/30,0)</f>
        <v>0</v>
      </c>
      <c r="G141" s="183" t="s">
        <v>95</v>
      </c>
      <c r="H141" s="146" t="n">
        <v>65</v>
      </c>
      <c r="I141" s="147"/>
      <c r="J141" s="148"/>
      <c r="K141" s="149"/>
      <c r="L141" s="152" t="n">
        <v>0.0119444</v>
      </c>
      <c r="M141" s="151"/>
      <c r="N141" s="152" t="n">
        <f aca="false">AVERAGE(0.0134,0.0135,0.0124)</f>
        <v>0.0131</v>
      </c>
      <c r="O141" s="151"/>
      <c r="P141" s="152"/>
      <c r="Q141" s="152"/>
      <c r="R141" s="152"/>
      <c r="S141" s="152"/>
      <c r="T141" s="153" t="n">
        <v>0.005045</v>
      </c>
      <c r="U141" s="152"/>
      <c r="V141" s="152" t="n">
        <v>0.002</v>
      </c>
      <c r="W141" s="152"/>
      <c r="X141" s="152"/>
      <c r="Y141" s="152" t="n">
        <v>0.002</v>
      </c>
      <c r="Z141" s="152"/>
      <c r="AA141" s="152"/>
      <c r="AB141" s="152" t="n">
        <f aca="false">N141-V141-Y141</f>
        <v>0.0091</v>
      </c>
      <c r="AC141" s="260" t="n">
        <v>0.0075</v>
      </c>
      <c r="AD141" s="156" t="n">
        <f aca="false">IF(T141="","",T141)</f>
        <v>0.005045</v>
      </c>
      <c r="AE141" s="153"/>
      <c r="AF141" s="494"/>
      <c r="AH141" s="19" t="str">
        <f aca="false">IF(AF141="","N","Y")</f>
        <v>N</v>
      </c>
      <c r="AI141" s="63" t="s">
        <v>145</v>
      </c>
      <c r="AJ141" s="63" t="s">
        <v>146</v>
      </c>
      <c r="AK141" s="19"/>
      <c r="AL141" s="63" t="s">
        <v>147</v>
      </c>
    </row>
    <row r="142" customFormat="false" ht="16.5" hidden="false" customHeight="true" outlineLevel="0" collapsed="false">
      <c r="A142" s="19" t="n">
        <v>86</v>
      </c>
      <c r="B142" s="141" t="n">
        <v>42942</v>
      </c>
      <c r="C142" s="142" t="n">
        <v>42942</v>
      </c>
      <c r="D142" s="142" t="n">
        <v>42975</v>
      </c>
      <c r="E142" s="19" t="n">
        <f aca="false">D142-C142</f>
        <v>33</v>
      </c>
      <c r="F142" s="100" t="n">
        <f aca="false">TRUNC(E142/30,0)</f>
        <v>1</v>
      </c>
      <c r="G142" s="183" t="s">
        <v>95</v>
      </c>
      <c r="H142" s="146" t="n">
        <v>115</v>
      </c>
      <c r="I142" s="147"/>
      <c r="J142" s="148"/>
      <c r="K142" s="149"/>
      <c r="L142" s="152" t="n">
        <v>0.0123278</v>
      </c>
      <c r="M142" s="151"/>
      <c r="N142" s="152" t="n">
        <f aca="false">AVERAGE(0.0138)</f>
        <v>0.0138</v>
      </c>
      <c r="O142" s="151"/>
      <c r="P142" s="152"/>
      <c r="Q142" s="152"/>
      <c r="R142" s="152"/>
      <c r="S142" s="152"/>
      <c r="T142" s="153" t="n">
        <v>0.006756</v>
      </c>
      <c r="U142" s="152"/>
      <c r="V142" s="152" t="n">
        <v>0.002</v>
      </c>
      <c r="W142" s="152"/>
      <c r="X142" s="152"/>
      <c r="Y142" s="152" t="n">
        <v>0.002</v>
      </c>
      <c r="Z142" s="152"/>
      <c r="AA142" s="152"/>
      <c r="AB142" s="152" t="n">
        <f aca="false">N142-V142-Y142</f>
        <v>0.0098</v>
      </c>
      <c r="AC142" s="260" t="n">
        <v>0.0085</v>
      </c>
      <c r="AD142" s="156" t="n">
        <f aca="false">IF(T142="","",T142)</f>
        <v>0.006756</v>
      </c>
      <c r="AE142" s="153"/>
      <c r="AF142" s="494"/>
      <c r="AH142" s="19" t="str">
        <f aca="false">IF(AF142="","N","Y")</f>
        <v>N</v>
      </c>
      <c r="AI142" s="63" t="s">
        <v>145</v>
      </c>
      <c r="AJ142" s="63" t="s">
        <v>146</v>
      </c>
      <c r="AK142" s="19"/>
      <c r="AL142" s="63" t="s">
        <v>147</v>
      </c>
    </row>
    <row r="143" customFormat="false" ht="16.5" hidden="false" customHeight="true" outlineLevel="0" collapsed="false">
      <c r="A143" s="19" t="n">
        <v>87</v>
      </c>
      <c r="B143" s="141" t="n">
        <v>42942</v>
      </c>
      <c r="C143" s="142" t="n">
        <v>42942</v>
      </c>
      <c r="D143" s="142" t="n">
        <v>43019</v>
      </c>
      <c r="E143" s="19" t="n">
        <f aca="false">D143-C143</f>
        <v>77</v>
      </c>
      <c r="F143" s="100" t="n">
        <f aca="false">TRUNC(E143/30,0)</f>
        <v>2</v>
      </c>
      <c r="G143" s="183" t="s">
        <v>95</v>
      </c>
      <c r="H143" s="146" t="n">
        <v>60</v>
      </c>
      <c r="I143" s="147"/>
      <c r="J143" s="148"/>
      <c r="K143" s="149"/>
      <c r="L143" s="152" t="n">
        <v>0.0126</v>
      </c>
      <c r="M143" s="151"/>
      <c r="N143" s="152" t="n">
        <f aca="false">AVERAGE(0.014,0.015)</f>
        <v>0.0145</v>
      </c>
      <c r="O143" s="151"/>
      <c r="P143" s="152"/>
      <c r="Q143" s="152"/>
      <c r="R143" s="152"/>
      <c r="S143" s="152"/>
      <c r="T143" s="153" t="n">
        <v>0.007023</v>
      </c>
      <c r="U143" s="152"/>
      <c r="V143" s="152" t="n">
        <v>0.002</v>
      </c>
      <c r="W143" s="152"/>
      <c r="X143" s="152"/>
      <c r="Y143" s="152" t="n">
        <v>0.002</v>
      </c>
      <c r="Z143" s="152"/>
      <c r="AA143" s="152"/>
      <c r="AB143" s="152" t="n">
        <f aca="false">N143-V143-Y143</f>
        <v>0.0105</v>
      </c>
      <c r="AC143" s="260" t="n">
        <v>0.0093</v>
      </c>
      <c r="AD143" s="156" t="n">
        <f aca="false">IF(T143="","",T143)</f>
        <v>0.007023</v>
      </c>
      <c r="AE143" s="153"/>
      <c r="AF143" s="494"/>
      <c r="AH143" s="19" t="str">
        <f aca="false">IF(AF143="","N","Y")</f>
        <v>N</v>
      </c>
      <c r="AI143" s="63" t="s">
        <v>145</v>
      </c>
      <c r="AJ143" s="63" t="s">
        <v>146</v>
      </c>
      <c r="AK143" s="19"/>
      <c r="AL143" s="63" t="s">
        <v>147</v>
      </c>
    </row>
    <row r="144" customFormat="false" ht="16.5" hidden="false" customHeight="true" outlineLevel="0" collapsed="false">
      <c r="A144" s="19" t="n">
        <v>88</v>
      </c>
      <c r="B144" s="141" t="n">
        <v>42942</v>
      </c>
      <c r="C144" s="142" t="n">
        <v>42942</v>
      </c>
      <c r="D144" s="142" t="n">
        <v>42973</v>
      </c>
      <c r="E144" s="19" t="n">
        <f aca="false">D144-C144</f>
        <v>31</v>
      </c>
      <c r="F144" s="100" t="n">
        <f aca="false">TRUNC(E144/30,0)</f>
        <v>1</v>
      </c>
      <c r="G144" s="189" t="s">
        <v>99</v>
      </c>
      <c r="H144" s="146" t="n">
        <v>57</v>
      </c>
      <c r="I144" s="147"/>
      <c r="J144" s="148"/>
      <c r="K144" s="149"/>
      <c r="L144" s="152" t="n">
        <v>0.0117889</v>
      </c>
      <c r="M144" s="151"/>
      <c r="N144" s="152" t="n">
        <f aca="false">AVERAGE(0.0138)</f>
        <v>0.0138</v>
      </c>
      <c r="O144" s="151"/>
      <c r="P144" s="152"/>
      <c r="Q144" s="152"/>
      <c r="R144" s="152"/>
      <c r="S144" s="152"/>
      <c r="T144" s="153" t="n">
        <v>0.003045</v>
      </c>
      <c r="U144" s="152"/>
      <c r="V144" s="152" t="n">
        <v>0.0033</v>
      </c>
      <c r="W144" s="152"/>
      <c r="X144" s="152"/>
      <c r="Y144" s="152" t="n">
        <v>0.002</v>
      </c>
      <c r="Z144" s="152"/>
      <c r="AA144" s="152"/>
      <c r="AB144" s="152" t="n">
        <f aca="false">N144-V144-Y144</f>
        <v>0.0085</v>
      </c>
      <c r="AC144" s="260" t="n">
        <v>0.0075</v>
      </c>
      <c r="AD144" s="156" t="n">
        <f aca="false">IF(T144="","",T144)</f>
        <v>0.003045</v>
      </c>
      <c r="AE144" s="153"/>
      <c r="AF144" s="494"/>
      <c r="AH144" s="19" t="str">
        <f aca="false">IF(AF144="","N","Y")</f>
        <v>N</v>
      </c>
      <c r="AI144" s="63" t="s">
        <v>145</v>
      </c>
      <c r="AJ144" s="63" t="s">
        <v>146</v>
      </c>
      <c r="AK144" s="19"/>
      <c r="AL144" s="63" t="s">
        <v>147</v>
      </c>
    </row>
    <row r="145" customFormat="false" ht="16.5" hidden="false" customHeight="true" outlineLevel="0" collapsed="false">
      <c r="A145" s="19" t="n">
        <v>89</v>
      </c>
      <c r="B145" s="141" t="n">
        <v>42942</v>
      </c>
      <c r="C145" s="142" t="n">
        <v>42942</v>
      </c>
      <c r="D145" s="142" t="n">
        <v>43004</v>
      </c>
      <c r="E145" s="19" t="n">
        <f aca="false">D145-C145</f>
        <v>62</v>
      </c>
      <c r="F145" s="100" t="n">
        <f aca="false">TRUNC(E145/30,0)</f>
        <v>2</v>
      </c>
      <c r="G145" s="183" t="s">
        <v>95</v>
      </c>
      <c r="H145" s="146" t="n">
        <v>100</v>
      </c>
      <c r="I145" s="147"/>
      <c r="J145" s="148"/>
      <c r="K145" s="149"/>
      <c r="L145" s="152" t="n">
        <v>0.0125667</v>
      </c>
      <c r="M145" s="151"/>
      <c r="N145" s="152" t="n">
        <f aca="false">AVERAGE(0.014,0.015)</f>
        <v>0.0145</v>
      </c>
      <c r="O145" s="151"/>
      <c r="P145" s="152"/>
      <c r="Q145" s="152"/>
      <c r="R145" s="152"/>
      <c r="S145" s="152"/>
      <c r="T145" s="153" t="n">
        <v>0.006989</v>
      </c>
      <c r="U145" s="152"/>
      <c r="V145" s="152" t="n">
        <v>0.002</v>
      </c>
      <c r="W145" s="152"/>
      <c r="X145" s="152"/>
      <c r="Y145" s="152" t="n">
        <v>0.002</v>
      </c>
      <c r="Z145" s="152"/>
      <c r="AA145" s="152"/>
      <c r="AB145" s="152" t="n">
        <f aca="false">N145-V145-Y145</f>
        <v>0.0105</v>
      </c>
      <c r="AC145" s="260" t="n">
        <v>0.0093</v>
      </c>
      <c r="AD145" s="156" t="n">
        <f aca="false">IF(T145="","",T145)</f>
        <v>0.006989</v>
      </c>
      <c r="AE145" s="153"/>
      <c r="AF145" s="494"/>
      <c r="AH145" s="19" t="str">
        <f aca="false">IF(AF145="","N","Y")</f>
        <v>N</v>
      </c>
      <c r="AI145" s="63" t="s">
        <v>96</v>
      </c>
      <c r="AJ145" s="63" t="s">
        <v>97</v>
      </c>
      <c r="AK145" s="19"/>
      <c r="AL145" s="63" t="s">
        <v>98</v>
      </c>
    </row>
    <row r="146" customFormat="false" ht="16.5" hidden="false" customHeight="true" outlineLevel="0" collapsed="false">
      <c r="A146" s="19" t="n">
        <v>90</v>
      </c>
      <c r="B146" s="141" t="n">
        <v>42942</v>
      </c>
      <c r="C146" s="142" t="n">
        <v>42942</v>
      </c>
      <c r="D146" s="142" t="n">
        <v>43034</v>
      </c>
      <c r="E146" s="19" t="n">
        <f aca="false">D146-C146</f>
        <v>92</v>
      </c>
      <c r="F146" s="100" t="n">
        <f aca="false">TRUNC(E146/30,0)</f>
        <v>3</v>
      </c>
      <c r="G146" s="183" t="s">
        <v>95</v>
      </c>
      <c r="H146" s="146" t="n">
        <v>200</v>
      </c>
      <c r="I146" s="147"/>
      <c r="J146" s="148"/>
      <c r="K146" s="149"/>
      <c r="L146" s="152" t="n">
        <v>0.0131667</v>
      </c>
      <c r="M146" s="151"/>
      <c r="N146" s="152" t="n">
        <f aca="false">AVERAGE(0.018,0.0146)</f>
        <v>0.0163</v>
      </c>
      <c r="O146" s="151"/>
      <c r="P146" s="152"/>
      <c r="Q146" s="152"/>
      <c r="R146" s="152"/>
      <c r="S146" s="152"/>
      <c r="T146" s="153" t="n">
        <v>0.008777</v>
      </c>
      <c r="U146" s="152"/>
      <c r="V146" s="152" t="n">
        <v>0.002</v>
      </c>
      <c r="W146" s="152"/>
      <c r="X146" s="152"/>
      <c r="Y146" s="152" t="n">
        <v>0.002</v>
      </c>
      <c r="Z146" s="152"/>
      <c r="AA146" s="152"/>
      <c r="AB146" s="152" t="n">
        <f aca="false">N146-V146-Y146</f>
        <v>0.0123</v>
      </c>
      <c r="AC146" s="260" t="n">
        <v>0.0115</v>
      </c>
      <c r="AD146" s="156" t="n">
        <f aca="false">IF(T146="","",T146)</f>
        <v>0.008777</v>
      </c>
      <c r="AE146" s="153"/>
      <c r="AF146" s="494"/>
      <c r="AH146" s="19" t="str">
        <f aca="false">IF(AF146="","N","Y")</f>
        <v>N</v>
      </c>
      <c r="AI146" s="63" t="s">
        <v>96</v>
      </c>
      <c r="AJ146" s="63" t="s">
        <v>97</v>
      </c>
      <c r="AK146" s="19"/>
      <c r="AL146" s="63" t="s">
        <v>98</v>
      </c>
    </row>
    <row r="147" customFormat="false" ht="16.5" hidden="false" customHeight="true" outlineLevel="0" collapsed="false">
      <c r="A147" s="19" t="n">
        <v>91</v>
      </c>
      <c r="B147" s="141" t="n">
        <v>42942</v>
      </c>
      <c r="C147" s="142" t="n">
        <v>42943</v>
      </c>
      <c r="D147" s="142" t="n">
        <v>43035</v>
      </c>
      <c r="E147" s="19" t="n">
        <f aca="false">D147-C147</f>
        <v>92</v>
      </c>
      <c r="F147" s="100" t="n">
        <f aca="false">TRUNC(E147/30,0)</f>
        <v>3</v>
      </c>
      <c r="G147" s="183" t="s">
        <v>95</v>
      </c>
      <c r="H147" s="146" t="n">
        <v>100</v>
      </c>
      <c r="I147" s="147"/>
      <c r="J147" s="148"/>
      <c r="K147" s="149"/>
      <c r="L147" s="152" t="n">
        <v>0.0131667</v>
      </c>
      <c r="M147" s="151"/>
      <c r="N147" s="152" t="n">
        <f aca="false">AVERAGE(0.018,0.0146)</f>
        <v>0.0163</v>
      </c>
      <c r="O147" s="151"/>
      <c r="P147" s="152"/>
      <c r="Q147" s="152"/>
      <c r="R147" s="152"/>
      <c r="S147" s="152"/>
      <c r="T147" s="153" t="n">
        <v>0.008777</v>
      </c>
      <c r="U147" s="152"/>
      <c r="V147" s="152" t="n">
        <v>0.002</v>
      </c>
      <c r="W147" s="152"/>
      <c r="X147" s="152"/>
      <c r="Y147" s="152" t="n">
        <v>0.002</v>
      </c>
      <c r="Z147" s="152"/>
      <c r="AA147" s="152"/>
      <c r="AB147" s="152" t="n">
        <f aca="false">N147-V147-Y147</f>
        <v>0.0123</v>
      </c>
      <c r="AC147" s="260" t="n">
        <v>0.0115</v>
      </c>
      <c r="AD147" s="156" t="n">
        <f aca="false">IF(T147="","",T147)</f>
        <v>0.008777</v>
      </c>
      <c r="AE147" s="153"/>
      <c r="AF147" s="494"/>
      <c r="AH147" s="19" t="str">
        <f aca="false">IF(AF147="","N","Y")</f>
        <v>N</v>
      </c>
      <c r="AI147" s="63" t="s">
        <v>96</v>
      </c>
      <c r="AJ147" s="63" t="s">
        <v>97</v>
      </c>
      <c r="AK147" s="19"/>
      <c r="AL147" s="63" t="s">
        <v>98</v>
      </c>
    </row>
    <row r="148" customFormat="false" ht="16.5" hidden="false" customHeight="true" outlineLevel="0" collapsed="false">
      <c r="A148" s="19" t="n">
        <v>92</v>
      </c>
      <c r="B148" s="141" t="n">
        <v>42942</v>
      </c>
      <c r="C148" s="142" t="n">
        <v>42943</v>
      </c>
      <c r="D148" s="142" t="n">
        <v>43006</v>
      </c>
      <c r="E148" s="19" t="n">
        <f aca="false">D148-C148</f>
        <v>63</v>
      </c>
      <c r="F148" s="100" t="n">
        <f aca="false">TRUNC(E148/30,0)</f>
        <v>2</v>
      </c>
      <c r="G148" s="183" t="s">
        <v>95</v>
      </c>
      <c r="H148" s="146" t="n">
        <v>40</v>
      </c>
      <c r="I148" s="147"/>
      <c r="J148" s="148"/>
      <c r="K148" s="149"/>
      <c r="L148" s="152" t="n">
        <v>0.0125667</v>
      </c>
      <c r="M148" s="151"/>
      <c r="N148" s="152" t="n">
        <f aca="false">AVERAGE(0.014,0.015)</f>
        <v>0.0145</v>
      </c>
      <c r="O148" s="151"/>
      <c r="P148" s="152"/>
      <c r="Q148" s="152"/>
      <c r="R148" s="152"/>
      <c r="S148" s="152"/>
      <c r="T148" s="153" t="n">
        <v>0.006989</v>
      </c>
      <c r="U148" s="152"/>
      <c r="V148" s="152" t="n">
        <v>0.002</v>
      </c>
      <c r="W148" s="152"/>
      <c r="X148" s="152"/>
      <c r="Y148" s="152" t="n">
        <v>0.002</v>
      </c>
      <c r="Z148" s="152"/>
      <c r="AA148" s="152"/>
      <c r="AB148" s="152" t="n">
        <f aca="false">N148-V148-Y148</f>
        <v>0.0105</v>
      </c>
      <c r="AC148" s="260" t="n">
        <v>0.0105</v>
      </c>
      <c r="AD148" s="156" t="n">
        <f aca="false">IF(T148="","",T148)</f>
        <v>0.006989</v>
      </c>
      <c r="AE148" s="153"/>
      <c r="AF148" s="494"/>
      <c r="AH148" s="19" t="str">
        <f aca="false">IF(AF148="","N","Y")</f>
        <v>N</v>
      </c>
      <c r="AI148" s="63" t="s">
        <v>100</v>
      </c>
      <c r="AJ148" s="63" t="s">
        <v>101</v>
      </c>
      <c r="AK148" s="19"/>
      <c r="AL148" s="63" t="s">
        <v>102</v>
      </c>
    </row>
    <row r="149" customFormat="false" ht="16.5" hidden="false" customHeight="true" outlineLevel="0" collapsed="false">
      <c r="A149" s="19" t="n">
        <v>93</v>
      </c>
      <c r="B149" s="141" t="n">
        <v>42943</v>
      </c>
      <c r="C149" s="142" t="n">
        <v>42943</v>
      </c>
      <c r="D149" s="142" t="n">
        <v>42974</v>
      </c>
      <c r="E149" s="19" t="n">
        <f aca="false">D149-C149</f>
        <v>31</v>
      </c>
      <c r="F149" s="100" t="n">
        <f aca="false">TRUNC(E149/30,0)</f>
        <v>1</v>
      </c>
      <c r="G149" s="189" t="s">
        <v>99</v>
      </c>
      <c r="H149" s="146" t="n">
        <v>10</v>
      </c>
      <c r="I149" s="147"/>
      <c r="J149" s="148"/>
      <c r="K149" s="149"/>
      <c r="L149" s="152" t="n">
        <v>0.0117778</v>
      </c>
      <c r="M149" s="151"/>
      <c r="N149" s="152" t="n">
        <v>0.0124</v>
      </c>
      <c r="O149" s="151"/>
      <c r="P149" s="152"/>
      <c r="Q149" s="152"/>
      <c r="R149" s="152"/>
      <c r="S149" s="152"/>
      <c r="T149" s="153" t="n">
        <v>0.00304</v>
      </c>
      <c r="U149" s="152"/>
      <c r="V149" s="152" t="n">
        <v>0.0033</v>
      </c>
      <c r="W149" s="152"/>
      <c r="X149" s="152"/>
      <c r="Y149" s="152" t="n">
        <v>0.002</v>
      </c>
      <c r="Z149" s="152"/>
      <c r="AA149" s="152"/>
      <c r="AB149" s="152" t="n">
        <f aca="false">N149-V149-Y149</f>
        <v>0.0071</v>
      </c>
      <c r="AC149" s="260" t="n">
        <v>0.0075</v>
      </c>
      <c r="AD149" s="156" t="n">
        <f aca="false">IF(T149="","",T149)</f>
        <v>0.00304</v>
      </c>
      <c r="AE149" s="153"/>
      <c r="AF149" s="494"/>
      <c r="AH149" s="19" t="str">
        <f aca="false">IF(AF149="","N","Y")</f>
        <v>N</v>
      </c>
      <c r="AI149" s="63" t="s">
        <v>103</v>
      </c>
      <c r="AJ149" s="63" t="s">
        <v>111</v>
      </c>
      <c r="AK149" s="19"/>
      <c r="AL149" s="63" t="s">
        <v>148</v>
      </c>
    </row>
    <row r="150" customFormat="false" ht="16.5" hidden="false" customHeight="true" outlineLevel="0" collapsed="false">
      <c r="A150" s="19" t="n">
        <v>94</v>
      </c>
      <c r="B150" s="141" t="n">
        <v>42956</v>
      </c>
      <c r="C150" s="142" t="n">
        <v>42956</v>
      </c>
      <c r="D150" s="142" t="n">
        <v>42989</v>
      </c>
      <c r="E150" s="19" t="n">
        <f aca="false">D150-C150</f>
        <v>33</v>
      </c>
      <c r="F150" s="100" t="n">
        <f aca="false">TRUNC(E150/30,0)</f>
        <v>1</v>
      </c>
      <c r="G150" s="189" t="s">
        <v>99</v>
      </c>
      <c r="H150" s="146" t="n">
        <v>50</v>
      </c>
      <c r="I150" s="147"/>
      <c r="J150" s="148"/>
      <c r="K150" s="149"/>
      <c r="L150" s="152" t="n">
        <v>0.011055</v>
      </c>
      <c r="M150" s="151"/>
      <c r="N150" s="152" t="n">
        <v>0.0124</v>
      </c>
      <c r="O150" s="151"/>
      <c r="P150" s="152"/>
      <c r="Q150" s="152"/>
      <c r="R150" s="152"/>
      <c r="S150" s="152"/>
      <c r="T150" s="153" t="n">
        <v>0.003061</v>
      </c>
      <c r="U150" s="152"/>
      <c r="V150" s="152" t="n">
        <v>0.0033</v>
      </c>
      <c r="W150" s="152"/>
      <c r="X150" s="152"/>
      <c r="Y150" s="152" t="n">
        <v>0.002</v>
      </c>
      <c r="Z150" s="152"/>
      <c r="AA150" s="152"/>
      <c r="AB150" s="152" t="n">
        <f aca="false">N150-V150-Y150</f>
        <v>0.0071</v>
      </c>
      <c r="AC150" s="260" t="n">
        <v>0.008</v>
      </c>
      <c r="AD150" s="156" t="n">
        <f aca="false">IF(T150="","",T150)</f>
        <v>0.003061</v>
      </c>
      <c r="AE150" s="153"/>
      <c r="AF150" s="494"/>
      <c r="AH150" s="19" t="str">
        <f aca="false">IF(AF150="","N","Y")</f>
        <v>N</v>
      </c>
      <c r="AI150" s="63" t="s">
        <v>145</v>
      </c>
      <c r="AJ150" s="63" t="s">
        <v>146</v>
      </c>
      <c r="AK150" s="19"/>
      <c r="AL150" s="63" t="s">
        <v>147</v>
      </c>
    </row>
    <row r="151" customFormat="false" ht="16.5" hidden="false" customHeight="true" outlineLevel="0" collapsed="false">
      <c r="A151" s="19" t="n">
        <v>95</v>
      </c>
      <c r="B151" s="141" t="n">
        <v>42963</v>
      </c>
      <c r="C151" s="142" t="n">
        <v>42964</v>
      </c>
      <c r="D151" s="142" t="n">
        <v>43034</v>
      </c>
      <c r="E151" s="19" t="n">
        <f aca="false">D151-C151</f>
        <v>70</v>
      </c>
      <c r="F151" s="100" t="n">
        <f aca="false">TRUNC(E151/30,0)</f>
        <v>2</v>
      </c>
      <c r="G151" s="183" t="s">
        <v>95</v>
      </c>
      <c r="H151" s="146" t="n">
        <v>40</v>
      </c>
      <c r="I151" s="147"/>
      <c r="J151" s="148"/>
      <c r="K151" s="149"/>
      <c r="L151" s="152" t="n">
        <v>0.0126278</v>
      </c>
      <c r="M151" s="151"/>
      <c r="N151" s="152" t="n">
        <f aca="false">AVERAGE(0.0168,0.0172,0.017)</f>
        <v>0.017</v>
      </c>
      <c r="O151" s="151"/>
      <c r="P151" s="152"/>
      <c r="Q151" s="152"/>
      <c r="R151" s="152"/>
      <c r="S151" s="152"/>
      <c r="T151" s="153" t="n">
        <v>0.007049</v>
      </c>
      <c r="U151" s="152"/>
      <c r="V151" s="152" t="n">
        <v>0.002</v>
      </c>
      <c r="W151" s="152"/>
      <c r="X151" s="152"/>
      <c r="Y151" s="152" t="n">
        <v>0.002</v>
      </c>
      <c r="Z151" s="152"/>
      <c r="AA151" s="152"/>
      <c r="AB151" s="152" t="n">
        <f aca="false">N151-V151-Y151</f>
        <v>0.013</v>
      </c>
      <c r="AC151" s="260" t="n">
        <v>0.014</v>
      </c>
      <c r="AD151" s="156" t="n">
        <f aca="false">IF(T151="","",T151)</f>
        <v>0.007049</v>
      </c>
      <c r="AE151" s="153"/>
      <c r="AF151" s="494"/>
      <c r="AH151" s="19" t="str">
        <f aca="false">IF(AF151="","N","Y")</f>
        <v>N</v>
      </c>
      <c r="AI151" s="63" t="s">
        <v>100</v>
      </c>
      <c r="AJ151" s="63" t="s">
        <v>101</v>
      </c>
      <c r="AK151" s="19"/>
      <c r="AL151" s="63" t="s">
        <v>102</v>
      </c>
    </row>
    <row r="152" customFormat="false" ht="16.5" hidden="false" customHeight="true" outlineLevel="0" collapsed="false">
      <c r="A152" s="19" t="n">
        <v>96</v>
      </c>
      <c r="B152" s="141" t="n">
        <v>42968</v>
      </c>
      <c r="C152" s="142" t="n">
        <v>42968</v>
      </c>
      <c r="D152" s="142" t="n">
        <v>42999</v>
      </c>
      <c r="E152" s="19" t="n">
        <f aca="false">D152-C152</f>
        <v>31</v>
      </c>
      <c r="F152" s="100" t="n">
        <f aca="false">TRUNC(E152/30,0)</f>
        <v>1</v>
      </c>
      <c r="G152" s="189" t="s">
        <v>99</v>
      </c>
      <c r="H152" s="146" t="n">
        <v>5.84</v>
      </c>
      <c r="I152" s="147"/>
      <c r="J152" s="148"/>
      <c r="K152" s="149"/>
      <c r="L152" s="152" t="n">
        <v>0.0117722</v>
      </c>
      <c r="M152" s="151"/>
      <c r="N152" s="152" t="n">
        <v>0.0124</v>
      </c>
      <c r="O152" s="151"/>
      <c r="P152" s="152"/>
      <c r="Q152" s="152"/>
      <c r="R152" s="152"/>
      <c r="S152" s="152"/>
      <c r="T152" s="153" t="n">
        <v>0.003092</v>
      </c>
      <c r="U152" s="152"/>
      <c r="V152" s="152" t="n">
        <v>0.0033</v>
      </c>
      <c r="W152" s="152"/>
      <c r="X152" s="152"/>
      <c r="Y152" s="152" t="n">
        <v>0.002</v>
      </c>
      <c r="Z152" s="152"/>
      <c r="AA152" s="152"/>
      <c r="AB152" s="152" t="n">
        <f aca="false">N152-V152-Y152</f>
        <v>0.0071</v>
      </c>
      <c r="AC152" s="260" t="n">
        <v>0.0078</v>
      </c>
      <c r="AD152" s="156" t="n">
        <f aca="false">IF(T152="","",T152)</f>
        <v>0.003092</v>
      </c>
      <c r="AE152" s="153"/>
      <c r="AF152" s="494"/>
      <c r="AH152" s="19" t="str">
        <f aca="false">IF(AF152="","N","Y")</f>
        <v>N</v>
      </c>
      <c r="AI152" s="63" t="s">
        <v>96</v>
      </c>
      <c r="AJ152" s="63" t="s">
        <v>143</v>
      </c>
      <c r="AK152" s="19"/>
      <c r="AL152" s="63" t="s">
        <v>137</v>
      </c>
    </row>
    <row r="153" customFormat="false" ht="16.5" hidden="false" customHeight="true" outlineLevel="0" collapsed="false">
      <c r="A153" s="19" t="n">
        <v>97</v>
      </c>
      <c r="B153" s="141" t="n">
        <v>42975</v>
      </c>
      <c r="C153" s="142" t="n">
        <v>42975</v>
      </c>
      <c r="D153" s="142" t="n">
        <v>43067</v>
      </c>
      <c r="E153" s="19" t="n">
        <f aca="false">D153-C153</f>
        <v>92</v>
      </c>
      <c r="F153" s="100" t="n">
        <f aca="false">TRUNC(E153/30,0)</f>
        <v>3</v>
      </c>
      <c r="G153" s="183" t="s">
        <v>95</v>
      </c>
      <c r="H153" s="146" t="n">
        <v>200</v>
      </c>
      <c r="I153" s="147"/>
      <c r="J153" s="148"/>
      <c r="K153" s="149"/>
      <c r="L153" s="152" t="n">
        <v>0.0131778</v>
      </c>
      <c r="M153" s="151"/>
      <c r="N153" s="152" t="n">
        <f aca="false">AVERAGE(0.0183,0.0182)</f>
        <v>0.01825</v>
      </c>
      <c r="O153" s="151"/>
      <c r="P153" s="152"/>
      <c r="Q153" s="152"/>
      <c r="R153" s="152"/>
      <c r="S153" s="152"/>
      <c r="T153" s="153" t="n">
        <v>0.008788</v>
      </c>
      <c r="U153" s="152"/>
      <c r="V153" s="152" t="n">
        <v>0.002</v>
      </c>
      <c r="W153" s="152"/>
      <c r="X153" s="152"/>
      <c r="Y153" s="152" t="n">
        <v>0.002</v>
      </c>
      <c r="Z153" s="152"/>
      <c r="AA153" s="152"/>
      <c r="AB153" s="152" t="n">
        <f aca="false">N153-V153-Y153</f>
        <v>0.01425</v>
      </c>
      <c r="AC153" s="260" t="n">
        <v>0.014</v>
      </c>
      <c r="AD153" s="156" t="n">
        <f aca="false">IF(T153="","",T153)</f>
        <v>0.008788</v>
      </c>
      <c r="AE153" s="153"/>
      <c r="AF153" s="494"/>
      <c r="AH153" s="19" t="str">
        <f aca="false">IF(AF153="","N","Y")</f>
        <v>N</v>
      </c>
      <c r="AI153" s="63" t="s">
        <v>96</v>
      </c>
      <c r="AJ153" s="63" t="s">
        <v>97</v>
      </c>
      <c r="AK153" s="19"/>
      <c r="AL153" s="63" t="s">
        <v>98</v>
      </c>
    </row>
    <row r="154" customFormat="false" ht="16.5" hidden="false" customHeight="true" outlineLevel="0" collapsed="false">
      <c r="A154" s="19" t="n">
        <v>98</v>
      </c>
      <c r="B154" s="141" t="n">
        <v>42975</v>
      </c>
      <c r="C154" s="142" t="n">
        <v>42975</v>
      </c>
      <c r="D154" s="142" t="n">
        <v>43006</v>
      </c>
      <c r="E154" s="19" t="n">
        <f aca="false">D154-C154</f>
        <v>31</v>
      </c>
      <c r="F154" s="100" t="n">
        <f aca="false">TRUNC(E154/30,0)</f>
        <v>1</v>
      </c>
      <c r="G154" s="189" t="s">
        <v>99</v>
      </c>
      <c r="H154" s="146" t="n">
        <v>130</v>
      </c>
      <c r="I154" s="147"/>
      <c r="J154" s="148"/>
      <c r="K154" s="149"/>
      <c r="L154" s="152" t="n">
        <v>0.0117778</v>
      </c>
      <c r="M154" s="151"/>
      <c r="N154" s="152" t="n">
        <v>0.0124</v>
      </c>
      <c r="O154" s="151"/>
      <c r="P154" s="152"/>
      <c r="Q154" s="152"/>
      <c r="R154" s="152"/>
      <c r="S154" s="152"/>
      <c r="T154" s="153" t="n">
        <v>0.003066</v>
      </c>
      <c r="U154" s="152"/>
      <c r="V154" s="152" t="n">
        <v>0.0033</v>
      </c>
      <c r="W154" s="152"/>
      <c r="X154" s="152"/>
      <c r="Y154" s="152" t="n">
        <v>0.001</v>
      </c>
      <c r="Z154" s="152"/>
      <c r="AA154" s="152"/>
      <c r="AB154" s="152" t="n">
        <f aca="false">N154-V154-Y154</f>
        <v>0.0081</v>
      </c>
      <c r="AC154" s="260" t="n">
        <v>0.0085</v>
      </c>
      <c r="AD154" s="156" t="n">
        <f aca="false">IF(T154="","",T154)</f>
        <v>0.003066</v>
      </c>
      <c r="AE154" s="153"/>
      <c r="AF154" s="494"/>
      <c r="AH154" s="19" t="str">
        <f aca="false">IF(AF154="","N","Y")</f>
        <v>N</v>
      </c>
      <c r="AI154" s="63" t="s">
        <v>145</v>
      </c>
      <c r="AJ154" s="63" t="s">
        <v>149</v>
      </c>
      <c r="AK154" s="19"/>
      <c r="AL154" s="63" t="s">
        <v>147</v>
      </c>
    </row>
    <row r="155" customFormat="false" ht="16.5" hidden="false" customHeight="true" outlineLevel="0" collapsed="false">
      <c r="A155" s="19" t="n">
        <v>99</v>
      </c>
      <c r="B155" s="141" t="n">
        <v>42975</v>
      </c>
      <c r="C155" s="142" t="n">
        <v>42976</v>
      </c>
      <c r="D155" s="142" t="n">
        <v>43068</v>
      </c>
      <c r="E155" s="19" t="n">
        <f aca="false">D155-C155</f>
        <v>92</v>
      </c>
      <c r="F155" s="100" t="n">
        <f aca="false">TRUNC(E155/30,0)</f>
        <v>3</v>
      </c>
      <c r="G155" s="183" t="s">
        <v>95</v>
      </c>
      <c r="H155" s="146" t="n">
        <v>1</v>
      </c>
      <c r="I155" s="147"/>
      <c r="J155" s="148"/>
      <c r="K155" s="149"/>
      <c r="L155" s="152" t="n">
        <v>0.0131778</v>
      </c>
      <c r="M155" s="151"/>
      <c r="N155" s="152" t="n">
        <f aca="false">AVERAGE(0.0183,0.0182)</f>
        <v>0.01825</v>
      </c>
      <c r="O155" s="151"/>
      <c r="P155" s="152"/>
      <c r="Q155" s="152"/>
      <c r="R155" s="152"/>
      <c r="S155" s="152"/>
      <c r="T155" s="153" t="n">
        <v>0.008788</v>
      </c>
      <c r="U155" s="152"/>
      <c r="V155" s="152" t="n">
        <v>0.002</v>
      </c>
      <c r="W155" s="152"/>
      <c r="X155" s="152"/>
      <c r="Y155" s="152" t="n">
        <v>0.002</v>
      </c>
      <c r="Z155" s="152"/>
      <c r="AA155" s="152"/>
      <c r="AB155" s="152" t="n">
        <f aca="false">N155-V155-Y155</f>
        <v>0.01425</v>
      </c>
      <c r="AC155" s="260" t="n">
        <v>0.0127</v>
      </c>
      <c r="AD155" s="156" t="n">
        <f aca="false">IF(T155="","",T155)</f>
        <v>0.008788</v>
      </c>
      <c r="AE155" s="153"/>
      <c r="AF155" s="494"/>
      <c r="AH155" s="19" t="str">
        <f aca="false">IF(AF155="","N","Y")</f>
        <v>N</v>
      </c>
      <c r="AI155" s="63" t="s">
        <v>150</v>
      </c>
      <c r="AJ155" s="63" t="s">
        <v>151</v>
      </c>
      <c r="AK155" s="19"/>
      <c r="AL155" s="63" t="s">
        <v>152</v>
      </c>
    </row>
    <row r="156" customFormat="false" ht="16.5" hidden="false" customHeight="true" outlineLevel="0" collapsed="false">
      <c r="A156" s="19" t="n">
        <v>100</v>
      </c>
      <c r="B156" s="141" t="n">
        <v>42978</v>
      </c>
      <c r="C156" s="142" t="n">
        <v>42978</v>
      </c>
      <c r="D156" s="142" t="n">
        <v>43008</v>
      </c>
      <c r="E156" s="19" t="n">
        <f aca="false">D156-C156</f>
        <v>30</v>
      </c>
      <c r="F156" s="100" t="n">
        <f aca="false">TRUNC(E156/30,0)</f>
        <v>1</v>
      </c>
      <c r="G156" s="189" t="s">
        <v>99</v>
      </c>
      <c r="H156" s="146" t="n">
        <v>10</v>
      </c>
      <c r="I156" s="147"/>
      <c r="J156" s="148"/>
      <c r="K156" s="149"/>
      <c r="L156" s="152" t="n">
        <v>0.0117778</v>
      </c>
      <c r="M156" s="151"/>
      <c r="N156" s="152" t="n">
        <v>0.0124</v>
      </c>
      <c r="O156" s="151"/>
      <c r="P156" s="152"/>
      <c r="Q156" s="152"/>
      <c r="R156" s="152"/>
      <c r="S156" s="152"/>
      <c r="T156" s="153" t="n">
        <v>0.003113</v>
      </c>
      <c r="U156" s="152"/>
      <c r="V156" s="152" t="n">
        <v>0.0033</v>
      </c>
      <c r="W156" s="152"/>
      <c r="X156" s="152"/>
      <c r="Y156" s="152" t="n">
        <v>0.002</v>
      </c>
      <c r="Z156" s="152"/>
      <c r="AA156" s="152"/>
      <c r="AB156" s="152" t="n">
        <f aca="false">N156-V156-Y156</f>
        <v>0.0071</v>
      </c>
      <c r="AC156" s="260" t="n">
        <v>0.0075</v>
      </c>
      <c r="AD156" s="156" t="n">
        <f aca="false">IF(T156="","",T156)</f>
        <v>0.003113</v>
      </c>
      <c r="AE156" s="153"/>
      <c r="AF156" s="494"/>
      <c r="AH156" s="19" t="str">
        <f aca="false">IF(AF156="","N","Y")</f>
        <v>N</v>
      </c>
      <c r="AI156" s="63" t="s">
        <v>103</v>
      </c>
      <c r="AJ156" s="63" t="s">
        <v>153</v>
      </c>
      <c r="AK156" s="19"/>
      <c r="AL156" s="63" t="s">
        <v>148</v>
      </c>
    </row>
    <row r="157" customFormat="false" ht="15.75" hidden="false" customHeight="true" outlineLevel="0" collapsed="false">
      <c r="A157" s="19" t="n">
        <v>101</v>
      </c>
      <c r="B157" s="141" t="n">
        <v>42982</v>
      </c>
      <c r="C157" s="142" t="n">
        <v>42982</v>
      </c>
      <c r="D157" s="142" t="n">
        <v>43018</v>
      </c>
      <c r="E157" s="19" t="n">
        <f aca="false">D157-C157</f>
        <v>36</v>
      </c>
      <c r="F157" s="100" t="n">
        <f aca="false">TRUNC(E157/30,0)</f>
        <v>1</v>
      </c>
      <c r="G157" s="183" t="s">
        <v>95</v>
      </c>
      <c r="H157" s="146" t="n">
        <v>5.3</v>
      </c>
      <c r="I157" s="147"/>
      <c r="J157" s="148"/>
      <c r="K157" s="149"/>
      <c r="L157" s="152" t="n">
        <v>0.0123056</v>
      </c>
      <c r="M157" s="151"/>
      <c r="N157" s="152" t="n">
        <f aca="false">AVERAGE(0.0138)</f>
        <v>0.0138</v>
      </c>
      <c r="O157" s="151"/>
      <c r="P157" s="152"/>
      <c r="Q157" s="152"/>
      <c r="R157" s="152"/>
      <c r="S157" s="152"/>
      <c r="T157" s="153" t="n">
        <v>0.006734</v>
      </c>
      <c r="U157" s="152"/>
      <c r="V157" s="152" t="n">
        <v>0.002</v>
      </c>
      <c r="W157" s="152"/>
      <c r="X157" s="152"/>
      <c r="Y157" s="152" t="n">
        <v>0.002</v>
      </c>
      <c r="Z157" s="152"/>
      <c r="AA157" s="152"/>
      <c r="AB157" s="152" t="n">
        <f aca="false">N157-V157-Y157</f>
        <v>0.0098</v>
      </c>
      <c r="AC157" s="260" t="n">
        <v>0.006734</v>
      </c>
      <c r="AD157" s="156" t="n">
        <f aca="false">IF(T157="","",T157)</f>
        <v>0.006734</v>
      </c>
      <c r="AE157" s="153"/>
      <c r="AF157" s="494"/>
      <c r="AH157" s="19" t="str">
        <f aca="false">IF(AF157="","N","Y")</f>
        <v>N</v>
      </c>
      <c r="AI157" s="63" t="s">
        <v>103</v>
      </c>
      <c r="AJ157" s="63" t="s">
        <v>104</v>
      </c>
      <c r="AK157" s="19"/>
      <c r="AL157" s="63" t="s">
        <v>141</v>
      </c>
    </row>
    <row r="158" customFormat="false" ht="16.5" hidden="false" customHeight="true" outlineLevel="0" collapsed="false">
      <c r="A158" s="19" t="n">
        <v>102</v>
      </c>
      <c r="B158" s="141" t="n">
        <v>42985</v>
      </c>
      <c r="C158" s="142" t="n">
        <v>42985</v>
      </c>
      <c r="D158" s="142" t="n">
        <v>42996</v>
      </c>
      <c r="E158" s="19" t="n">
        <f aca="false">D158-C158</f>
        <v>11</v>
      </c>
      <c r="F158" s="100" t="n">
        <f aca="false">TRUNC(E158/30,0)</f>
        <v>0</v>
      </c>
      <c r="G158" s="183" t="s">
        <v>95</v>
      </c>
      <c r="H158" s="146" t="n">
        <v>50</v>
      </c>
      <c r="I158" s="147"/>
      <c r="J158" s="148"/>
      <c r="K158" s="149"/>
      <c r="L158" s="152" t="n">
        <v>0.01195</v>
      </c>
      <c r="M158" s="151"/>
      <c r="N158" s="152" t="n">
        <v>0.0135</v>
      </c>
      <c r="O158" s="151"/>
      <c r="P158" s="152"/>
      <c r="Q158" s="152"/>
      <c r="R158" s="152"/>
      <c r="S158" s="152"/>
      <c r="T158" s="153" t="n">
        <v>0.005051</v>
      </c>
      <c r="U158" s="152"/>
      <c r="V158" s="152" t="n">
        <v>0.002</v>
      </c>
      <c r="W158" s="152"/>
      <c r="X158" s="152"/>
      <c r="Y158" s="152" t="n">
        <v>0.002</v>
      </c>
      <c r="Z158" s="152"/>
      <c r="AA158" s="152"/>
      <c r="AB158" s="152" t="n">
        <f aca="false">N158-V158-Y158</f>
        <v>0.0095</v>
      </c>
      <c r="AC158" s="260" t="n">
        <v>0.008</v>
      </c>
      <c r="AD158" s="156" t="n">
        <f aca="false">IF(T158="","",T158)</f>
        <v>0.005051</v>
      </c>
      <c r="AE158" s="153"/>
      <c r="AF158" s="494"/>
      <c r="AH158" s="19" t="str">
        <f aca="false">IF(AF158="","N","Y")</f>
        <v>N</v>
      </c>
      <c r="AI158" s="63" t="s">
        <v>96</v>
      </c>
      <c r="AJ158" s="63" t="s">
        <v>97</v>
      </c>
      <c r="AK158" s="19"/>
      <c r="AL158" s="63" t="s">
        <v>98</v>
      </c>
    </row>
    <row r="159" customFormat="false" ht="16.5" hidden="false" customHeight="true" outlineLevel="0" collapsed="false">
      <c r="A159" s="19" t="n">
        <v>103</v>
      </c>
      <c r="B159" s="141" t="n">
        <v>42990</v>
      </c>
      <c r="C159" s="142" t="n">
        <v>42990</v>
      </c>
      <c r="D159" s="142" t="n">
        <v>43005</v>
      </c>
      <c r="E159" s="19" t="n">
        <f aca="false">D159-C159</f>
        <v>15</v>
      </c>
      <c r="F159" s="100" t="n">
        <f aca="false">TRUNC(E159/30,0)</f>
        <v>0</v>
      </c>
      <c r="G159" s="183" t="s">
        <v>95</v>
      </c>
      <c r="H159" s="146" t="n">
        <v>60</v>
      </c>
      <c r="I159" s="147"/>
      <c r="J159" s="148"/>
      <c r="K159" s="149"/>
      <c r="L159" s="152" t="n">
        <v>0.0119667</v>
      </c>
      <c r="M159" s="151"/>
      <c r="N159" s="152" t="n">
        <v>0.0135</v>
      </c>
      <c r="O159" s="151"/>
      <c r="P159" s="152"/>
      <c r="Q159" s="152"/>
      <c r="R159" s="152"/>
      <c r="S159" s="152"/>
      <c r="T159" s="153" t="n">
        <v>0.005066</v>
      </c>
      <c r="U159" s="152"/>
      <c r="V159" s="152" t="n">
        <v>0.002</v>
      </c>
      <c r="W159" s="152"/>
      <c r="X159" s="152"/>
      <c r="Y159" s="152" t="n">
        <v>0.002</v>
      </c>
      <c r="Z159" s="152"/>
      <c r="AA159" s="152"/>
      <c r="AB159" s="152" t="n">
        <f aca="false">N159-V159-Y159</f>
        <v>0.0095</v>
      </c>
      <c r="AC159" s="260" t="n">
        <v>0.0095</v>
      </c>
      <c r="AD159" s="156" t="n">
        <f aca="false">IF(T159="","",T159)</f>
        <v>0.005066</v>
      </c>
      <c r="AE159" s="153"/>
      <c r="AF159" s="494"/>
      <c r="AH159" s="19" t="str">
        <f aca="false">IF(AF159="","N","Y")</f>
        <v>N</v>
      </c>
      <c r="AI159" s="63" t="s">
        <v>100</v>
      </c>
      <c r="AJ159" s="63" t="s">
        <v>101</v>
      </c>
      <c r="AK159" s="19"/>
      <c r="AL159" s="63" t="s">
        <v>102</v>
      </c>
    </row>
    <row r="160" customFormat="false" ht="16.5" hidden="false" customHeight="true" outlineLevel="0" collapsed="false">
      <c r="A160" s="19" t="n">
        <v>104</v>
      </c>
      <c r="B160" s="141" t="n">
        <v>42998</v>
      </c>
      <c r="C160" s="142" t="n">
        <v>42998</v>
      </c>
      <c r="D160" s="142" t="n">
        <v>43047</v>
      </c>
      <c r="E160" s="19" t="n">
        <f aca="false">D160-C160</f>
        <v>49</v>
      </c>
      <c r="F160" s="100" t="n">
        <f aca="false">TRUNC(E160/30,0)</f>
        <v>1</v>
      </c>
      <c r="G160" s="183" t="s">
        <v>95</v>
      </c>
      <c r="H160" s="146" t="n">
        <v>30</v>
      </c>
      <c r="I160" s="147"/>
      <c r="J160" s="148"/>
      <c r="K160" s="149"/>
      <c r="L160" s="152" t="n">
        <v>0.0123722</v>
      </c>
      <c r="M160" s="151"/>
      <c r="N160" s="152" t="n">
        <f aca="false">AVERAGE(0.019,0.0185,0.018)</f>
        <v>0.0185</v>
      </c>
      <c r="O160" s="151"/>
      <c r="P160" s="152"/>
      <c r="Q160" s="152"/>
      <c r="R160" s="152"/>
      <c r="S160" s="152"/>
      <c r="T160" s="153" t="n">
        <v>0.006799</v>
      </c>
      <c r="U160" s="152"/>
      <c r="V160" s="152" t="n">
        <v>0.002</v>
      </c>
      <c r="W160" s="152"/>
      <c r="X160" s="152"/>
      <c r="Y160" s="152" t="n">
        <v>0.002</v>
      </c>
      <c r="Z160" s="152"/>
      <c r="AA160" s="152"/>
      <c r="AB160" s="152" t="n">
        <f aca="false">N160-V160-Y160</f>
        <v>0.0145</v>
      </c>
      <c r="AC160" s="260" t="n">
        <v>0.0145</v>
      </c>
      <c r="AD160" s="156" t="n">
        <f aca="false">IF(T160="","",T160)</f>
        <v>0.006799</v>
      </c>
      <c r="AE160" s="153"/>
      <c r="AF160" s="494" t="n">
        <v>0.0136</v>
      </c>
      <c r="AH160" s="19" t="str">
        <f aca="false">IF(AF160="","N","Y")</f>
        <v>Y</v>
      </c>
      <c r="AI160" s="63" t="s">
        <v>100</v>
      </c>
      <c r="AJ160" s="63" t="s">
        <v>101</v>
      </c>
      <c r="AK160" s="19"/>
      <c r="AL160" s="63" t="s">
        <v>102</v>
      </c>
    </row>
    <row r="161" customFormat="false" ht="16.5" hidden="false" customHeight="true" outlineLevel="0" collapsed="false">
      <c r="A161" s="19" t="n">
        <v>105</v>
      </c>
      <c r="B161" s="141" t="n">
        <v>42998</v>
      </c>
      <c r="C161" s="9" t="n">
        <v>42998</v>
      </c>
      <c r="D161" s="142" t="n">
        <v>43039</v>
      </c>
      <c r="E161" s="19" t="n">
        <f aca="false">D161-C161</f>
        <v>41</v>
      </c>
      <c r="F161" s="100" t="n">
        <f aca="false">TRUNC(E161/30,0)</f>
        <v>1</v>
      </c>
      <c r="G161" s="189" t="s">
        <v>99</v>
      </c>
      <c r="H161" s="146" t="n">
        <v>110</v>
      </c>
      <c r="I161" s="147"/>
      <c r="J161" s="148"/>
      <c r="K161" s="149"/>
      <c r="L161" s="152" t="n">
        <v>0.0117889</v>
      </c>
      <c r="M161" s="151"/>
      <c r="N161" s="152" t="n">
        <v>0.0124</v>
      </c>
      <c r="O161" s="151"/>
      <c r="P161" s="152"/>
      <c r="Q161" s="152"/>
      <c r="R161" s="152"/>
      <c r="S161" s="152"/>
      <c r="T161" s="153" t="n">
        <v>0.003066</v>
      </c>
      <c r="U161" s="152"/>
      <c r="V161" s="152" t="n">
        <v>0.0033</v>
      </c>
      <c r="W161" s="152"/>
      <c r="X161" s="152"/>
      <c r="Y161" s="152" t="n">
        <v>0.002</v>
      </c>
      <c r="Z161" s="152"/>
      <c r="AA161" s="152"/>
      <c r="AB161" s="152" t="n">
        <f aca="false">N161-V161-Y161</f>
        <v>0.0071</v>
      </c>
      <c r="AC161" s="260" t="n">
        <v>0.0081</v>
      </c>
      <c r="AD161" s="156" t="n">
        <f aca="false">IF(T161="","",T161)</f>
        <v>0.003066</v>
      </c>
      <c r="AE161" s="153"/>
      <c r="AF161" s="494"/>
      <c r="AH161" s="19" t="str">
        <f aca="false">IF(AF161="","N","Y")</f>
        <v>N</v>
      </c>
      <c r="AI161" s="63" t="s">
        <v>96</v>
      </c>
      <c r="AJ161" s="63" t="s">
        <v>97</v>
      </c>
      <c r="AK161" s="19"/>
      <c r="AL161" s="63" t="s">
        <v>98</v>
      </c>
    </row>
    <row r="162" customFormat="false" ht="16.5" hidden="false" customHeight="true" outlineLevel="0" collapsed="false">
      <c r="A162" s="19" t="n">
        <v>106</v>
      </c>
      <c r="B162" s="141" t="n">
        <v>43003</v>
      </c>
      <c r="C162" s="142" t="n">
        <v>43003</v>
      </c>
      <c r="D162" s="142" t="n">
        <v>43033</v>
      </c>
      <c r="E162" s="19" t="n">
        <f aca="false">D162-C162</f>
        <v>30</v>
      </c>
      <c r="F162" s="100" t="n">
        <f aca="false">TRUNC(E162/30,0)</f>
        <v>1</v>
      </c>
      <c r="G162" s="189" t="s">
        <v>99</v>
      </c>
      <c r="H162" s="146" t="n">
        <v>13.2</v>
      </c>
      <c r="I162" s="147"/>
      <c r="J162" s="148"/>
      <c r="K162" s="149"/>
      <c r="L162" s="152" t="n">
        <v>0.0117889</v>
      </c>
      <c r="M162" s="151"/>
      <c r="N162" s="152" t="n">
        <v>0.0124</v>
      </c>
      <c r="O162" s="151"/>
      <c r="P162" s="152"/>
      <c r="Q162" s="152"/>
      <c r="R162" s="152"/>
      <c r="S162" s="152"/>
      <c r="T162" s="153" t="n">
        <v>0.003045</v>
      </c>
      <c r="U162" s="152"/>
      <c r="V162" s="152" t="n">
        <v>0.0033</v>
      </c>
      <c r="W162" s="152"/>
      <c r="X162" s="152"/>
      <c r="Y162" s="152" t="n">
        <v>0.002</v>
      </c>
      <c r="Z162" s="152"/>
      <c r="AA162" s="152"/>
      <c r="AB162" s="152" t="n">
        <f aca="false">N162-V162-Y162</f>
        <v>0.0071</v>
      </c>
      <c r="AC162" s="260" t="n">
        <v>0.0085</v>
      </c>
      <c r="AD162" s="156" t="n">
        <f aca="false">IF(T162="","",T162)</f>
        <v>0.003045</v>
      </c>
      <c r="AE162" s="153"/>
      <c r="AF162" s="494"/>
      <c r="AH162" s="19" t="str">
        <f aca="false">IF(AF162="","N","Y")</f>
        <v>N</v>
      </c>
      <c r="AI162" s="63" t="s">
        <v>145</v>
      </c>
      <c r="AJ162" s="63" t="s">
        <v>149</v>
      </c>
      <c r="AK162" s="19"/>
      <c r="AL162" s="63" t="s">
        <v>147</v>
      </c>
    </row>
    <row r="163" customFormat="false" ht="16.5" hidden="false" customHeight="true" outlineLevel="0" collapsed="false">
      <c r="A163" s="19" t="n">
        <v>107</v>
      </c>
      <c r="B163" s="141" t="n">
        <v>43004</v>
      </c>
      <c r="C163" s="142" t="n">
        <v>43004</v>
      </c>
      <c r="D163" s="142" t="n">
        <v>43095</v>
      </c>
      <c r="E163" s="19" t="n">
        <f aca="false">D163-C163</f>
        <v>91</v>
      </c>
      <c r="F163" s="100" t="n">
        <f aca="false">TRUNC(E163/30,0)</f>
        <v>3</v>
      </c>
      <c r="G163" s="183" t="s">
        <v>95</v>
      </c>
      <c r="H163" s="146" t="n">
        <v>260</v>
      </c>
      <c r="I163" s="147"/>
      <c r="J163" s="148"/>
      <c r="K163" s="149"/>
      <c r="L163" s="152" t="n">
        <v>0.0132972</v>
      </c>
      <c r="M163" s="151"/>
      <c r="N163" s="152" t="n">
        <f aca="false">AVERAGE(0.0199,0.0205,0.0195)</f>
        <v>0.0199666666666667</v>
      </c>
      <c r="O163" s="151"/>
      <c r="P163" s="152"/>
      <c r="Q163" s="152"/>
      <c r="R163" s="152"/>
      <c r="S163" s="152"/>
      <c r="T163" s="153" t="n">
        <v>0.008906</v>
      </c>
      <c r="U163" s="152"/>
      <c r="V163" s="152" t="n">
        <v>0.002</v>
      </c>
      <c r="W163" s="152"/>
      <c r="X163" s="152"/>
      <c r="Y163" s="152" t="n">
        <v>0.002</v>
      </c>
      <c r="Z163" s="152"/>
      <c r="AA163" s="152"/>
      <c r="AB163" s="152" t="n">
        <f aca="false">N163-V163-Y163</f>
        <v>0.0159666666666667</v>
      </c>
      <c r="AC163" s="260" t="n">
        <v>0.0159</v>
      </c>
      <c r="AD163" s="156" t="n">
        <f aca="false">IF(T163="","",T163)</f>
        <v>0.008906</v>
      </c>
      <c r="AE163" s="153"/>
      <c r="AF163" s="494"/>
      <c r="AH163" s="19" t="str">
        <f aca="false">IF(AF163="","N","Y")</f>
        <v>N</v>
      </c>
      <c r="AI163" s="63" t="s">
        <v>96</v>
      </c>
      <c r="AJ163" s="63" t="s">
        <v>97</v>
      </c>
      <c r="AK163" s="19"/>
      <c r="AL163" s="63" t="s">
        <v>98</v>
      </c>
    </row>
    <row r="164" customFormat="false" ht="16.5" hidden="false" customHeight="true" outlineLevel="0" collapsed="false">
      <c r="A164" s="19" t="n">
        <v>108</v>
      </c>
      <c r="B164" s="141" t="n">
        <v>43005</v>
      </c>
      <c r="C164" s="142" t="n">
        <v>43005</v>
      </c>
      <c r="D164" s="142" t="n">
        <v>43026</v>
      </c>
      <c r="E164" s="19" t="n">
        <f aca="false">D164-C164</f>
        <v>21</v>
      </c>
      <c r="F164" s="100" t="n">
        <f aca="false">TRUNC(E164/30,0)</f>
        <v>0</v>
      </c>
      <c r="G164" s="183" t="s">
        <v>95</v>
      </c>
      <c r="H164" s="146" t="n">
        <v>20</v>
      </c>
      <c r="I164" s="147"/>
      <c r="J164" s="148"/>
      <c r="K164" s="149"/>
      <c r="L164" s="152" t="n">
        <v>0.0119556</v>
      </c>
      <c r="M164" s="151"/>
      <c r="N164" s="152" t="n">
        <f aca="false">AVERAGE(0.019,0.0165,0.018)</f>
        <v>0.0178333333333333</v>
      </c>
      <c r="O164" s="151"/>
      <c r="P164" s="152"/>
      <c r="Q164" s="152"/>
      <c r="R164" s="152"/>
      <c r="S164" s="152"/>
      <c r="T164" s="153" t="n">
        <v>0.005056</v>
      </c>
      <c r="U164" s="152"/>
      <c r="V164" s="152" t="n">
        <v>0.002</v>
      </c>
      <c r="W164" s="152"/>
      <c r="X164" s="152"/>
      <c r="Y164" s="152" t="n">
        <v>0.002</v>
      </c>
      <c r="Z164" s="152"/>
      <c r="AA164" s="152"/>
      <c r="AB164" s="152" t="n">
        <f aca="false">N164-V164-Y164</f>
        <v>0.0138333333333333</v>
      </c>
      <c r="AC164" s="260" t="n">
        <v>0.0135</v>
      </c>
      <c r="AD164" s="156" t="n">
        <f aca="false">IF(T164="","",T164)</f>
        <v>0.005056</v>
      </c>
      <c r="AE164" s="153"/>
      <c r="AF164" s="494"/>
      <c r="AH164" s="19" t="str">
        <f aca="false">IF(AF164="","N","Y")</f>
        <v>N</v>
      </c>
      <c r="AI164" s="63" t="s">
        <v>100</v>
      </c>
      <c r="AJ164" s="63" t="s">
        <v>101</v>
      </c>
      <c r="AK164" s="19"/>
      <c r="AL164" s="63" t="s">
        <v>102</v>
      </c>
    </row>
    <row r="165" customFormat="false" ht="16.5" hidden="false" customHeight="true" outlineLevel="0" collapsed="false">
      <c r="A165" s="19" t="n">
        <v>109</v>
      </c>
      <c r="B165" s="141" t="n">
        <v>43005</v>
      </c>
      <c r="C165" s="142" t="n">
        <v>43005</v>
      </c>
      <c r="D165" s="142" t="n">
        <v>43049</v>
      </c>
      <c r="E165" s="19" t="n">
        <f aca="false">D165-C165</f>
        <v>44</v>
      </c>
      <c r="F165" s="100" t="n">
        <f aca="false">TRUNC(E165/30,0)</f>
        <v>1</v>
      </c>
      <c r="G165" s="183" t="s">
        <v>95</v>
      </c>
      <c r="H165" s="146" t="n">
        <v>100</v>
      </c>
      <c r="I165" s="147"/>
      <c r="J165" s="148"/>
      <c r="K165" s="149"/>
      <c r="L165" s="152" t="n">
        <v>0.0123444</v>
      </c>
      <c r="M165" s="151"/>
      <c r="N165" s="152" t="n">
        <f aca="false">AVERAGE(0.0187,0.0192,0.019)</f>
        <v>0.0189666666666667</v>
      </c>
      <c r="O165" s="151"/>
      <c r="P165" s="152"/>
      <c r="Q165" s="152"/>
      <c r="R165" s="152"/>
      <c r="S165" s="152"/>
      <c r="T165" s="153" t="n">
        <v>0.006772</v>
      </c>
      <c r="U165" s="152"/>
      <c r="V165" s="152" t="n">
        <v>0.002</v>
      </c>
      <c r="W165" s="152"/>
      <c r="X165" s="152"/>
      <c r="Y165" s="152" t="n">
        <v>0.002</v>
      </c>
      <c r="Z165" s="152"/>
      <c r="AA165" s="152"/>
      <c r="AB165" s="152" t="n">
        <f aca="false">N165-V165-Y165</f>
        <v>0.0149666666666667</v>
      </c>
      <c r="AC165" s="260" t="n">
        <v>0.0145</v>
      </c>
      <c r="AD165" s="156" t="n">
        <f aca="false">IF(T165="","",T165)</f>
        <v>0.006772</v>
      </c>
      <c r="AE165" s="153"/>
      <c r="AF165" s="494" t="n">
        <v>0.0139</v>
      </c>
      <c r="AH165" s="19" t="str">
        <f aca="false">IF(AF165="","N","Y")</f>
        <v>Y</v>
      </c>
      <c r="AI165" s="63" t="s">
        <v>100</v>
      </c>
      <c r="AJ165" s="63" t="s">
        <v>101</v>
      </c>
      <c r="AK165" s="19"/>
      <c r="AL165" s="63" t="s">
        <v>102</v>
      </c>
    </row>
    <row r="166" customFormat="false" ht="16.5" hidden="false" customHeight="true" outlineLevel="0" collapsed="false">
      <c r="A166" s="19" t="n">
        <v>110</v>
      </c>
      <c r="B166" s="141" t="n">
        <v>43007</v>
      </c>
      <c r="C166" s="142" t="n">
        <v>43007</v>
      </c>
      <c r="D166" s="142" t="n">
        <v>43047</v>
      </c>
      <c r="E166" s="19" t="n">
        <f aca="false">D166-C166</f>
        <v>40</v>
      </c>
      <c r="F166" s="100" t="n">
        <f aca="false">TRUNC(E166/30,0)</f>
        <v>1</v>
      </c>
      <c r="G166" s="183" t="s">
        <v>95</v>
      </c>
      <c r="H166" s="146" t="n">
        <v>40</v>
      </c>
      <c r="I166" s="147"/>
      <c r="J166" s="148"/>
      <c r="K166" s="149"/>
      <c r="L166" s="152" t="n">
        <v>0.01235</v>
      </c>
      <c r="M166" s="151"/>
      <c r="N166" s="152" t="n">
        <f aca="false">AVERAGE(0.0155,0.0185,0.018,0.015)</f>
        <v>0.01675</v>
      </c>
      <c r="O166" s="151"/>
      <c r="P166" s="152"/>
      <c r="Q166" s="152"/>
      <c r="R166" s="152"/>
      <c r="S166" s="152"/>
      <c r="T166" s="153" t="n">
        <v>0.006778</v>
      </c>
      <c r="U166" s="152"/>
      <c r="V166" s="152" t="n">
        <v>0.002</v>
      </c>
      <c r="W166" s="152"/>
      <c r="X166" s="152"/>
      <c r="Y166" s="152" t="n">
        <v>0.002</v>
      </c>
      <c r="Z166" s="152"/>
      <c r="AA166" s="152"/>
      <c r="AB166" s="152" t="n">
        <f aca="false">N166-V166-Y166</f>
        <v>0.01275</v>
      </c>
      <c r="AC166" s="260" t="n">
        <v>0.0127</v>
      </c>
      <c r="AD166" s="156" t="n">
        <f aca="false">IF(T166="","",T166)</f>
        <v>0.006778</v>
      </c>
      <c r="AE166" s="153"/>
      <c r="AF166" s="494" t="n">
        <v>0.0127</v>
      </c>
      <c r="AH166" s="19" t="str">
        <f aca="false">IF(AF166="","N","Y")</f>
        <v>Y</v>
      </c>
      <c r="AI166" s="63" t="s">
        <v>100</v>
      </c>
      <c r="AJ166" s="63" t="s">
        <v>101</v>
      </c>
      <c r="AK166" s="19"/>
      <c r="AL166" s="63" t="s">
        <v>102</v>
      </c>
    </row>
    <row r="167" customFormat="false" ht="16.5" hidden="false" customHeight="true" outlineLevel="0" collapsed="false">
      <c r="A167" s="19" t="n">
        <v>111</v>
      </c>
      <c r="B167" s="141" t="n">
        <v>43019</v>
      </c>
      <c r="C167" s="142" t="n">
        <v>43019</v>
      </c>
      <c r="D167" s="142" t="n">
        <v>43052</v>
      </c>
      <c r="E167" s="19" t="n">
        <f aca="false">D167-C167</f>
        <v>33</v>
      </c>
      <c r="F167" s="100" t="n">
        <f aca="false">TRUNC(E167/30,0)</f>
        <v>1</v>
      </c>
      <c r="G167" s="189" t="s">
        <v>99</v>
      </c>
      <c r="H167" s="146" t="n">
        <v>60</v>
      </c>
      <c r="I167" s="147"/>
      <c r="J167" s="148"/>
      <c r="K167" s="149"/>
      <c r="L167" s="152" t="n">
        <v>0.011867</v>
      </c>
      <c r="M167" s="151"/>
      <c r="N167" s="152" t="n">
        <v>0.0125</v>
      </c>
      <c r="O167" s="151"/>
      <c r="P167" s="152"/>
      <c r="Q167" s="152"/>
      <c r="R167" s="152"/>
      <c r="S167" s="152"/>
      <c r="T167" s="153" t="n">
        <v>0.003144</v>
      </c>
      <c r="U167" s="152"/>
      <c r="V167" s="152" t="n">
        <v>0.0033</v>
      </c>
      <c r="W167" s="152"/>
      <c r="X167" s="152"/>
      <c r="Y167" s="152" t="n">
        <v>0.002</v>
      </c>
      <c r="Z167" s="152"/>
      <c r="AA167" s="152"/>
      <c r="AB167" s="152" t="n">
        <f aca="false">N167-V167-Y167</f>
        <v>0.0072</v>
      </c>
      <c r="AC167" s="260" t="n">
        <v>0.0085</v>
      </c>
      <c r="AD167" s="156" t="n">
        <f aca="false">IF(T167="","",T167)</f>
        <v>0.003144</v>
      </c>
      <c r="AE167" s="153"/>
      <c r="AF167" s="494"/>
      <c r="AH167" s="19" t="str">
        <f aca="false">IF(AF167="","N","Y")</f>
        <v>N</v>
      </c>
      <c r="AI167" s="63" t="s">
        <v>145</v>
      </c>
      <c r="AJ167" s="63" t="s">
        <v>149</v>
      </c>
      <c r="AK167" s="19"/>
      <c r="AL167" s="63" t="s">
        <v>147</v>
      </c>
    </row>
    <row r="168" customFormat="false" ht="16.5" hidden="false" customHeight="true" outlineLevel="0" collapsed="false">
      <c r="A168" s="19" t="n">
        <v>112</v>
      </c>
      <c r="B168" s="141" t="n">
        <v>43021</v>
      </c>
      <c r="C168" s="142" t="n">
        <v>43031</v>
      </c>
      <c r="D168" s="142" t="n">
        <v>43396</v>
      </c>
      <c r="E168" s="19" t="n">
        <f aca="false">D168-C168</f>
        <v>365</v>
      </c>
      <c r="F168" s="100" t="n">
        <f aca="false">TRUNC(E168/30,0)</f>
        <v>12</v>
      </c>
      <c r="G168" s="183" t="s">
        <v>95</v>
      </c>
      <c r="H168" s="146" t="n">
        <v>8.5</v>
      </c>
      <c r="I168" s="147"/>
      <c r="J168" s="148"/>
      <c r="K168" s="149"/>
      <c r="L168" s="152" t="n">
        <v>0.0180844</v>
      </c>
      <c r="M168" s="151"/>
      <c r="N168" s="152" t="n">
        <f aca="false">AVERAGE(0.019,0.0205,0.0203)</f>
        <v>0.0199333333333333</v>
      </c>
      <c r="O168" s="151"/>
      <c r="P168" s="152"/>
      <c r="Q168" s="152"/>
      <c r="R168" s="152"/>
      <c r="S168" s="152"/>
      <c r="T168" s="153" t="n">
        <v>0.012741</v>
      </c>
      <c r="U168" s="152"/>
      <c r="V168" s="152" t="n">
        <v>0.002</v>
      </c>
      <c r="W168" s="152"/>
      <c r="X168" s="152"/>
      <c r="Y168" s="152" t="n">
        <v>0.002</v>
      </c>
      <c r="Z168" s="152"/>
      <c r="AA168" s="152"/>
      <c r="AB168" s="152" t="n">
        <f aca="false">N168-V168-Y168</f>
        <v>0.0159333333333333</v>
      </c>
      <c r="AC168" s="260" t="n">
        <v>0.0175</v>
      </c>
      <c r="AD168" s="156" t="n">
        <f aca="false">IF(T168="","",T168)</f>
        <v>0.012741</v>
      </c>
      <c r="AE168" s="153"/>
      <c r="AF168" s="494"/>
      <c r="AH168" s="19" t="str">
        <f aca="false">IF(AF168="","N","Y")</f>
        <v>N</v>
      </c>
      <c r="AI168" s="63" t="s">
        <v>103</v>
      </c>
      <c r="AJ168" s="63" t="s">
        <v>154</v>
      </c>
      <c r="AK168" s="19"/>
      <c r="AL168" s="63" t="s">
        <v>155</v>
      </c>
    </row>
    <row r="169" customFormat="false" ht="16.5" hidden="false" customHeight="true" outlineLevel="0" collapsed="false">
      <c r="A169" s="19" t="n">
        <v>113</v>
      </c>
      <c r="B169" s="141" t="n">
        <v>43027</v>
      </c>
      <c r="C169" s="142" t="n">
        <v>43027</v>
      </c>
      <c r="D169" s="142"/>
      <c r="E169" s="19"/>
      <c r="F169" s="100" t="n">
        <f aca="false">TRUNC(E169/30,0)</f>
        <v>0</v>
      </c>
      <c r="G169" s="189" t="s">
        <v>99</v>
      </c>
      <c r="H169" s="978" t="s">
        <v>158</v>
      </c>
      <c r="I169" s="147"/>
      <c r="J169" s="148"/>
      <c r="K169" s="149"/>
      <c r="L169" s="152" t="n">
        <v>0.011867</v>
      </c>
      <c r="M169" s="151"/>
      <c r="N169" s="152" t="n">
        <v>0.0125</v>
      </c>
      <c r="O169" s="151"/>
      <c r="P169" s="152"/>
      <c r="Q169" s="152"/>
      <c r="R169" s="152"/>
      <c r="S169" s="152"/>
      <c r="T169" s="153" t="n">
        <v>0.003144</v>
      </c>
      <c r="U169" s="152"/>
      <c r="V169" s="152" t="n">
        <v>0.0033</v>
      </c>
      <c r="W169" s="152"/>
      <c r="X169" s="152"/>
      <c r="Y169" s="152" t="n">
        <v>0.002</v>
      </c>
      <c r="Z169" s="152"/>
      <c r="AA169" s="152"/>
      <c r="AB169" s="152" t="n">
        <f aca="false">N169-V169-Y169</f>
        <v>0.0072</v>
      </c>
      <c r="AC169" s="260" t="n">
        <v>0.0085</v>
      </c>
      <c r="AD169" s="156" t="n">
        <f aca="false">IF(T169="","",T169)</f>
        <v>0.003144</v>
      </c>
      <c r="AE169" s="153"/>
      <c r="AF169" s="494"/>
      <c r="AH169" s="19" t="str">
        <f aca="false">IF(AF169="","N","Y")</f>
        <v>N</v>
      </c>
      <c r="AI169" s="63" t="s">
        <v>156</v>
      </c>
      <c r="AJ169" s="63" t="s">
        <v>157</v>
      </c>
      <c r="AK169" s="19"/>
      <c r="AL169" s="19" t="n">
        <v>2943</v>
      </c>
    </row>
    <row r="170" customFormat="false" ht="16.5" hidden="false" customHeight="true" outlineLevel="0" collapsed="false">
      <c r="A170" s="19" t="n">
        <v>114</v>
      </c>
      <c r="B170" s="141" t="n">
        <v>43028</v>
      </c>
      <c r="C170" s="9" t="n">
        <v>43028</v>
      </c>
      <c r="D170" s="142" t="n">
        <v>43059</v>
      </c>
      <c r="E170" s="19" t="n">
        <f aca="false">D170-C170</f>
        <v>31</v>
      </c>
      <c r="F170" s="100" t="n">
        <f aca="false">TRUNC(E170/30,0)</f>
        <v>1</v>
      </c>
      <c r="G170" s="189" t="s">
        <v>99</v>
      </c>
      <c r="H170" s="146" t="n">
        <v>10</v>
      </c>
      <c r="I170" s="147"/>
      <c r="J170" s="148"/>
      <c r="K170" s="149"/>
      <c r="L170" s="152" t="n">
        <v>0.01185</v>
      </c>
      <c r="M170" s="151"/>
      <c r="N170" s="152" t="n">
        <v>0.0124</v>
      </c>
      <c r="O170" s="151"/>
      <c r="P170" s="152"/>
      <c r="Q170" s="152"/>
      <c r="R170" s="152"/>
      <c r="S170" s="152"/>
      <c r="T170" s="153" t="n">
        <v>0.003149</v>
      </c>
      <c r="U170" s="152"/>
      <c r="V170" s="152" t="n">
        <v>0.0033</v>
      </c>
      <c r="W170" s="152"/>
      <c r="X170" s="152"/>
      <c r="Y170" s="152" t="n">
        <v>0.002</v>
      </c>
      <c r="Z170" s="152"/>
      <c r="AA170" s="152"/>
      <c r="AB170" s="152" t="n">
        <f aca="false">N170-V170-Y170</f>
        <v>0.0071</v>
      </c>
      <c r="AC170" s="260" t="n">
        <v>0.0085</v>
      </c>
      <c r="AD170" s="156" t="n">
        <f aca="false">IF(T170="","",T170)</f>
        <v>0.003149</v>
      </c>
      <c r="AE170" s="153"/>
      <c r="AF170" s="494" t="n">
        <v>0.0078</v>
      </c>
      <c r="AH170" s="19" t="str">
        <f aca="false">IF(AF170="","N","Y")</f>
        <v>Y</v>
      </c>
      <c r="AI170" s="63" t="s">
        <v>96</v>
      </c>
      <c r="AJ170" s="63" t="s">
        <v>97</v>
      </c>
      <c r="AK170" s="19"/>
      <c r="AL170" s="63" t="s">
        <v>137</v>
      </c>
    </row>
    <row r="171" customFormat="false" ht="16.5" hidden="false" customHeight="true" outlineLevel="0" collapsed="false">
      <c r="A171" s="19" t="n">
        <v>115</v>
      </c>
      <c r="B171" s="141" t="n">
        <v>43031</v>
      </c>
      <c r="C171" s="142" t="n">
        <v>43049</v>
      </c>
      <c r="D171" s="142" t="n">
        <v>43141</v>
      </c>
      <c r="E171" s="19" t="n">
        <f aca="false">D171-C171</f>
        <v>92</v>
      </c>
      <c r="F171" s="100" t="n">
        <f aca="false">TRUNC(E171/30,0)</f>
        <v>3</v>
      </c>
      <c r="G171" s="183" t="s">
        <v>95</v>
      </c>
      <c r="H171" s="146" t="n">
        <v>1</v>
      </c>
      <c r="I171" s="147"/>
      <c r="J171" s="148"/>
      <c r="K171" s="149"/>
      <c r="L171" s="152" t="n">
        <v>0.0136476</v>
      </c>
      <c r="M171" s="151"/>
      <c r="N171" s="152" t="n">
        <f aca="false">AVERAGE(0.0199,0.0205,0.0195)</f>
        <v>0.0199666666666667</v>
      </c>
      <c r="O171" s="151"/>
      <c r="P171" s="152"/>
      <c r="Q171" s="152"/>
      <c r="R171" s="152"/>
      <c r="S171" s="152"/>
      <c r="T171" s="153" t="n">
        <v>0.009249</v>
      </c>
      <c r="U171" s="152"/>
      <c r="V171" s="152" t="n">
        <v>0.002</v>
      </c>
      <c r="W171" s="152"/>
      <c r="X171" s="152"/>
      <c r="Y171" s="152" t="n">
        <v>0.002</v>
      </c>
      <c r="Z171" s="152"/>
      <c r="AA171" s="152"/>
      <c r="AB171" s="152" t="n">
        <f aca="false">N171-V171-Y171</f>
        <v>0.0159666666666667</v>
      </c>
      <c r="AC171" s="260" t="n">
        <v>0.014</v>
      </c>
      <c r="AD171" s="156" t="n">
        <f aca="false">IF(T171="","",T171)</f>
        <v>0.009249</v>
      </c>
      <c r="AE171" s="153"/>
      <c r="AF171" s="494"/>
      <c r="AH171" s="19" t="str">
        <f aca="false">IF(AF171="","N","Y")</f>
        <v>N</v>
      </c>
      <c r="AI171" s="63" t="s">
        <v>156</v>
      </c>
      <c r="AJ171" s="63" t="s">
        <v>159</v>
      </c>
      <c r="AK171" s="19"/>
      <c r="AL171" s="63" t="s">
        <v>160</v>
      </c>
    </row>
    <row r="172" customFormat="false" ht="16.5" hidden="false" customHeight="true" outlineLevel="0" collapsed="false">
      <c r="A172" s="19" t="n">
        <v>116</v>
      </c>
      <c r="B172" s="141" t="n">
        <v>43031</v>
      </c>
      <c r="C172" s="142" t="n">
        <v>43049</v>
      </c>
      <c r="D172" s="142" t="n">
        <v>43414</v>
      </c>
      <c r="E172" s="19" t="n">
        <f aca="false">D172-C172</f>
        <v>365</v>
      </c>
      <c r="F172" s="100" t="n">
        <f aca="false">TRUNC(E172/30,0)</f>
        <v>12</v>
      </c>
      <c r="G172" s="183" t="s">
        <v>95</v>
      </c>
      <c r="H172" s="146" t="n">
        <v>1</v>
      </c>
      <c r="I172" s="147"/>
      <c r="J172" s="148"/>
      <c r="K172" s="149"/>
      <c r="L172" s="152" t="n">
        <v>0.0183122</v>
      </c>
      <c r="M172" s="151"/>
      <c r="N172" s="152" t="n">
        <f aca="false">AVERAGE(0.019,0.0205,0.0203)</f>
        <v>0.0199333333333333</v>
      </c>
      <c r="O172" s="151"/>
      <c r="P172" s="152"/>
      <c r="Q172" s="152"/>
      <c r="R172" s="152"/>
      <c r="S172" s="152"/>
      <c r="T172" s="153" t="n">
        <v>0.011612</v>
      </c>
      <c r="U172" s="152"/>
      <c r="V172" s="152" t="n">
        <v>0.002</v>
      </c>
      <c r="W172" s="152"/>
      <c r="X172" s="152"/>
      <c r="Y172" s="152" t="n">
        <v>0.002</v>
      </c>
      <c r="Z172" s="152"/>
      <c r="AA172" s="152"/>
      <c r="AB172" s="152" t="n">
        <f aca="false">N172-V172-Y172</f>
        <v>0.0159333333333333</v>
      </c>
      <c r="AC172" s="260" t="n">
        <v>0.0155</v>
      </c>
      <c r="AD172" s="156" t="n">
        <f aca="false">IF(T172="","",T172)</f>
        <v>0.011612</v>
      </c>
      <c r="AE172" s="153"/>
      <c r="AF172" s="494"/>
      <c r="AH172" s="19" t="str">
        <f aca="false">IF(AF172="","N","Y")</f>
        <v>N</v>
      </c>
      <c r="AI172" s="63" t="s">
        <v>156</v>
      </c>
      <c r="AJ172" s="63" t="s">
        <v>159</v>
      </c>
      <c r="AK172" s="19"/>
      <c r="AL172" s="63" t="s">
        <v>160</v>
      </c>
    </row>
    <row r="173" customFormat="false" ht="16.5" hidden="false" customHeight="true" outlineLevel="0" collapsed="false">
      <c r="A173" s="19" t="n">
        <v>117</v>
      </c>
      <c r="B173" s="141" t="n">
        <v>43033</v>
      </c>
      <c r="C173" s="142" t="n">
        <v>43033</v>
      </c>
      <c r="D173" s="142" t="n">
        <v>43063</v>
      </c>
      <c r="E173" s="19" t="n">
        <f aca="false">D173-C173</f>
        <v>30</v>
      </c>
      <c r="F173" s="100" t="n">
        <f aca="false">TRUNC(E173/30,0)</f>
        <v>1</v>
      </c>
      <c r="G173" s="189" t="s">
        <v>99</v>
      </c>
      <c r="H173" s="146" t="n">
        <v>50</v>
      </c>
      <c r="I173" s="147"/>
      <c r="J173" s="148"/>
      <c r="K173" s="149"/>
      <c r="L173" s="152" t="n">
        <v>0.0118444</v>
      </c>
      <c r="M173" s="151"/>
      <c r="N173" s="152" t="n">
        <f aca="false">AVERAGE(0.016,0.0155,0.0148)</f>
        <v>0.0154333333333333</v>
      </c>
      <c r="O173" s="151"/>
      <c r="P173" s="152"/>
      <c r="Q173" s="152"/>
      <c r="R173" s="152"/>
      <c r="S173" s="152"/>
      <c r="T173" s="153" t="n">
        <v>0.003119</v>
      </c>
      <c r="U173" s="152"/>
      <c r="V173" s="152" t="n">
        <v>0.0033</v>
      </c>
      <c r="W173" s="152"/>
      <c r="X173" s="152"/>
      <c r="Y173" s="152" t="n">
        <v>0.002</v>
      </c>
      <c r="Z173" s="152"/>
      <c r="AA173" s="152"/>
      <c r="AB173" s="152" t="n">
        <f aca="false">N173-V173-Y173</f>
        <v>0.0101333333333333</v>
      </c>
      <c r="AC173" s="260" t="n">
        <v>0.009</v>
      </c>
      <c r="AD173" s="156" t="n">
        <f aca="false">IF(T173="","",T173)</f>
        <v>0.003119</v>
      </c>
      <c r="AE173" s="153"/>
      <c r="AF173" s="494" t="n">
        <v>0.009</v>
      </c>
      <c r="AH173" s="19" t="str">
        <f aca="false">IF(AF173="","N","Y")</f>
        <v>Y</v>
      </c>
      <c r="AI173" s="63" t="s">
        <v>96</v>
      </c>
      <c r="AJ173" s="63" t="s">
        <v>142</v>
      </c>
      <c r="AK173" s="19"/>
      <c r="AL173" s="19" t="s">
        <v>112</v>
      </c>
    </row>
    <row r="174" customFormat="false" ht="16.5" hidden="false" customHeight="true" outlineLevel="0" collapsed="false">
      <c r="A174" s="19" t="n">
        <v>118</v>
      </c>
      <c r="B174" s="141" t="n">
        <v>43035</v>
      </c>
      <c r="C174" s="142" t="n">
        <v>43035</v>
      </c>
      <c r="D174" s="142" t="n">
        <v>43066</v>
      </c>
      <c r="E174" s="19" t="n">
        <f aca="false">D174-C174</f>
        <v>31</v>
      </c>
      <c r="F174" s="100" t="n">
        <f aca="false">TRUNC(E174/30,0)</f>
        <v>1</v>
      </c>
      <c r="G174" s="189" t="s">
        <v>99</v>
      </c>
      <c r="H174" s="146" t="n">
        <v>150</v>
      </c>
      <c r="I174" s="147"/>
      <c r="J174" s="148"/>
      <c r="K174" s="149"/>
      <c r="L174" s="152" t="n">
        <v>0.011844</v>
      </c>
      <c r="M174" s="151"/>
      <c r="N174" s="152" t="n">
        <v>0.0124</v>
      </c>
      <c r="O174" s="151"/>
      <c r="P174" s="152"/>
      <c r="Q174" s="152"/>
      <c r="R174" s="152"/>
      <c r="S174" s="152"/>
      <c r="T174" s="153" t="n">
        <v>0.003145</v>
      </c>
      <c r="U174" s="152"/>
      <c r="V174" s="152" t="n">
        <v>0.0033</v>
      </c>
      <c r="W174" s="152"/>
      <c r="X174" s="152"/>
      <c r="Y174" s="152" t="n">
        <v>0.002</v>
      </c>
      <c r="Z174" s="152"/>
      <c r="AA174" s="152"/>
      <c r="AB174" s="152" t="n">
        <f aca="false">N174-V174-Y174</f>
        <v>0.0071</v>
      </c>
      <c r="AC174" s="260" t="n">
        <v>0.0081</v>
      </c>
      <c r="AD174" s="156" t="n">
        <f aca="false">IF(T174="","",T174)</f>
        <v>0.003145</v>
      </c>
      <c r="AE174" s="153"/>
      <c r="AF174" s="494"/>
      <c r="AH174" s="19" t="str">
        <f aca="false">IF(AF174="","N","Y")</f>
        <v>N</v>
      </c>
      <c r="AI174" s="63" t="s">
        <v>96</v>
      </c>
      <c r="AJ174" s="63" t="s">
        <v>97</v>
      </c>
      <c r="AK174" s="19"/>
      <c r="AL174" s="63" t="s">
        <v>98</v>
      </c>
    </row>
    <row r="175" customFormat="false" ht="16.5" hidden="false" customHeight="true" outlineLevel="0" collapsed="false">
      <c r="A175" s="19" t="n">
        <v>119</v>
      </c>
      <c r="B175" s="141" t="n">
        <v>43035</v>
      </c>
      <c r="C175" s="142" t="n">
        <v>43035</v>
      </c>
      <c r="D175" s="142" t="n">
        <v>43129</v>
      </c>
      <c r="E175" s="19" t="n">
        <f aca="false">D175-C175</f>
        <v>94</v>
      </c>
      <c r="F175" s="100" t="n">
        <f aca="false">TRUNC(E175/30,0)</f>
        <v>3</v>
      </c>
      <c r="G175" s="183" t="s">
        <v>95</v>
      </c>
      <c r="H175" s="146" t="n">
        <v>130</v>
      </c>
      <c r="I175" s="147"/>
      <c r="J175" s="148"/>
      <c r="K175" s="149"/>
      <c r="L175" s="152" t="n">
        <v>0.0137796</v>
      </c>
      <c r="M175" s="151"/>
      <c r="N175" s="152" t="n">
        <f aca="false">AVERAGE(0.018,0.0198,0.0195,0.0209,0.0205)</f>
        <v>0.01974</v>
      </c>
      <c r="O175" s="151"/>
      <c r="P175" s="152"/>
      <c r="Q175" s="152"/>
      <c r="R175" s="152"/>
      <c r="S175" s="152"/>
      <c r="T175" s="153" t="n">
        <v>0.009379</v>
      </c>
      <c r="U175" s="152"/>
      <c r="V175" s="152" t="n">
        <v>0.002</v>
      </c>
      <c r="W175" s="152"/>
      <c r="X175" s="152"/>
      <c r="Y175" s="152" t="n">
        <v>0.002</v>
      </c>
      <c r="Z175" s="152"/>
      <c r="AA175" s="152"/>
      <c r="AB175" s="152" t="n">
        <f aca="false">N175-V175-Y175</f>
        <v>0.01574</v>
      </c>
      <c r="AC175" s="260" t="n">
        <v>0.0157</v>
      </c>
      <c r="AD175" s="156" t="n">
        <f aca="false">IF(T175="","",T175)</f>
        <v>0.009379</v>
      </c>
      <c r="AE175" s="153"/>
      <c r="AF175" s="494"/>
      <c r="AH175" s="19" t="str">
        <f aca="false">IF(AF175="","N","Y")</f>
        <v>N</v>
      </c>
      <c r="AI175" s="63" t="s">
        <v>96</v>
      </c>
      <c r="AJ175" s="63" t="s">
        <v>97</v>
      </c>
      <c r="AK175" s="19"/>
      <c r="AL175" s="63" t="s">
        <v>98</v>
      </c>
    </row>
    <row r="176" customFormat="false" ht="16.5" hidden="false" customHeight="true" outlineLevel="0" collapsed="false">
      <c r="A176" s="19" t="n">
        <v>120</v>
      </c>
      <c r="B176" s="141" t="n">
        <v>43035</v>
      </c>
      <c r="C176" s="142" t="n">
        <v>43035</v>
      </c>
      <c r="D176" s="142" t="n">
        <v>43217</v>
      </c>
      <c r="E176" s="19" t="n">
        <f aca="false">D176-C176</f>
        <v>182</v>
      </c>
      <c r="F176" s="100" t="n">
        <f aca="false">TRUNC(E176/30,0)</f>
        <v>6</v>
      </c>
      <c r="G176" s="183" t="s">
        <v>95</v>
      </c>
      <c r="H176" s="146" t="n">
        <v>150</v>
      </c>
      <c r="I176" s="147"/>
      <c r="J176" s="148"/>
      <c r="K176" s="149"/>
      <c r="L176" s="152" t="n">
        <v>0.0156447</v>
      </c>
      <c r="M176" s="151"/>
      <c r="N176" s="152" t="n">
        <f aca="false">AVERAGE(0.022,0.0202,0.0207,0.0216,0.021)</f>
        <v>0.0211</v>
      </c>
      <c r="O176" s="151"/>
      <c r="P176" s="152"/>
      <c r="Q176" s="152"/>
      <c r="R176" s="152"/>
      <c r="S176" s="152"/>
      <c r="T176" s="153" t="n">
        <v>0.011706</v>
      </c>
      <c r="U176" s="152"/>
      <c r="V176" s="152" t="n">
        <v>0.002</v>
      </c>
      <c r="W176" s="152"/>
      <c r="X176" s="152"/>
      <c r="Y176" s="152" t="n">
        <v>0.002</v>
      </c>
      <c r="Z176" s="152"/>
      <c r="AA176" s="152"/>
      <c r="AB176" s="152" t="n">
        <f aca="false">N176-V176-Y176</f>
        <v>0.0171</v>
      </c>
      <c r="AC176" s="260" t="n">
        <v>0.0165</v>
      </c>
      <c r="AD176" s="156" t="n">
        <f aca="false">IF(T176="","",T176)</f>
        <v>0.011706</v>
      </c>
      <c r="AE176" s="153"/>
      <c r="AF176" s="494"/>
      <c r="AH176" s="19" t="str">
        <f aca="false">IF(AF176="","N","Y")</f>
        <v>N</v>
      </c>
      <c r="AI176" s="63" t="s">
        <v>96</v>
      </c>
      <c r="AJ176" s="63" t="s">
        <v>97</v>
      </c>
      <c r="AK176" s="19"/>
      <c r="AL176" s="63" t="s">
        <v>98</v>
      </c>
    </row>
    <row r="177" customFormat="false" ht="16.5" hidden="false" customHeight="true" outlineLevel="0" collapsed="false">
      <c r="A177" s="19" t="n">
        <v>121</v>
      </c>
      <c r="B177" s="141" t="n">
        <v>43040</v>
      </c>
      <c r="C177" s="142" t="n">
        <v>43040</v>
      </c>
      <c r="D177" s="142" t="n">
        <v>43222</v>
      </c>
      <c r="E177" s="19" t="n">
        <f aca="false">D177-C177</f>
        <v>182</v>
      </c>
      <c r="F177" s="100" t="n">
        <f aca="false">TRUNC(E177/30,0)</f>
        <v>6</v>
      </c>
      <c r="G177" s="183" t="s">
        <v>95</v>
      </c>
      <c r="H177" s="146" t="n">
        <v>1</v>
      </c>
      <c r="I177" s="147"/>
      <c r="J177" s="148"/>
      <c r="K177" s="149"/>
      <c r="L177" s="152" t="n">
        <v>0.0157511</v>
      </c>
      <c r="M177" s="151"/>
      <c r="N177" s="152" t="n">
        <f aca="false">AVERAGE(0.021,0.0202,0.0207,0.0216,0.021)</f>
        <v>0.0209</v>
      </c>
      <c r="O177" s="151"/>
      <c r="P177" s="152"/>
      <c r="Q177" s="152"/>
      <c r="R177" s="152"/>
      <c r="S177" s="152"/>
      <c r="T177" s="153" t="n">
        <v>0.011811</v>
      </c>
      <c r="U177" s="152"/>
      <c r="V177" s="152" t="n">
        <v>0.002</v>
      </c>
      <c r="W177" s="152"/>
      <c r="X177" s="152"/>
      <c r="Y177" s="152" t="n">
        <v>0.002</v>
      </c>
      <c r="Z177" s="152"/>
      <c r="AA177" s="152"/>
      <c r="AB177" s="152" t="n">
        <f aca="false">N177-V177-Y177</f>
        <v>0.0169</v>
      </c>
      <c r="AC177" s="260" t="n">
        <v>0.0165</v>
      </c>
      <c r="AD177" s="156" t="n">
        <f aca="false">IF(T177="","",T177)</f>
        <v>0.011811</v>
      </c>
      <c r="AE177" s="153"/>
      <c r="AF177" s="494"/>
      <c r="AH177" s="19" t="str">
        <f aca="false">IF(AF177="","N","Y")</f>
        <v>N</v>
      </c>
      <c r="AI177" s="63" t="s">
        <v>96</v>
      </c>
      <c r="AJ177" s="63" t="s">
        <v>97</v>
      </c>
      <c r="AK177" s="19"/>
      <c r="AL177" s="19"/>
    </row>
    <row r="178" customFormat="false" ht="16.5" hidden="false" customHeight="true" outlineLevel="0" collapsed="false">
      <c r="A178" s="19" t="n">
        <v>122</v>
      </c>
      <c r="B178" s="141" t="n">
        <v>43040</v>
      </c>
      <c r="C178" s="142" t="n">
        <v>43045</v>
      </c>
      <c r="D178" s="142" t="n">
        <v>43410</v>
      </c>
      <c r="E178" s="19" t="n">
        <f aca="false">D178-C178</f>
        <v>365</v>
      </c>
      <c r="F178" s="100" t="n">
        <f aca="false">TRUNC(E178/30,0)</f>
        <v>12</v>
      </c>
      <c r="G178" s="183" t="s">
        <v>95</v>
      </c>
      <c r="H178" s="146" t="n">
        <v>1</v>
      </c>
      <c r="I178" s="147"/>
      <c r="J178" s="148"/>
      <c r="K178" s="149"/>
      <c r="L178" s="152" t="n">
        <v>0.0184844</v>
      </c>
      <c r="M178" s="151"/>
      <c r="N178" s="152" t="n">
        <f aca="false">AVERAGE(0.0204,0.0205,0.023)</f>
        <v>0.0213</v>
      </c>
      <c r="O178" s="151"/>
      <c r="P178" s="152"/>
      <c r="Q178" s="152"/>
      <c r="R178" s="152"/>
      <c r="S178" s="152"/>
      <c r="T178" s="153" t="n">
        <v>0.013149</v>
      </c>
      <c r="U178" s="152"/>
      <c r="V178" s="152" t="n">
        <v>0.002</v>
      </c>
      <c r="W178" s="152"/>
      <c r="X178" s="152"/>
      <c r="Y178" s="152" t="n">
        <v>0.002</v>
      </c>
      <c r="Z178" s="152"/>
      <c r="AA178" s="152"/>
      <c r="AB178" s="152" t="n">
        <f aca="false">N178-V178-Y178</f>
        <v>0.0173</v>
      </c>
      <c r="AC178" s="260" t="n">
        <v>0.0173</v>
      </c>
      <c r="AD178" s="156" t="n">
        <f aca="false">IF(T178="","",T178)</f>
        <v>0.013149</v>
      </c>
      <c r="AE178" s="153"/>
      <c r="AF178" s="494" t="n">
        <v>0.0171</v>
      </c>
      <c r="AH178" s="19" t="str">
        <f aca="false">IF(AF178="","N","Y")</f>
        <v>Y</v>
      </c>
      <c r="AI178" s="63" t="s">
        <v>96</v>
      </c>
      <c r="AJ178" s="63" t="s">
        <v>97</v>
      </c>
      <c r="AK178" s="19"/>
      <c r="AL178" s="63" t="s">
        <v>161</v>
      </c>
    </row>
    <row r="179" customFormat="false" ht="16.5" hidden="false" customHeight="true" outlineLevel="0" collapsed="false">
      <c r="A179" s="19" t="n">
        <v>123</v>
      </c>
      <c r="B179" s="141" t="n">
        <v>43049</v>
      </c>
      <c r="C179" s="142" t="n">
        <v>43049</v>
      </c>
      <c r="D179" s="142" t="n">
        <v>43059</v>
      </c>
      <c r="E179" s="19" t="n">
        <f aca="false">D179-C179</f>
        <v>10</v>
      </c>
      <c r="F179" s="100" t="n">
        <f aca="false">TRUNC(E179/30,0)</f>
        <v>0</v>
      </c>
      <c r="G179" s="183" t="s">
        <v>95</v>
      </c>
      <c r="H179" s="146" t="n">
        <v>20</v>
      </c>
      <c r="I179" s="147"/>
      <c r="J179" s="148"/>
      <c r="K179" s="149"/>
      <c r="L179" s="152" t="n">
        <v>0.0120272</v>
      </c>
      <c r="M179" s="151"/>
      <c r="N179" s="152" t="n">
        <f aca="false">AVERAGE(0.014,0.0147,0.014)</f>
        <v>0.0142333333333333</v>
      </c>
      <c r="O179" s="151"/>
      <c r="P179" s="152"/>
      <c r="Q179" s="152"/>
      <c r="R179" s="152"/>
      <c r="S179" s="152"/>
      <c r="T179" s="153" t="n">
        <v>0.005122</v>
      </c>
      <c r="U179" s="152"/>
      <c r="V179" s="152" t="n">
        <v>0.002</v>
      </c>
      <c r="W179" s="152"/>
      <c r="X179" s="152"/>
      <c r="Y179" s="152" t="n">
        <v>0.002</v>
      </c>
      <c r="Z179" s="152"/>
      <c r="AA179" s="152"/>
      <c r="AB179" s="152" t="n">
        <f aca="false">N179-V179-Y179</f>
        <v>0.0102333333333333</v>
      </c>
      <c r="AC179" s="260" t="n">
        <v>0.0095</v>
      </c>
      <c r="AD179" s="156" t="n">
        <f aca="false">IF(T179="","",T179)</f>
        <v>0.005122</v>
      </c>
      <c r="AE179" s="153"/>
      <c r="AF179" s="494"/>
      <c r="AH179" s="19" t="str">
        <f aca="false">IF(AF179="","N","Y")</f>
        <v>N</v>
      </c>
      <c r="AI179" s="63" t="s">
        <v>100</v>
      </c>
      <c r="AJ179" s="63" t="s">
        <v>101</v>
      </c>
      <c r="AK179" s="19"/>
      <c r="AL179" s="63" t="s">
        <v>102</v>
      </c>
    </row>
    <row r="180" customFormat="false" ht="16.5" hidden="false" customHeight="true" outlineLevel="0" collapsed="false">
      <c r="A180" s="19" t="n">
        <v>124</v>
      </c>
      <c r="B180" s="141" t="n">
        <v>43049</v>
      </c>
      <c r="C180" s="142" t="n">
        <v>43049</v>
      </c>
      <c r="D180" s="142" t="n">
        <v>43073</v>
      </c>
      <c r="E180" s="19" t="n">
        <f aca="false">D180-C180</f>
        <v>24</v>
      </c>
      <c r="F180" s="100" t="n">
        <f aca="false">TRUNC(E180/30,0)</f>
        <v>0</v>
      </c>
      <c r="G180" s="183" t="s">
        <v>95</v>
      </c>
      <c r="H180" s="146" t="n">
        <v>50</v>
      </c>
      <c r="I180" s="147"/>
      <c r="J180" s="148"/>
      <c r="K180" s="149"/>
      <c r="L180" s="152" t="n">
        <v>0.0124494</v>
      </c>
      <c r="M180" s="151"/>
      <c r="N180" s="152" t="n">
        <f aca="false">AVERAGE(0.0146,0.016,0.015)</f>
        <v>0.0152</v>
      </c>
      <c r="O180" s="151"/>
      <c r="P180" s="152"/>
      <c r="Q180" s="152"/>
      <c r="R180" s="152"/>
      <c r="S180" s="152"/>
      <c r="T180" s="153" t="n">
        <v>0.006875</v>
      </c>
      <c r="U180" s="152"/>
      <c r="V180" s="152" t="n">
        <v>0.002</v>
      </c>
      <c r="W180" s="152"/>
      <c r="X180" s="152"/>
      <c r="Y180" s="152" t="n">
        <v>0.002</v>
      </c>
      <c r="Z180" s="152"/>
      <c r="AA180" s="152"/>
      <c r="AB180" s="152" t="n">
        <f aca="false">N180-V180-Y180</f>
        <v>0.0112</v>
      </c>
      <c r="AC180" s="260" t="n">
        <v>0.0105</v>
      </c>
      <c r="AD180" s="156" t="n">
        <f aca="false">IF(T180="","",T180)</f>
        <v>0.006875</v>
      </c>
      <c r="AE180" s="153"/>
      <c r="AF180" s="494"/>
      <c r="AH180" s="19" t="str">
        <f aca="false">IF(AF180="","N","Y")</f>
        <v>N</v>
      </c>
      <c r="AI180" s="63" t="s">
        <v>100</v>
      </c>
      <c r="AJ180" s="63" t="s">
        <v>101</v>
      </c>
      <c r="AK180" s="19"/>
      <c r="AL180" s="63" t="s">
        <v>102</v>
      </c>
    </row>
    <row r="181" customFormat="false" ht="16.5" hidden="false" customHeight="true" outlineLevel="0" collapsed="false">
      <c r="A181" s="19" t="n">
        <v>125</v>
      </c>
      <c r="B181" s="141" t="n">
        <v>43053</v>
      </c>
      <c r="C181" s="142" t="n">
        <v>43053</v>
      </c>
      <c r="D181" s="142" t="n">
        <v>43083</v>
      </c>
      <c r="E181" s="19" t="n">
        <f aca="false">D181-C181</f>
        <v>30</v>
      </c>
      <c r="F181" s="100" t="n">
        <f aca="false">TRUNC(E181/30,0)</f>
        <v>1</v>
      </c>
      <c r="G181" s="189" t="s">
        <v>99</v>
      </c>
      <c r="H181" s="146" t="n">
        <v>10</v>
      </c>
      <c r="I181" s="147"/>
      <c r="J181" s="148"/>
      <c r="K181" s="149"/>
      <c r="L181" s="152" t="n">
        <v>0.0118278</v>
      </c>
      <c r="M181" s="151"/>
      <c r="N181" s="152" t="n">
        <v>0.0124</v>
      </c>
      <c r="O181" s="151"/>
      <c r="P181" s="152"/>
      <c r="Q181" s="152"/>
      <c r="R181" s="152"/>
      <c r="S181" s="152"/>
      <c r="T181" s="153" t="n">
        <v>0.00513</v>
      </c>
      <c r="U181" s="152"/>
      <c r="V181" s="152" t="n">
        <v>0.0033</v>
      </c>
      <c r="W181" s="152"/>
      <c r="X181" s="152"/>
      <c r="Y181" s="152" t="n">
        <v>0.002</v>
      </c>
      <c r="Z181" s="152"/>
      <c r="AA181" s="152"/>
      <c r="AB181" s="152" t="n">
        <f aca="false">N181-V181-Y181</f>
        <v>0.0071</v>
      </c>
      <c r="AC181" s="260" t="n">
        <v>0.0081</v>
      </c>
      <c r="AD181" s="156" t="n">
        <f aca="false">IF(T181="","",T181)</f>
        <v>0.00513</v>
      </c>
      <c r="AE181" s="153"/>
      <c r="AF181" s="494"/>
      <c r="AH181" s="19" t="str">
        <f aca="false">IF(AF181="","N","Y")</f>
        <v>N</v>
      </c>
      <c r="AI181" s="63" t="s">
        <v>103</v>
      </c>
      <c r="AJ181" s="63" t="s">
        <v>104</v>
      </c>
      <c r="AK181" s="19"/>
      <c r="AL181" s="63" t="s">
        <v>141</v>
      </c>
    </row>
    <row r="182" customFormat="false" ht="16.5" hidden="false" customHeight="true" outlineLevel="0" collapsed="false">
      <c r="A182" s="19" t="n">
        <v>126</v>
      </c>
      <c r="B182" s="141" t="n">
        <v>43059</v>
      </c>
      <c r="C182" s="142" t="n">
        <v>43059</v>
      </c>
      <c r="D182" s="142" t="n">
        <v>43089</v>
      </c>
      <c r="E182" s="19" t="n">
        <f aca="false">D182-C182</f>
        <v>30</v>
      </c>
      <c r="F182" s="100" t="n">
        <f aca="false">TRUNC(E182/30,0)</f>
        <v>1</v>
      </c>
      <c r="G182" s="189" t="s">
        <v>99</v>
      </c>
      <c r="H182" s="146" t="n">
        <v>1</v>
      </c>
      <c r="I182" s="147"/>
      <c r="J182" s="148"/>
      <c r="K182" s="149"/>
      <c r="L182" s="152" t="n">
        <v>0.0118278</v>
      </c>
      <c r="M182" s="151"/>
      <c r="N182" s="152" t="n">
        <v>0.0124</v>
      </c>
      <c r="O182" s="151"/>
      <c r="P182" s="152"/>
      <c r="Q182" s="152"/>
      <c r="R182" s="152"/>
      <c r="S182" s="152"/>
      <c r="T182" s="153" t="n">
        <v>0.003122</v>
      </c>
      <c r="U182" s="152"/>
      <c r="V182" s="152" t="n">
        <v>0.0033</v>
      </c>
      <c r="W182" s="152"/>
      <c r="X182" s="152"/>
      <c r="Y182" s="152" t="n">
        <v>0.002</v>
      </c>
      <c r="Z182" s="152"/>
      <c r="AA182" s="152"/>
      <c r="AB182" s="152" t="n">
        <f aca="false">N182-V182-Y182</f>
        <v>0.0071</v>
      </c>
      <c r="AC182" s="260" t="n">
        <v>0.0081</v>
      </c>
      <c r="AD182" s="156" t="n">
        <f aca="false">IF(T182="","",T182)</f>
        <v>0.003122</v>
      </c>
      <c r="AE182" s="153"/>
      <c r="AF182" s="494" t="n">
        <v>0.0078</v>
      </c>
      <c r="AH182" s="19" t="str">
        <f aca="false">IF(AF182="","N","Y")</f>
        <v>Y</v>
      </c>
      <c r="AI182" s="63" t="s">
        <v>96</v>
      </c>
      <c r="AJ182" s="63" t="s">
        <v>143</v>
      </c>
      <c r="AK182" s="19"/>
      <c r="AL182" s="63" t="s">
        <v>137</v>
      </c>
    </row>
    <row r="183" customFormat="false" ht="16.5" hidden="false" customHeight="true" outlineLevel="0" collapsed="false">
      <c r="A183" s="19" t="n">
        <v>127</v>
      </c>
      <c r="B183" s="141" t="n">
        <v>43062</v>
      </c>
      <c r="C183" s="9" t="n">
        <v>43062</v>
      </c>
      <c r="D183" s="142" t="n">
        <v>43095</v>
      </c>
      <c r="E183" s="19" t="n">
        <f aca="false">D183-C183</f>
        <v>33</v>
      </c>
      <c r="F183" s="100" t="n">
        <f aca="false">TRUNC(E183/30,0)</f>
        <v>1</v>
      </c>
      <c r="G183" s="189" t="s">
        <v>99</v>
      </c>
      <c r="H183" s="146" t="n">
        <v>1</v>
      </c>
      <c r="I183" s="147"/>
      <c r="J183" s="148"/>
      <c r="K183" s="149"/>
      <c r="L183" s="152" t="n">
        <v>0.0118278</v>
      </c>
      <c r="M183" s="151"/>
      <c r="N183" s="152" t="n">
        <v>0.0123</v>
      </c>
      <c r="O183" s="151"/>
      <c r="P183" s="152"/>
      <c r="Q183" s="152"/>
      <c r="R183" s="152"/>
      <c r="S183" s="152"/>
      <c r="T183" s="153" t="n">
        <v>0.003094</v>
      </c>
      <c r="U183" s="152"/>
      <c r="V183" s="152" t="n">
        <v>0.0033</v>
      </c>
      <c r="W183" s="152"/>
      <c r="X183" s="152"/>
      <c r="Y183" s="152" t="n">
        <v>0.002</v>
      </c>
      <c r="Z183" s="152"/>
      <c r="AA183" s="152"/>
      <c r="AB183" s="152" t="n">
        <f aca="false">N183-V183-Y183</f>
        <v>0.007</v>
      </c>
      <c r="AC183" s="260" t="n">
        <v>0.003094</v>
      </c>
      <c r="AD183" s="156" t="n">
        <f aca="false">IF(T183="","",T183)</f>
        <v>0.003094</v>
      </c>
      <c r="AE183" s="153"/>
      <c r="AF183" s="494"/>
      <c r="AH183" s="19" t="str">
        <f aca="false">IF(AF183="","N","Y")</f>
        <v>N</v>
      </c>
      <c r="AI183" s="63" t="s">
        <v>156</v>
      </c>
      <c r="AJ183" s="63" t="s">
        <v>159</v>
      </c>
      <c r="AK183" s="19"/>
      <c r="AL183" s="63" t="s">
        <v>160</v>
      </c>
    </row>
    <row r="184" customFormat="false" ht="16.5" hidden="false" customHeight="true" outlineLevel="0" collapsed="false">
      <c r="A184" s="19" t="n">
        <v>128</v>
      </c>
      <c r="B184" s="141" t="n">
        <v>43063</v>
      </c>
      <c r="C184" s="142" t="n">
        <v>43063</v>
      </c>
      <c r="D184" s="142" t="n">
        <v>43096</v>
      </c>
      <c r="E184" s="19" t="n">
        <f aca="false">D184-C184</f>
        <v>33</v>
      </c>
      <c r="F184" s="100" t="n">
        <f aca="false">TRUNC(E184/30,0)</f>
        <v>1</v>
      </c>
      <c r="G184" s="189" t="s">
        <v>99</v>
      </c>
      <c r="H184" s="146" t="n">
        <v>50</v>
      </c>
      <c r="I184" s="147"/>
      <c r="J184" s="148"/>
      <c r="K184" s="149"/>
      <c r="L184" s="152" t="n">
        <v>0.012008</v>
      </c>
      <c r="M184" s="151"/>
      <c r="N184" s="152" t="n">
        <v>0.0123</v>
      </c>
      <c r="O184" s="151"/>
      <c r="P184" s="152"/>
      <c r="Q184" s="152"/>
      <c r="R184" s="152"/>
      <c r="S184" s="152"/>
      <c r="T184" s="153" t="n">
        <v>0.003104</v>
      </c>
      <c r="U184" s="152"/>
      <c r="V184" s="152" t="n">
        <v>0.0033</v>
      </c>
      <c r="W184" s="152"/>
      <c r="X184" s="152"/>
      <c r="Y184" s="152" t="n">
        <v>0.002</v>
      </c>
      <c r="Z184" s="152"/>
      <c r="AA184" s="152"/>
      <c r="AB184" s="152" t="n">
        <f aca="false">N184-V184-Y184</f>
        <v>0.007</v>
      </c>
      <c r="AC184" s="260" t="n">
        <v>0.009</v>
      </c>
      <c r="AD184" s="156" t="n">
        <f aca="false">IF(T184="","",T184)</f>
        <v>0.003104</v>
      </c>
      <c r="AE184" s="153"/>
      <c r="AF184" s="494" t="n">
        <v>0.009</v>
      </c>
      <c r="AH184" s="19" t="str">
        <f aca="false">IF(AF184="","N","Y")</f>
        <v>Y</v>
      </c>
      <c r="AI184" s="63" t="s">
        <v>96</v>
      </c>
      <c r="AJ184" s="63" t="s">
        <v>142</v>
      </c>
      <c r="AK184" s="19"/>
      <c r="AL184" s="19" t="s">
        <v>112</v>
      </c>
    </row>
    <row r="185" customFormat="false" ht="16.5" hidden="false" customHeight="true" outlineLevel="0" collapsed="false">
      <c r="A185" s="19" t="n">
        <v>129</v>
      </c>
      <c r="B185" s="141" t="n">
        <v>43066</v>
      </c>
      <c r="C185" s="142" t="n">
        <v>43066</v>
      </c>
      <c r="D185" s="142" t="n">
        <v>43097</v>
      </c>
      <c r="E185" s="19" t="n">
        <f aca="false">D185-C185</f>
        <v>31</v>
      </c>
      <c r="F185" s="100" t="n">
        <f aca="false">TRUNC(E185/30,0)</f>
        <v>1</v>
      </c>
      <c r="G185" s="183" t="s">
        <v>95</v>
      </c>
      <c r="H185" s="146" t="n">
        <v>220</v>
      </c>
      <c r="I185" s="147"/>
      <c r="J185" s="148"/>
      <c r="K185" s="149"/>
      <c r="L185" s="152" t="n">
        <v>0.0134676</v>
      </c>
      <c r="M185" s="151"/>
      <c r="N185" s="152" t="n">
        <f aca="false">AVERAGE(0.0158,0.015,0.014)</f>
        <v>0.0149333333333333</v>
      </c>
      <c r="O185" s="151"/>
      <c r="P185" s="152"/>
      <c r="Q185" s="152"/>
      <c r="R185" s="152"/>
      <c r="S185" s="152"/>
      <c r="T185" s="153" t="n">
        <v>0.007873</v>
      </c>
      <c r="U185" s="152"/>
      <c r="V185" s="152" t="n">
        <v>0.002</v>
      </c>
      <c r="W185" s="152"/>
      <c r="X185" s="152"/>
      <c r="Y185" s="152" t="n">
        <v>0.002</v>
      </c>
      <c r="Z185" s="152"/>
      <c r="AA185" s="152"/>
      <c r="AB185" s="152" t="n">
        <f aca="false">N185-V185-Y185</f>
        <v>0.0109333333333333</v>
      </c>
      <c r="AC185" s="260" t="n">
        <v>0.0129</v>
      </c>
      <c r="AD185" s="156" t="n">
        <f aca="false">IF(T185="","",T185)</f>
        <v>0.007873</v>
      </c>
      <c r="AE185" s="153"/>
      <c r="AF185" s="494"/>
      <c r="AH185" s="19" t="str">
        <f aca="false">IF(AF185="","N","Y")</f>
        <v>N</v>
      </c>
      <c r="AI185" s="63" t="s">
        <v>96</v>
      </c>
      <c r="AJ185" s="63" t="s">
        <v>97</v>
      </c>
      <c r="AK185" s="19"/>
      <c r="AL185" s="63" t="s">
        <v>98</v>
      </c>
    </row>
    <row r="186" customFormat="false" ht="16.5" hidden="false" customHeight="true" outlineLevel="0" collapsed="false">
      <c r="A186" s="19" t="n">
        <v>130</v>
      </c>
      <c r="B186" s="141" t="n">
        <v>43068</v>
      </c>
      <c r="C186" s="142" t="n">
        <v>43068</v>
      </c>
      <c r="D186" s="142" t="n">
        <v>43098</v>
      </c>
      <c r="E186" s="19" t="n">
        <f aca="false">D186-C186</f>
        <v>30</v>
      </c>
      <c r="F186" s="100" t="n">
        <f aca="false">TRUNC(E186/30,0)</f>
        <v>1</v>
      </c>
      <c r="G186" s="183" t="s">
        <v>95</v>
      </c>
      <c r="H186" s="146" t="n">
        <v>2.4</v>
      </c>
      <c r="I186" s="147"/>
      <c r="J186" s="148"/>
      <c r="K186" s="149"/>
      <c r="L186" s="152" t="n">
        <v>0.0134978</v>
      </c>
      <c r="M186" s="151"/>
      <c r="N186" s="152" t="n">
        <f aca="false">AVERAGE(0.0153,0.0143)</f>
        <v>0.0148</v>
      </c>
      <c r="O186" s="151"/>
      <c r="P186" s="152"/>
      <c r="Q186" s="152"/>
      <c r="R186" s="152"/>
      <c r="S186" s="152"/>
      <c r="T186" s="153" t="n">
        <v>0.007902</v>
      </c>
      <c r="U186" s="152"/>
      <c r="V186" s="152" t="n">
        <v>0.002</v>
      </c>
      <c r="W186" s="152"/>
      <c r="X186" s="152"/>
      <c r="Y186" s="152" t="n">
        <v>0.002</v>
      </c>
      <c r="Z186" s="152"/>
      <c r="AA186" s="152"/>
      <c r="AB186" s="152" t="n">
        <f aca="false">N186-V186-Y186</f>
        <v>0.0108</v>
      </c>
      <c r="AC186" s="260" t="n">
        <v>0.0112</v>
      </c>
      <c r="AD186" s="156" t="n">
        <f aca="false">IF(T186="","",T186)</f>
        <v>0.007902</v>
      </c>
      <c r="AE186" s="153"/>
      <c r="AF186" s="494"/>
      <c r="AH186" s="19" t="str">
        <f aca="false">IF(AF186="","N","Y")</f>
        <v>N</v>
      </c>
      <c r="AI186" s="63" t="s">
        <v>162</v>
      </c>
      <c r="AJ186" s="63" t="s">
        <v>163</v>
      </c>
      <c r="AK186" s="19"/>
      <c r="AL186" s="63" t="s">
        <v>164</v>
      </c>
    </row>
    <row r="187" customFormat="false" ht="16.5" hidden="false" customHeight="true" outlineLevel="0" collapsed="false">
      <c r="A187" s="19" t="n">
        <v>131</v>
      </c>
      <c r="B187" s="141" t="n">
        <v>43068</v>
      </c>
      <c r="C187" s="142" t="n">
        <v>43068</v>
      </c>
      <c r="D187" s="142" t="n">
        <v>43159</v>
      </c>
      <c r="E187" s="19" t="n">
        <f aca="false">D187-C187</f>
        <v>91</v>
      </c>
      <c r="F187" s="100" t="n">
        <f aca="false">TRUNC(E187/30,0)</f>
        <v>3</v>
      </c>
      <c r="G187" s="183" t="s">
        <v>95</v>
      </c>
      <c r="H187" s="146" t="n">
        <v>2.4</v>
      </c>
      <c r="I187" s="147"/>
      <c r="J187" s="148"/>
      <c r="K187" s="149"/>
      <c r="L187" s="152" t="n">
        <v>0.0147882</v>
      </c>
      <c r="M187" s="151"/>
      <c r="N187" s="152" t="n">
        <f aca="false">AVERAGE(0.0221,0.0215,0.0168)</f>
        <v>0.0201333333333333</v>
      </c>
      <c r="O187" s="151"/>
      <c r="P187" s="152"/>
      <c r="Q187" s="152"/>
      <c r="R187" s="152"/>
      <c r="S187" s="152"/>
      <c r="T187" s="153" t="n">
        <v>0.010367</v>
      </c>
      <c r="U187" s="152"/>
      <c r="V187" s="152" t="n">
        <v>0.002</v>
      </c>
      <c r="W187" s="152"/>
      <c r="X187" s="152"/>
      <c r="Y187" s="152" t="n">
        <v>0.002</v>
      </c>
      <c r="Z187" s="152"/>
      <c r="AA187" s="152"/>
      <c r="AB187" s="152" t="n">
        <f aca="false">N187-V187-Y187</f>
        <v>0.0161333333333333</v>
      </c>
      <c r="AC187" s="260" t="n">
        <v>0.014</v>
      </c>
      <c r="AD187" s="156" t="n">
        <f aca="false">IF(T187="","",T187)</f>
        <v>0.010367</v>
      </c>
      <c r="AE187" s="153"/>
      <c r="AF187" s="494"/>
      <c r="AH187" s="19" t="str">
        <f aca="false">IF(AF187="","N","Y")</f>
        <v>N</v>
      </c>
      <c r="AI187" s="63" t="s">
        <v>162</v>
      </c>
      <c r="AJ187" s="63" t="s">
        <v>163</v>
      </c>
      <c r="AK187" s="19"/>
      <c r="AL187" s="63" t="s">
        <v>164</v>
      </c>
    </row>
    <row r="188" customFormat="false" ht="16.5" hidden="false" customHeight="true" outlineLevel="0" collapsed="false">
      <c r="A188" s="19" t="n">
        <v>132</v>
      </c>
      <c r="B188" s="141" t="n">
        <v>43073</v>
      </c>
      <c r="C188" s="142" t="n">
        <v>43073</v>
      </c>
      <c r="D188" s="142" t="n">
        <v>43110</v>
      </c>
      <c r="E188" s="19" t="n">
        <f aca="false">D188-C188</f>
        <v>37</v>
      </c>
      <c r="F188" s="100" t="n">
        <f aca="false">TRUNC(E188/30,0)</f>
        <v>1</v>
      </c>
      <c r="G188" s="183" t="s">
        <v>95</v>
      </c>
      <c r="H188" s="146" t="n">
        <v>30</v>
      </c>
      <c r="I188" s="147"/>
      <c r="J188" s="148"/>
      <c r="K188" s="149"/>
      <c r="L188" s="152" t="n">
        <v>0.0137938</v>
      </c>
      <c r="M188" s="151"/>
      <c r="N188" s="152" t="n">
        <f aca="false">AVERAGE(0.0215,0.02,0.0195)</f>
        <v>0.0203333333333333</v>
      </c>
      <c r="O188" s="151"/>
      <c r="P188" s="152"/>
      <c r="Q188" s="152"/>
      <c r="R188" s="152"/>
      <c r="S188" s="152"/>
      <c r="T188" s="153" t="n">
        <v>0.008192</v>
      </c>
      <c r="U188" s="152"/>
      <c r="V188" s="152" t="n">
        <v>0.002</v>
      </c>
      <c r="W188" s="152"/>
      <c r="X188" s="152"/>
      <c r="Y188" s="152" t="n">
        <v>0.002</v>
      </c>
      <c r="Z188" s="152"/>
      <c r="AA188" s="152"/>
      <c r="AB188" s="152" t="n">
        <f aca="false">N188-V188-Y188</f>
        <v>0.0163333333333333</v>
      </c>
      <c r="AC188" s="260" t="n">
        <v>0.016</v>
      </c>
      <c r="AD188" s="156" t="n">
        <f aca="false">IF(T188="","",T188)</f>
        <v>0.008192</v>
      </c>
      <c r="AE188" s="153"/>
      <c r="AF188" s="494"/>
      <c r="AH188" s="19" t="str">
        <f aca="false">IF(AF188="","N","Y")</f>
        <v>N</v>
      </c>
      <c r="AI188" s="63" t="s">
        <v>100</v>
      </c>
      <c r="AJ188" s="63" t="s">
        <v>101</v>
      </c>
      <c r="AK188" s="19"/>
      <c r="AL188" s="63" t="s">
        <v>102</v>
      </c>
    </row>
    <row r="189" customFormat="false" ht="16.5" hidden="false" customHeight="true" outlineLevel="0" collapsed="false">
      <c r="A189" s="19" t="n">
        <v>133</v>
      </c>
      <c r="B189" s="141" t="n">
        <v>43077</v>
      </c>
      <c r="C189" s="142" t="n">
        <v>43077</v>
      </c>
      <c r="D189" s="142" t="n">
        <v>43110</v>
      </c>
      <c r="E189" s="19" t="n">
        <f aca="false">D189-C189</f>
        <v>33</v>
      </c>
      <c r="F189" s="100" t="n">
        <f aca="false">TRUNC(E189/30,0)</f>
        <v>1</v>
      </c>
      <c r="G189" s="183" t="s">
        <v>95</v>
      </c>
      <c r="H189" s="146" t="n">
        <v>40</v>
      </c>
      <c r="I189" s="147"/>
      <c r="J189" s="148"/>
      <c r="K189" s="149"/>
      <c r="L189" s="152" t="n">
        <v>0.0143185</v>
      </c>
      <c r="M189" s="151"/>
      <c r="N189" s="152" t="n">
        <f aca="false">AVERAGE(0.0205,0.02,0.02)</f>
        <v>0.0201666666666667</v>
      </c>
      <c r="O189" s="151"/>
      <c r="P189" s="152"/>
      <c r="Q189" s="152"/>
      <c r="R189" s="152"/>
      <c r="S189" s="152"/>
      <c r="T189" s="153" t="n">
        <v>0.008707</v>
      </c>
      <c r="U189" s="152"/>
      <c r="V189" s="152" t="n">
        <v>0.002</v>
      </c>
      <c r="W189" s="152"/>
      <c r="X189" s="152"/>
      <c r="Y189" s="152" t="n">
        <v>0.002</v>
      </c>
      <c r="Z189" s="152"/>
      <c r="AA189" s="152"/>
      <c r="AB189" s="152" t="n">
        <f aca="false">N189-V189-Y189</f>
        <v>0.0161666666666667</v>
      </c>
      <c r="AC189" s="260" t="n">
        <v>0.016</v>
      </c>
      <c r="AD189" s="156" t="n">
        <f aca="false">IF(T189="","",T189)</f>
        <v>0.008707</v>
      </c>
      <c r="AE189" s="153"/>
      <c r="AF189" s="494"/>
      <c r="AH189" s="19" t="str">
        <f aca="false">IF(AF189="","N","Y")</f>
        <v>N</v>
      </c>
      <c r="AI189" s="63" t="s">
        <v>100</v>
      </c>
      <c r="AJ189" s="63" t="s">
        <v>101</v>
      </c>
      <c r="AK189" s="19"/>
      <c r="AL189" s="63" t="s">
        <v>102</v>
      </c>
    </row>
    <row r="190" customFormat="false" ht="16.5" hidden="false" customHeight="true" outlineLevel="0" collapsed="false">
      <c r="A190" s="19" t="n">
        <v>134</v>
      </c>
      <c r="B190" s="141" t="n">
        <v>43077</v>
      </c>
      <c r="C190" s="142" t="n">
        <v>43077</v>
      </c>
      <c r="D190" s="142" t="n">
        <v>43124</v>
      </c>
      <c r="E190" s="19" t="n">
        <f aca="false">D190-C190</f>
        <v>47</v>
      </c>
      <c r="F190" s="100" t="n">
        <f aca="false">TRUNC(E190/30,0)</f>
        <v>1</v>
      </c>
      <c r="G190" s="183" t="s">
        <v>95</v>
      </c>
      <c r="H190" s="146" t="n">
        <v>50</v>
      </c>
      <c r="I190" s="147"/>
      <c r="J190" s="148"/>
      <c r="K190" s="149"/>
      <c r="L190" s="152" t="n">
        <v>0.0143185</v>
      </c>
      <c r="M190" s="151"/>
      <c r="N190" s="152" t="n">
        <f aca="false">AVERAGE(0.0205,0.02,0.02)</f>
        <v>0.0201666666666667</v>
      </c>
      <c r="O190" s="151"/>
      <c r="P190" s="152"/>
      <c r="Q190" s="152"/>
      <c r="R190" s="152"/>
      <c r="S190" s="152"/>
      <c r="T190" s="153" t="n">
        <v>0.008707</v>
      </c>
      <c r="U190" s="152"/>
      <c r="V190" s="152" t="n">
        <v>0.002</v>
      </c>
      <c r="W190" s="152"/>
      <c r="X190" s="152"/>
      <c r="Y190" s="152" t="n">
        <v>0.002</v>
      </c>
      <c r="Z190" s="152"/>
      <c r="AA190" s="152"/>
      <c r="AB190" s="152" t="n">
        <f aca="false">N190-V190-Y190</f>
        <v>0.0161666666666667</v>
      </c>
      <c r="AC190" s="260" t="n">
        <v>0.016</v>
      </c>
      <c r="AD190" s="156" t="n">
        <f aca="false">IF(T190="","",T190)</f>
        <v>0.008707</v>
      </c>
      <c r="AE190" s="153"/>
      <c r="AF190" s="494"/>
      <c r="AH190" s="19" t="str">
        <f aca="false">IF(AF190="","N","Y")</f>
        <v>N</v>
      </c>
      <c r="AI190" s="63" t="s">
        <v>100</v>
      </c>
      <c r="AJ190" s="63" t="s">
        <v>101</v>
      </c>
      <c r="AK190" s="19"/>
      <c r="AL190" s="63" t="s">
        <v>102</v>
      </c>
    </row>
    <row r="191" customFormat="false" ht="16.5" hidden="false" customHeight="true" outlineLevel="0" collapsed="false">
      <c r="A191" s="19" t="n">
        <v>135</v>
      </c>
      <c r="B191" s="141" t="n">
        <v>43077</v>
      </c>
      <c r="C191" s="142" t="n">
        <v>43077</v>
      </c>
      <c r="D191" s="142" t="n">
        <v>43108</v>
      </c>
      <c r="E191" s="19" t="n">
        <f aca="false">D191-C191</f>
        <v>31</v>
      </c>
      <c r="F191" s="100" t="n">
        <f aca="false">TRUNC(E191/30,0)</f>
        <v>1</v>
      </c>
      <c r="G191" s="189" t="s">
        <v>99</v>
      </c>
      <c r="H191" s="146" t="n">
        <v>50</v>
      </c>
      <c r="I191" s="147"/>
      <c r="J191" s="148"/>
      <c r="K191" s="149"/>
      <c r="L191" s="152" t="n">
        <v>0.011825</v>
      </c>
      <c r="M191" s="151"/>
      <c r="N191" s="152" t="n">
        <f aca="false">AVERAGE(0.012,0.0122,0.0125)</f>
        <v>0.0122333333333333</v>
      </c>
      <c r="O191" s="151"/>
      <c r="P191" s="152"/>
      <c r="Q191" s="152"/>
      <c r="R191" s="152"/>
      <c r="S191" s="152"/>
      <c r="T191" s="153" t="n">
        <v>0.004021</v>
      </c>
      <c r="U191" s="152"/>
      <c r="V191" s="152" t="n">
        <v>0.0033</v>
      </c>
      <c r="W191" s="152"/>
      <c r="X191" s="152"/>
      <c r="Y191" s="152" t="n">
        <v>0.002</v>
      </c>
      <c r="Z191" s="152"/>
      <c r="AA191" s="152"/>
      <c r="AB191" s="152" t="n">
        <f aca="false">N191-V191-Y191</f>
        <v>0.00693333333333334</v>
      </c>
      <c r="AC191" s="260" t="n">
        <v>0.009</v>
      </c>
      <c r="AD191" s="156" t="n">
        <f aca="false">IF(T191="","",T191)</f>
        <v>0.004021</v>
      </c>
      <c r="AE191" s="153"/>
      <c r="AF191" s="494"/>
      <c r="AH191" s="19" t="str">
        <f aca="false">IF(AF191="","N","Y")</f>
        <v>N</v>
      </c>
      <c r="AI191" s="63" t="s">
        <v>96</v>
      </c>
      <c r="AJ191" s="63" t="s">
        <v>97</v>
      </c>
      <c r="AK191" s="19"/>
      <c r="AL191" s="63" t="s">
        <v>98</v>
      </c>
    </row>
    <row r="192" customFormat="false" ht="16.5" hidden="false" customHeight="true" outlineLevel="0" collapsed="false">
      <c r="A192" s="19" t="n">
        <v>136</v>
      </c>
      <c r="B192" s="141" t="n">
        <v>43082</v>
      </c>
      <c r="C192" s="142" t="n">
        <v>43082</v>
      </c>
      <c r="D192" s="142" t="n">
        <v>43115</v>
      </c>
      <c r="E192" s="19" t="n">
        <f aca="false">D192-C192</f>
        <v>33</v>
      </c>
      <c r="F192" s="100" t="n">
        <f aca="false">TRUNC(E192/30,0)</f>
        <v>1</v>
      </c>
      <c r="G192" s="189" t="s">
        <v>99</v>
      </c>
      <c r="H192" s="146" t="n">
        <v>50</v>
      </c>
      <c r="I192" s="147"/>
      <c r="J192" s="148"/>
      <c r="K192" s="149"/>
      <c r="L192" s="152" t="n">
        <v>0.011825</v>
      </c>
      <c r="M192" s="151"/>
      <c r="N192" s="152" t="n">
        <f aca="false">AVERAGE(0.012,0.0122,0.0125)</f>
        <v>0.0122333333333333</v>
      </c>
      <c r="O192" s="151"/>
      <c r="P192" s="152"/>
      <c r="Q192" s="152"/>
      <c r="R192" s="152"/>
      <c r="S192" s="152"/>
      <c r="T192" s="153" t="n">
        <v>0.005178</v>
      </c>
      <c r="U192" s="152"/>
      <c r="V192" s="152" t="n">
        <v>0.0033</v>
      </c>
      <c r="W192" s="152"/>
      <c r="X192" s="152"/>
      <c r="Y192" s="152" t="n">
        <v>0.002</v>
      </c>
      <c r="Z192" s="152"/>
      <c r="AA192" s="152"/>
      <c r="AB192" s="152" t="n">
        <f aca="false">N192-V192-Y192</f>
        <v>0.00693333333333334</v>
      </c>
      <c r="AC192" s="260" t="n">
        <v>0.009</v>
      </c>
      <c r="AD192" s="156" t="n">
        <f aca="false">IF(T192="","",T192)</f>
        <v>0.005178</v>
      </c>
      <c r="AE192" s="153"/>
      <c r="AF192" s="494"/>
      <c r="AH192" s="19" t="str">
        <f aca="false">IF(AF192="","N","Y")</f>
        <v>N</v>
      </c>
      <c r="AI192" s="63" t="s">
        <v>96</v>
      </c>
      <c r="AJ192" s="63" t="s">
        <v>97</v>
      </c>
      <c r="AK192" s="19"/>
      <c r="AL192" s="63" t="s">
        <v>98</v>
      </c>
    </row>
    <row r="193" customFormat="false" ht="16.5" hidden="false" customHeight="true" outlineLevel="0" collapsed="false">
      <c r="A193" s="19" t="n">
        <v>137</v>
      </c>
      <c r="B193" s="141" t="n">
        <v>43083</v>
      </c>
      <c r="C193" s="142" t="n">
        <v>43083</v>
      </c>
      <c r="D193" s="142" t="n">
        <v>43265</v>
      </c>
      <c r="E193" s="19" t="n">
        <f aca="false">D193-C193</f>
        <v>182</v>
      </c>
      <c r="F193" s="100" t="n">
        <f aca="false">TRUNC(E193/30,0)</f>
        <v>6</v>
      </c>
      <c r="G193" s="183" t="s">
        <v>95</v>
      </c>
      <c r="H193" s="146" t="n">
        <v>2</v>
      </c>
      <c r="I193" s="147"/>
      <c r="J193" s="148"/>
      <c r="K193" s="149"/>
      <c r="L193" s="152" t="n">
        <v>0.0175575</v>
      </c>
      <c r="M193" s="151"/>
      <c r="N193" s="152" t="n">
        <f aca="false">AVERAGE(0.0218,0.019,0.0225)</f>
        <v>0.0211</v>
      </c>
      <c r="O193" s="151"/>
      <c r="P193" s="152"/>
      <c r="Q193" s="152"/>
      <c r="R193" s="152"/>
      <c r="S193" s="152"/>
      <c r="T193" s="153" t="n">
        <v>0.01358</v>
      </c>
      <c r="U193" s="152"/>
      <c r="V193" s="152" t="n">
        <v>0.002</v>
      </c>
      <c r="W193" s="152"/>
      <c r="X193" s="152"/>
      <c r="Y193" s="152" t="n">
        <v>0.002</v>
      </c>
      <c r="Z193" s="152"/>
      <c r="AA193" s="152"/>
      <c r="AB193" s="152" t="n">
        <f aca="false">N193-V193-Y193</f>
        <v>0.0171</v>
      </c>
      <c r="AC193" s="260" t="n">
        <v>0.017</v>
      </c>
      <c r="AD193" s="156" t="n">
        <f aca="false">IF(T193="","",T193)</f>
        <v>0.01358</v>
      </c>
      <c r="AE193" s="153"/>
      <c r="AF193" s="494"/>
      <c r="AH193" s="19" t="str">
        <f aca="false">IF(AF193="","N","Y")</f>
        <v>N</v>
      </c>
      <c r="AI193" s="63" t="s">
        <v>165</v>
      </c>
      <c r="AJ193" s="63" t="s">
        <v>166</v>
      </c>
      <c r="AK193" s="19"/>
      <c r="AL193" s="63" t="s">
        <v>60</v>
      </c>
    </row>
    <row r="194" customFormat="false" ht="16.5" hidden="false" customHeight="true" outlineLevel="0" collapsed="false">
      <c r="A194" s="19" t="n">
        <v>138</v>
      </c>
      <c r="B194" s="141" t="n">
        <v>43083</v>
      </c>
      <c r="C194" s="142" t="n">
        <v>43083</v>
      </c>
      <c r="D194" s="142" t="n">
        <v>43448</v>
      </c>
      <c r="E194" s="19" t="n">
        <f aca="false">D194-C194</f>
        <v>365</v>
      </c>
      <c r="F194" s="100" t="n">
        <f aca="false">TRUNC(E194/30,0)</f>
        <v>12</v>
      </c>
      <c r="G194" s="183" t="s">
        <v>95</v>
      </c>
      <c r="H194" s="146" t="n">
        <v>2</v>
      </c>
      <c r="I194" s="147"/>
      <c r="J194" s="148"/>
      <c r="K194" s="149"/>
      <c r="L194" s="152" t="n">
        <v>0.0203856</v>
      </c>
      <c r="M194" s="151"/>
      <c r="N194" s="152" t="n">
        <f aca="false">AVERAGE(0.025,0.026,0.0234)</f>
        <v>0.0248</v>
      </c>
      <c r="O194" s="151"/>
      <c r="P194" s="152"/>
      <c r="Q194" s="152"/>
      <c r="R194" s="152"/>
      <c r="S194" s="152"/>
      <c r="T194" s="153" t="n">
        <v>0.014966</v>
      </c>
      <c r="U194" s="152"/>
      <c r="V194" s="152" t="n">
        <v>0.002</v>
      </c>
      <c r="W194" s="152"/>
      <c r="X194" s="152"/>
      <c r="Y194" s="152" t="n">
        <v>0.002</v>
      </c>
      <c r="Z194" s="152"/>
      <c r="AA194" s="152"/>
      <c r="AB194" s="152" t="n">
        <f aca="false">N194-V194-Y194</f>
        <v>0.0208</v>
      </c>
      <c r="AC194" s="260" t="n">
        <v>0.02</v>
      </c>
      <c r="AD194" s="156" t="n">
        <f aca="false">IF(T194="","",T194)</f>
        <v>0.014966</v>
      </c>
      <c r="AE194" s="153"/>
      <c r="AF194" s="494"/>
      <c r="AH194" s="19" t="str">
        <f aca="false">IF(AF194="","N","Y")</f>
        <v>N</v>
      </c>
      <c r="AI194" s="63" t="s">
        <v>165</v>
      </c>
      <c r="AJ194" s="63" t="s">
        <v>166</v>
      </c>
      <c r="AK194" s="19"/>
      <c r="AL194" s="63" t="s">
        <v>60</v>
      </c>
    </row>
    <row r="195" customFormat="false" ht="16.5" hidden="false" customHeight="true" outlineLevel="0" collapsed="false">
      <c r="A195" s="19" t="n">
        <v>1</v>
      </c>
      <c r="B195" s="141" t="n">
        <v>43110</v>
      </c>
      <c r="C195" s="142" t="n">
        <v>43110</v>
      </c>
      <c r="D195" s="142" t="n">
        <v>43129</v>
      </c>
      <c r="E195" s="19" t="n">
        <f aca="false">D195-C195</f>
        <v>19</v>
      </c>
      <c r="F195" s="100" t="n">
        <f aca="false">TRUNC(E195/30,0)</f>
        <v>0</v>
      </c>
      <c r="G195" s="183" t="s">
        <v>95</v>
      </c>
      <c r="H195" s="146" t="n">
        <v>50</v>
      </c>
      <c r="I195" s="147"/>
      <c r="J195" s="148"/>
      <c r="K195" s="149"/>
      <c r="L195" s="152" t="n">
        <v>0.0146438</v>
      </c>
      <c r="M195" s="151"/>
      <c r="N195" s="152" t="n">
        <f aca="false">AVERAGE(0.0147,0.016,0.0155)</f>
        <v>0.0154</v>
      </c>
      <c r="O195" s="151"/>
      <c r="P195" s="152"/>
      <c r="Q195" s="152"/>
      <c r="R195" s="152"/>
      <c r="S195" s="152"/>
      <c r="T195" s="153" t="n">
        <v>0.007556</v>
      </c>
      <c r="U195" s="152"/>
      <c r="V195" s="152" t="n">
        <v>0.002</v>
      </c>
      <c r="W195" s="152"/>
      <c r="X195" s="152"/>
      <c r="Y195" s="152" t="n">
        <v>0.002</v>
      </c>
      <c r="Z195" s="152"/>
      <c r="AA195" s="152"/>
      <c r="AB195" s="152" t="n">
        <f aca="false">N195-V195-Y195</f>
        <v>0.0114</v>
      </c>
      <c r="AC195" s="260" t="n">
        <v>0.011</v>
      </c>
      <c r="AD195" s="156" t="n">
        <f aca="false">IF(T195="","",T195)</f>
        <v>0.007556</v>
      </c>
      <c r="AE195" s="153"/>
      <c r="AF195" s="494"/>
      <c r="AH195" s="19" t="str">
        <f aca="false">IF(AF195="","N","Y")</f>
        <v>N</v>
      </c>
      <c r="AI195" s="63" t="s">
        <v>100</v>
      </c>
      <c r="AJ195" s="63" t="s">
        <v>101</v>
      </c>
      <c r="AK195" s="19"/>
      <c r="AL195" s="63" t="s">
        <v>102</v>
      </c>
    </row>
    <row r="196" customFormat="false" ht="16.5" hidden="false" customHeight="true" outlineLevel="0" collapsed="false">
      <c r="A196" s="19" t="n">
        <v>2</v>
      </c>
      <c r="B196" s="141" t="n">
        <v>43115</v>
      </c>
      <c r="C196" s="142" t="n">
        <v>43115</v>
      </c>
      <c r="D196" s="142" t="n">
        <v>43146</v>
      </c>
      <c r="E196" s="19" t="n">
        <f aca="false">D196-C196</f>
        <v>31</v>
      </c>
      <c r="F196" s="100" t="n">
        <f aca="false">TRUNC(E196/30,0)</f>
        <v>1</v>
      </c>
      <c r="G196" s="189" t="s">
        <v>99</v>
      </c>
      <c r="H196" s="146" t="n">
        <v>20</v>
      </c>
      <c r="I196" s="147"/>
      <c r="J196" s="148"/>
      <c r="K196" s="149"/>
      <c r="L196" s="152" t="n">
        <v>0.014375</v>
      </c>
      <c r="M196" s="151"/>
      <c r="N196" s="152" t="n">
        <v>0.0147</v>
      </c>
      <c r="O196" s="151"/>
      <c r="P196" s="152"/>
      <c r="Q196" s="152"/>
      <c r="R196" s="152"/>
      <c r="S196" s="152"/>
      <c r="T196" s="153" t="n">
        <v>0.005569</v>
      </c>
      <c r="U196" s="152"/>
      <c r="V196" s="152" t="n">
        <v>0.0033</v>
      </c>
      <c r="W196" s="152"/>
      <c r="X196" s="152"/>
      <c r="Y196" s="152" t="n">
        <v>0.002</v>
      </c>
      <c r="Z196" s="152"/>
      <c r="AA196" s="152"/>
      <c r="AB196" s="152" t="n">
        <f aca="false">N196-V196-Y196</f>
        <v>0.0094</v>
      </c>
      <c r="AC196" s="260" t="n">
        <v>0.009</v>
      </c>
      <c r="AD196" s="156" t="n">
        <f aca="false">IF(T196="","",T196)</f>
        <v>0.005569</v>
      </c>
      <c r="AE196" s="153"/>
      <c r="AF196" s="494"/>
      <c r="AH196" s="19" t="str">
        <f aca="false">IF(AF196="","N","Y")</f>
        <v>N</v>
      </c>
      <c r="AI196" s="63" t="s">
        <v>89</v>
      </c>
      <c r="AJ196" s="63" t="s">
        <v>167</v>
      </c>
      <c r="AK196" s="19"/>
      <c r="AL196" s="63" t="s">
        <v>168</v>
      </c>
    </row>
    <row r="197" customFormat="false" ht="16.5" hidden="false" customHeight="true" outlineLevel="0" collapsed="false">
      <c r="A197" s="19" t="n">
        <v>3</v>
      </c>
      <c r="B197" s="141" t="n">
        <v>43115</v>
      </c>
      <c r="C197" s="142" t="n">
        <v>43115</v>
      </c>
      <c r="D197" s="142" t="n">
        <v>43250</v>
      </c>
      <c r="E197" s="19" t="n">
        <f aca="false">D197-C197</f>
        <v>135</v>
      </c>
      <c r="F197" s="100" t="n">
        <f aca="false">TRUNC(E197/30,0)</f>
        <v>4</v>
      </c>
      <c r="G197" s="183" t="s">
        <v>95</v>
      </c>
      <c r="H197" s="146" t="n">
        <v>20</v>
      </c>
      <c r="I197" s="147"/>
      <c r="J197" s="148"/>
      <c r="K197" s="149"/>
      <c r="L197" s="152" t="n">
        <v>0.0172152</v>
      </c>
      <c r="M197" s="151"/>
      <c r="N197" s="152" t="n">
        <f aca="false">AVERAGE(0.0232,0.022,0.022)</f>
        <v>0.0224</v>
      </c>
      <c r="O197" s="151"/>
      <c r="P197" s="152"/>
      <c r="Q197" s="152"/>
      <c r="R197" s="152"/>
      <c r="S197" s="152"/>
      <c r="T197" s="153" t="n">
        <v>0.013288</v>
      </c>
      <c r="U197" s="152"/>
      <c r="V197" s="152" t="n">
        <v>0.0033</v>
      </c>
      <c r="W197" s="152"/>
      <c r="X197" s="152"/>
      <c r="Y197" s="152" t="n">
        <v>0.002</v>
      </c>
      <c r="Z197" s="152"/>
      <c r="AA197" s="152"/>
      <c r="AB197" s="152" t="n">
        <f aca="false">N197-V197-Y197</f>
        <v>0.0171</v>
      </c>
      <c r="AC197" s="260" t="n">
        <v>0.017</v>
      </c>
      <c r="AD197" s="156" t="n">
        <f aca="false">IF(T197="","",T197)</f>
        <v>0.013288</v>
      </c>
      <c r="AE197" s="153"/>
      <c r="AF197" s="494"/>
      <c r="AH197" s="19" t="str">
        <f aca="false">IF(AF197="","N","Y")</f>
        <v>N</v>
      </c>
      <c r="AI197" s="63" t="s">
        <v>89</v>
      </c>
      <c r="AJ197" s="63" t="s">
        <v>167</v>
      </c>
      <c r="AK197" s="19"/>
      <c r="AL197" s="63" t="s">
        <v>168</v>
      </c>
    </row>
    <row r="198" customFormat="false" ht="16.5" hidden="false" customHeight="true" outlineLevel="0" collapsed="false">
      <c r="A198" s="19" t="n">
        <v>4</v>
      </c>
      <c r="B198" s="141" t="n">
        <v>43115</v>
      </c>
      <c r="C198" s="142" t="n">
        <v>43115</v>
      </c>
      <c r="D198" s="142" t="n">
        <v>43174</v>
      </c>
      <c r="E198" s="19" t="n">
        <f aca="false">D198-C198</f>
        <v>59</v>
      </c>
      <c r="F198" s="100" t="n">
        <f aca="false">TRUNC(E198/30,0)</f>
        <v>1</v>
      </c>
      <c r="G198" s="183" t="s">
        <v>95</v>
      </c>
      <c r="H198" s="146" t="n">
        <v>20</v>
      </c>
      <c r="I198" s="147"/>
      <c r="J198" s="148"/>
      <c r="K198" s="149"/>
      <c r="L198" s="152" t="n">
        <v>0.0163065</v>
      </c>
      <c r="M198" s="151"/>
      <c r="N198" s="152" t="n">
        <f aca="false">AVERAGE(0.02,0.02,0.019)</f>
        <v>0.0196666666666667</v>
      </c>
      <c r="O198" s="151"/>
      <c r="P198" s="152"/>
      <c r="Q198" s="152"/>
      <c r="R198" s="152"/>
      <c r="S198" s="152"/>
      <c r="T198" s="153" t="n">
        <v>0.010654</v>
      </c>
      <c r="U198" s="152"/>
      <c r="V198" s="152" t="n">
        <v>0.002</v>
      </c>
      <c r="W198" s="152"/>
      <c r="X198" s="152"/>
      <c r="Y198" s="152" t="n">
        <v>0.002</v>
      </c>
      <c r="Z198" s="152"/>
      <c r="AA198" s="152"/>
      <c r="AB198" s="152" t="n">
        <f aca="false">N198-V198-Y198</f>
        <v>0.0156666666666667</v>
      </c>
      <c r="AC198" s="260" t="n">
        <v>0.0155</v>
      </c>
      <c r="AD198" s="156" t="n">
        <f aca="false">IF(T198="","",T198)</f>
        <v>0.010654</v>
      </c>
      <c r="AE198" s="153"/>
      <c r="AF198" s="494"/>
      <c r="AH198" s="19" t="str">
        <f aca="false">IF(AF198="","N","Y")</f>
        <v>N</v>
      </c>
      <c r="AI198" s="63" t="s">
        <v>89</v>
      </c>
      <c r="AJ198" s="63" t="s">
        <v>167</v>
      </c>
      <c r="AK198" s="19"/>
      <c r="AL198" s="63" t="s">
        <v>168</v>
      </c>
    </row>
    <row r="199" customFormat="false" ht="16.5" hidden="false" customHeight="true" outlineLevel="0" collapsed="false">
      <c r="A199" s="19" t="n">
        <v>5</v>
      </c>
      <c r="B199" s="141" t="n">
        <v>43119</v>
      </c>
      <c r="C199" s="142" t="n">
        <v>43119</v>
      </c>
      <c r="D199" s="142" t="n">
        <v>43209</v>
      </c>
      <c r="E199" s="19" t="n">
        <f aca="false">D199-C199</f>
        <v>90</v>
      </c>
      <c r="F199" s="100" t="n">
        <f aca="false">TRUNC(E199/30,0)</f>
        <v>3</v>
      </c>
      <c r="G199" s="183" t="s">
        <v>95</v>
      </c>
      <c r="H199" s="146" t="n">
        <v>3</v>
      </c>
      <c r="I199" s="147"/>
      <c r="J199" s="148"/>
      <c r="K199" s="149"/>
      <c r="L199" s="152" t="n">
        <v>0.017447</v>
      </c>
      <c r="M199" s="151"/>
      <c r="N199" s="152" t="n">
        <f aca="false">AVERAGE(0.0205,0.0235,0.0183)</f>
        <v>0.0207666666666667</v>
      </c>
      <c r="O199" s="151"/>
      <c r="P199" s="152"/>
      <c r="Q199" s="152"/>
      <c r="R199" s="152"/>
      <c r="S199" s="152"/>
      <c r="T199" s="153" t="n">
        <v>0.012973</v>
      </c>
      <c r="U199" s="152"/>
      <c r="V199" s="152" t="n">
        <v>0.002</v>
      </c>
      <c r="W199" s="152"/>
      <c r="X199" s="152"/>
      <c r="Y199" s="152" t="n">
        <v>0.002</v>
      </c>
      <c r="Z199" s="152"/>
      <c r="AA199" s="152"/>
      <c r="AB199" s="152" t="n">
        <f aca="false">N199-V199-Y199</f>
        <v>0.0167666666666667</v>
      </c>
      <c r="AC199" s="260" t="n">
        <v>0.015</v>
      </c>
      <c r="AD199" s="156" t="n">
        <f aca="false">IF(T199="","",T199)</f>
        <v>0.012973</v>
      </c>
      <c r="AE199" s="153"/>
      <c r="AF199" s="494"/>
      <c r="AH199" s="19" t="str">
        <f aca="false">IF(AF199="","N","Y")</f>
        <v>N</v>
      </c>
      <c r="AI199" s="63" t="s">
        <v>169</v>
      </c>
      <c r="AJ199" s="63" t="s">
        <v>170</v>
      </c>
      <c r="AK199" s="19"/>
      <c r="AL199" s="19"/>
    </row>
    <row r="200" customFormat="false" ht="16.5" hidden="false" customHeight="true" outlineLevel="0" collapsed="false">
      <c r="A200" s="19" t="n">
        <v>6</v>
      </c>
      <c r="B200" s="141" t="n">
        <v>43123</v>
      </c>
      <c r="C200" s="142" t="n">
        <v>43123</v>
      </c>
      <c r="D200" s="142" t="n">
        <v>43130</v>
      </c>
      <c r="E200" s="19" t="n">
        <f aca="false">D200-C200</f>
        <v>7</v>
      </c>
      <c r="F200" s="100" t="n">
        <f aca="false">TRUNC(E200/30,0)</f>
        <v>0</v>
      </c>
      <c r="G200" s="183" t="s">
        <v>95</v>
      </c>
      <c r="H200" s="146" t="n">
        <v>40</v>
      </c>
      <c r="I200" s="147"/>
      <c r="J200" s="148"/>
      <c r="K200" s="149"/>
      <c r="L200" s="152" t="n">
        <v>0.0146586</v>
      </c>
      <c r="M200" s="151"/>
      <c r="N200" s="152" t="n">
        <v>0.0147</v>
      </c>
      <c r="O200" s="151"/>
      <c r="P200" s="152"/>
      <c r="Q200" s="152"/>
      <c r="R200" s="152"/>
      <c r="S200" s="152"/>
      <c r="T200" s="153" t="n">
        <v>0.007569</v>
      </c>
      <c r="U200" s="152"/>
      <c r="V200" s="152" t="n">
        <v>0.002</v>
      </c>
      <c r="W200" s="152"/>
      <c r="X200" s="152"/>
      <c r="Y200" s="152" t="n">
        <v>0.002</v>
      </c>
      <c r="Z200" s="152"/>
      <c r="AA200" s="152"/>
      <c r="AB200" s="152" t="n">
        <f aca="false">N200-V200-Y200</f>
        <v>0.0107</v>
      </c>
      <c r="AC200" s="260" t="n">
        <v>0.009</v>
      </c>
      <c r="AD200" s="156" t="n">
        <f aca="false">IF(T200="","",T200)</f>
        <v>0.007569</v>
      </c>
      <c r="AE200" s="153"/>
      <c r="AF200" s="494"/>
      <c r="AH200" s="19" t="str">
        <f aca="false">IF(AF200="","N","Y")</f>
        <v>N</v>
      </c>
      <c r="AI200" s="63" t="s">
        <v>100</v>
      </c>
      <c r="AJ200" s="63" t="s">
        <v>101</v>
      </c>
      <c r="AK200" s="19"/>
      <c r="AL200" s="63" t="s">
        <v>102</v>
      </c>
    </row>
    <row r="201" customFormat="false" ht="16.5" hidden="false" customHeight="true" outlineLevel="0" collapsed="false">
      <c r="A201" s="19" t="n">
        <v>7</v>
      </c>
      <c r="B201" s="141" t="n">
        <v>43129</v>
      </c>
      <c r="C201" s="142" t="n">
        <v>43136</v>
      </c>
      <c r="D201" s="142" t="n">
        <v>43164</v>
      </c>
      <c r="E201" s="19" t="n">
        <f aca="false">D201-C201</f>
        <v>28</v>
      </c>
      <c r="F201" s="100" t="n">
        <f aca="false">TRUNC(E201/30,0)</f>
        <v>0</v>
      </c>
      <c r="G201" s="189" t="s">
        <v>99</v>
      </c>
      <c r="H201" s="146" t="n">
        <v>100</v>
      </c>
      <c r="I201" s="147"/>
      <c r="J201" s="148"/>
      <c r="K201" s="149"/>
      <c r="L201" s="152" t="n">
        <v>0.017669</v>
      </c>
      <c r="M201" s="151"/>
      <c r="N201" s="152" t="n">
        <v>0.0147</v>
      </c>
      <c r="O201" s="151"/>
      <c r="P201" s="152"/>
      <c r="Q201" s="152"/>
      <c r="R201" s="152"/>
      <c r="S201" s="152"/>
      <c r="T201" s="153" t="n">
        <v>0.007569</v>
      </c>
      <c r="U201" s="152"/>
      <c r="V201" s="152" t="n">
        <v>0.0033</v>
      </c>
      <c r="W201" s="152"/>
      <c r="X201" s="152"/>
      <c r="Y201" s="152" t="n">
        <v>0.002</v>
      </c>
      <c r="Z201" s="152"/>
      <c r="AA201" s="152"/>
      <c r="AB201" s="152" t="n">
        <f aca="false">N201-V201-Y201</f>
        <v>0.0094</v>
      </c>
      <c r="AC201" s="260" t="n">
        <v>0.009</v>
      </c>
      <c r="AD201" s="156" t="n">
        <f aca="false">IF(T201="","",T201)</f>
        <v>0.007569</v>
      </c>
      <c r="AE201" s="153"/>
      <c r="AF201" s="494"/>
      <c r="AH201" s="19" t="str">
        <f aca="false">IF(AF201="","N","Y")</f>
        <v>N</v>
      </c>
      <c r="AI201" s="63" t="s">
        <v>96</v>
      </c>
      <c r="AJ201" s="63" t="s">
        <v>171</v>
      </c>
      <c r="AK201" s="19"/>
      <c r="AL201" s="19" t="s">
        <v>112</v>
      </c>
      <c r="AM201" s="979" t="s">
        <v>172</v>
      </c>
    </row>
    <row r="202" customFormat="false" ht="16.5" hidden="false" customHeight="true" outlineLevel="0" collapsed="false">
      <c r="A202" s="19" t="n">
        <v>8</v>
      </c>
      <c r="B202" s="141" t="n">
        <v>43129</v>
      </c>
      <c r="C202" s="142" t="n">
        <v>43129</v>
      </c>
      <c r="D202" s="142" t="n">
        <v>43159</v>
      </c>
      <c r="E202" s="19" t="n">
        <f aca="false">D202-C202</f>
        <v>30</v>
      </c>
      <c r="F202" s="100" t="n">
        <f aca="false">TRUNC(E202/30,0)</f>
        <v>1</v>
      </c>
      <c r="G202" s="189" t="s">
        <v>99</v>
      </c>
      <c r="H202" s="146" t="n">
        <v>50</v>
      </c>
      <c r="I202" s="147"/>
      <c r="J202" s="197"/>
      <c r="K202" s="151"/>
      <c r="L202" s="152" t="n">
        <v>0.017669</v>
      </c>
      <c r="M202" s="151"/>
      <c r="N202" s="152" t="n">
        <v>0.0147</v>
      </c>
      <c r="O202" s="151"/>
      <c r="P202" s="152"/>
      <c r="Q202" s="152"/>
      <c r="R202" s="152"/>
      <c r="S202" s="152"/>
      <c r="T202" s="153" t="n">
        <v>0.007569</v>
      </c>
      <c r="U202" s="152"/>
      <c r="V202" s="152" t="n">
        <v>0.0033</v>
      </c>
      <c r="W202" s="152"/>
      <c r="X202" s="152"/>
      <c r="Y202" s="152" t="n">
        <v>0.002</v>
      </c>
      <c r="Z202" s="152"/>
      <c r="AA202" s="152"/>
      <c r="AB202" s="152" t="n">
        <f aca="false">N202-V202-Y202</f>
        <v>0.0094</v>
      </c>
      <c r="AC202" s="260" t="n">
        <v>0.0105</v>
      </c>
      <c r="AD202" s="156" t="n">
        <f aca="false">IF(T202="","",T202)</f>
        <v>0.007569</v>
      </c>
      <c r="AE202" s="153"/>
      <c r="AF202" s="494"/>
      <c r="AH202" s="19" t="str">
        <f aca="false">IF(AF202="","N","Y")</f>
        <v>N</v>
      </c>
      <c r="AI202" s="63" t="s">
        <v>96</v>
      </c>
      <c r="AJ202" s="63" t="s">
        <v>97</v>
      </c>
      <c r="AK202" s="19"/>
      <c r="AL202" s="63" t="s">
        <v>98</v>
      </c>
    </row>
    <row r="203" customFormat="false" ht="16.5" hidden="false" customHeight="true" outlineLevel="0" collapsed="false">
      <c r="A203" s="19" t="n">
        <v>9</v>
      </c>
      <c r="B203" s="141" t="n">
        <v>43132</v>
      </c>
      <c r="C203" s="142" t="n">
        <v>43132</v>
      </c>
      <c r="D203" s="142" t="n">
        <v>43152</v>
      </c>
      <c r="E203" s="19" t="n">
        <f aca="false">D203-C203</f>
        <v>20</v>
      </c>
      <c r="F203" s="100" t="n">
        <f aca="false">TRUNC(E203/30,0)</f>
        <v>0</v>
      </c>
      <c r="G203" s="183" t="s">
        <v>95</v>
      </c>
      <c r="H203" s="146" t="n">
        <v>30</v>
      </c>
      <c r="I203" s="147"/>
      <c r="J203" s="197" t="n">
        <v>0.013</v>
      </c>
      <c r="K203" s="151"/>
      <c r="L203" s="152" t="n">
        <v>0.015797</v>
      </c>
      <c r="M203" s="151"/>
      <c r="N203" s="152" t="n">
        <f aca="false">AVERAGE(0.016,0.0165)</f>
        <v>0.01625</v>
      </c>
      <c r="O203" s="151"/>
      <c r="P203" s="152"/>
      <c r="Q203" s="152"/>
      <c r="R203" s="152"/>
      <c r="S203" s="152"/>
      <c r="T203" s="153" t="n">
        <v>0.007609</v>
      </c>
      <c r="U203" s="152"/>
      <c r="V203" s="152" t="n">
        <v>0.002</v>
      </c>
      <c r="W203" s="152"/>
      <c r="X203" s="152"/>
      <c r="Y203" s="152" t="n">
        <v>0.002</v>
      </c>
      <c r="Z203" s="152"/>
      <c r="AA203" s="152"/>
      <c r="AB203" s="152" t="n">
        <f aca="false">N203-V203-Y203</f>
        <v>0.01225</v>
      </c>
      <c r="AC203" s="260" t="n">
        <v>0.0145</v>
      </c>
      <c r="AD203" s="156" t="n">
        <f aca="false">IF(T203="","",T203)</f>
        <v>0.007609</v>
      </c>
      <c r="AE203" s="153"/>
      <c r="AF203" s="494"/>
      <c r="AH203" s="19" t="str">
        <f aca="false">IF(AF203="","N","Y")</f>
        <v>N</v>
      </c>
      <c r="AI203" s="63" t="s">
        <v>96</v>
      </c>
      <c r="AJ203" s="63" t="s">
        <v>97</v>
      </c>
      <c r="AK203" s="19"/>
      <c r="AL203" s="63" t="s">
        <v>98</v>
      </c>
      <c r="AM203" s="979" t="s">
        <v>173</v>
      </c>
    </row>
    <row r="204" customFormat="false" ht="16.5" hidden="false" customHeight="true" outlineLevel="0" collapsed="false">
      <c r="A204" s="19" t="n">
        <v>10</v>
      </c>
      <c r="B204" s="141" t="n">
        <v>43137</v>
      </c>
      <c r="C204" s="142" t="n">
        <v>43137</v>
      </c>
      <c r="D204" s="142"/>
      <c r="E204" s="19"/>
      <c r="F204" s="100" t="n">
        <f aca="false">TRUNC(E204/30,0)</f>
        <v>0</v>
      </c>
      <c r="G204" s="189" t="s">
        <v>99</v>
      </c>
      <c r="H204" s="146" t="n">
        <v>8</v>
      </c>
      <c r="I204" s="147"/>
      <c r="J204" s="148"/>
      <c r="K204" s="149"/>
      <c r="L204" s="152" t="n">
        <v>0.0146871</v>
      </c>
      <c r="M204" s="151"/>
      <c r="N204" s="152" t="n">
        <v>0.0147</v>
      </c>
      <c r="O204" s="151"/>
      <c r="P204" s="152"/>
      <c r="Q204" s="152"/>
      <c r="R204" s="152"/>
      <c r="S204" s="152"/>
      <c r="T204" s="153" t="n">
        <v>0.005596</v>
      </c>
      <c r="U204" s="152"/>
      <c r="V204" s="152" t="n">
        <v>0.0033</v>
      </c>
      <c r="W204" s="152"/>
      <c r="X204" s="152"/>
      <c r="Y204" s="152" t="n">
        <v>0.002</v>
      </c>
      <c r="Z204" s="152"/>
      <c r="AA204" s="152"/>
      <c r="AB204" s="152" t="n">
        <f aca="false">N204-V204-Y204</f>
        <v>0.0094</v>
      </c>
      <c r="AC204" s="260" t="n">
        <v>0.0085</v>
      </c>
      <c r="AD204" s="156" t="n">
        <f aca="false">IF(T204="","",T204)</f>
        <v>0.005596</v>
      </c>
      <c r="AE204" s="153"/>
      <c r="AF204" s="494"/>
      <c r="AG204" s="35" t="n">
        <v>2</v>
      </c>
      <c r="AH204" s="19" t="str">
        <f aca="false">IF(AF204="","N","Y")</f>
        <v>N</v>
      </c>
      <c r="AI204" s="63" t="s">
        <v>103</v>
      </c>
      <c r="AJ204" s="63" t="s">
        <v>111</v>
      </c>
      <c r="AK204" s="19"/>
      <c r="AL204" s="63" t="s">
        <v>174</v>
      </c>
      <c r="AM204" s="979" t="s">
        <v>175</v>
      </c>
      <c r="AO204" s="38" t="n">
        <v>1002</v>
      </c>
    </row>
    <row r="205" customFormat="false" ht="16.5" hidden="false" customHeight="true" outlineLevel="0" collapsed="false">
      <c r="A205" s="19" t="n">
        <v>11</v>
      </c>
      <c r="B205" s="141" t="n">
        <v>43137</v>
      </c>
      <c r="C205" s="142" t="n">
        <v>43137</v>
      </c>
      <c r="D205" s="142"/>
      <c r="E205" s="19"/>
      <c r="F205" s="100" t="n">
        <f aca="false">TRUNC(E205/30,0)</f>
        <v>0</v>
      </c>
      <c r="G205" s="189" t="s">
        <v>99</v>
      </c>
      <c r="H205" s="146" t="n">
        <v>3.5</v>
      </c>
      <c r="I205" s="147"/>
      <c r="J205" s="148"/>
      <c r="K205" s="149"/>
      <c r="L205" s="152" t="n">
        <v>0.0146871</v>
      </c>
      <c r="M205" s="151"/>
      <c r="N205" s="152" t="n">
        <v>0.0147</v>
      </c>
      <c r="O205" s="151"/>
      <c r="P205" s="152"/>
      <c r="Q205" s="152"/>
      <c r="R205" s="152"/>
      <c r="S205" s="152"/>
      <c r="T205" s="153" t="n">
        <v>0.005596</v>
      </c>
      <c r="U205" s="152"/>
      <c r="V205" s="152" t="n">
        <v>0.0033</v>
      </c>
      <c r="W205" s="152"/>
      <c r="X205" s="152"/>
      <c r="Y205" s="152" t="n">
        <v>0.002</v>
      </c>
      <c r="Z205" s="152"/>
      <c r="AA205" s="152"/>
      <c r="AB205" s="152" t="n">
        <f aca="false">N205-V205-Y205</f>
        <v>0.0094</v>
      </c>
      <c r="AC205" s="260" t="n">
        <v>0.0085</v>
      </c>
      <c r="AD205" s="156" t="n">
        <f aca="false">IF(T205="","",T205)</f>
        <v>0.005596</v>
      </c>
      <c r="AE205" s="153"/>
      <c r="AF205" s="494"/>
      <c r="AG205" s="35" t="n">
        <v>3</v>
      </c>
      <c r="AH205" s="19" t="str">
        <f aca="false">IF(AF205="","N","Y")</f>
        <v>N</v>
      </c>
      <c r="AI205" s="63" t="s">
        <v>103</v>
      </c>
      <c r="AJ205" s="63" t="s">
        <v>111</v>
      </c>
      <c r="AK205" s="19"/>
      <c r="AL205" s="63" t="s">
        <v>176</v>
      </c>
      <c r="AM205" s="979" t="s">
        <v>175</v>
      </c>
      <c r="AO205" s="38" t="n">
        <v>1003</v>
      </c>
    </row>
    <row r="206" customFormat="false" ht="16.5" hidden="false" customHeight="true" outlineLevel="0" collapsed="false">
      <c r="A206" s="19" t="n">
        <v>12</v>
      </c>
      <c r="B206" s="141" t="n">
        <v>43144</v>
      </c>
      <c r="C206" s="142" t="n">
        <v>43144</v>
      </c>
      <c r="D206" s="142" t="n">
        <v>43172</v>
      </c>
      <c r="E206" s="19" t="n">
        <f aca="false">D206-C206</f>
        <v>28</v>
      </c>
      <c r="F206" s="100" t="n">
        <f aca="false">TRUNC(E206/30,0)</f>
        <v>0</v>
      </c>
      <c r="G206" s="183" t="s">
        <v>95</v>
      </c>
      <c r="H206" s="146" t="n">
        <v>10</v>
      </c>
      <c r="I206" s="147"/>
      <c r="J206" s="197" t="n">
        <v>0.017</v>
      </c>
      <c r="K206" s="151"/>
      <c r="L206" s="152" t="n">
        <v>0.0183338</v>
      </c>
      <c r="M206" s="151"/>
      <c r="N206" s="152" t="n">
        <v>0.0165</v>
      </c>
      <c r="O206" s="151"/>
      <c r="P206" s="152"/>
      <c r="Q206" s="152"/>
      <c r="R206" s="152"/>
      <c r="S206" s="152"/>
      <c r="T206" s="153" t="n">
        <v>0.010232</v>
      </c>
      <c r="U206" s="152"/>
      <c r="V206" s="152" t="n">
        <v>0.002</v>
      </c>
      <c r="W206" s="152"/>
      <c r="X206" s="152"/>
      <c r="Y206" s="152" t="n">
        <v>0.002</v>
      </c>
      <c r="Z206" s="152"/>
      <c r="AA206" s="152"/>
      <c r="AB206" s="152" t="n">
        <f aca="false">N206-V206-Y206</f>
        <v>0.0125</v>
      </c>
      <c r="AC206" s="260" t="n">
        <v>0.015</v>
      </c>
      <c r="AD206" s="156" t="n">
        <f aca="false">IF(T206="","",T206)</f>
        <v>0.010232</v>
      </c>
      <c r="AE206" s="153"/>
      <c r="AF206" s="494"/>
      <c r="AH206" s="19" t="str">
        <f aca="false">IF(AF206="","N","Y")</f>
        <v>N</v>
      </c>
      <c r="AI206" s="63" t="s">
        <v>103</v>
      </c>
      <c r="AJ206" s="63" t="s">
        <v>177</v>
      </c>
      <c r="AK206" s="19"/>
      <c r="AL206" s="63" t="s">
        <v>178</v>
      </c>
      <c r="AM206" s="979" t="s">
        <v>179</v>
      </c>
    </row>
    <row r="207" customFormat="false" ht="16.5" hidden="false" customHeight="true" outlineLevel="0" collapsed="false">
      <c r="A207" s="19" t="n">
        <v>13</v>
      </c>
      <c r="B207" s="141" t="n">
        <v>43151</v>
      </c>
      <c r="C207" s="142" t="n">
        <v>43151</v>
      </c>
      <c r="D207" s="142" t="n">
        <v>43179</v>
      </c>
      <c r="E207" s="19" t="n">
        <f aca="false">D207-C207</f>
        <v>28</v>
      </c>
      <c r="F207" s="100" t="n">
        <f aca="false">TRUNC(E207/30,0)</f>
        <v>0</v>
      </c>
      <c r="G207" s="183" t="s">
        <v>95</v>
      </c>
      <c r="H207" s="146" t="n">
        <v>10</v>
      </c>
      <c r="I207" s="147"/>
      <c r="J207" s="197" t="n">
        <v>0.0155</v>
      </c>
      <c r="K207" s="151"/>
      <c r="L207" s="152" t="n">
        <v>0.0189</v>
      </c>
      <c r="M207" s="151"/>
      <c r="N207" s="152" t="n">
        <v>0.0165</v>
      </c>
      <c r="O207" s="151"/>
      <c r="P207" s="152"/>
      <c r="Q207" s="152"/>
      <c r="R207" s="152"/>
      <c r="S207" s="152"/>
      <c r="T207" s="153" t="n">
        <v>0.010232</v>
      </c>
      <c r="U207" s="152"/>
      <c r="V207" s="152" t="n">
        <v>0.002</v>
      </c>
      <c r="W207" s="152"/>
      <c r="X207" s="152"/>
      <c r="Y207" s="152" t="n">
        <v>0.002</v>
      </c>
      <c r="Z207" s="152"/>
      <c r="AA207" s="152"/>
      <c r="AB207" s="152" t="n">
        <f aca="false">N207-V207-Y207</f>
        <v>0.0125</v>
      </c>
      <c r="AC207" s="260" t="n">
        <v>0.016</v>
      </c>
      <c r="AD207" s="156" t="n">
        <f aca="false">IF(T207="","",T207)</f>
        <v>0.010232</v>
      </c>
      <c r="AE207" s="153"/>
      <c r="AF207" s="494"/>
      <c r="AH207" s="19" t="str">
        <f aca="false">IF(AF207="","N","Y")</f>
        <v>N</v>
      </c>
      <c r="AI207" s="63" t="s">
        <v>103</v>
      </c>
      <c r="AJ207" s="63" t="s">
        <v>154</v>
      </c>
      <c r="AK207" s="19"/>
      <c r="AL207" s="63" t="s">
        <v>178</v>
      </c>
      <c r="AM207" s="979" t="s">
        <v>180</v>
      </c>
    </row>
    <row r="208" customFormat="false" ht="16.5" hidden="false" customHeight="true" outlineLevel="0" collapsed="false">
      <c r="A208" s="19" t="n">
        <v>14</v>
      </c>
      <c r="B208" s="141" t="n">
        <v>43152</v>
      </c>
      <c r="C208" s="142" t="n">
        <v>43152</v>
      </c>
      <c r="D208" s="142" t="n">
        <v>43217</v>
      </c>
      <c r="E208" s="19" t="n">
        <f aca="false">D208-C208</f>
        <v>65</v>
      </c>
      <c r="F208" s="100" t="n">
        <f aca="false">TRUNC(E208/30,0)</f>
        <v>2</v>
      </c>
      <c r="G208" s="183" t="s">
        <v>95</v>
      </c>
      <c r="H208" s="146" t="n">
        <v>20</v>
      </c>
      <c r="I208" s="147"/>
      <c r="J208" s="197" t="n">
        <v>0.013</v>
      </c>
      <c r="K208" s="151"/>
      <c r="L208" s="152" t="n">
        <v>0.015797</v>
      </c>
      <c r="M208" s="151"/>
      <c r="N208" s="152" t="n">
        <f aca="false">AVERAGE(0.016,0.0165)</f>
        <v>0.01625</v>
      </c>
      <c r="O208" s="151"/>
      <c r="P208" s="152"/>
      <c r="Q208" s="152"/>
      <c r="R208" s="152"/>
      <c r="S208" s="152"/>
      <c r="T208" s="153" t="n">
        <v>0.007609</v>
      </c>
      <c r="U208" s="152"/>
      <c r="V208" s="152" t="n">
        <v>0.002</v>
      </c>
      <c r="W208" s="152"/>
      <c r="X208" s="152"/>
      <c r="Y208" s="152" t="n">
        <v>0.002</v>
      </c>
      <c r="Z208" s="152"/>
      <c r="AA208" s="152"/>
      <c r="AB208" s="152" t="n">
        <f aca="false">N208-V208-Y208</f>
        <v>0.01225</v>
      </c>
      <c r="AC208" s="260" t="n">
        <v>0.015</v>
      </c>
      <c r="AD208" s="156" t="n">
        <f aca="false">IF(T208="","",T208)</f>
        <v>0.007609</v>
      </c>
      <c r="AE208" s="153"/>
      <c r="AF208" s="494"/>
      <c r="AH208" s="19" t="str">
        <f aca="false">IF(AF208="","N","Y")</f>
        <v>N</v>
      </c>
      <c r="AI208" s="63" t="s">
        <v>96</v>
      </c>
      <c r="AJ208" s="63" t="s">
        <v>97</v>
      </c>
      <c r="AK208" s="19"/>
      <c r="AL208" s="63" t="s">
        <v>98</v>
      </c>
      <c r="AM208" s="977" t="s">
        <v>181</v>
      </c>
    </row>
    <row r="209" customFormat="false" ht="16.5" hidden="false" customHeight="true" outlineLevel="0" collapsed="false">
      <c r="A209" s="19" t="n">
        <v>15</v>
      </c>
      <c r="B209" s="141" t="n">
        <v>43154</v>
      </c>
      <c r="C209" s="142" t="n">
        <v>43154</v>
      </c>
      <c r="D209" s="142" t="n">
        <v>43243</v>
      </c>
      <c r="E209" s="19" t="n">
        <f aca="false">D209-C209</f>
        <v>89</v>
      </c>
      <c r="F209" s="100" t="n">
        <f aca="false">TRUNC(E209/30,0)</f>
        <v>2</v>
      </c>
      <c r="G209" s="183" t="s">
        <v>95</v>
      </c>
      <c r="H209" s="146" t="n">
        <v>50</v>
      </c>
      <c r="I209" s="147"/>
      <c r="J209" s="197" t="n">
        <v>0.0161</v>
      </c>
      <c r="K209" s="151"/>
      <c r="L209" s="152" t="n">
        <v>0.0176399</v>
      </c>
      <c r="M209" s="151"/>
      <c r="N209" s="152" t="n">
        <v>0.021</v>
      </c>
      <c r="O209" s="151"/>
      <c r="P209" s="152"/>
      <c r="Q209" s="152"/>
      <c r="R209" s="152"/>
      <c r="S209" s="152" t="n">
        <v>0.001791</v>
      </c>
      <c r="T209" s="153" t="n">
        <v>0.010557</v>
      </c>
      <c r="U209" s="152"/>
      <c r="V209" s="152" t="n">
        <v>0.002</v>
      </c>
      <c r="W209" s="152"/>
      <c r="X209" s="152"/>
      <c r="Y209" s="152" t="n">
        <v>0.002</v>
      </c>
      <c r="Z209" s="152"/>
      <c r="AA209" s="152"/>
      <c r="AB209" s="152" t="n">
        <f aca="false">N209-V209-Y209</f>
        <v>0.017</v>
      </c>
      <c r="AC209" s="260" t="n">
        <v>0.0175</v>
      </c>
      <c r="AD209" s="156" t="n">
        <f aca="false">IF(T209="","",T209)</f>
        <v>0.010557</v>
      </c>
      <c r="AE209" s="153"/>
      <c r="AF209" s="494"/>
      <c r="AH209" s="19" t="str">
        <f aca="false">IF(AF209="","N","Y")</f>
        <v>N</v>
      </c>
      <c r="AI209" s="63" t="s">
        <v>96</v>
      </c>
      <c r="AJ209" s="63" t="s">
        <v>142</v>
      </c>
      <c r="AK209" s="19"/>
      <c r="AL209" s="19" t="s">
        <v>112</v>
      </c>
      <c r="AM209" s="977" t="s">
        <v>182</v>
      </c>
    </row>
    <row r="210" customFormat="false" ht="16.5" hidden="false" customHeight="true" outlineLevel="0" collapsed="false">
      <c r="A210" s="19" t="n">
        <v>16</v>
      </c>
      <c r="B210" s="141" t="n">
        <v>43154</v>
      </c>
      <c r="C210" s="142" t="n">
        <v>43154</v>
      </c>
      <c r="D210" s="142" t="n">
        <v>43213</v>
      </c>
      <c r="E210" s="19" t="n">
        <f aca="false">D210-C210</f>
        <v>59</v>
      </c>
      <c r="F210" s="100" t="n">
        <f aca="false">TRUNC(E210/30,0)</f>
        <v>1</v>
      </c>
      <c r="G210" s="183" t="s">
        <v>95</v>
      </c>
      <c r="H210" s="146" t="n">
        <v>50</v>
      </c>
      <c r="I210" s="147"/>
      <c r="J210" s="197" t="n">
        <v>0.0059</v>
      </c>
      <c r="K210" s="151"/>
      <c r="L210" s="152" t="n">
        <v>0.0176399</v>
      </c>
      <c r="M210" s="151"/>
      <c r="N210" s="152" t="n">
        <v>0.017</v>
      </c>
      <c r="O210" s="151"/>
      <c r="P210" s="152"/>
      <c r="Q210" s="152"/>
      <c r="R210" s="152"/>
      <c r="S210" s="152" t="n">
        <v>0.013967</v>
      </c>
      <c r="T210" s="153" t="n">
        <v>0.00562</v>
      </c>
      <c r="U210" s="152"/>
      <c r="V210" s="152" t="n">
        <v>0.0033</v>
      </c>
      <c r="W210" s="152"/>
      <c r="X210" s="152"/>
      <c r="Y210" s="152" t="n">
        <v>0.002</v>
      </c>
      <c r="Z210" s="152"/>
      <c r="AA210" s="152"/>
      <c r="AB210" s="152" t="n">
        <f aca="false">N210-V210-Y210</f>
        <v>0.0117</v>
      </c>
      <c r="AC210" s="260" t="n">
        <v>0.011</v>
      </c>
      <c r="AD210" s="156" t="n">
        <f aca="false">IF(T210="","",T210)</f>
        <v>0.00562</v>
      </c>
      <c r="AE210" s="153"/>
      <c r="AF210" s="494"/>
      <c r="AH210" s="19" t="str">
        <f aca="false">IF(AF210="","N","Y")</f>
        <v>N</v>
      </c>
      <c r="AI210" s="63" t="s">
        <v>96</v>
      </c>
      <c r="AJ210" s="63" t="s">
        <v>142</v>
      </c>
      <c r="AK210" s="19"/>
      <c r="AL210" s="19" t="s">
        <v>112</v>
      </c>
      <c r="AM210" s="980"/>
    </row>
    <row r="211" customFormat="false" ht="16.5" hidden="false" customHeight="true" outlineLevel="0" collapsed="false">
      <c r="A211" s="19" t="n">
        <v>17</v>
      </c>
      <c r="B211" s="141" t="n">
        <v>43154</v>
      </c>
      <c r="C211" s="142" t="n">
        <v>43159</v>
      </c>
      <c r="D211" s="142" t="n">
        <v>43248</v>
      </c>
      <c r="E211" s="19" t="n">
        <f aca="false">D211-C211</f>
        <v>89</v>
      </c>
      <c r="F211" s="100" t="n">
        <f aca="false">TRUNC(E211/30,0)</f>
        <v>2</v>
      </c>
      <c r="G211" s="183" t="s">
        <v>95</v>
      </c>
      <c r="H211" s="146" t="n">
        <v>1.88</v>
      </c>
      <c r="I211" s="147"/>
      <c r="J211" s="197" t="n">
        <v>0.016</v>
      </c>
      <c r="K211" s="151"/>
      <c r="L211" s="152" t="n">
        <v>0.0183</v>
      </c>
      <c r="M211" s="151"/>
      <c r="N211" s="152" t="n">
        <v>0.021</v>
      </c>
      <c r="O211" s="151"/>
      <c r="P211" s="152"/>
      <c r="Q211" s="152"/>
      <c r="R211" s="152"/>
      <c r="S211" s="152"/>
      <c r="T211" s="153" t="n">
        <v>0.0149</v>
      </c>
      <c r="U211" s="152"/>
      <c r="V211" s="152" t="n">
        <v>0.002</v>
      </c>
      <c r="W211" s="152"/>
      <c r="X211" s="152"/>
      <c r="Y211" s="152" t="n">
        <v>0.002</v>
      </c>
      <c r="Z211" s="152"/>
      <c r="AA211" s="152"/>
      <c r="AB211" s="152" t="n">
        <f aca="false">N211-V211-Y211</f>
        <v>0.017</v>
      </c>
      <c r="AC211" s="260" t="n">
        <v>0.017</v>
      </c>
      <c r="AD211" s="156" t="n">
        <f aca="false">IF(T211="","",T211)</f>
        <v>0.0149</v>
      </c>
      <c r="AE211" s="153"/>
      <c r="AF211" s="494"/>
      <c r="AH211" s="19" t="str">
        <f aca="false">IF(AF211="","N","Y")</f>
        <v>N</v>
      </c>
      <c r="AI211" s="63" t="s">
        <v>92</v>
      </c>
      <c r="AJ211" s="63" t="s">
        <v>183</v>
      </c>
      <c r="AK211" s="19"/>
      <c r="AL211" s="19"/>
      <c r="AM211" s="979" t="s">
        <v>184</v>
      </c>
    </row>
    <row r="212" customFormat="false" ht="16.5" hidden="false" customHeight="true" outlineLevel="0" collapsed="false">
      <c r="A212" s="19" t="n">
        <v>18</v>
      </c>
      <c r="B212" s="141" t="n">
        <v>43157</v>
      </c>
      <c r="C212" s="142" t="n">
        <v>43157</v>
      </c>
      <c r="D212" s="142" t="n">
        <v>43185</v>
      </c>
      <c r="E212" s="19" t="n">
        <f aca="false">D212-C212</f>
        <v>28</v>
      </c>
      <c r="F212" s="100" t="n">
        <f aca="false">TRUNC(E212/30,0)</f>
        <v>0</v>
      </c>
      <c r="G212" s="189" t="s">
        <v>99</v>
      </c>
      <c r="H212" s="146" t="n">
        <v>50</v>
      </c>
      <c r="I212" s="147"/>
      <c r="J212" s="148"/>
      <c r="K212" s="149"/>
      <c r="L212" s="152" t="n">
        <v>0.014725</v>
      </c>
      <c r="M212" s="151"/>
      <c r="N212" s="152" t="n">
        <v>0.0155</v>
      </c>
      <c r="O212" s="151"/>
      <c r="P212" s="152"/>
      <c r="Q212" s="152"/>
      <c r="R212" s="152"/>
      <c r="S212" s="152"/>
      <c r="T212" s="153" t="n">
        <v>0.005631</v>
      </c>
      <c r="U212" s="152"/>
      <c r="V212" s="152" t="n">
        <v>0.0033</v>
      </c>
      <c r="W212" s="152"/>
      <c r="X212" s="152"/>
      <c r="Y212" s="152" t="n">
        <v>0.002</v>
      </c>
      <c r="Z212" s="152"/>
      <c r="AA212" s="152"/>
      <c r="AB212" s="152" t="n">
        <f aca="false">N212-V212-Y212</f>
        <v>0.0102</v>
      </c>
      <c r="AC212" s="260" t="n">
        <v>0.0105</v>
      </c>
      <c r="AD212" s="156" t="n">
        <f aca="false">IF(T212="","",T212)</f>
        <v>0.005631</v>
      </c>
      <c r="AE212" s="153"/>
      <c r="AF212" s="494" t="n">
        <v>0.0105</v>
      </c>
      <c r="AG212" s="35" t="n">
        <v>1</v>
      </c>
      <c r="AH212" s="19" t="str">
        <f aca="false">IF(AF212="","N","Y")</f>
        <v>Y</v>
      </c>
      <c r="AI212" s="63" t="s">
        <v>96</v>
      </c>
      <c r="AJ212" s="63" t="s">
        <v>97</v>
      </c>
      <c r="AK212" s="19"/>
      <c r="AL212" s="19" t="s">
        <v>112</v>
      </c>
      <c r="AM212" s="979" t="s">
        <v>185</v>
      </c>
    </row>
    <row r="213" customFormat="false" ht="16.5" hidden="false" customHeight="true" outlineLevel="0" collapsed="false">
      <c r="A213" s="19" t="n">
        <v>19</v>
      </c>
      <c r="B213" s="141" t="n">
        <v>43159</v>
      </c>
      <c r="C213" s="142" t="n">
        <v>43159</v>
      </c>
      <c r="D213" s="142" t="n">
        <v>43187</v>
      </c>
      <c r="E213" s="19" t="n">
        <f aca="false">D213-C213</f>
        <v>28</v>
      </c>
      <c r="F213" s="100" t="n">
        <f aca="false">TRUNC(E213/30,0)</f>
        <v>0</v>
      </c>
      <c r="G213" s="189" t="s">
        <v>99</v>
      </c>
      <c r="H213" s="146" t="n">
        <v>100</v>
      </c>
      <c r="I213" s="147"/>
      <c r="J213" s="197" t="n">
        <v>0.01265</v>
      </c>
      <c r="K213" s="151"/>
      <c r="L213" s="152" t="n">
        <v>0.01475</v>
      </c>
      <c r="M213" s="151"/>
      <c r="N213" s="152" t="n">
        <v>0.02</v>
      </c>
      <c r="O213" s="151"/>
      <c r="P213" s="152"/>
      <c r="Q213" s="152"/>
      <c r="R213" s="152"/>
      <c r="S213" s="152"/>
      <c r="T213" s="153" t="n">
        <v>0.005655</v>
      </c>
      <c r="U213" s="152"/>
      <c r="V213" s="152" t="n">
        <v>0.0033</v>
      </c>
      <c r="W213" s="152"/>
      <c r="X213" s="152"/>
      <c r="Y213" s="152" t="n">
        <v>0.002</v>
      </c>
      <c r="Z213" s="152"/>
      <c r="AA213" s="152"/>
      <c r="AB213" s="152" t="n">
        <f aca="false">N213-V213-Y213</f>
        <v>0.0147</v>
      </c>
      <c r="AC213" s="260" t="n">
        <v>0.0125</v>
      </c>
      <c r="AD213" s="156" t="n">
        <f aca="false">IF(T213="","",T213)</f>
        <v>0.005655</v>
      </c>
      <c r="AE213" s="153"/>
      <c r="AF213" s="494" t="n">
        <v>0.0125</v>
      </c>
      <c r="AG213" s="35" t="n">
        <v>1</v>
      </c>
      <c r="AH213" s="19" t="str">
        <f aca="false">IF(AF213="","N","Y")</f>
        <v>Y</v>
      </c>
      <c r="AI213" s="63" t="s">
        <v>96</v>
      </c>
      <c r="AJ213" s="63" t="s">
        <v>97</v>
      </c>
      <c r="AK213" s="19"/>
      <c r="AL213" s="19" t="s">
        <v>112</v>
      </c>
      <c r="AM213" s="979" t="s">
        <v>186</v>
      </c>
    </row>
    <row r="214" customFormat="false" ht="16.5" hidden="false" customHeight="true" outlineLevel="0" collapsed="false">
      <c r="A214" s="19" t="n">
        <v>20</v>
      </c>
      <c r="B214" s="141" t="n">
        <v>43159</v>
      </c>
      <c r="C214" s="142" t="n">
        <v>43159</v>
      </c>
      <c r="D214" s="142" t="n">
        <v>43187</v>
      </c>
      <c r="E214" s="19" t="n">
        <f aca="false">D214-C214</f>
        <v>28</v>
      </c>
      <c r="F214" s="100" t="n">
        <f aca="false">TRUNC(E214/30,0)</f>
        <v>0</v>
      </c>
      <c r="G214" s="183" t="s">
        <v>95</v>
      </c>
      <c r="H214" s="146" t="n">
        <v>2.3</v>
      </c>
      <c r="I214" s="147"/>
      <c r="J214" s="197" t="n">
        <v>0.012</v>
      </c>
      <c r="K214" s="151"/>
      <c r="L214" s="152" t="n">
        <v>0.0166418</v>
      </c>
      <c r="M214" s="151"/>
      <c r="N214" s="152" t="n">
        <v>0.017</v>
      </c>
      <c r="O214" s="151"/>
      <c r="P214" s="152"/>
      <c r="Q214" s="152"/>
      <c r="R214" s="152"/>
      <c r="S214" s="152"/>
      <c r="T214" s="153" t="n">
        <v>0.010983</v>
      </c>
      <c r="U214" s="152"/>
      <c r="V214" s="152" t="n">
        <v>0.002</v>
      </c>
      <c r="W214" s="152"/>
      <c r="X214" s="152"/>
      <c r="Y214" s="152" t="n">
        <v>0.002</v>
      </c>
      <c r="Z214" s="152"/>
      <c r="AA214" s="152"/>
      <c r="AB214" s="152" t="n">
        <f aca="false">N214-V214-Y214</f>
        <v>0.013</v>
      </c>
      <c r="AC214" s="260" t="n">
        <v>0.0135</v>
      </c>
      <c r="AD214" s="156" t="n">
        <f aca="false">IF(T214="","",T214)</f>
        <v>0.010983</v>
      </c>
      <c r="AE214" s="153"/>
      <c r="AF214" s="494"/>
      <c r="AH214" s="19" t="str">
        <f aca="false">IF(AF214="","N","Y")</f>
        <v>N</v>
      </c>
      <c r="AI214" s="63" t="s">
        <v>187</v>
      </c>
      <c r="AJ214" s="63" t="s">
        <v>188</v>
      </c>
      <c r="AK214" s="19"/>
      <c r="AL214" s="63" t="s">
        <v>164</v>
      </c>
      <c r="AM214" s="980"/>
    </row>
    <row r="215" customFormat="false" ht="16.5" hidden="false" customHeight="true" outlineLevel="0" collapsed="false">
      <c r="A215" s="19" t="n">
        <v>21</v>
      </c>
      <c r="B215" s="141" t="n">
        <v>43159</v>
      </c>
      <c r="C215" s="142" t="n">
        <v>43159</v>
      </c>
      <c r="D215" s="142" t="n">
        <v>43248</v>
      </c>
      <c r="E215" s="19" t="n">
        <f aca="false">D215-C215</f>
        <v>89</v>
      </c>
      <c r="F215" s="100" t="n">
        <f aca="false">TRUNC(E215/30,0)</f>
        <v>2</v>
      </c>
      <c r="G215" s="183" t="s">
        <v>95</v>
      </c>
      <c r="H215" s="146" t="n">
        <v>2.3</v>
      </c>
      <c r="I215" s="147"/>
      <c r="J215" s="197" t="n">
        <v>0.012</v>
      </c>
      <c r="K215" s="151"/>
      <c r="L215" s="152" t="n">
        <v>0.02</v>
      </c>
      <c r="M215" s="151"/>
      <c r="N215" s="152" t="n">
        <v>0.021</v>
      </c>
      <c r="O215" s="151"/>
      <c r="P215" s="152"/>
      <c r="Q215" s="152"/>
      <c r="R215" s="152"/>
      <c r="S215" s="152"/>
      <c r="T215" s="153" t="n">
        <v>0.015536</v>
      </c>
      <c r="U215" s="152"/>
      <c r="V215" s="152" t="n">
        <v>0.002</v>
      </c>
      <c r="W215" s="152"/>
      <c r="X215" s="152"/>
      <c r="Y215" s="152" t="n">
        <v>0.002</v>
      </c>
      <c r="Z215" s="152"/>
      <c r="AA215" s="152"/>
      <c r="AB215" s="152" t="n">
        <f aca="false">N215-V215-Y215</f>
        <v>0.017</v>
      </c>
      <c r="AC215" s="260" t="n">
        <v>0.018</v>
      </c>
      <c r="AD215" s="156" t="n">
        <f aca="false">IF(T215="","",T215)</f>
        <v>0.015536</v>
      </c>
      <c r="AE215" s="153"/>
      <c r="AF215" s="494"/>
      <c r="AH215" s="19" t="str">
        <f aca="false">IF(AF215="","N","Y")</f>
        <v>N</v>
      </c>
      <c r="AI215" s="63" t="s">
        <v>187</v>
      </c>
      <c r="AJ215" s="63" t="s">
        <v>188</v>
      </c>
      <c r="AK215" s="19"/>
      <c r="AL215" s="63" t="s">
        <v>164</v>
      </c>
      <c r="AM215" s="980"/>
    </row>
    <row r="216" customFormat="false" ht="16.5" hidden="false" customHeight="true" outlineLevel="0" collapsed="false">
      <c r="A216" s="19" t="n">
        <v>22</v>
      </c>
      <c r="B216" s="141" t="n">
        <v>43161</v>
      </c>
      <c r="C216" s="142" t="n">
        <v>43161</v>
      </c>
      <c r="D216" s="142" t="n">
        <v>43253</v>
      </c>
      <c r="E216" s="19" t="n">
        <f aca="false">D216-C216</f>
        <v>92</v>
      </c>
      <c r="F216" s="100" t="n">
        <f aca="false">TRUNC(E216/30,0)</f>
        <v>3</v>
      </c>
      <c r="G216" s="183" t="s">
        <v>95</v>
      </c>
      <c r="H216" s="146" t="n">
        <v>1</v>
      </c>
      <c r="I216" s="147"/>
      <c r="J216" s="197" t="n">
        <v>0.016</v>
      </c>
      <c r="K216" s="151"/>
      <c r="L216" s="152" t="n">
        <v>0.0202457</v>
      </c>
      <c r="M216" s="151"/>
      <c r="N216" s="152" t="n">
        <v>0.021</v>
      </c>
      <c r="O216" s="151"/>
      <c r="P216" s="152"/>
      <c r="Q216" s="152"/>
      <c r="R216" s="152"/>
      <c r="S216" s="152"/>
      <c r="T216" s="153" t="n">
        <v>0.015715</v>
      </c>
      <c r="U216" s="152"/>
      <c r="V216" s="152" t="n">
        <v>0.002</v>
      </c>
      <c r="W216" s="152"/>
      <c r="X216" s="152"/>
      <c r="Y216" s="152" t="n">
        <v>0.002</v>
      </c>
      <c r="Z216" s="152"/>
      <c r="AA216" s="152"/>
      <c r="AB216" s="152" t="n">
        <f aca="false">N216-V216-Y216</f>
        <v>0.017</v>
      </c>
      <c r="AC216" s="260" t="n">
        <v>0.017</v>
      </c>
      <c r="AD216" s="156" t="n">
        <f aca="false">IF(T216="","",T216)</f>
        <v>0.015715</v>
      </c>
      <c r="AE216" s="153"/>
      <c r="AF216" s="494"/>
      <c r="AH216" s="19" t="str">
        <f aca="false">IF(AF216="","N","Y")</f>
        <v>N</v>
      </c>
      <c r="AI216" s="63" t="s">
        <v>189</v>
      </c>
      <c r="AJ216" s="63" t="s">
        <v>190</v>
      </c>
      <c r="AK216" s="19"/>
      <c r="AL216" s="19"/>
      <c r="AM216" s="979" t="s">
        <v>191</v>
      </c>
    </row>
    <row r="217" customFormat="false" ht="16.5" hidden="false" customHeight="true" outlineLevel="0" collapsed="false">
      <c r="A217" s="19" t="n">
        <v>23</v>
      </c>
      <c r="B217" s="141" t="n">
        <v>43165</v>
      </c>
      <c r="C217" s="142" t="n">
        <v>43165</v>
      </c>
      <c r="D217" s="142" t="n">
        <v>43196</v>
      </c>
      <c r="E217" s="19" t="n">
        <f aca="false">D217-C217</f>
        <v>31</v>
      </c>
      <c r="F217" s="100" t="n">
        <f aca="false">TRUNC(E217/30,0)</f>
        <v>1</v>
      </c>
      <c r="G217" s="189" t="s">
        <v>99</v>
      </c>
      <c r="H217" s="146" t="n">
        <v>8</v>
      </c>
      <c r="I217" s="147"/>
      <c r="J217" s="148"/>
      <c r="K217" s="149"/>
      <c r="L217" s="152" t="n">
        <v>0.0146871</v>
      </c>
      <c r="M217" s="151"/>
      <c r="N217" s="152" t="n">
        <v>0.0147</v>
      </c>
      <c r="O217" s="151"/>
      <c r="P217" s="152"/>
      <c r="Q217" s="152"/>
      <c r="R217" s="152"/>
      <c r="S217" s="152"/>
      <c r="T217" s="153" t="n">
        <v>0.005596</v>
      </c>
      <c r="U217" s="152"/>
      <c r="V217" s="152" t="n">
        <v>0.0033</v>
      </c>
      <c r="W217" s="152"/>
      <c r="X217" s="152"/>
      <c r="Y217" s="152" t="n">
        <v>0.002</v>
      </c>
      <c r="Z217" s="152"/>
      <c r="AA217" s="152"/>
      <c r="AB217" s="152" t="n">
        <f aca="false">N217-V217-Y217</f>
        <v>0.0094</v>
      </c>
      <c r="AC217" s="260" t="n">
        <v>0.0085</v>
      </c>
      <c r="AD217" s="156" t="n">
        <f aca="false">IF(T217="","",T217)</f>
        <v>0.005596</v>
      </c>
      <c r="AE217" s="153"/>
      <c r="AF217" s="494" t="n">
        <v>0.0085</v>
      </c>
      <c r="AG217" s="35" t="n">
        <v>1</v>
      </c>
      <c r="AH217" s="19" t="str">
        <f aca="false">IF(AF217="","N","Y")</f>
        <v>Y</v>
      </c>
      <c r="AI217" s="63" t="s">
        <v>103</v>
      </c>
      <c r="AJ217" s="63" t="s">
        <v>111</v>
      </c>
      <c r="AK217" s="19"/>
      <c r="AL217" s="63" t="s">
        <v>174</v>
      </c>
      <c r="AM217" s="979" t="s">
        <v>175</v>
      </c>
    </row>
    <row r="218" customFormat="false" ht="16.5" hidden="false" customHeight="true" outlineLevel="0" collapsed="false">
      <c r="A218" s="19" t="n">
        <v>24</v>
      </c>
      <c r="B218" s="141" t="n">
        <v>43165</v>
      </c>
      <c r="C218" s="142" t="n">
        <v>43165</v>
      </c>
      <c r="D218" s="142" t="n">
        <v>43196</v>
      </c>
      <c r="E218" s="19" t="n">
        <f aca="false">D218-C218</f>
        <v>31</v>
      </c>
      <c r="F218" s="100" t="n">
        <f aca="false">TRUNC(E218/30,0)</f>
        <v>1</v>
      </c>
      <c r="G218" s="189" t="s">
        <v>99</v>
      </c>
      <c r="H218" s="146" t="n">
        <v>3.3</v>
      </c>
      <c r="I218" s="147"/>
      <c r="J218" s="148"/>
      <c r="K218" s="149"/>
      <c r="L218" s="152" t="n">
        <v>0.0146871</v>
      </c>
      <c r="M218" s="151"/>
      <c r="N218" s="152" t="n">
        <v>0.0147</v>
      </c>
      <c r="O218" s="151"/>
      <c r="P218" s="152"/>
      <c r="Q218" s="152"/>
      <c r="R218" s="152"/>
      <c r="S218" s="152"/>
      <c r="T218" s="153" t="n">
        <v>0.005596</v>
      </c>
      <c r="U218" s="152"/>
      <c r="V218" s="152" t="n">
        <v>0.0033</v>
      </c>
      <c r="W218" s="152"/>
      <c r="X218" s="152"/>
      <c r="Y218" s="152" t="n">
        <v>0.002</v>
      </c>
      <c r="Z218" s="152"/>
      <c r="AA218" s="152"/>
      <c r="AB218" s="152" t="n">
        <f aca="false">N218-V218-Y218</f>
        <v>0.0094</v>
      </c>
      <c r="AC218" s="260" t="n">
        <v>0.0085</v>
      </c>
      <c r="AD218" s="156" t="n">
        <f aca="false">IF(T218="","",T218)</f>
        <v>0.005596</v>
      </c>
      <c r="AE218" s="153"/>
      <c r="AF218" s="494" t="n">
        <v>0.0085</v>
      </c>
      <c r="AG218" s="35" t="n">
        <v>2</v>
      </c>
      <c r="AH218" s="19" t="str">
        <f aca="false">IF(AF218="","N","Y")</f>
        <v>Y</v>
      </c>
      <c r="AI218" s="63" t="s">
        <v>103</v>
      </c>
      <c r="AJ218" s="63" t="s">
        <v>111</v>
      </c>
      <c r="AK218" s="19"/>
      <c r="AL218" s="63" t="s">
        <v>176</v>
      </c>
      <c r="AM218" s="979" t="s">
        <v>175</v>
      </c>
    </row>
    <row r="219" customFormat="false" ht="16.5" hidden="false" customHeight="true" outlineLevel="0" collapsed="false">
      <c r="A219" s="19" t="n">
        <v>25</v>
      </c>
      <c r="B219" s="141" t="n">
        <v>43166</v>
      </c>
      <c r="C219" s="142" t="n">
        <v>43166</v>
      </c>
      <c r="D219" s="142" t="n">
        <v>43197</v>
      </c>
      <c r="E219" s="19" t="n">
        <f aca="false">D219-C219</f>
        <v>31</v>
      </c>
      <c r="F219" s="100" t="n">
        <f aca="false">TRUNC(E219/30,0)</f>
        <v>1</v>
      </c>
      <c r="G219" s="183" t="s">
        <v>95</v>
      </c>
      <c r="H219" s="146" t="n">
        <v>20</v>
      </c>
      <c r="I219" s="147"/>
      <c r="J219" s="148"/>
      <c r="K219" s="149"/>
      <c r="L219" s="152" t="n">
        <v>0.0171131</v>
      </c>
      <c r="M219" s="151"/>
      <c r="N219" s="152" t="n">
        <v>0.0185</v>
      </c>
      <c r="O219" s="151"/>
      <c r="P219" s="152"/>
      <c r="Q219" s="152"/>
      <c r="R219" s="152"/>
      <c r="S219" s="152"/>
      <c r="T219" s="153" t="n">
        <v>0.011445</v>
      </c>
      <c r="U219" s="152"/>
      <c r="V219" s="152" t="n">
        <v>0.002</v>
      </c>
      <c r="W219" s="152"/>
      <c r="X219" s="152"/>
      <c r="Y219" s="152" t="n">
        <v>0.002</v>
      </c>
      <c r="Z219" s="152"/>
      <c r="AA219" s="152"/>
      <c r="AB219" s="152" t="n">
        <f aca="false">AVERAGE(N219,P219)-V219-Y219</f>
        <v>0.0145</v>
      </c>
      <c r="AC219" s="260" t="n">
        <v>0.016</v>
      </c>
      <c r="AD219" s="156" t="n">
        <f aca="false">IF(T219="","",T219)</f>
        <v>0.011445</v>
      </c>
      <c r="AE219" s="153"/>
      <c r="AF219" s="494"/>
      <c r="AH219" s="19" t="str">
        <f aca="false">IF(AF219="","N","Y")</f>
        <v>N</v>
      </c>
      <c r="AI219" s="63" t="s">
        <v>100</v>
      </c>
      <c r="AJ219" s="63" t="s">
        <v>101</v>
      </c>
      <c r="AK219" s="19"/>
      <c r="AL219" s="63" t="s">
        <v>102</v>
      </c>
    </row>
    <row r="220" customFormat="false" ht="16.5" hidden="false" customHeight="true" outlineLevel="0" collapsed="false">
      <c r="A220" s="19" t="n">
        <v>26</v>
      </c>
      <c r="B220" s="141" t="n">
        <v>43166</v>
      </c>
      <c r="C220" s="142" t="n">
        <v>43166</v>
      </c>
      <c r="D220" s="142" t="n">
        <v>43197</v>
      </c>
      <c r="E220" s="19" t="n">
        <f aca="false">D220-C220</f>
        <v>31</v>
      </c>
      <c r="F220" s="100" t="n">
        <f aca="false">TRUNC(E220/30,0)</f>
        <v>1</v>
      </c>
      <c r="G220" s="183" t="s">
        <v>95</v>
      </c>
      <c r="H220" s="146" t="n">
        <v>10</v>
      </c>
      <c r="I220" s="147"/>
      <c r="J220" s="197" t="n">
        <v>0.0125</v>
      </c>
      <c r="K220" s="151"/>
      <c r="L220" s="152" t="n">
        <v>0.0171131</v>
      </c>
      <c r="M220" s="151"/>
      <c r="N220" s="152" t="n">
        <v>0.0185</v>
      </c>
      <c r="O220" s="151"/>
      <c r="P220" s="152"/>
      <c r="Q220" s="152"/>
      <c r="R220" s="152"/>
      <c r="S220" s="152"/>
      <c r="T220" s="153" t="n">
        <v>0.011445</v>
      </c>
      <c r="U220" s="152"/>
      <c r="V220" s="152" t="n">
        <v>0.002</v>
      </c>
      <c r="W220" s="152"/>
      <c r="X220" s="152"/>
      <c r="Y220" s="152" t="n">
        <v>0.002</v>
      </c>
      <c r="Z220" s="152"/>
      <c r="AA220" s="152"/>
      <c r="AB220" s="152" t="n">
        <f aca="false">AVERAGE(N220,P220)-V220-Y220</f>
        <v>0.0145</v>
      </c>
      <c r="AC220" s="260" t="n">
        <v>0.0145</v>
      </c>
      <c r="AD220" s="156" t="n">
        <f aca="false">IF(T220="","",T220)</f>
        <v>0.011445</v>
      </c>
      <c r="AE220" s="153"/>
      <c r="AF220" s="494"/>
      <c r="AH220" s="19" t="str">
        <f aca="false">IF(AF220="","N","Y")</f>
        <v>N</v>
      </c>
      <c r="AI220" s="63" t="s">
        <v>89</v>
      </c>
      <c r="AJ220" s="63" t="s">
        <v>167</v>
      </c>
      <c r="AK220" s="19"/>
      <c r="AL220" s="63" t="s">
        <v>192</v>
      </c>
      <c r="AM220" s="979" t="s">
        <v>193</v>
      </c>
    </row>
    <row r="221" customFormat="false" ht="16.5" hidden="false" customHeight="true" outlineLevel="0" collapsed="false">
      <c r="A221" s="19" t="n">
        <v>27</v>
      </c>
      <c r="B221" s="141" t="n">
        <v>43166</v>
      </c>
      <c r="C221" s="142" t="n">
        <v>43166</v>
      </c>
      <c r="D221" s="142" t="n">
        <v>43258</v>
      </c>
      <c r="E221" s="19" t="n">
        <f aca="false">D221-C221</f>
        <v>92</v>
      </c>
      <c r="F221" s="100" t="n">
        <f aca="false">TRUNC(E221/30,0)</f>
        <v>3</v>
      </c>
      <c r="G221" s="183" t="s">
        <v>95</v>
      </c>
      <c r="H221" s="146" t="n">
        <v>10</v>
      </c>
      <c r="I221" s="147"/>
      <c r="J221" s="197" t="n">
        <v>0.0163</v>
      </c>
      <c r="K221" s="151"/>
      <c r="L221" s="152" t="n">
        <v>0.0204728</v>
      </c>
      <c r="M221" s="151"/>
      <c r="N221" s="152" t="n">
        <v>0.02</v>
      </c>
      <c r="O221" s="151"/>
      <c r="P221" s="152"/>
      <c r="Q221" s="152"/>
      <c r="R221" s="152"/>
      <c r="S221" s="152"/>
      <c r="T221" s="153" t="n">
        <v>0.015938</v>
      </c>
      <c r="U221" s="152"/>
      <c r="V221" s="152" t="n">
        <v>0.002</v>
      </c>
      <c r="W221" s="152"/>
      <c r="X221" s="152"/>
      <c r="Y221" s="152" t="n">
        <v>0.002</v>
      </c>
      <c r="Z221" s="152"/>
      <c r="AA221" s="152"/>
      <c r="AB221" s="152" t="n">
        <f aca="false">AVERAGE(N221,P221)-V221-Y221</f>
        <v>0.016</v>
      </c>
      <c r="AC221" s="260" t="n">
        <v>0.0165</v>
      </c>
      <c r="AD221" s="156" t="n">
        <f aca="false">IF(T221="","",T221)</f>
        <v>0.015938</v>
      </c>
      <c r="AE221" s="153"/>
      <c r="AF221" s="494"/>
      <c r="AH221" s="19" t="str">
        <f aca="false">IF(AF221="","N","Y")</f>
        <v>N</v>
      </c>
      <c r="AI221" s="63" t="s">
        <v>89</v>
      </c>
      <c r="AJ221" s="63" t="s">
        <v>167</v>
      </c>
      <c r="AK221" s="19"/>
      <c r="AL221" s="63" t="s">
        <v>192</v>
      </c>
    </row>
    <row r="222" customFormat="false" ht="16.5" hidden="false" customHeight="true" outlineLevel="0" collapsed="false">
      <c r="A222" s="19" t="n">
        <v>28</v>
      </c>
      <c r="B222" s="141" t="n">
        <v>43166</v>
      </c>
      <c r="C222" s="142" t="n">
        <v>43166</v>
      </c>
      <c r="D222" s="142" t="n">
        <v>43350</v>
      </c>
      <c r="E222" s="19" t="n">
        <f aca="false">D222-C222</f>
        <v>184</v>
      </c>
      <c r="F222" s="100" t="n">
        <f aca="false">TRUNC(E222/30,0)</f>
        <v>6</v>
      </c>
      <c r="G222" s="183" t="s">
        <v>95</v>
      </c>
      <c r="H222" s="146" t="n">
        <v>10</v>
      </c>
      <c r="I222" s="147"/>
      <c r="J222" s="197" t="n">
        <v>0.01825</v>
      </c>
      <c r="K222" s="151"/>
      <c r="L222" s="152" t="n">
        <v>0.0224</v>
      </c>
      <c r="M222" s="151"/>
      <c r="N222" s="152" t="n">
        <v>0.022</v>
      </c>
      <c r="O222" s="151"/>
      <c r="P222" s="152"/>
      <c r="Q222" s="152"/>
      <c r="R222" s="152"/>
      <c r="S222" s="152"/>
      <c r="T222" s="153" t="n">
        <v>0.018331</v>
      </c>
      <c r="U222" s="152"/>
      <c r="V222" s="152" t="n">
        <v>0.002</v>
      </c>
      <c r="W222" s="152"/>
      <c r="X222" s="152"/>
      <c r="Y222" s="152" t="n">
        <v>0.002</v>
      </c>
      <c r="Z222" s="152"/>
      <c r="AA222" s="152"/>
      <c r="AB222" s="152" t="n">
        <f aca="false">AVERAGE(N222,P222)-V222-Y222</f>
        <v>0.018</v>
      </c>
      <c r="AC222" s="260" t="n">
        <v>0.0185</v>
      </c>
      <c r="AD222" s="156" t="n">
        <f aca="false">IF(T222="","",T222)</f>
        <v>0.018331</v>
      </c>
      <c r="AE222" s="153"/>
      <c r="AF222" s="494"/>
      <c r="AH222" s="19" t="str">
        <f aca="false">IF(AF222="","N","Y")</f>
        <v>N</v>
      </c>
      <c r="AI222" s="63" t="s">
        <v>89</v>
      </c>
      <c r="AJ222" s="63" t="s">
        <v>167</v>
      </c>
      <c r="AK222" s="19"/>
      <c r="AL222" s="63" t="s">
        <v>192</v>
      </c>
    </row>
    <row r="223" customFormat="false" ht="16.5" hidden="false" customHeight="true" outlineLevel="0" collapsed="false">
      <c r="A223" s="19" t="n">
        <v>29</v>
      </c>
      <c r="B223" s="141" t="n">
        <v>43166</v>
      </c>
      <c r="C223" s="142" t="n">
        <v>43166</v>
      </c>
      <c r="D223" s="142" t="n">
        <v>43197</v>
      </c>
      <c r="E223" s="19" t="n">
        <f aca="false">D223-C223</f>
        <v>31</v>
      </c>
      <c r="F223" s="100" t="n">
        <f aca="false">TRUNC(E223/30,0)</f>
        <v>1</v>
      </c>
      <c r="G223" s="189" t="s">
        <v>99</v>
      </c>
      <c r="H223" s="146" t="n">
        <v>10</v>
      </c>
      <c r="I223" s="147"/>
      <c r="J223" s="197" t="n">
        <v>0.0047648</v>
      </c>
      <c r="K223" s="151"/>
      <c r="L223" s="152" t="n">
        <v>0.0147875</v>
      </c>
      <c r="M223" s="151"/>
      <c r="N223" s="152" t="n">
        <v>0.019</v>
      </c>
      <c r="O223" s="151"/>
      <c r="P223" s="152"/>
      <c r="Q223" s="152"/>
      <c r="R223" s="152"/>
      <c r="S223" s="152"/>
      <c r="T223" s="153" t="n">
        <v>0.005596</v>
      </c>
      <c r="U223" s="152"/>
      <c r="V223" s="152" t="n">
        <v>0.0033</v>
      </c>
      <c r="W223" s="152"/>
      <c r="X223" s="152"/>
      <c r="Y223" s="152" t="n">
        <v>0.002</v>
      </c>
      <c r="Z223" s="152"/>
      <c r="AA223" s="152"/>
      <c r="AB223" s="152" t="n">
        <f aca="false">N223-V223-Y223</f>
        <v>0.0137</v>
      </c>
      <c r="AC223" s="260" t="n">
        <v>0.011</v>
      </c>
      <c r="AD223" s="156" t="n">
        <f aca="false">IF(T223="","",T223)</f>
        <v>0.005596</v>
      </c>
      <c r="AE223" s="153" t="n">
        <v>0.005404</v>
      </c>
      <c r="AF223" s="494" t="n">
        <f aca="false">AD223+AE223</f>
        <v>0.011</v>
      </c>
      <c r="AG223" s="35" t="n">
        <v>1</v>
      </c>
      <c r="AH223" s="19" t="str">
        <f aca="false">IF(AF223="","N","Y")</f>
        <v>Y</v>
      </c>
      <c r="AI223" s="63" t="s">
        <v>89</v>
      </c>
      <c r="AJ223" s="63" t="s">
        <v>194</v>
      </c>
      <c r="AK223" s="19"/>
      <c r="AL223" s="63" t="s">
        <v>195</v>
      </c>
      <c r="AM223" s="977" t="s">
        <v>196</v>
      </c>
    </row>
    <row r="224" customFormat="false" ht="16.5" hidden="false" customHeight="true" outlineLevel="0" collapsed="false">
      <c r="A224" s="19" t="n">
        <v>30</v>
      </c>
      <c r="B224" s="141" t="n">
        <v>43168</v>
      </c>
      <c r="C224" s="142" t="n">
        <v>43168</v>
      </c>
      <c r="D224" s="142" t="n">
        <v>43197</v>
      </c>
      <c r="E224" s="19" t="n">
        <f aca="false">D224-C224</f>
        <v>29</v>
      </c>
      <c r="F224" s="100" t="n">
        <f aca="false">TRUNC(E224/30,0)</f>
        <v>0</v>
      </c>
      <c r="G224" s="189" t="s">
        <v>99</v>
      </c>
      <c r="H224" s="146" t="n">
        <v>10</v>
      </c>
      <c r="I224" s="147"/>
      <c r="J224" s="197" t="n">
        <v>0.0047648</v>
      </c>
      <c r="K224" s="151"/>
      <c r="L224" s="152" t="n">
        <v>0.0147875</v>
      </c>
      <c r="M224" s="151"/>
      <c r="N224" s="152" t="n">
        <v>0.019</v>
      </c>
      <c r="O224" s="151"/>
      <c r="P224" s="152"/>
      <c r="Q224" s="152"/>
      <c r="R224" s="152"/>
      <c r="S224" s="152"/>
      <c r="T224" s="153" t="n">
        <v>0.005596</v>
      </c>
      <c r="U224" s="152"/>
      <c r="V224" s="152" t="n">
        <v>0.0033</v>
      </c>
      <c r="W224" s="152"/>
      <c r="X224" s="152"/>
      <c r="Y224" s="152" t="n">
        <v>0.002</v>
      </c>
      <c r="Z224" s="152"/>
      <c r="AA224" s="152"/>
      <c r="AB224" s="152" t="n">
        <f aca="false">N224-V224-Y224</f>
        <v>0.0137</v>
      </c>
      <c r="AC224" s="260" t="n">
        <v>0.008</v>
      </c>
      <c r="AD224" s="156" t="n">
        <f aca="false">IF(T224="","",T224)</f>
        <v>0.005596</v>
      </c>
      <c r="AE224" s="153"/>
      <c r="AF224" s="494"/>
      <c r="AH224" s="19" t="str">
        <f aca="false">IF(AF224="","N","Y")</f>
        <v>N</v>
      </c>
      <c r="AI224" s="63" t="s">
        <v>89</v>
      </c>
      <c r="AJ224" s="63" t="s">
        <v>197</v>
      </c>
      <c r="AK224" s="19"/>
      <c r="AL224" s="63" t="s">
        <v>198</v>
      </c>
      <c r="AM224" s="977"/>
    </row>
    <row r="225" customFormat="false" ht="16.5" hidden="false" customHeight="true" outlineLevel="0" collapsed="false">
      <c r="A225" s="19" t="n">
        <v>31</v>
      </c>
      <c r="B225" s="141" t="n">
        <v>43172</v>
      </c>
      <c r="C225" s="142"/>
      <c r="D225" s="142"/>
      <c r="E225" s="19" t="n">
        <f aca="false">D225-C225</f>
        <v>0</v>
      </c>
      <c r="F225" s="100" t="n">
        <f aca="false">TRUNC(E225/30,0)</f>
        <v>0</v>
      </c>
      <c r="G225" s="183" t="s">
        <v>95</v>
      </c>
      <c r="H225" s="146" t="n">
        <v>10</v>
      </c>
      <c r="I225" s="147"/>
      <c r="J225" s="197"/>
      <c r="K225" s="151"/>
      <c r="L225" s="152" t="n">
        <v>0.0171131</v>
      </c>
      <c r="M225" s="151"/>
      <c r="N225" s="152" t="n">
        <v>0.0185</v>
      </c>
      <c r="O225" s="151"/>
      <c r="P225" s="152"/>
      <c r="Q225" s="152"/>
      <c r="R225" s="152"/>
      <c r="S225" s="152"/>
      <c r="T225" s="153" t="n">
        <v>0.011445</v>
      </c>
      <c r="U225" s="152"/>
      <c r="V225" s="152" t="n">
        <v>0.002</v>
      </c>
      <c r="W225" s="152"/>
      <c r="X225" s="152"/>
      <c r="Y225" s="152" t="n">
        <v>0.002</v>
      </c>
      <c r="Z225" s="152"/>
      <c r="AA225" s="152"/>
      <c r="AB225" s="152" t="n">
        <f aca="false">AVERAGE(N225,P225)-V225-Y225</f>
        <v>0.0145</v>
      </c>
      <c r="AC225" s="260" t="n">
        <v>0.0185</v>
      </c>
      <c r="AD225" s="156" t="n">
        <f aca="false">IF(T225="","",T225)</f>
        <v>0.011445</v>
      </c>
      <c r="AE225" s="153"/>
      <c r="AF225" s="494"/>
      <c r="AH225" s="19" t="str">
        <f aca="false">IF(AF225="","N","Y")</f>
        <v>N</v>
      </c>
      <c r="AI225" s="63" t="s">
        <v>96</v>
      </c>
      <c r="AJ225" s="63" t="s">
        <v>142</v>
      </c>
      <c r="AK225" s="19"/>
      <c r="AL225" s="63" t="s">
        <v>199</v>
      </c>
      <c r="AM225" s="979" t="s">
        <v>200</v>
      </c>
    </row>
    <row r="226" customFormat="false" ht="16.5" hidden="false" customHeight="true" outlineLevel="0" collapsed="false">
      <c r="A226" s="19" t="n">
        <v>32</v>
      </c>
      <c r="B226" s="141" t="n">
        <v>43172</v>
      </c>
      <c r="C226" s="142"/>
      <c r="D226" s="142"/>
      <c r="E226" s="19" t="n">
        <f aca="false">D226-C226</f>
        <v>0</v>
      </c>
      <c r="F226" s="100" t="n">
        <f aca="false">TRUNC(E226/30,0)</f>
        <v>0</v>
      </c>
      <c r="G226" s="183" t="s">
        <v>95</v>
      </c>
      <c r="H226" s="146" t="n">
        <v>10</v>
      </c>
      <c r="I226" s="147"/>
      <c r="J226" s="197"/>
      <c r="K226" s="151"/>
      <c r="L226" s="152" t="n">
        <v>0.0204728</v>
      </c>
      <c r="M226" s="151"/>
      <c r="N226" s="152" t="n">
        <v>0.02</v>
      </c>
      <c r="O226" s="151"/>
      <c r="P226" s="152"/>
      <c r="Q226" s="152"/>
      <c r="R226" s="152"/>
      <c r="S226" s="152"/>
      <c r="T226" s="153" t="n">
        <v>0.015938</v>
      </c>
      <c r="U226" s="152"/>
      <c r="V226" s="152" t="n">
        <v>0.002</v>
      </c>
      <c r="W226" s="152"/>
      <c r="X226" s="152"/>
      <c r="Y226" s="152" t="n">
        <v>0.002</v>
      </c>
      <c r="Z226" s="152"/>
      <c r="AA226" s="152"/>
      <c r="AB226" s="152" t="n">
        <f aca="false">AVERAGE(N226,P226)-V226-Y226</f>
        <v>0.016</v>
      </c>
      <c r="AC226" s="260" t="n">
        <v>0.021</v>
      </c>
      <c r="AD226" s="156" t="n">
        <f aca="false">IF(T226="","",T226)</f>
        <v>0.015938</v>
      </c>
      <c r="AE226" s="153"/>
      <c r="AF226" s="494"/>
      <c r="AH226" s="19" t="str">
        <f aca="false">IF(AF226="","N","Y")</f>
        <v>N</v>
      </c>
      <c r="AI226" s="63" t="s">
        <v>96</v>
      </c>
      <c r="AJ226" s="63" t="s">
        <v>142</v>
      </c>
      <c r="AK226" s="19"/>
      <c r="AL226" s="63" t="s">
        <v>199</v>
      </c>
      <c r="AM226" s="979" t="s">
        <v>200</v>
      </c>
    </row>
    <row r="227" customFormat="false" ht="16.5" hidden="false" customHeight="true" outlineLevel="0" collapsed="false">
      <c r="A227" s="19" t="n">
        <v>33</v>
      </c>
      <c r="B227" s="141" t="n">
        <v>43172</v>
      </c>
      <c r="C227" s="142"/>
      <c r="D227" s="142"/>
      <c r="E227" s="19" t="n">
        <f aca="false">D227-C227</f>
        <v>0</v>
      </c>
      <c r="F227" s="100" t="n">
        <f aca="false">TRUNC(E227/30,0)</f>
        <v>0</v>
      </c>
      <c r="G227" s="183" t="s">
        <v>95</v>
      </c>
      <c r="H227" s="146" t="n">
        <v>10</v>
      </c>
      <c r="I227" s="147"/>
      <c r="J227" s="197"/>
      <c r="K227" s="151"/>
      <c r="L227" s="152" t="n">
        <v>0.0224</v>
      </c>
      <c r="M227" s="151"/>
      <c r="N227" s="152" t="n">
        <v>0.022</v>
      </c>
      <c r="O227" s="151"/>
      <c r="P227" s="152"/>
      <c r="Q227" s="152"/>
      <c r="R227" s="152"/>
      <c r="S227" s="152"/>
      <c r="T227" s="153" t="n">
        <v>0.018331</v>
      </c>
      <c r="U227" s="152"/>
      <c r="V227" s="152" t="n">
        <v>0.002</v>
      </c>
      <c r="W227" s="152"/>
      <c r="X227" s="152"/>
      <c r="Y227" s="152" t="n">
        <v>0.002</v>
      </c>
      <c r="Z227" s="152"/>
      <c r="AA227" s="152"/>
      <c r="AB227" s="152" t="n">
        <f aca="false">AVERAGE(N227,P227)-V227-Y227</f>
        <v>0.018</v>
      </c>
      <c r="AC227" s="260" t="n">
        <v>0.023</v>
      </c>
      <c r="AD227" s="156" t="n">
        <f aca="false">IF(T227="","",T227)</f>
        <v>0.018331</v>
      </c>
      <c r="AE227" s="153"/>
      <c r="AF227" s="494"/>
      <c r="AH227" s="19" t="str">
        <f aca="false">IF(AF227="","N","Y")</f>
        <v>N</v>
      </c>
      <c r="AI227" s="63" t="s">
        <v>96</v>
      </c>
      <c r="AJ227" s="63" t="s">
        <v>142</v>
      </c>
      <c r="AK227" s="19"/>
      <c r="AL227" s="63" t="s">
        <v>199</v>
      </c>
      <c r="AM227" s="979" t="s">
        <v>200</v>
      </c>
    </row>
    <row r="228" customFormat="false" ht="16.5" hidden="false" customHeight="true" outlineLevel="0" collapsed="false">
      <c r="A228" s="19" t="n">
        <v>34</v>
      </c>
      <c r="B228" s="141" t="n">
        <v>43172</v>
      </c>
      <c r="C228" s="142"/>
      <c r="D228" s="142"/>
      <c r="E228" s="19" t="n">
        <f aca="false">D228-C228</f>
        <v>0</v>
      </c>
      <c r="F228" s="100" t="n">
        <f aca="false">TRUNC(E228/30,0)</f>
        <v>0</v>
      </c>
      <c r="G228" s="183" t="s">
        <v>95</v>
      </c>
      <c r="H228" s="146" t="n">
        <v>10</v>
      </c>
      <c r="I228" s="147"/>
      <c r="J228" s="197"/>
      <c r="K228" s="151"/>
      <c r="L228" s="152" t="n">
        <v>0.0224</v>
      </c>
      <c r="M228" s="151"/>
      <c r="N228" s="152" t="n">
        <v>0.022</v>
      </c>
      <c r="O228" s="151"/>
      <c r="P228" s="152"/>
      <c r="Q228" s="152"/>
      <c r="R228" s="152"/>
      <c r="S228" s="152"/>
      <c r="T228" s="153" t="n">
        <v>0.018331</v>
      </c>
      <c r="U228" s="152"/>
      <c r="V228" s="152" t="n">
        <v>0.002</v>
      </c>
      <c r="W228" s="152"/>
      <c r="X228" s="152"/>
      <c r="Y228" s="152" t="n">
        <v>0.002</v>
      </c>
      <c r="Z228" s="152"/>
      <c r="AA228" s="152"/>
      <c r="AB228" s="152" t="n">
        <f aca="false">AVERAGE(N228,P228)-V228-Y228</f>
        <v>0.018</v>
      </c>
      <c r="AC228" s="260" t="n">
        <v>0.025</v>
      </c>
      <c r="AD228" s="156" t="n">
        <f aca="false">IF(T228="","",T228)</f>
        <v>0.018331</v>
      </c>
      <c r="AE228" s="153"/>
      <c r="AF228" s="494"/>
      <c r="AH228" s="19" t="str">
        <f aca="false">IF(AF228="","N","Y")</f>
        <v>N</v>
      </c>
      <c r="AI228" s="63" t="s">
        <v>96</v>
      </c>
      <c r="AJ228" s="63" t="s">
        <v>142</v>
      </c>
      <c r="AK228" s="19"/>
      <c r="AL228" s="63" t="s">
        <v>199</v>
      </c>
      <c r="AM228" s="979" t="s">
        <v>200</v>
      </c>
    </row>
    <row r="229" customFormat="false" ht="16.5" hidden="false" customHeight="true" outlineLevel="0" collapsed="false">
      <c r="A229" s="19" t="n">
        <v>35</v>
      </c>
      <c r="B229" s="141" t="n">
        <v>43175</v>
      </c>
      <c r="C229" s="142" t="n">
        <v>43175</v>
      </c>
      <c r="D229" s="142" t="n">
        <v>43267</v>
      </c>
      <c r="E229" s="19" t="n">
        <f aca="false">D229-C229</f>
        <v>92</v>
      </c>
      <c r="F229" s="100" t="n">
        <f aca="false">TRUNC(E229/30,0)</f>
        <v>3</v>
      </c>
      <c r="G229" s="183" t="s">
        <v>95</v>
      </c>
      <c r="H229" s="146" t="n">
        <v>10</v>
      </c>
      <c r="I229" s="147"/>
      <c r="J229" s="197" t="n">
        <v>0.016</v>
      </c>
      <c r="K229" s="151"/>
      <c r="L229" s="152" t="n">
        <v>0.0202457</v>
      </c>
      <c r="M229" s="151"/>
      <c r="N229" s="152" t="n">
        <v>0.021</v>
      </c>
      <c r="O229" s="151"/>
      <c r="P229" s="152"/>
      <c r="Q229" s="152"/>
      <c r="R229" s="152"/>
      <c r="S229" s="152"/>
      <c r="T229" s="153" t="n">
        <v>0.015715</v>
      </c>
      <c r="U229" s="152"/>
      <c r="V229" s="152" t="n">
        <v>0.002</v>
      </c>
      <c r="W229" s="152"/>
      <c r="X229" s="152"/>
      <c r="Y229" s="152" t="n">
        <v>0.002</v>
      </c>
      <c r="Z229" s="152"/>
      <c r="AA229" s="152"/>
      <c r="AB229" s="152" t="n">
        <f aca="false">N229-V229-Y229</f>
        <v>0.017</v>
      </c>
      <c r="AC229" s="260" t="n">
        <v>0.018</v>
      </c>
      <c r="AD229" s="156" t="n">
        <f aca="false">IF(T229="","",T229)</f>
        <v>0.015715</v>
      </c>
      <c r="AE229" s="153"/>
      <c r="AF229" s="494"/>
      <c r="AH229" s="19" t="str">
        <f aca="false">IF(AF229="","N","Y")</f>
        <v>N</v>
      </c>
      <c r="AI229" s="63" t="s">
        <v>201</v>
      </c>
      <c r="AJ229" s="63" t="s">
        <v>202</v>
      </c>
      <c r="AK229" s="19"/>
      <c r="AL229" s="63" t="s">
        <v>203</v>
      </c>
      <c r="AM229" s="979" t="s">
        <v>204</v>
      </c>
    </row>
    <row r="230" customFormat="false" ht="16.5" hidden="false" customHeight="true" outlineLevel="0" collapsed="false">
      <c r="A230" s="19" t="n">
        <v>36</v>
      </c>
      <c r="B230" s="141" t="n">
        <v>43186</v>
      </c>
      <c r="C230" s="142" t="n">
        <v>43186</v>
      </c>
      <c r="D230" s="142" t="n">
        <v>43370</v>
      </c>
      <c r="E230" s="19" t="n">
        <f aca="false">D230-C230</f>
        <v>184</v>
      </c>
      <c r="F230" s="100" t="n">
        <f aca="false">TRUNC(E230/30,0)</f>
        <v>6</v>
      </c>
      <c r="G230" s="183" t="s">
        <v>95</v>
      </c>
      <c r="H230" s="146" t="n">
        <v>1</v>
      </c>
      <c r="I230" s="147"/>
      <c r="J230" s="197" t="n">
        <v>0.016</v>
      </c>
      <c r="K230" s="151"/>
      <c r="L230" s="152" t="n">
        <v>0.024538</v>
      </c>
      <c r="M230" s="151"/>
      <c r="N230" s="152" t="n">
        <v>0.021</v>
      </c>
      <c r="O230" s="151"/>
      <c r="P230" s="152"/>
      <c r="Q230" s="152"/>
      <c r="R230" s="152"/>
      <c r="S230" s="152" t="n">
        <v>0.022464</v>
      </c>
      <c r="T230" s="153" t="n">
        <v>0.020422</v>
      </c>
      <c r="U230" s="152"/>
      <c r="V230" s="152" t="n">
        <v>0.002</v>
      </c>
      <c r="W230" s="152"/>
      <c r="X230" s="152"/>
      <c r="Y230" s="152" t="n">
        <v>0.002</v>
      </c>
      <c r="Z230" s="152"/>
      <c r="AA230" s="152"/>
      <c r="AB230" s="152" t="n">
        <f aca="false">N230-V230-Y230</f>
        <v>0.017</v>
      </c>
      <c r="AC230" s="260" t="n">
        <v>0.017</v>
      </c>
      <c r="AD230" s="156" t="n">
        <f aca="false">IF(T230="","",T230)</f>
        <v>0.020422</v>
      </c>
      <c r="AE230" s="153"/>
      <c r="AF230" s="494"/>
      <c r="AH230" s="19" t="str">
        <f aca="false">IF(AF230="","N","Y")</f>
        <v>N</v>
      </c>
      <c r="AI230" s="63" t="s">
        <v>92</v>
      </c>
      <c r="AJ230" s="63" t="s">
        <v>183</v>
      </c>
      <c r="AK230" s="19"/>
      <c r="AL230" s="63" t="s">
        <v>205</v>
      </c>
      <c r="AM230" s="979" t="s">
        <v>184</v>
      </c>
    </row>
    <row r="231" customFormat="false" ht="16.5" hidden="false" customHeight="true" outlineLevel="0" collapsed="false">
      <c r="A231" s="19" t="n">
        <v>37</v>
      </c>
      <c r="B231" s="141" t="n">
        <v>43189</v>
      </c>
      <c r="C231" s="142" t="n">
        <v>43194</v>
      </c>
      <c r="D231" s="142" t="n">
        <v>43224</v>
      </c>
      <c r="E231" s="19" t="n">
        <f aca="false">D231-C231</f>
        <v>30</v>
      </c>
      <c r="F231" s="100" t="n">
        <f aca="false">TRUNC(E231/30,0)</f>
        <v>1</v>
      </c>
      <c r="G231" s="189" t="s">
        <v>99</v>
      </c>
      <c r="H231" s="146" t="n">
        <v>50</v>
      </c>
      <c r="I231" s="147"/>
      <c r="J231" s="197" t="n">
        <v>0.01265</v>
      </c>
      <c r="K231" s="151"/>
      <c r="L231" s="152" t="n">
        <v>0.01475</v>
      </c>
      <c r="M231" s="151"/>
      <c r="N231" s="152" t="n">
        <v>0.02</v>
      </c>
      <c r="O231" s="151"/>
      <c r="P231" s="152"/>
      <c r="Q231" s="152"/>
      <c r="R231" s="152"/>
      <c r="S231" s="152"/>
      <c r="T231" s="153" t="n">
        <v>0.005655</v>
      </c>
      <c r="U231" s="152"/>
      <c r="V231" s="152" t="n">
        <v>0.0033</v>
      </c>
      <c r="W231" s="152"/>
      <c r="X231" s="152"/>
      <c r="Y231" s="152" t="n">
        <v>0.002</v>
      </c>
      <c r="Z231" s="152"/>
      <c r="AA231" s="152"/>
      <c r="AB231" s="152" t="n">
        <f aca="false">N231-V231-Y231</f>
        <v>0.0147</v>
      </c>
      <c r="AC231" s="981" t="n">
        <v>0.0145</v>
      </c>
      <c r="AD231" s="156" t="n">
        <f aca="false">IF(T231="","",T231)</f>
        <v>0.005655</v>
      </c>
      <c r="AE231" s="153"/>
      <c r="AF231" s="494"/>
      <c r="AH231" s="19" t="str">
        <f aca="false">IF(AF231="","N","Y")</f>
        <v>N</v>
      </c>
      <c r="AI231" s="63" t="s">
        <v>96</v>
      </c>
      <c r="AJ231" s="63" t="s">
        <v>142</v>
      </c>
      <c r="AK231" s="19"/>
      <c r="AL231" s="19" t="s">
        <v>112</v>
      </c>
      <c r="AM231" s="979" t="s">
        <v>186</v>
      </c>
    </row>
    <row r="232" customFormat="false" ht="16.5" hidden="false" customHeight="true" outlineLevel="0" collapsed="false">
      <c r="A232" s="19" t="n">
        <v>38</v>
      </c>
      <c r="B232" s="141" t="n">
        <v>43189</v>
      </c>
      <c r="C232" s="142" t="n">
        <v>43194</v>
      </c>
      <c r="D232" s="142" t="n">
        <v>43285</v>
      </c>
      <c r="E232" s="19" t="n">
        <f aca="false">D232-C232</f>
        <v>91</v>
      </c>
      <c r="F232" s="100" t="n">
        <f aca="false">TRUNC(E232/30,0)</f>
        <v>3</v>
      </c>
      <c r="G232" s="183" t="s">
        <v>95</v>
      </c>
      <c r="H232" s="146" t="n">
        <v>50</v>
      </c>
      <c r="I232" s="147"/>
      <c r="J232" s="197" t="n">
        <v>0.012</v>
      </c>
      <c r="K232" s="151"/>
      <c r="L232" s="152" t="n">
        <v>0.0166418</v>
      </c>
      <c r="M232" s="151"/>
      <c r="N232" s="152" t="n">
        <v>0.017</v>
      </c>
      <c r="O232" s="151"/>
      <c r="P232" s="152"/>
      <c r="Q232" s="152"/>
      <c r="R232" s="152"/>
      <c r="S232" s="152"/>
      <c r="T232" s="153" t="n">
        <v>0.010983</v>
      </c>
      <c r="U232" s="152"/>
      <c r="V232" s="152" t="n">
        <v>0.002</v>
      </c>
      <c r="W232" s="152"/>
      <c r="X232" s="152"/>
      <c r="Y232" s="152" t="n">
        <v>0.002</v>
      </c>
      <c r="Z232" s="152"/>
      <c r="AA232" s="152"/>
      <c r="AB232" s="152" t="n">
        <f aca="false">N232-V232-Y232</f>
        <v>0.013</v>
      </c>
      <c r="AC232" s="260" t="n">
        <v>0.0135</v>
      </c>
      <c r="AD232" s="156" t="n">
        <f aca="false">IF(T232="","",T232)</f>
        <v>0.010983</v>
      </c>
      <c r="AE232" s="153"/>
      <c r="AF232" s="494"/>
      <c r="AH232" s="19" t="str">
        <f aca="false">IF(AF232="","N","Y")</f>
        <v>N</v>
      </c>
      <c r="AI232" s="63" t="s">
        <v>187</v>
      </c>
      <c r="AJ232" s="63" t="s">
        <v>188</v>
      </c>
      <c r="AK232" s="19"/>
      <c r="AL232" s="63" t="s">
        <v>164</v>
      </c>
      <c r="AM232" s="977"/>
    </row>
    <row r="233" customFormat="false" ht="16.5" hidden="false" customHeight="true" outlineLevel="0" collapsed="false">
      <c r="A233" s="19" t="n">
        <v>39</v>
      </c>
      <c r="B233" s="141" t="n">
        <v>43196</v>
      </c>
      <c r="C233" s="142" t="n">
        <v>43196</v>
      </c>
      <c r="D233" s="142" t="n">
        <v>43224</v>
      </c>
      <c r="E233" s="19" t="n">
        <f aca="false">D233-C233</f>
        <v>28</v>
      </c>
      <c r="F233" s="100" t="n">
        <f aca="false">TRUNC(E233/30,0)</f>
        <v>0</v>
      </c>
      <c r="G233" s="189" t="s">
        <v>99</v>
      </c>
      <c r="H233" s="146" t="n">
        <v>10</v>
      </c>
      <c r="I233" s="147"/>
      <c r="J233" s="197"/>
      <c r="K233" s="151"/>
      <c r="L233" s="152" t="n">
        <v>0.0170313</v>
      </c>
      <c r="M233" s="151"/>
      <c r="N233" s="152" t="n">
        <v>0.0188</v>
      </c>
      <c r="O233" s="151"/>
      <c r="P233" s="152"/>
      <c r="Q233" s="152"/>
      <c r="R233" s="152"/>
      <c r="S233" s="152"/>
      <c r="T233" s="153" t="n">
        <v>0.008154</v>
      </c>
      <c r="U233" s="152"/>
      <c r="V233" s="152" t="n">
        <v>0.0033</v>
      </c>
      <c r="W233" s="152"/>
      <c r="X233" s="152"/>
      <c r="Y233" s="152" t="n">
        <v>0.002</v>
      </c>
      <c r="Z233" s="152"/>
      <c r="AA233" s="152"/>
      <c r="AB233" s="152" t="n">
        <f aca="false">N233-V233-Y233</f>
        <v>0.0135</v>
      </c>
      <c r="AC233" s="260" t="n">
        <v>0.014</v>
      </c>
      <c r="AD233" s="156" t="n">
        <f aca="false">IF(T233="","",T233)</f>
        <v>0.008154</v>
      </c>
      <c r="AE233" s="153"/>
      <c r="AF233" s="494" t="n">
        <v>0.013</v>
      </c>
      <c r="AG233" s="35" t="n">
        <v>1</v>
      </c>
      <c r="AH233" s="19" t="str">
        <f aca="false">IF(AF233="","N","Y")</f>
        <v>Y</v>
      </c>
      <c r="AI233" s="63" t="s">
        <v>103</v>
      </c>
      <c r="AJ233" s="63" t="s">
        <v>206</v>
      </c>
      <c r="AK233" s="19"/>
      <c r="AL233" s="63" t="s">
        <v>207</v>
      </c>
      <c r="AM233" s="979" t="s">
        <v>208</v>
      </c>
    </row>
    <row r="234" customFormat="false" ht="16.5" hidden="false" customHeight="true" outlineLevel="0" collapsed="false">
      <c r="A234" s="19" t="n">
        <v>40</v>
      </c>
      <c r="B234" s="141" t="n">
        <v>43196</v>
      </c>
      <c r="C234" s="142" t="n">
        <v>43196</v>
      </c>
      <c r="D234" s="142" t="n">
        <v>43224</v>
      </c>
      <c r="E234" s="19" t="n">
        <f aca="false">D234-C234</f>
        <v>28</v>
      </c>
      <c r="F234" s="100" t="n">
        <f aca="false">TRUNC(E234/30,0)</f>
        <v>0</v>
      </c>
      <c r="G234" s="189" t="s">
        <v>99</v>
      </c>
      <c r="H234" s="146" t="n">
        <v>2.31</v>
      </c>
      <c r="I234" s="147"/>
      <c r="J234" s="148"/>
      <c r="K234" s="149"/>
      <c r="L234" s="152" t="n">
        <v>0.0170313</v>
      </c>
      <c r="M234" s="151"/>
      <c r="N234" s="152" t="n">
        <v>0.0188</v>
      </c>
      <c r="O234" s="151"/>
      <c r="P234" s="152"/>
      <c r="Q234" s="152"/>
      <c r="R234" s="152"/>
      <c r="S234" s="152"/>
      <c r="T234" s="153" t="n">
        <v>0.008154</v>
      </c>
      <c r="U234" s="152"/>
      <c r="V234" s="152" t="n">
        <v>0.0033</v>
      </c>
      <c r="W234" s="152"/>
      <c r="X234" s="152"/>
      <c r="Y234" s="152" t="n">
        <v>0.002</v>
      </c>
      <c r="Z234" s="152"/>
      <c r="AA234" s="152"/>
      <c r="AB234" s="152" t="n">
        <f aca="false">N234-V234-Y234</f>
        <v>0.0135</v>
      </c>
      <c r="AC234" s="260" t="n">
        <v>0.014</v>
      </c>
      <c r="AD234" s="156" t="n">
        <f aca="false">IF(T234="","",T234)</f>
        <v>0.008154</v>
      </c>
      <c r="AE234" s="153"/>
      <c r="AF234" s="494" t="n">
        <v>0.0085</v>
      </c>
      <c r="AG234" s="35" t="n">
        <v>3</v>
      </c>
      <c r="AH234" s="19" t="str">
        <f aca="false">IF(AF234="","N","Y")</f>
        <v>Y</v>
      </c>
      <c r="AI234" s="63" t="s">
        <v>103</v>
      </c>
      <c r="AJ234" s="63" t="s">
        <v>111</v>
      </c>
      <c r="AK234" s="19"/>
      <c r="AL234" s="63" t="s">
        <v>176</v>
      </c>
      <c r="AM234" s="979" t="s">
        <v>175</v>
      </c>
    </row>
    <row r="235" customFormat="false" ht="16.5" hidden="false" customHeight="true" outlineLevel="0" collapsed="false">
      <c r="A235" s="19" t="n">
        <v>41</v>
      </c>
      <c r="B235" s="141" t="n">
        <v>43196</v>
      </c>
      <c r="C235" s="142" t="n">
        <v>43196</v>
      </c>
      <c r="D235" s="142" t="n">
        <v>43224</v>
      </c>
      <c r="E235" s="19" t="n">
        <f aca="false">D235-C235</f>
        <v>28</v>
      </c>
      <c r="F235" s="100" t="n">
        <f aca="false">TRUNC(E235/30,0)</f>
        <v>0</v>
      </c>
      <c r="G235" s="189" t="s">
        <v>99</v>
      </c>
      <c r="H235" s="146" t="n">
        <v>9.38</v>
      </c>
      <c r="I235" s="147"/>
      <c r="J235" s="148"/>
      <c r="K235" s="149"/>
      <c r="L235" s="152" t="n">
        <v>0.0170313</v>
      </c>
      <c r="M235" s="151"/>
      <c r="N235" s="152" t="n">
        <v>0.0188</v>
      </c>
      <c r="O235" s="151"/>
      <c r="P235" s="152"/>
      <c r="Q235" s="152"/>
      <c r="R235" s="152"/>
      <c r="S235" s="152"/>
      <c r="T235" s="153" t="n">
        <v>0.008154</v>
      </c>
      <c r="U235" s="152"/>
      <c r="V235" s="152" t="n">
        <v>0.0033</v>
      </c>
      <c r="W235" s="152"/>
      <c r="X235" s="152"/>
      <c r="Y235" s="152" t="n">
        <v>0.002</v>
      </c>
      <c r="Z235" s="152"/>
      <c r="AA235" s="152"/>
      <c r="AB235" s="152" t="n">
        <f aca="false">N235-V235-Y235</f>
        <v>0.0135</v>
      </c>
      <c r="AC235" s="260" t="n">
        <v>0.014</v>
      </c>
      <c r="AD235" s="156" t="n">
        <f aca="false">IF(T235="","",T235)</f>
        <v>0.008154</v>
      </c>
      <c r="AE235" s="153"/>
      <c r="AF235" s="494" t="n">
        <v>0.0085</v>
      </c>
      <c r="AG235" s="35" t="n">
        <v>4</v>
      </c>
      <c r="AH235" s="19" t="str">
        <f aca="false">IF(AF235="","N","Y")</f>
        <v>Y</v>
      </c>
      <c r="AI235" s="63" t="s">
        <v>103</v>
      </c>
      <c r="AJ235" s="63" t="s">
        <v>111</v>
      </c>
      <c r="AK235" s="19"/>
      <c r="AL235" s="63" t="s">
        <v>174</v>
      </c>
      <c r="AM235" s="979" t="s">
        <v>175</v>
      </c>
    </row>
    <row r="236" customFormat="false" ht="16.5" hidden="false" customHeight="true" outlineLevel="0" collapsed="false">
      <c r="A236" s="19" t="n">
        <v>42</v>
      </c>
      <c r="B236" s="141" t="n">
        <v>43199</v>
      </c>
      <c r="C236" s="142" t="n">
        <v>43199</v>
      </c>
      <c r="D236" s="142" t="n">
        <v>43382</v>
      </c>
      <c r="E236" s="19" t="n">
        <f aca="false">D236-C236</f>
        <v>183</v>
      </c>
      <c r="F236" s="100" t="n">
        <f aca="false">TRUNC(E236/30,0)</f>
        <v>6</v>
      </c>
      <c r="G236" s="183" t="s">
        <v>95</v>
      </c>
      <c r="H236" s="146" t="n">
        <v>6</v>
      </c>
      <c r="I236" s="147"/>
      <c r="J236" s="197"/>
      <c r="K236" s="151"/>
      <c r="L236" s="152" t="n">
        <v>0.024675</v>
      </c>
      <c r="M236" s="151"/>
      <c r="N236" s="152" t="n">
        <v>0.0235</v>
      </c>
      <c r="O236" s="151"/>
      <c r="P236" s="152"/>
      <c r="Q236" s="152"/>
      <c r="R236" s="152"/>
      <c r="S236" s="152"/>
      <c r="T236" s="153" t="n">
        <v>0.013239</v>
      </c>
      <c r="U236" s="152"/>
      <c r="V236" s="152" t="n">
        <v>0.002</v>
      </c>
      <c r="W236" s="152"/>
      <c r="X236" s="152"/>
      <c r="Y236" s="152" t="n">
        <v>0.002</v>
      </c>
      <c r="Z236" s="152"/>
      <c r="AA236" s="152"/>
      <c r="AB236" s="152" t="n">
        <f aca="false">N236-V236-Y236</f>
        <v>0.0195</v>
      </c>
      <c r="AC236" s="260" t="n">
        <v>0.0245</v>
      </c>
      <c r="AD236" s="156" t="n">
        <f aca="false">IF(T236="","",T236)</f>
        <v>0.013239</v>
      </c>
      <c r="AE236" s="153"/>
      <c r="AF236" s="494"/>
      <c r="AH236" s="19" t="str">
        <f aca="false">IF(AF236="","N","Y")</f>
        <v>N</v>
      </c>
      <c r="AI236" s="63" t="s">
        <v>209</v>
      </c>
      <c r="AJ236" s="63" t="s">
        <v>210</v>
      </c>
      <c r="AK236" s="19"/>
      <c r="AL236" s="63" t="s">
        <v>211</v>
      </c>
      <c r="AM236" s="979" t="s">
        <v>212</v>
      </c>
    </row>
    <row r="237" customFormat="false" ht="16.5" hidden="false" customHeight="true" outlineLevel="0" collapsed="false">
      <c r="A237" s="19" t="n">
        <v>43</v>
      </c>
      <c r="B237" s="141" t="n">
        <v>43201</v>
      </c>
      <c r="C237" s="142" t="n">
        <v>43201</v>
      </c>
      <c r="D237" s="142" t="n">
        <v>43229</v>
      </c>
      <c r="E237" s="19" t="n">
        <f aca="false">D237-C237</f>
        <v>28</v>
      </c>
      <c r="F237" s="100" t="n">
        <f aca="false">TRUNC(E237/30,0)</f>
        <v>0</v>
      </c>
      <c r="G237" s="183" t="s">
        <v>95</v>
      </c>
      <c r="H237" s="146" t="n">
        <v>25</v>
      </c>
      <c r="I237" s="147"/>
      <c r="J237" s="197" t="n">
        <v>0.016</v>
      </c>
      <c r="K237" s="151"/>
      <c r="L237" s="152" t="n">
        <v>0.0189438</v>
      </c>
      <c r="M237" s="151"/>
      <c r="N237" s="152" t="n">
        <v>0.0195</v>
      </c>
      <c r="O237" s="151"/>
      <c r="P237" s="152"/>
      <c r="Q237" s="152"/>
      <c r="R237" s="152"/>
      <c r="S237" s="152"/>
      <c r="T237" s="153" t="n">
        <v>0.013239</v>
      </c>
      <c r="U237" s="152"/>
      <c r="V237" s="152" t="n">
        <v>0.002</v>
      </c>
      <c r="W237" s="152"/>
      <c r="X237" s="152"/>
      <c r="Y237" s="152" t="n">
        <v>0.002</v>
      </c>
      <c r="Z237" s="152"/>
      <c r="AA237" s="152"/>
      <c r="AB237" s="152" t="n">
        <f aca="false">N237-V237-Y237</f>
        <v>0.0155</v>
      </c>
      <c r="AC237" s="260" t="n">
        <v>0.0175</v>
      </c>
      <c r="AD237" s="156" t="n">
        <f aca="false">IF(T237="","",T237)</f>
        <v>0.013239</v>
      </c>
      <c r="AE237" s="153"/>
      <c r="AF237" s="494"/>
      <c r="AH237" s="19" t="str">
        <f aca="false">IF(AF237="","N","Y")</f>
        <v>N</v>
      </c>
      <c r="AI237" s="63" t="s">
        <v>100</v>
      </c>
      <c r="AJ237" s="63" t="s">
        <v>101</v>
      </c>
      <c r="AK237" s="19"/>
      <c r="AL237" s="63" t="s">
        <v>102</v>
      </c>
      <c r="AM237" s="979" t="s">
        <v>213</v>
      </c>
    </row>
    <row r="238" customFormat="false" ht="16.5" hidden="false" customHeight="true" outlineLevel="0" collapsed="false">
      <c r="A238" s="19" t="n">
        <v>44</v>
      </c>
      <c r="B238" s="141" t="n">
        <v>43203</v>
      </c>
      <c r="C238" s="142" t="n">
        <v>43203</v>
      </c>
      <c r="D238" s="142" t="n">
        <v>43294</v>
      </c>
      <c r="E238" s="19" t="n">
        <f aca="false">D238-C238</f>
        <v>91</v>
      </c>
      <c r="F238" s="100" t="n">
        <f aca="false">TRUNC(E238/30,0)</f>
        <v>3</v>
      </c>
      <c r="G238" s="183" t="s">
        <v>95</v>
      </c>
      <c r="H238" s="146" t="n">
        <v>6</v>
      </c>
      <c r="I238" s="147"/>
      <c r="J238" s="197"/>
      <c r="K238" s="151"/>
      <c r="L238" s="152" t="n">
        <v>0.0234769</v>
      </c>
      <c r="M238" s="151"/>
      <c r="N238" s="152" t="n">
        <v>0.025</v>
      </c>
      <c r="O238" s="151"/>
      <c r="P238" s="152"/>
      <c r="Q238" s="152"/>
      <c r="R238" s="152"/>
      <c r="S238" s="152"/>
      <c r="T238" s="153" t="n">
        <v>0.018881</v>
      </c>
      <c r="U238" s="152"/>
      <c r="V238" s="152" t="n">
        <v>0.002</v>
      </c>
      <c r="W238" s="152"/>
      <c r="X238" s="152"/>
      <c r="Y238" s="152" t="n">
        <v>0.002</v>
      </c>
      <c r="Z238" s="152"/>
      <c r="AA238" s="152"/>
      <c r="AB238" s="152" t="n">
        <f aca="false">N238-V238-Y238</f>
        <v>0.021</v>
      </c>
      <c r="AC238" s="260" t="n">
        <v>0.0231</v>
      </c>
      <c r="AD238" s="156" t="n">
        <f aca="false">IF(T238="","",T238)</f>
        <v>0.018881</v>
      </c>
      <c r="AE238" s="153" t="n">
        <v>0.004219</v>
      </c>
      <c r="AF238" s="494" t="n">
        <f aca="false">AD238+AE238</f>
        <v>0.0231</v>
      </c>
      <c r="AG238" s="35" t="n">
        <v>1</v>
      </c>
      <c r="AH238" s="19" t="str">
        <f aca="false">IF(AF238="","N","Y")</f>
        <v>Y</v>
      </c>
      <c r="AI238" s="63" t="s">
        <v>209</v>
      </c>
      <c r="AJ238" s="63" t="s">
        <v>210</v>
      </c>
      <c r="AK238" s="19"/>
      <c r="AL238" s="63" t="s">
        <v>211</v>
      </c>
      <c r="AM238" s="979" t="s">
        <v>214</v>
      </c>
    </row>
    <row r="239" customFormat="false" ht="16.5" hidden="false" customHeight="true" outlineLevel="0" collapsed="false">
      <c r="A239" s="19" t="n">
        <v>45</v>
      </c>
      <c r="B239" s="141" t="n">
        <v>43206</v>
      </c>
      <c r="C239" s="142" t="n">
        <v>43206</v>
      </c>
      <c r="D239" s="142" t="n">
        <v>43244</v>
      </c>
      <c r="E239" s="19" t="n">
        <f aca="false">D239-C239</f>
        <v>38</v>
      </c>
      <c r="F239" s="100" t="n">
        <f aca="false">TRUNC(E239/30,0)</f>
        <v>1</v>
      </c>
      <c r="G239" s="183" t="s">
        <v>95</v>
      </c>
      <c r="H239" s="146" t="n">
        <v>20</v>
      </c>
      <c r="I239" s="147"/>
      <c r="J239" s="197"/>
      <c r="K239" s="151"/>
      <c r="L239" s="152" t="n">
        <v>0.0235281</v>
      </c>
      <c r="M239" s="151"/>
      <c r="N239" s="152" t="n">
        <v>0.02</v>
      </c>
      <c r="O239" s="151"/>
      <c r="P239" s="152" t="n">
        <v>0.025599</v>
      </c>
      <c r="Q239" s="152"/>
      <c r="R239" s="152"/>
      <c r="S239" s="152"/>
      <c r="T239" s="153" t="n">
        <v>0.01325</v>
      </c>
      <c r="U239" s="152"/>
      <c r="V239" s="152" t="n">
        <v>0.002</v>
      </c>
      <c r="W239" s="152"/>
      <c r="X239" s="152"/>
      <c r="Y239" s="152" t="n">
        <v>0.002</v>
      </c>
      <c r="Z239" s="152"/>
      <c r="AA239" s="152"/>
      <c r="AB239" s="152" t="n">
        <f aca="false">N239-V239-Y239</f>
        <v>0.016</v>
      </c>
      <c r="AC239" s="260" t="n">
        <v>0.019</v>
      </c>
      <c r="AD239" s="156" t="n">
        <f aca="false">IF(T239="","",T239)</f>
        <v>0.01325</v>
      </c>
      <c r="AE239" s="153"/>
      <c r="AF239" s="494"/>
      <c r="AH239" s="19" t="str">
        <f aca="false">IF(AF239="","N","Y")</f>
        <v>N</v>
      </c>
      <c r="AI239" s="63" t="s">
        <v>100</v>
      </c>
      <c r="AJ239" s="63" t="s">
        <v>101</v>
      </c>
      <c r="AK239" s="19"/>
      <c r="AL239" s="63" t="s">
        <v>102</v>
      </c>
      <c r="AM239" s="979" t="s">
        <v>215</v>
      </c>
    </row>
    <row r="240" customFormat="false" ht="16.5" hidden="false" customHeight="true" outlineLevel="0" collapsed="false">
      <c r="A240" s="19" t="n">
        <v>46</v>
      </c>
      <c r="B240" s="141" t="n">
        <v>43203</v>
      </c>
      <c r="C240" s="142" t="n">
        <v>43203</v>
      </c>
      <c r="D240" s="142" t="n">
        <v>43294</v>
      </c>
      <c r="E240" s="19" t="n">
        <f aca="false">D240-C240</f>
        <v>91</v>
      </c>
      <c r="F240" s="100" t="n">
        <f aca="false">TRUNC(E240/30,0)</f>
        <v>3</v>
      </c>
      <c r="G240" s="183" t="s">
        <v>95</v>
      </c>
      <c r="H240" s="146" t="n">
        <v>6</v>
      </c>
      <c r="I240" s="147"/>
      <c r="J240" s="197"/>
      <c r="K240" s="151"/>
      <c r="L240" s="152" t="n">
        <v>0.0234769</v>
      </c>
      <c r="M240" s="151"/>
      <c r="N240" s="152" t="n">
        <v>0.025</v>
      </c>
      <c r="O240" s="151"/>
      <c r="P240" s="152"/>
      <c r="Q240" s="152"/>
      <c r="R240" s="152"/>
      <c r="S240" s="152"/>
      <c r="T240" s="153" t="n">
        <v>0.018932</v>
      </c>
      <c r="U240" s="152"/>
      <c r="V240" s="152" t="n">
        <v>0.002</v>
      </c>
      <c r="W240" s="152"/>
      <c r="X240" s="152"/>
      <c r="Y240" s="152" t="n">
        <v>0.002</v>
      </c>
      <c r="Z240" s="152"/>
      <c r="AA240" s="152"/>
      <c r="AB240" s="152" t="n">
        <f aca="false">N240-V240-Y240</f>
        <v>0.021</v>
      </c>
      <c r="AC240" s="260" t="n">
        <v>0.021</v>
      </c>
      <c r="AD240" s="156" t="n">
        <f aca="false">IF(T240="","",T240)</f>
        <v>0.018932</v>
      </c>
      <c r="AE240" s="153"/>
      <c r="AF240" s="494"/>
      <c r="AH240" s="19" t="str">
        <f aca="false">IF(AF240="","N","Y")</f>
        <v>N</v>
      </c>
      <c r="AI240" s="63" t="s">
        <v>103</v>
      </c>
      <c r="AJ240" s="63" t="s">
        <v>216</v>
      </c>
      <c r="AK240" s="19"/>
      <c r="AL240" s="63" t="s">
        <v>217</v>
      </c>
      <c r="AM240" s="979"/>
    </row>
    <row r="241" customFormat="false" ht="16.5" hidden="false" customHeight="true" outlineLevel="0" collapsed="false">
      <c r="A241" s="19" t="n">
        <v>47</v>
      </c>
      <c r="B241" s="141" t="n">
        <v>43206</v>
      </c>
      <c r="C241" s="142" t="n">
        <v>43206</v>
      </c>
      <c r="D241" s="142" t="n">
        <v>43389</v>
      </c>
      <c r="E241" s="19" t="n">
        <f aca="false">D241-C241</f>
        <v>183</v>
      </c>
      <c r="F241" s="100" t="n">
        <f aca="false">TRUNC(E241/30,0)</f>
        <v>6</v>
      </c>
      <c r="G241" s="183" t="s">
        <v>95</v>
      </c>
      <c r="H241" s="146" t="n">
        <v>1.7</v>
      </c>
      <c r="I241" s="147"/>
      <c r="J241" s="197"/>
      <c r="K241" s="151"/>
      <c r="L241" s="152" t="n">
        <v>0.0249</v>
      </c>
      <c r="M241" s="151"/>
      <c r="N241" s="152" t="n">
        <v>0.0235</v>
      </c>
      <c r="O241" s="151"/>
      <c r="P241" s="152"/>
      <c r="Q241" s="152"/>
      <c r="R241" s="152"/>
      <c r="S241" s="152"/>
      <c r="T241" s="153" t="n">
        <v>0.020777</v>
      </c>
      <c r="U241" s="152"/>
      <c r="V241" s="152" t="n">
        <v>0.002</v>
      </c>
      <c r="W241" s="152"/>
      <c r="X241" s="152"/>
      <c r="Y241" s="152" t="n">
        <v>0.002</v>
      </c>
      <c r="Z241" s="152"/>
      <c r="AA241" s="152"/>
      <c r="AB241" s="152" t="n">
        <f aca="false">N241-V241-Y241</f>
        <v>0.0195</v>
      </c>
      <c r="AC241" s="260" t="n">
        <v>0.0215</v>
      </c>
      <c r="AD241" s="156" t="n">
        <f aca="false">IF(T241="","",T241)</f>
        <v>0.020777</v>
      </c>
      <c r="AE241" s="153"/>
      <c r="AF241" s="494"/>
      <c r="AH241" s="19" t="str">
        <f aca="false">IF(AF241="","N","Y")</f>
        <v>N</v>
      </c>
      <c r="AI241" s="63" t="s">
        <v>165</v>
      </c>
      <c r="AJ241" s="63" t="s">
        <v>218</v>
      </c>
      <c r="AK241" s="19"/>
      <c r="AL241" s="63" t="s">
        <v>219</v>
      </c>
      <c r="AM241" s="979" t="s">
        <v>220</v>
      </c>
    </row>
    <row r="242" customFormat="false" ht="16.5" hidden="false" customHeight="true" outlineLevel="0" collapsed="false">
      <c r="A242" s="19" t="n">
        <v>48</v>
      </c>
      <c r="B242" s="141" t="n">
        <v>43208</v>
      </c>
      <c r="C242" s="142" t="n">
        <v>43210</v>
      </c>
      <c r="D242" s="142" t="n">
        <v>43240</v>
      </c>
      <c r="E242" s="19" t="n">
        <f aca="false">D242-C242</f>
        <v>30</v>
      </c>
      <c r="F242" s="100" t="n">
        <f aca="false">TRUNC(E242/30,0)</f>
        <v>1</v>
      </c>
      <c r="G242" s="183" t="s">
        <v>95</v>
      </c>
      <c r="H242" s="223" t="s">
        <v>221</v>
      </c>
      <c r="I242" s="147"/>
      <c r="J242" s="197"/>
      <c r="K242" s="151"/>
      <c r="L242" s="152" t="n">
        <v>0.0189563</v>
      </c>
      <c r="M242" s="151"/>
      <c r="N242" s="152" t="n">
        <v>0.02</v>
      </c>
      <c r="O242" s="151"/>
      <c r="P242" s="152" t="n">
        <v>0.025599</v>
      </c>
      <c r="Q242" s="152"/>
      <c r="R242" s="152"/>
      <c r="S242" s="152"/>
      <c r="T242" s="153" t="n">
        <v>0.01325</v>
      </c>
      <c r="U242" s="152"/>
      <c r="V242" s="152" t="n">
        <v>0.002</v>
      </c>
      <c r="W242" s="152"/>
      <c r="X242" s="152"/>
      <c r="Y242" s="152" t="n">
        <v>0.002</v>
      </c>
      <c r="Z242" s="152"/>
      <c r="AA242" s="152"/>
      <c r="AB242" s="152" t="n">
        <f aca="false">N242-V242-Y242</f>
        <v>0.016</v>
      </c>
      <c r="AC242" s="260" t="n">
        <v>0.019</v>
      </c>
      <c r="AD242" s="156" t="n">
        <f aca="false">IF(T242="","",T242)</f>
        <v>0.01325</v>
      </c>
      <c r="AE242" s="153"/>
      <c r="AF242" s="494"/>
      <c r="AH242" s="19" t="str">
        <f aca="false">IF(AF242="","N","Y")</f>
        <v>N</v>
      </c>
      <c r="AI242" s="63" t="s">
        <v>100</v>
      </c>
      <c r="AJ242" s="63" t="s">
        <v>101</v>
      </c>
      <c r="AK242" s="19"/>
      <c r="AL242" s="63" t="s">
        <v>102</v>
      </c>
      <c r="AM242" s="979" t="s">
        <v>215</v>
      </c>
    </row>
    <row r="243" customFormat="false" ht="16.5" hidden="false" customHeight="true" outlineLevel="0" collapsed="false">
      <c r="A243" s="19" t="n">
        <v>49</v>
      </c>
      <c r="B243" s="141" t="n">
        <v>43208</v>
      </c>
      <c r="C243" s="142" t="n">
        <v>43208</v>
      </c>
      <c r="D243" s="142" t="n">
        <v>43238</v>
      </c>
      <c r="E243" s="19" t="n">
        <f aca="false">D243-C243</f>
        <v>30</v>
      </c>
      <c r="F243" s="100" t="n">
        <f aca="false">TRUNC(E243/30,0)</f>
        <v>1</v>
      </c>
      <c r="G243" s="189" t="s">
        <v>99</v>
      </c>
      <c r="H243" s="223" t="n">
        <v>150</v>
      </c>
      <c r="I243" s="147"/>
      <c r="J243" s="148"/>
      <c r="K243" s="149"/>
      <c r="L243" s="152" t="n">
        <v>0.0189563</v>
      </c>
      <c r="M243" s="151"/>
      <c r="N243" s="152" t="n">
        <v>0.0195</v>
      </c>
      <c r="O243" s="151"/>
      <c r="P243" s="152" t="n">
        <v>0.024424</v>
      </c>
      <c r="Q243" s="152"/>
      <c r="R243" s="152"/>
      <c r="S243" s="152"/>
      <c r="T243" s="153" t="n">
        <v>0.008136</v>
      </c>
      <c r="U243" s="152"/>
      <c r="V243" s="152" t="n">
        <v>0.0033</v>
      </c>
      <c r="W243" s="152"/>
      <c r="X243" s="152"/>
      <c r="Y243" s="152" t="n">
        <v>0.002</v>
      </c>
      <c r="Z243" s="152"/>
      <c r="AA243" s="152"/>
      <c r="AB243" s="152" t="n">
        <f aca="false">(N243+P243)/2-V243-Y243</f>
        <v>0.016662</v>
      </c>
      <c r="AC243" s="981" t="n">
        <v>0.015</v>
      </c>
      <c r="AD243" s="156" t="n">
        <f aca="false">IF(T243="","",T243)</f>
        <v>0.008136</v>
      </c>
      <c r="AE243" s="153" t="n">
        <v>0.006864</v>
      </c>
      <c r="AF243" s="494" t="n">
        <f aca="false">AD243+AE243</f>
        <v>0.015</v>
      </c>
      <c r="AG243" s="35" t="n">
        <v>1</v>
      </c>
      <c r="AH243" s="19" t="str">
        <f aca="false">IF(AF243="","N","Y")</f>
        <v>Y</v>
      </c>
      <c r="AI243" s="63" t="s">
        <v>96</v>
      </c>
      <c r="AJ243" s="63" t="s">
        <v>142</v>
      </c>
      <c r="AK243" s="19"/>
      <c r="AL243" s="19" t="s">
        <v>112</v>
      </c>
      <c r="AM243" s="979" t="s">
        <v>222</v>
      </c>
    </row>
    <row r="244" customFormat="false" ht="16.5" hidden="false" customHeight="true" outlineLevel="0" collapsed="false">
      <c r="A244" s="19" t="n">
        <v>50</v>
      </c>
      <c r="B244" s="141" t="n">
        <v>43213</v>
      </c>
      <c r="C244" s="142" t="n">
        <v>43215</v>
      </c>
      <c r="D244" s="142" t="n">
        <v>43245</v>
      </c>
      <c r="E244" s="19" t="n">
        <f aca="false">D244-C244</f>
        <v>30</v>
      </c>
      <c r="F244" s="100" t="n">
        <f aca="false">TRUNC(E244/30,0)</f>
        <v>1</v>
      </c>
      <c r="G244" s="183" t="s">
        <v>95</v>
      </c>
      <c r="H244" s="223" t="n">
        <v>20</v>
      </c>
      <c r="I244" s="147"/>
      <c r="J244" s="197"/>
      <c r="K244" s="151"/>
      <c r="L244" s="152" t="n">
        <v>0.0189826</v>
      </c>
      <c r="M244" s="151"/>
      <c r="N244" s="152" t="n">
        <v>0.02</v>
      </c>
      <c r="O244" s="151"/>
      <c r="P244" s="152" t="n">
        <v>0.025599</v>
      </c>
      <c r="Q244" s="152"/>
      <c r="R244" s="152"/>
      <c r="S244" s="152"/>
      <c r="T244" s="153" t="n">
        <v>0.0132771</v>
      </c>
      <c r="U244" s="152"/>
      <c r="V244" s="152" t="n">
        <v>0.002</v>
      </c>
      <c r="W244" s="152"/>
      <c r="X244" s="152"/>
      <c r="Y244" s="152" t="n">
        <v>0.002</v>
      </c>
      <c r="Z244" s="152"/>
      <c r="AA244" s="152"/>
      <c r="AB244" s="152" t="n">
        <f aca="false">N244-V244-Y244</f>
        <v>0.016</v>
      </c>
      <c r="AC244" s="260" t="n">
        <v>0.019</v>
      </c>
      <c r="AD244" s="156" t="n">
        <f aca="false">IF(T244="","",T244)</f>
        <v>0.0132771</v>
      </c>
      <c r="AE244" s="153" t="n">
        <v>0.00575</v>
      </c>
      <c r="AF244" s="494" t="n">
        <f aca="false">AD244+AE244</f>
        <v>0.0190271</v>
      </c>
      <c r="AG244" s="35" t="n">
        <v>3</v>
      </c>
      <c r="AH244" s="19" t="str">
        <f aca="false">IF(AF244="","N","Y")</f>
        <v>Y</v>
      </c>
      <c r="AI244" s="63" t="s">
        <v>103</v>
      </c>
      <c r="AJ244" s="63" t="s">
        <v>216</v>
      </c>
      <c r="AK244" s="19"/>
      <c r="AL244" s="63" t="s">
        <v>217</v>
      </c>
      <c r="AM244" s="982" t="s">
        <v>223</v>
      </c>
    </row>
    <row r="245" customFormat="false" ht="16.5" hidden="false" customHeight="true" outlineLevel="0" collapsed="false">
      <c r="A245" s="19" t="n">
        <v>51</v>
      </c>
      <c r="B245" s="141" t="n">
        <v>43213</v>
      </c>
      <c r="C245" s="142" t="n">
        <v>43213</v>
      </c>
      <c r="D245" s="142" t="n">
        <v>43304</v>
      </c>
      <c r="E245" s="19" t="n">
        <f aca="false">D245-C245</f>
        <v>91</v>
      </c>
      <c r="F245" s="100" t="n">
        <f aca="false">TRUNC(E245/30,0)</f>
        <v>3</v>
      </c>
      <c r="G245" s="183" t="s">
        <v>95</v>
      </c>
      <c r="H245" s="146" t="n">
        <v>30</v>
      </c>
      <c r="I245" s="147"/>
      <c r="J245" s="148"/>
      <c r="K245" s="149"/>
      <c r="L245" s="152" t="n">
        <v>0.0234769</v>
      </c>
      <c r="M245" s="151"/>
      <c r="N245" s="152" t="n">
        <v>0.025</v>
      </c>
      <c r="O245" s="151"/>
      <c r="P245" s="152"/>
      <c r="Q245" s="152"/>
      <c r="R245" s="152"/>
      <c r="S245" s="152"/>
      <c r="T245" s="153" t="n">
        <v>0.007873</v>
      </c>
      <c r="U245" s="152"/>
      <c r="V245" s="152" t="n">
        <v>0.002</v>
      </c>
      <c r="W245" s="152"/>
      <c r="X245" s="152"/>
      <c r="Y245" s="152" t="n">
        <v>0.002</v>
      </c>
      <c r="Z245" s="152"/>
      <c r="AA245" s="152"/>
      <c r="AB245" s="152" t="n">
        <f aca="false">N245-V245-Y245</f>
        <v>0.021</v>
      </c>
      <c r="AC245" s="260" t="n">
        <v>0.022</v>
      </c>
      <c r="AD245" s="156" t="n">
        <f aca="false">IF(T245="","",T245)</f>
        <v>0.007873</v>
      </c>
      <c r="AE245" s="153"/>
      <c r="AF245" s="494"/>
      <c r="AH245" s="19" t="str">
        <f aca="false">IF(AF245="","N","Y")</f>
        <v>N</v>
      </c>
      <c r="AI245" s="63" t="s">
        <v>96</v>
      </c>
      <c r="AJ245" s="63" t="s">
        <v>97</v>
      </c>
      <c r="AK245" s="19"/>
      <c r="AL245" s="63" t="s">
        <v>98</v>
      </c>
    </row>
    <row r="246" customFormat="false" ht="16.5" hidden="false" customHeight="true" outlineLevel="0" collapsed="false">
      <c r="A246" s="19" t="n">
        <v>52</v>
      </c>
      <c r="B246" s="141" t="n">
        <v>43213</v>
      </c>
      <c r="C246" s="142" t="n">
        <v>43213</v>
      </c>
      <c r="D246" s="142" t="n">
        <v>43243</v>
      </c>
      <c r="E246" s="19" t="n">
        <f aca="false">D246-C246</f>
        <v>30</v>
      </c>
      <c r="F246" s="100" t="n">
        <f aca="false">TRUNC(E246/30,0)</f>
        <v>1</v>
      </c>
      <c r="G246" s="189" t="s">
        <v>99</v>
      </c>
      <c r="H246" s="146" t="n">
        <v>10</v>
      </c>
      <c r="I246" s="147"/>
      <c r="J246" s="197"/>
      <c r="K246" s="151"/>
      <c r="L246" s="152" t="n">
        <v>0.0147875</v>
      </c>
      <c r="M246" s="151"/>
      <c r="N246" s="152" t="n">
        <v>0.019</v>
      </c>
      <c r="O246" s="151"/>
      <c r="P246" s="152"/>
      <c r="Q246" s="152"/>
      <c r="R246" s="152"/>
      <c r="S246" s="152"/>
      <c r="T246" s="153" t="n">
        <v>0.008142</v>
      </c>
      <c r="U246" s="152"/>
      <c r="V246" s="152" t="n">
        <v>0.0033</v>
      </c>
      <c r="W246" s="152"/>
      <c r="X246" s="152"/>
      <c r="Y246" s="152" t="n">
        <v>0.002</v>
      </c>
      <c r="Z246" s="152"/>
      <c r="AA246" s="152"/>
      <c r="AB246" s="152" t="n">
        <f aca="false">N246-V246-Y246</f>
        <v>0.0137</v>
      </c>
      <c r="AC246" s="260" t="n">
        <v>0.011</v>
      </c>
      <c r="AD246" s="156" t="n">
        <f aca="false">IF(T246="","",T246)</f>
        <v>0.008142</v>
      </c>
      <c r="AE246" s="153" t="n">
        <v>0.001858</v>
      </c>
      <c r="AF246" s="494" t="n">
        <f aca="false">AD246+AE246</f>
        <v>0.01</v>
      </c>
      <c r="AG246" s="35" t="n">
        <v>2</v>
      </c>
      <c r="AH246" s="19" t="str">
        <f aca="false">IF(AF246="","N","Y")</f>
        <v>Y</v>
      </c>
      <c r="AI246" s="63" t="s">
        <v>89</v>
      </c>
      <c r="AJ246" s="63" t="s">
        <v>197</v>
      </c>
      <c r="AK246" s="19"/>
      <c r="AL246" s="63" t="s">
        <v>195</v>
      </c>
      <c r="AM246" s="980"/>
    </row>
    <row r="247" customFormat="false" ht="16.5" hidden="false" customHeight="true" outlineLevel="0" collapsed="false">
      <c r="A247" s="19" t="n">
        <v>53</v>
      </c>
      <c r="B247" s="141" t="n">
        <v>43216</v>
      </c>
      <c r="C247" s="142" t="n">
        <v>43216</v>
      </c>
      <c r="D247" s="142" t="n">
        <v>43307</v>
      </c>
      <c r="E247" s="19" t="n">
        <f aca="false">D247-C247</f>
        <v>91</v>
      </c>
      <c r="F247" s="100" t="n">
        <f aca="false">TRUNC(E247/30,0)</f>
        <v>3</v>
      </c>
      <c r="G247" s="183" t="s">
        <v>95</v>
      </c>
      <c r="H247" s="223" t="n">
        <v>5</v>
      </c>
      <c r="I247" s="147"/>
      <c r="J247" s="197"/>
      <c r="K247" s="151"/>
      <c r="L247" s="152" t="n">
        <v>0.0236561</v>
      </c>
      <c r="M247" s="151"/>
      <c r="N247" s="152" t="n">
        <v>0.02</v>
      </c>
      <c r="O247" s="151"/>
      <c r="P247" s="152" t="n">
        <v>0.025599</v>
      </c>
      <c r="Q247" s="152"/>
      <c r="R247" s="152"/>
      <c r="S247" s="152"/>
      <c r="T247" s="153" t="n">
        <v>0.019057</v>
      </c>
      <c r="U247" s="152"/>
      <c r="V247" s="152" t="n">
        <v>0.002</v>
      </c>
      <c r="W247" s="152"/>
      <c r="X247" s="152"/>
      <c r="Y247" s="152" t="n">
        <v>0.002</v>
      </c>
      <c r="Z247" s="152"/>
      <c r="AA247" s="152"/>
      <c r="AB247" s="152" t="n">
        <f aca="false">N247-V247-Y247</f>
        <v>0.016</v>
      </c>
      <c r="AC247" s="260" t="n">
        <v>0.021</v>
      </c>
      <c r="AD247" s="156" t="n">
        <f aca="false">IF(T247="","",T247)</f>
        <v>0.019057</v>
      </c>
      <c r="AE247" s="153" t="n">
        <v>0.001943</v>
      </c>
      <c r="AF247" s="494" t="n">
        <f aca="false">AD247+AE247</f>
        <v>0.021</v>
      </c>
      <c r="AH247" s="19" t="str">
        <f aca="false">IF(AF247="","N","Y")</f>
        <v>Y</v>
      </c>
      <c r="AI247" s="63" t="s">
        <v>103</v>
      </c>
      <c r="AJ247" s="63" t="s">
        <v>216</v>
      </c>
      <c r="AK247" s="19"/>
      <c r="AL247" s="63" t="s">
        <v>224</v>
      </c>
      <c r="AM247" s="979" t="s">
        <v>225</v>
      </c>
    </row>
    <row r="248" customFormat="false" ht="16.5" hidden="false" customHeight="true" outlineLevel="0" collapsed="false">
      <c r="A248" s="19" t="n">
        <v>54</v>
      </c>
      <c r="B248" s="141" t="n">
        <v>43223</v>
      </c>
      <c r="C248" s="142" t="n">
        <v>43223</v>
      </c>
      <c r="D248" s="142" t="n">
        <v>43254</v>
      </c>
      <c r="E248" s="19" t="n">
        <f aca="false">D248-C248</f>
        <v>31</v>
      </c>
      <c r="F248" s="100" t="n">
        <f aca="false">TRUNC(E248/30,0)</f>
        <v>1</v>
      </c>
      <c r="G248" s="189" t="s">
        <v>99</v>
      </c>
      <c r="H248" s="223" t="n">
        <v>5</v>
      </c>
      <c r="I248" s="147"/>
      <c r="J248" s="197"/>
      <c r="K248" s="151"/>
      <c r="L248" s="152" t="n">
        <v>0.0191713</v>
      </c>
      <c r="M248" s="151"/>
      <c r="N248" s="152" t="n">
        <v>0.0192</v>
      </c>
      <c r="O248" s="151"/>
      <c r="P248" s="152"/>
      <c r="Q248" s="152"/>
      <c r="R248" s="152"/>
      <c r="S248" s="152"/>
      <c r="T248" s="153" t="n">
        <v>0.008224</v>
      </c>
      <c r="U248" s="152"/>
      <c r="V248" s="152" t="n">
        <v>0.0033</v>
      </c>
      <c r="W248" s="152"/>
      <c r="X248" s="152"/>
      <c r="Y248" s="152" t="n">
        <v>0.002</v>
      </c>
      <c r="Z248" s="152"/>
      <c r="AA248" s="152"/>
      <c r="AB248" s="152" t="n">
        <f aca="false">N248-V248-Y248</f>
        <v>0.0139</v>
      </c>
      <c r="AC248" s="260" t="n">
        <v>0.0135</v>
      </c>
      <c r="AD248" s="156" t="n">
        <f aca="false">IF(T248="","",T248)</f>
        <v>0.008224</v>
      </c>
      <c r="AE248" s="153"/>
      <c r="AF248" s="494"/>
      <c r="AH248" s="19" t="str">
        <f aca="false">IF(AF248="","N","Y")</f>
        <v>N</v>
      </c>
      <c r="AI248" s="63" t="s">
        <v>201</v>
      </c>
      <c r="AJ248" s="63" t="s">
        <v>202</v>
      </c>
      <c r="AK248" s="19"/>
      <c r="AL248" s="63" t="s">
        <v>226</v>
      </c>
      <c r="AM248" s="979" t="s">
        <v>227</v>
      </c>
    </row>
    <row r="249" customFormat="false" ht="16.5" hidden="false" customHeight="true" outlineLevel="0" collapsed="false">
      <c r="A249" s="19" t="n">
        <v>55</v>
      </c>
      <c r="B249" s="141" t="n">
        <v>43223</v>
      </c>
      <c r="C249" s="142" t="n">
        <v>43223</v>
      </c>
      <c r="D249" s="142" t="n">
        <v>43315</v>
      </c>
      <c r="E249" s="19" t="n">
        <f aca="false">D249-C249</f>
        <v>92</v>
      </c>
      <c r="F249" s="100" t="n">
        <f aca="false">TRUNC(E249/30,0)</f>
        <v>3</v>
      </c>
      <c r="G249" s="183" t="s">
        <v>95</v>
      </c>
      <c r="H249" s="223" t="n">
        <v>5</v>
      </c>
      <c r="I249" s="147"/>
      <c r="J249" s="197"/>
      <c r="K249" s="151"/>
      <c r="L249" s="152" t="n">
        <v>0.0236294</v>
      </c>
      <c r="M249" s="151"/>
      <c r="N249" s="152" t="n">
        <v>0.026</v>
      </c>
      <c r="O249" s="151"/>
      <c r="P249" s="152"/>
      <c r="Q249" s="152"/>
      <c r="R249" s="152"/>
      <c r="S249" s="152"/>
      <c r="T249" s="153" t="n">
        <v>0.019031</v>
      </c>
      <c r="U249" s="152"/>
      <c r="V249" s="152" t="n">
        <v>0.002</v>
      </c>
      <c r="W249" s="152"/>
      <c r="X249" s="152"/>
      <c r="Y249" s="152" t="n">
        <v>0.002</v>
      </c>
      <c r="Z249" s="152"/>
      <c r="AA249" s="152"/>
      <c r="AB249" s="152" t="n">
        <f aca="false">N249-V249-Y249</f>
        <v>0.022</v>
      </c>
      <c r="AC249" s="260" t="n">
        <v>0.021</v>
      </c>
      <c r="AD249" s="156" t="n">
        <f aca="false">IF(T249="","",T249)</f>
        <v>0.019031</v>
      </c>
      <c r="AE249" s="153"/>
      <c r="AF249" s="494"/>
      <c r="AH249" s="19" t="str">
        <f aca="false">IF(AF249="","N","Y")</f>
        <v>N</v>
      </c>
      <c r="AI249" s="63" t="s">
        <v>201</v>
      </c>
      <c r="AJ249" s="63" t="s">
        <v>202</v>
      </c>
      <c r="AK249" s="19"/>
      <c r="AL249" s="63" t="s">
        <v>226</v>
      </c>
      <c r="AM249" s="979" t="s">
        <v>227</v>
      </c>
    </row>
    <row r="250" customFormat="false" ht="16.5" hidden="false" customHeight="true" outlineLevel="0" collapsed="false">
      <c r="A250" s="19" t="n">
        <v>56</v>
      </c>
      <c r="B250" s="141" t="n">
        <v>43224</v>
      </c>
      <c r="C250" s="142" t="n">
        <v>43224</v>
      </c>
      <c r="D250" s="142" t="n">
        <v>43255</v>
      </c>
      <c r="E250" s="19" t="n">
        <f aca="false">D250-C250</f>
        <v>31</v>
      </c>
      <c r="F250" s="100" t="n">
        <f aca="false">TRUNC(E250/30,0)</f>
        <v>1</v>
      </c>
      <c r="G250" s="189" t="s">
        <v>99</v>
      </c>
      <c r="H250" s="146" t="n">
        <v>10</v>
      </c>
      <c r="I250" s="147"/>
      <c r="J250" s="197"/>
      <c r="K250" s="151"/>
      <c r="L250" s="152"/>
      <c r="M250" s="151"/>
      <c r="N250" s="152"/>
      <c r="O250" s="151"/>
      <c r="P250" s="152"/>
      <c r="Q250" s="152"/>
      <c r="R250" s="152"/>
      <c r="S250" s="152"/>
      <c r="T250" s="153" t="n">
        <v>0.008247</v>
      </c>
      <c r="U250" s="152"/>
      <c r="V250" s="152" t="n">
        <v>0.0033</v>
      </c>
      <c r="W250" s="152"/>
      <c r="X250" s="152"/>
      <c r="Y250" s="152" t="n">
        <v>0.002</v>
      </c>
      <c r="Z250" s="152"/>
      <c r="AA250" s="152"/>
      <c r="AB250" s="152" t="n">
        <f aca="false">N250-V250-Y250</f>
        <v>-0.0053</v>
      </c>
      <c r="AC250" s="260" t="n">
        <v>0.013</v>
      </c>
      <c r="AD250" s="156" t="n">
        <f aca="false">IF(T250="","",T250)</f>
        <v>0.008247</v>
      </c>
      <c r="AE250" s="153" t="n">
        <v>0.004753</v>
      </c>
      <c r="AF250" s="494" t="n">
        <f aca="false">AD250+AE250</f>
        <v>0.013</v>
      </c>
      <c r="AG250" s="35" t="n">
        <v>2</v>
      </c>
      <c r="AH250" s="19" t="str">
        <f aca="false">IF(AF250="","N","Y")</f>
        <v>Y</v>
      </c>
      <c r="AI250" s="63" t="s">
        <v>103</v>
      </c>
      <c r="AJ250" s="63" t="s">
        <v>228</v>
      </c>
      <c r="AK250" s="19"/>
      <c r="AL250" s="63" t="s">
        <v>207</v>
      </c>
      <c r="AM250" s="980"/>
    </row>
    <row r="251" customFormat="false" ht="16.5" hidden="false" customHeight="true" outlineLevel="0" collapsed="false">
      <c r="A251" s="19" t="n">
        <v>57</v>
      </c>
      <c r="B251" s="141" t="n">
        <v>43224</v>
      </c>
      <c r="C251" s="142" t="n">
        <v>43224</v>
      </c>
      <c r="D251" s="142" t="n">
        <v>43255</v>
      </c>
      <c r="E251" s="19" t="n">
        <f aca="false">D251-C251</f>
        <v>31</v>
      </c>
      <c r="F251" s="100" t="n">
        <f aca="false">TRUNC(E251/30,0)</f>
        <v>1</v>
      </c>
      <c r="G251" s="189" t="s">
        <v>99</v>
      </c>
      <c r="H251" s="146" t="n">
        <v>5.623</v>
      </c>
      <c r="I251" s="147"/>
      <c r="J251" s="148"/>
      <c r="K251" s="149"/>
      <c r="L251" s="152"/>
      <c r="M251" s="151"/>
      <c r="N251" s="152"/>
      <c r="O251" s="151"/>
      <c r="P251" s="152"/>
      <c r="Q251" s="152"/>
      <c r="R251" s="152"/>
      <c r="S251" s="152"/>
      <c r="T251" s="153" t="n">
        <v>0.008247</v>
      </c>
      <c r="U251" s="152"/>
      <c r="V251" s="152" t="n">
        <v>0.0033</v>
      </c>
      <c r="W251" s="152"/>
      <c r="X251" s="152"/>
      <c r="Y251" s="152" t="n">
        <v>0.002</v>
      </c>
      <c r="Z251" s="152"/>
      <c r="AA251" s="152"/>
      <c r="AB251" s="152" t="n">
        <f aca="false">N251-V251-Y251</f>
        <v>-0.0053</v>
      </c>
      <c r="AC251" s="260" t="n">
        <v>0.014</v>
      </c>
      <c r="AD251" s="156" t="n">
        <f aca="false">IF(T251="","",T251)</f>
        <v>0.008247</v>
      </c>
      <c r="AE251" s="153" t="n">
        <v>0.000253</v>
      </c>
      <c r="AF251" s="494" t="n">
        <f aca="false">AD251+AE251</f>
        <v>0.0085</v>
      </c>
      <c r="AG251" s="35" t="n">
        <v>3</v>
      </c>
      <c r="AH251" s="19" t="str">
        <f aca="false">IF(AF251="","N","Y")</f>
        <v>Y</v>
      </c>
      <c r="AI251" s="63" t="s">
        <v>103</v>
      </c>
      <c r="AJ251" s="63" t="s">
        <v>228</v>
      </c>
      <c r="AK251" s="19"/>
      <c r="AL251" s="63" t="s">
        <v>174</v>
      </c>
      <c r="AM251" s="980"/>
    </row>
    <row r="252" customFormat="false" ht="16.5" hidden="false" customHeight="true" outlineLevel="0" collapsed="false">
      <c r="A252" s="19" t="n">
        <v>58</v>
      </c>
      <c r="B252" s="141" t="n">
        <v>43228</v>
      </c>
      <c r="C252" s="142" t="n">
        <v>43228</v>
      </c>
      <c r="D252" s="142" t="n">
        <v>43255</v>
      </c>
      <c r="E252" s="19" t="n">
        <f aca="false">D252-C252</f>
        <v>27</v>
      </c>
      <c r="F252" s="100" t="n">
        <f aca="false">TRUNC(E252/30,0)</f>
        <v>0</v>
      </c>
      <c r="G252" s="189" t="s">
        <v>99</v>
      </c>
      <c r="H252" s="146" t="n">
        <v>2.5</v>
      </c>
      <c r="I252" s="147"/>
      <c r="J252" s="148"/>
      <c r="K252" s="149"/>
      <c r="L252" s="152" t="n">
        <v>0.019277</v>
      </c>
      <c r="M252" s="151"/>
      <c r="N252" s="152" t="n">
        <v>0.017</v>
      </c>
      <c r="O252" s="151"/>
      <c r="P252" s="152"/>
      <c r="Q252" s="152"/>
      <c r="R252" s="152"/>
      <c r="S252" s="152"/>
      <c r="T252" s="153" t="n">
        <v>0.008259</v>
      </c>
      <c r="U252" s="152"/>
      <c r="V252" s="152" t="n">
        <v>0.0033</v>
      </c>
      <c r="W252" s="152"/>
      <c r="X252" s="152"/>
      <c r="Y252" s="152" t="n">
        <v>0.002</v>
      </c>
      <c r="Z252" s="152"/>
      <c r="AA252" s="152"/>
      <c r="AB252" s="152" t="n">
        <f aca="false">N252-V252-Y252</f>
        <v>0.0117</v>
      </c>
      <c r="AC252" s="260" t="n">
        <v>0.0085</v>
      </c>
      <c r="AD252" s="156" t="n">
        <f aca="false">IF(T252="","",T252)</f>
        <v>0.008259</v>
      </c>
      <c r="AE252" s="153" t="n">
        <f aca="false">AC252-AD252</f>
        <v>0.000241</v>
      </c>
      <c r="AF252" s="494" t="n">
        <f aca="false">AD252+AE252</f>
        <v>0.0085</v>
      </c>
      <c r="AG252" s="35" t="n">
        <v>1</v>
      </c>
      <c r="AH252" s="19" t="str">
        <f aca="false">IF(AF252="","N","Y")</f>
        <v>Y</v>
      </c>
      <c r="AI252" s="63" t="s">
        <v>103</v>
      </c>
      <c r="AJ252" s="63" t="s">
        <v>228</v>
      </c>
      <c r="AK252" s="19"/>
      <c r="AL252" s="63" t="s">
        <v>229</v>
      </c>
    </row>
    <row r="253" customFormat="false" ht="16.5" hidden="false" customHeight="true" outlineLevel="0" collapsed="false">
      <c r="A253" s="19" t="n">
        <v>59</v>
      </c>
      <c r="B253" s="141" t="n">
        <v>43229</v>
      </c>
      <c r="C253" s="142" t="n">
        <v>43229</v>
      </c>
      <c r="D253" s="142" t="n">
        <v>43276</v>
      </c>
      <c r="E253" s="19" t="n">
        <f aca="false">D253-C253</f>
        <v>47</v>
      </c>
      <c r="F253" s="100" t="n">
        <f aca="false">TRUNC(E253/30,0)</f>
        <v>1</v>
      </c>
      <c r="G253" s="183" t="s">
        <v>95</v>
      </c>
      <c r="H253" s="146" t="n">
        <v>35</v>
      </c>
      <c r="I253" s="147"/>
      <c r="J253" s="148"/>
      <c r="K253" s="149"/>
      <c r="L253" s="152" t="n">
        <v>0.0150846</v>
      </c>
      <c r="M253" s="151"/>
      <c r="N253" s="152" t="n">
        <v>0.021</v>
      </c>
      <c r="O253" s="151"/>
      <c r="P253" s="152"/>
      <c r="Q253" s="152"/>
      <c r="R253" s="152"/>
      <c r="S253" s="152"/>
      <c r="T253" s="153" t="n">
        <v>0.013754</v>
      </c>
      <c r="U253" s="152"/>
      <c r="V253" s="152" t="n">
        <v>0.002</v>
      </c>
      <c r="W253" s="152"/>
      <c r="X253" s="152"/>
      <c r="Y253" s="152" t="n">
        <v>0.002</v>
      </c>
      <c r="Z253" s="152"/>
      <c r="AA253" s="152"/>
      <c r="AB253" s="152" t="n">
        <f aca="false">N253-V253-Y253</f>
        <v>0.017</v>
      </c>
      <c r="AC253" s="260" t="n">
        <v>0.0194</v>
      </c>
      <c r="AD253" s="156" t="n">
        <f aca="false">IF(T253="","",T253)</f>
        <v>0.013754</v>
      </c>
      <c r="AE253" s="153" t="n">
        <f aca="false">AC253-AD253</f>
        <v>0.005646</v>
      </c>
      <c r="AF253" s="494"/>
      <c r="AH253" s="19" t="str">
        <f aca="false">IF(AF253="","N","Y")</f>
        <v>N</v>
      </c>
      <c r="AI253" s="63" t="s">
        <v>100</v>
      </c>
      <c r="AJ253" s="63" t="s">
        <v>101</v>
      </c>
      <c r="AK253" s="19"/>
      <c r="AL253" s="63" t="s">
        <v>102</v>
      </c>
    </row>
    <row r="254" customFormat="false" ht="16.5" hidden="false" customHeight="true" outlineLevel="0" collapsed="false">
      <c r="A254" s="19" t="n">
        <v>60</v>
      </c>
      <c r="B254" s="141" t="n">
        <v>43229</v>
      </c>
      <c r="C254" s="142" t="n">
        <v>43229</v>
      </c>
      <c r="D254" s="142" t="n">
        <v>43260</v>
      </c>
      <c r="E254" s="19" t="n">
        <f aca="false">D254-C254</f>
        <v>31</v>
      </c>
      <c r="F254" s="100" t="n">
        <f aca="false">TRUNC(E254/30,0)</f>
        <v>1</v>
      </c>
      <c r="G254" s="183" t="s">
        <v>95</v>
      </c>
      <c r="H254" s="146" t="n">
        <v>10</v>
      </c>
      <c r="I254" s="147"/>
      <c r="J254" s="148"/>
      <c r="K254" s="149"/>
      <c r="L254" s="152" t="n">
        <v>0.0150846</v>
      </c>
      <c r="M254" s="151"/>
      <c r="N254" s="152" t="n">
        <v>0.02</v>
      </c>
      <c r="O254" s="151"/>
      <c r="P254" s="152"/>
      <c r="Q254" s="152"/>
      <c r="R254" s="152"/>
      <c r="S254" s="152"/>
      <c r="T254" s="153" t="n">
        <v>0.0138</v>
      </c>
      <c r="U254" s="152"/>
      <c r="V254" s="152" t="n">
        <v>0.002</v>
      </c>
      <c r="W254" s="152"/>
      <c r="X254" s="152"/>
      <c r="Y254" s="152" t="n">
        <v>0.002</v>
      </c>
      <c r="Z254" s="152"/>
      <c r="AA254" s="152"/>
      <c r="AB254" s="152" t="n">
        <f aca="false">N254-V254-Y254</f>
        <v>0.016</v>
      </c>
      <c r="AC254" s="260" t="n">
        <v>0.018</v>
      </c>
      <c r="AD254" s="156" t="n">
        <f aca="false">IF(T254="","",T254)</f>
        <v>0.0138</v>
      </c>
      <c r="AE254" s="153" t="n">
        <f aca="false">AC254-AD254</f>
        <v>0.0042</v>
      </c>
      <c r="AF254" s="494"/>
      <c r="AH254" s="19" t="str">
        <f aca="false">IF(AF254="","N","Y")</f>
        <v>N</v>
      </c>
      <c r="AI254" s="63" t="s">
        <v>103</v>
      </c>
      <c r="AJ254" s="63" t="s">
        <v>206</v>
      </c>
      <c r="AK254" s="19"/>
      <c r="AL254" s="63" t="s">
        <v>217</v>
      </c>
      <c r="AM254" s="977" t="s">
        <v>230</v>
      </c>
    </row>
    <row r="255" customFormat="false" ht="16.5" hidden="false" customHeight="true" outlineLevel="0" collapsed="false">
      <c r="A255" s="19" t="n">
        <v>61</v>
      </c>
      <c r="B255" s="141" t="n">
        <v>43230</v>
      </c>
      <c r="C255" s="142" t="n">
        <v>43230</v>
      </c>
      <c r="D255" s="142" t="n">
        <v>43261</v>
      </c>
      <c r="E255" s="19" t="n">
        <f aca="false">D255-C255</f>
        <v>31</v>
      </c>
      <c r="F255" s="100" t="n">
        <f aca="false">TRUNC(E255/30,0)</f>
        <v>1</v>
      </c>
      <c r="G255" s="183" t="s">
        <v>95</v>
      </c>
      <c r="H255" s="146" t="n">
        <v>1</v>
      </c>
      <c r="I255" s="147"/>
      <c r="J255" s="148"/>
      <c r="K255" s="149"/>
      <c r="L255" s="152" t="n">
        <v>0.0192851</v>
      </c>
      <c r="M255" s="151"/>
      <c r="N255" s="152" t="n">
        <v>0.019</v>
      </c>
      <c r="O255" s="151"/>
      <c r="P255" s="152"/>
      <c r="Q255" s="152"/>
      <c r="R255" s="152"/>
      <c r="S255" s="152"/>
      <c r="T255" s="153" t="n">
        <v>0.0138</v>
      </c>
      <c r="U255" s="152"/>
      <c r="V255" s="152" t="n">
        <v>0.002</v>
      </c>
      <c r="W255" s="152"/>
      <c r="X255" s="152"/>
      <c r="Y255" s="152" t="n">
        <v>0.002</v>
      </c>
      <c r="Z255" s="152"/>
      <c r="AA255" s="152"/>
      <c r="AB255" s="152" t="n">
        <f aca="false">N255-V255-Y255</f>
        <v>0.015</v>
      </c>
      <c r="AC255" s="260" t="n">
        <v>0.016</v>
      </c>
      <c r="AD255" s="156" t="n">
        <f aca="false">IF(T255="","",T255)</f>
        <v>0.0138</v>
      </c>
      <c r="AE255" s="153" t="n">
        <f aca="false">AC255-AD255</f>
        <v>0.0022</v>
      </c>
      <c r="AF255" s="494"/>
      <c r="AH255" s="19" t="str">
        <f aca="false">IF(AF255="","N","Y")</f>
        <v>N</v>
      </c>
      <c r="AI255" s="63" t="s">
        <v>187</v>
      </c>
      <c r="AJ255" s="63" t="s">
        <v>231</v>
      </c>
      <c r="AK255" s="19"/>
      <c r="AL255" s="63" t="s">
        <v>232</v>
      </c>
      <c r="AM255" s="36" t="s">
        <v>230</v>
      </c>
    </row>
    <row r="256" customFormat="false" ht="16.5" hidden="false" customHeight="true" outlineLevel="0" collapsed="false">
      <c r="A256" s="19" t="n">
        <v>62</v>
      </c>
      <c r="B256" s="141" t="n">
        <v>43231</v>
      </c>
      <c r="C256" s="142" t="n">
        <v>43231</v>
      </c>
      <c r="D256" s="142" t="n">
        <v>43627</v>
      </c>
      <c r="E256" s="19" t="n">
        <f aca="false">D256-C256</f>
        <v>396</v>
      </c>
      <c r="F256" s="100" t="n">
        <f aca="false">TRUNC(E256/30,0)</f>
        <v>13</v>
      </c>
      <c r="G256" s="183" t="s">
        <v>95</v>
      </c>
      <c r="H256" s="146" t="n">
        <v>1</v>
      </c>
      <c r="I256" s="147"/>
      <c r="J256" s="148"/>
      <c r="K256" s="149"/>
      <c r="L256" s="152" t="n">
        <v>0.0277666</v>
      </c>
      <c r="M256" s="151"/>
      <c r="N256" s="152" t="n">
        <v>0.027</v>
      </c>
      <c r="O256" s="151"/>
      <c r="P256" s="152"/>
      <c r="Q256" s="152"/>
      <c r="R256" s="152"/>
      <c r="S256" s="152"/>
      <c r="T256" s="153" t="n">
        <v>0.021</v>
      </c>
      <c r="U256" s="152"/>
      <c r="V256" s="152" t="n">
        <v>0.002</v>
      </c>
      <c r="W256" s="152"/>
      <c r="X256" s="152"/>
      <c r="Y256" s="152" t="n">
        <v>0.002</v>
      </c>
      <c r="Z256" s="152"/>
      <c r="AA256" s="152"/>
      <c r="AB256" s="152" t="n">
        <f aca="false">N256-V256-Y256</f>
        <v>0.023</v>
      </c>
      <c r="AC256" s="260" t="n">
        <v>0.0235</v>
      </c>
      <c r="AD256" s="156" t="n">
        <f aca="false">IF(T256="","",T256)</f>
        <v>0.021</v>
      </c>
      <c r="AE256" s="153" t="n">
        <f aca="false">AC256-AD256</f>
        <v>0.0025</v>
      </c>
      <c r="AF256" s="494"/>
      <c r="AH256" s="19" t="str">
        <f aca="false">IF(AF256="","N","Y")</f>
        <v>N</v>
      </c>
      <c r="AI256" s="63" t="s">
        <v>187</v>
      </c>
      <c r="AJ256" s="63" t="s">
        <v>231</v>
      </c>
      <c r="AK256" s="19"/>
      <c r="AL256" s="63" t="s">
        <v>232</v>
      </c>
      <c r="AM256" s="979" t="s">
        <v>233</v>
      </c>
    </row>
    <row r="257" customFormat="false" ht="16.5" hidden="false" customHeight="true" outlineLevel="0" collapsed="false">
      <c r="A257" s="19" t="n">
        <v>63</v>
      </c>
      <c r="B257" s="141" t="n">
        <v>43238</v>
      </c>
      <c r="C257" s="142" t="n">
        <v>43238</v>
      </c>
      <c r="D257" s="142" t="n">
        <v>43269</v>
      </c>
      <c r="E257" s="19" t="n">
        <f aca="false">D257-C257</f>
        <v>31</v>
      </c>
      <c r="F257" s="100" t="n">
        <f aca="false">TRUNC(E257/30,0)</f>
        <v>1</v>
      </c>
      <c r="G257" s="189" t="s">
        <v>99</v>
      </c>
      <c r="H257" s="223" t="n">
        <v>150</v>
      </c>
      <c r="I257" s="147"/>
      <c r="J257" s="148"/>
      <c r="K257" s="149"/>
      <c r="L257" s="152" t="n">
        <v>0.01706</v>
      </c>
      <c r="M257" s="151"/>
      <c r="N257" s="152" t="n">
        <v>0.02</v>
      </c>
      <c r="O257" s="151"/>
      <c r="P257" s="152" t="n">
        <v>0.0233</v>
      </c>
      <c r="Q257" s="152"/>
      <c r="R257" s="152"/>
      <c r="S257" s="152"/>
      <c r="T257" s="153" t="n">
        <v>0.008224</v>
      </c>
      <c r="U257" s="152"/>
      <c r="V257" s="152" t="n">
        <v>0.0033</v>
      </c>
      <c r="W257" s="152"/>
      <c r="X257" s="152"/>
      <c r="Y257" s="152" t="n">
        <v>0.002</v>
      </c>
      <c r="Z257" s="152"/>
      <c r="AA257" s="152"/>
      <c r="AB257" s="152" t="n">
        <f aca="false">(N257+P257)/2-V257-Y257</f>
        <v>0.01635</v>
      </c>
      <c r="AC257" s="981" t="n">
        <v>0.015</v>
      </c>
      <c r="AD257" s="156" t="n">
        <f aca="false">IF(T257="","",T257)</f>
        <v>0.008224</v>
      </c>
      <c r="AE257" s="153" t="n">
        <v>0.006776</v>
      </c>
      <c r="AF257" s="494" t="n">
        <f aca="false">AD257+AE257</f>
        <v>0.015</v>
      </c>
      <c r="AG257" s="35" t="n">
        <v>1</v>
      </c>
      <c r="AH257" s="19" t="str">
        <f aca="false">IF(AF257="","N","Y")</f>
        <v>Y</v>
      </c>
      <c r="AI257" s="63" t="s">
        <v>96</v>
      </c>
      <c r="AJ257" s="63" t="s">
        <v>142</v>
      </c>
      <c r="AK257" s="19"/>
      <c r="AL257" s="19" t="s">
        <v>112</v>
      </c>
      <c r="AM257" s="980"/>
    </row>
    <row r="258" customFormat="false" ht="16.5" hidden="false" customHeight="true" outlineLevel="0" collapsed="false">
      <c r="A258" s="19" t="n">
        <v>64</v>
      </c>
      <c r="B258" s="141" t="n">
        <v>43243</v>
      </c>
      <c r="C258" s="142" t="n">
        <v>43243</v>
      </c>
      <c r="D258" s="142" t="n">
        <v>43274</v>
      </c>
      <c r="E258" s="19" t="n">
        <f aca="false">D258-C258</f>
        <v>31</v>
      </c>
      <c r="F258" s="100" t="n">
        <f aca="false">TRUNC(E258/30,0)</f>
        <v>1</v>
      </c>
      <c r="G258" s="189" t="s">
        <v>99</v>
      </c>
      <c r="H258" s="146" t="n">
        <v>10</v>
      </c>
      <c r="I258" s="147"/>
      <c r="J258" s="197"/>
      <c r="K258" s="151"/>
      <c r="L258" s="152" t="n">
        <v>0.0147875</v>
      </c>
      <c r="M258" s="151"/>
      <c r="N258" s="152" t="n">
        <v>0.019</v>
      </c>
      <c r="O258" s="151"/>
      <c r="P258" s="152"/>
      <c r="Q258" s="152"/>
      <c r="R258" s="152"/>
      <c r="S258" s="152"/>
      <c r="T258" s="153" t="n">
        <v>0.008227</v>
      </c>
      <c r="U258" s="152"/>
      <c r="V258" s="152" t="n">
        <v>0.0033</v>
      </c>
      <c r="W258" s="152"/>
      <c r="X258" s="152"/>
      <c r="Y258" s="152" t="n">
        <v>0.002</v>
      </c>
      <c r="Z258" s="152"/>
      <c r="AA258" s="152"/>
      <c r="AB258" s="152" t="n">
        <f aca="false">N258-V258-Y258</f>
        <v>0.0137</v>
      </c>
      <c r="AC258" s="260" t="n">
        <v>0.011</v>
      </c>
      <c r="AD258" s="156" t="n">
        <f aca="false">IF(T258="","",T258)</f>
        <v>0.008227</v>
      </c>
      <c r="AE258" s="153" t="n">
        <v>0.001773</v>
      </c>
      <c r="AF258" s="494" t="n">
        <f aca="false">AD258+AE258</f>
        <v>0.01</v>
      </c>
      <c r="AG258" s="35" t="n">
        <v>1</v>
      </c>
      <c r="AH258" s="19" t="str">
        <f aca="false">IF(AF258="","N","Y")</f>
        <v>Y</v>
      </c>
      <c r="AI258" s="63" t="s">
        <v>89</v>
      </c>
      <c r="AJ258" s="63" t="s">
        <v>234</v>
      </c>
      <c r="AK258" s="63" t="s">
        <v>167</v>
      </c>
      <c r="AL258" s="63" t="s">
        <v>195</v>
      </c>
      <c r="AM258" s="980"/>
    </row>
    <row r="259" customFormat="false" ht="16.5" hidden="false" customHeight="true" outlineLevel="0" collapsed="false">
      <c r="A259" s="19" t="n">
        <v>65</v>
      </c>
      <c r="B259" s="141" t="n">
        <v>43244</v>
      </c>
      <c r="C259" s="142" t="n">
        <v>43244</v>
      </c>
      <c r="D259" s="142" t="n">
        <v>43278</v>
      </c>
      <c r="E259" s="19" t="n">
        <f aca="false">D259-C259</f>
        <v>34</v>
      </c>
      <c r="F259" s="100" t="n">
        <f aca="false">TRUNC(E259/30,0)</f>
        <v>1</v>
      </c>
      <c r="G259" s="183" t="s">
        <v>95</v>
      </c>
      <c r="H259" s="146" t="n">
        <v>20</v>
      </c>
      <c r="I259" s="147"/>
      <c r="J259" s="148"/>
      <c r="K259" s="149"/>
      <c r="L259" s="152" t="n">
        <v>0.0195969</v>
      </c>
      <c r="M259" s="151"/>
      <c r="N259" s="152" t="n">
        <v>0.021</v>
      </c>
      <c r="O259" s="151"/>
      <c r="P259" s="152" t="n">
        <v>0.023509</v>
      </c>
      <c r="Q259" s="152" t="n">
        <v>0.021686</v>
      </c>
      <c r="R259" s="152" t="n">
        <v>0.000434</v>
      </c>
      <c r="S259" s="152" t="n">
        <v>0.001552</v>
      </c>
      <c r="T259" s="153" t="n">
        <v>0.013879</v>
      </c>
      <c r="U259" s="152"/>
      <c r="V259" s="152" t="n">
        <v>0.002</v>
      </c>
      <c r="W259" s="152"/>
      <c r="X259" s="152"/>
      <c r="Y259" s="152" t="n">
        <v>0.002</v>
      </c>
      <c r="Z259" s="152"/>
      <c r="AA259" s="152"/>
      <c r="AB259" s="152" t="n">
        <f aca="false">N259-V259-Y259</f>
        <v>0.017</v>
      </c>
      <c r="AC259" s="260" t="n">
        <v>0.02</v>
      </c>
      <c r="AD259" s="156" t="n">
        <f aca="false">IF(T259="","",T259)</f>
        <v>0.013879</v>
      </c>
      <c r="AE259" s="153" t="n">
        <v>0.005821</v>
      </c>
      <c r="AF259" s="494" t="n">
        <f aca="false">AD259+AE259</f>
        <v>0.0197</v>
      </c>
      <c r="AG259" s="35" t="n">
        <v>1</v>
      </c>
      <c r="AH259" s="19" t="str">
        <f aca="false">IF(AF259="","N","Y")</f>
        <v>Y</v>
      </c>
      <c r="AI259" s="63" t="s">
        <v>100</v>
      </c>
      <c r="AJ259" s="63" t="s">
        <v>101</v>
      </c>
      <c r="AK259" s="19"/>
      <c r="AL259" s="63" t="s">
        <v>102</v>
      </c>
      <c r="AM259" s="232" t="s">
        <v>235</v>
      </c>
    </row>
    <row r="260" customFormat="false" ht="16.5" hidden="false" customHeight="true" outlineLevel="0" collapsed="false">
      <c r="A260" s="19" t="n">
        <v>66</v>
      </c>
      <c r="B260" s="141" t="n">
        <v>43245</v>
      </c>
      <c r="C260" s="142" t="n">
        <v>43245</v>
      </c>
      <c r="D260" s="142" t="n">
        <v>43276</v>
      </c>
      <c r="E260" s="19" t="n">
        <f aca="false">D260-C260</f>
        <v>31</v>
      </c>
      <c r="F260" s="100" t="n">
        <f aca="false">TRUNC(E260/30,0)</f>
        <v>1</v>
      </c>
      <c r="G260" s="183" t="s">
        <v>95</v>
      </c>
      <c r="H260" s="223" t="n">
        <v>20</v>
      </c>
      <c r="I260" s="147"/>
      <c r="J260" s="197"/>
      <c r="K260" s="151"/>
      <c r="L260" s="152" t="n">
        <v>0.0196827</v>
      </c>
      <c r="M260" s="151"/>
      <c r="N260" s="152" t="n">
        <v>0.021</v>
      </c>
      <c r="O260" s="151"/>
      <c r="P260" s="152" t="n">
        <v>0.023509</v>
      </c>
      <c r="Q260" s="152" t="n">
        <v>0.025822</v>
      </c>
      <c r="R260" s="152" t="n">
        <v>0.000516</v>
      </c>
      <c r="S260" s="152" t="n">
        <v>0.001806</v>
      </c>
      <c r="T260" s="153" t="n">
        <v>0.013964</v>
      </c>
      <c r="U260" s="152"/>
      <c r="V260" s="152" t="n">
        <v>0.002</v>
      </c>
      <c r="W260" s="152"/>
      <c r="X260" s="152"/>
      <c r="Y260" s="152" t="n">
        <v>0.002</v>
      </c>
      <c r="Z260" s="152"/>
      <c r="AA260" s="152"/>
      <c r="AB260" s="152" t="n">
        <f aca="false">N260-V260-Y260</f>
        <v>0.017</v>
      </c>
      <c r="AC260" s="260" t="n">
        <v>0.019</v>
      </c>
      <c r="AD260" s="156" t="n">
        <f aca="false">IF(T260="","",T260)</f>
        <v>0.013964</v>
      </c>
      <c r="AE260" s="153" t="n">
        <v>0.005036</v>
      </c>
      <c r="AF260" s="494" t="n">
        <f aca="false">AD260+AE260</f>
        <v>0.019</v>
      </c>
      <c r="AG260" s="35" t="n">
        <v>1</v>
      </c>
      <c r="AH260" s="19" t="str">
        <f aca="false">IF(AF260="","N","Y")</f>
        <v>Y</v>
      </c>
      <c r="AI260" s="63" t="s">
        <v>103</v>
      </c>
      <c r="AJ260" s="63" t="s">
        <v>216</v>
      </c>
      <c r="AK260" s="19"/>
      <c r="AL260" s="63" t="s">
        <v>217</v>
      </c>
      <c r="AM260" s="982" t="s">
        <v>236</v>
      </c>
    </row>
    <row r="261" customFormat="false" ht="16.5" hidden="false" customHeight="true" outlineLevel="0" collapsed="false">
      <c r="A261" s="19" t="n">
        <v>67</v>
      </c>
      <c r="B261" s="141" t="n">
        <v>43245</v>
      </c>
      <c r="C261" s="142" t="n">
        <v>43245</v>
      </c>
      <c r="D261" s="142" t="n">
        <v>43612</v>
      </c>
      <c r="E261" s="19" t="n">
        <f aca="false">D261-C261</f>
        <v>367</v>
      </c>
      <c r="F261" s="100" t="n">
        <f aca="false">TRUNC(E261/30,0)</f>
        <v>12</v>
      </c>
      <c r="G261" s="183" t="s">
        <v>95</v>
      </c>
      <c r="H261" s="146" t="n">
        <v>1</v>
      </c>
      <c r="I261" s="147"/>
      <c r="J261" s="148"/>
      <c r="K261" s="149"/>
      <c r="L261" s="152" t="n">
        <v>0.0273742</v>
      </c>
      <c r="M261" s="151"/>
      <c r="N261" s="152" t="n">
        <v>0.028</v>
      </c>
      <c r="O261" s="151"/>
      <c r="P261" s="152" t="n">
        <v>0.028984</v>
      </c>
      <c r="Q261" s="152" t="n">
        <v>0.034541</v>
      </c>
      <c r="R261" s="152" t="n">
        <v>0.000691</v>
      </c>
      <c r="S261" s="152" t="n">
        <v>0.00735</v>
      </c>
      <c r="T261" s="153" t="n">
        <v>0.020728</v>
      </c>
      <c r="U261" s="152"/>
      <c r="V261" s="152" t="n">
        <v>0.002</v>
      </c>
      <c r="W261" s="152"/>
      <c r="X261" s="152"/>
      <c r="Y261" s="152" t="n">
        <v>0.002</v>
      </c>
      <c r="Z261" s="152"/>
      <c r="AA261" s="152"/>
      <c r="AB261" s="152" t="n">
        <f aca="false">N261-V261-Y261</f>
        <v>0.024</v>
      </c>
      <c r="AC261" s="260" t="n">
        <v>0.026</v>
      </c>
      <c r="AD261" s="156" t="n">
        <f aca="false">IF(T261="","",T261)</f>
        <v>0.020728</v>
      </c>
      <c r="AE261" s="153" t="n">
        <v>0.005272</v>
      </c>
      <c r="AF261" s="494" t="n">
        <f aca="false">AD261+AE261</f>
        <v>0.026</v>
      </c>
      <c r="AG261" s="35" t="n">
        <v>4</v>
      </c>
      <c r="AH261" s="19" t="str">
        <f aca="false">IF(AF261="","N","Y")</f>
        <v>Y</v>
      </c>
      <c r="AI261" s="63" t="s">
        <v>187</v>
      </c>
      <c r="AJ261" s="63" t="s">
        <v>231</v>
      </c>
      <c r="AK261" s="19"/>
      <c r="AL261" s="63" t="s">
        <v>232</v>
      </c>
      <c r="AM261" s="979" t="s">
        <v>237</v>
      </c>
    </row>
    <row r="262" customFormat="false" ht="16.5" hidden="false" customHeight="true" outlineLevel="0" collapsed="false">
      <c r="A262" s="19" t="n">
        <v>68</v>
      </c>
      <c r="B262" s="141" t="n">
        <v>43248</v>
      </c>
      <c r="C262" s="142" t="n">
        <v>43248</v>
      </c>
      <c r="D262" s="142" t="n">
        <v>43279</v>
      </c>
      <c r="E262" s="19" t="n">
        <f aca="false">D262-C262</f>
        <v>31</v>
      </c>
      <c r="F262" s="100" t="n">
        <f aca="false">TRUNC(E262/30,0)</f>
        <v>1</v>
      </c>
      <c r="G262" s="183" t="s">
        <v>95</v>
      </c>
      <c r="H262" s="146" t="n">
        <v>2.3</v>
      </c>
      <c r="I262" s="147"/>
      <c r="J262" s="148"/>
      <c r="K262" s="149"/>
      <c r="L262" s="152" t="n">
        <v>0.0196827</v>
      </c>
      <c r="M262" s="151"/>
      <c r="N262" s="152" t="n">
        <v>0.028</v>
      </c>
      <c r="O262" s="151"/>
      <c r="P262" s="152"/>
      <c r="Q262" s="152" t="n">
        <v>0.034541</v>
      </c>
      <c r="R262" s="152" t="n">
        <v>0.000691</v>
      </c>
      <c r="S262" s="152" t="n">
        <v>0.00735</v>
      </c>
      <c r="T262" s="153"/>
      <c r="U262" s="152"/>
      <c r="V262" s="152" t="n">
        <v>0.002</v>
      </c>
      <c r="W262" s="152"/>
      <c r="X262" s="152"/>
      <c r="Y262" s="152" t="n">
        <v>0.002</v>
      </c>
      <c r="Z262" s="152"/>
      <c r="AA262" s="152"/>
      <c r="AB262" s="152" t="n">
        <f aca="false">N262-V262-Y262</f>
        <v>0.024</v>
      </c>
      <c r="AC262" s="260" t="n">
        <v>0.019</v>
      </c>
      <c r="AD262" s="156" t="str">
        <f aca="false">IF(T262="","",T262)</f>
        <v/>
      </c>
      <c r="AE262" s="153"/>
      <c r="AF262" s="494"/>
      <c r="AH262" s="19" t="str">
        <f aca="false">IF(AF262="","N","Y")</f>
        <v>N</v>
      </c>
      <c r="AI262" s="63" t="s">
        <v>187</v>
      </c>
      <c r="AJ262" s="63" t="s">
        <v>231</v>
      </c>
      <c r="AK262" s="19"/>
      <c r="AL262" s="19"/>
      <c r="AM262" s="977"/>
    </row>
    <row r="263" customFormat="false" ht="16.5" hidden="false" customHeight="true" outlineLevel="0" collapsed="false">
      <c r="A263" s="19" t="n">
        <v>69</v>
      </c>
      <c r="B263" s="141" t="n">
        <v>43248</v>
      </c>
      <c r="C263" s="142" t="n">
        <v>43248</v>
      </c>
      <c r="D263" s="142" t="n">
        <v>43340</v>
      </c>
      <c r="E263" s="19" t="n">
        <f aca="false">D263-C263</f>
        <v>92</v>
      </c>
      <c r="F263" s="100" t="n">
        <f aca="false">TRUNC(E263/30,0)</f>
        <v>3</v>
      </c>
      <c r="G263" s="183" t="s">
        <v>95</v>
      </c>
      <c r="H263" s="146" t="n">
        <v>2.3</v>
      </c>
      <c r="I263" s="147"/>
      <c r="J263" s="148"/>
      <c r="K263" s="149"/>
      <c r="L263" s="152" t="n">
        <v>0.0231938</v>
      </c>
      <c r="M263" s="151"/>
      <c r="N263" s="152" t="n">
        <v>0.028</v>
      </c>
      <c r="O263" s="151"/>
      <c r="P263" s="152"/>
      <c r="Q263" s="152" t="n">
        <v>0.034541</v>
      </c>
      <c r="R263" s="152" t="n">
        <v>0.000691</v>
      </c>
      <c r="S263" s="152" t="n">
        <v>0.00735</v>
      </c>
      <c r="T263" s="153"/>
      <c r="U263" s="152"/>
      <c r="V263" s="152" t="n">
        <v>0.002</v>
      </c>
      <c r="W263" s="152"/>
      <c r="X263" s="152"/>
      <c r="Y263" s="152" t="n">
        <v>0.002</v>
      </c>
      <c r="Z263" s="152"/>
      <c r="AA263" s="152"/>
      <c r="AB263" s="152" t="n">
        <f aca="false">N263-V263-Y263</f>
        <v>0.024</v>
      </c>
      <c r="AC263" s="260" t="n">
        <v>0.021</v>
      </c>
      <c r="AD263" s="156" t="str">
        <f aca="false">IF(T263="","",T263)</f>
        <v/>
      </c>
      <c r="AE263" s="153"/>
      <c r="AF263" s="494"/>
      <c r="AH263" s="19" t="str">
        <f aca="false">IF(AF263="","N","Y")</f>
        <v>N</v>
      </c>
      <c r="AI263" s="63" t="s">
        <v>187</v>
      </c>
      <c r="AJ263" s="63" t="s">
        <v>231</v>
      </c>
      <c r="AK263" s="19"/>
      <c r="AL263" s="19"/>
      <c r="AM263" s="977"/>
    </row>
    <row r="264" customFormat="false" ht="16.5" hidden="false" customHeight="true" outlineLevel="0" collapsed="false">
      <c r="A264" s="19" t="n">
        <v>70</v>
      </c>
      <c r="B264" s="141" t="n">
        <v>43249</v>
      </c>
      <c r="C264" s="142" t="n">
        <v>43250</v>
      </c>
      <c r="D264" s="142" t="n">
        <v>43342</v>
      </c>
      <c r="E264" s="19" t="n">
        <f aca="false">D264-C264</f>
        <v>92</v>
      </c>
      <c r="F264" s="100" t="n">
        <f aca="false">TRUNC(E264/30,0)</f>
        <v>3</v>
      </c>
      <c r="G264" s="183" t="s">
        <v>95</v>
      </c>
      <c r="H264" s="146" t="n">
        <v>50</v>
      </c>
      <c r="I264" s="147"/>
      <c r="J264" s="148" t="s">
        <v>238</v>
      </c>
      <c r="K264" s="149"/>
      <c r="L264" s="152" t="n">
        <v>0.0231813</v>
      </c>
      <c r="M264" s="151"/>
      <c r="N264" s="152" t="n">
        <v>0.0233</v>
      </c>
      <c r="O264" s="151"/>
      <c r="P264" s="152" t="n">
        <v>0.026531</v>
      </c>
      <c r="Q264" s="152" t="n">
        <v>0.025703</v>
      </c>
      <c r="R264" s="152" t="n">
        <v>0.000514</v>
      </c>
      <c r="S264" s="152" t="n">
        <v>0.002689</v>
      </c>
      <c r="T264" s="153" t="n">
        <v>0.018592</v>
      </c>
      <c r="U264" s="152"/>
      <c r="V264" s="152" t="n">
        <v>0.002</v>
      </c>
      <c r="W264" s="152"/>
      <c r="X264" s="152"/>
      <c r="Y264" s="152" t="n">
        <v>0.002</v>
      </c>
      <c r="Z264" s="152"/>
      <c r="AA264" s="152"/>
      <c r="AB264" s="152" t="n">
        <f aca="false">N264-V264-Y264</f>
        <v>0.0193</v>
      </c>
      <c r="AC264" s="260" t="n">
        <v>0.0225</v>
      </c>
      <c r="AD264" s="156" t="n">
        <f aca="false">IF(T264="","",T264)</f>
        <v>0.018592</v>
      </c>
      <c r="AE264" s="153"/>
      <c r="AF264" s="494"/>
      <c r="AH264" s="19" t="str">
        <f aca="false">IF(AF264="","N","Y")</f>
        <v>N</v>
      </c>
      <c r="AI264" s="63" t="s">
        <v>96</v>
      </c>
      <c r="AJ264" s="19"/>
      <c r="AK264" s="63" t="s">
        <v>97</v>
      </c>
      <c r="AL264" s="63" t="s">
        <v>98</v>
      </c>
      <c r="AM264" s="232" t="s">
        <v>239</v>
      </c>
    </row>
    <row r="265" customFormat="false" ht="16.5" hidden="false" customHeight="true" outlineLevel="0" collapsed="false">
      <c r="A265" s="19" t="n">
        <v>71</v>
      </c>
      <c r="B265" s="141" t="n">
        <v>43250</v>
      </c>
      <c r="C265" s="142" t="n">
        <v>43250</v>
      </c>
      <c r="D265" s="142" t="n">
        <v>43339</v>
      </c>
      <c r="E265" s="19" t="n">
        <f aca="false">D265-C265</f>
        <v>89</v>
      </c>
      <c r="F265" s="100" t="n">
        <f aca="false">TRUNC(E265/30,0)</f>
        <v>2</v>
      </c>
      <c r="G265" s="183" t="s">
        <v>95</v>
      </c>
      <c r="H265" s="223" t="n">
        <v>6</v>
      </c>
      <c r="I265" s="147"/>
      <c r="J265" s="197" t="s">
        <v>241</v>
      </c>
      <c r="K265" s="151"/>
      <c r="L265" s="152" t="n">
        <v>0.0230719</v>
      </c>
      <c r="M265" s="151"/>
      <c r="N265" s="152" t="n">
        <v>0.024</v>
      </c>
      <c r="O265" s="151"/>
      <c r="P265" s="152"/>
      <c r="Q265" s="152" t="n">
        <v>0.025703</v>
      </c>
      <c r="R265" s="152" t="n">
        <v>0.000514</v>
      </c>
      <c r="S265" s="152" t="n">
        <v>0.004189</v>
      </c>
      <c r="T265" s="153" t="n">
        <v>0.014082</v>
      </c>
      <c r="U265" s="152"/>
      <c r="V265" s="152" t="n">
        <v>0.002</v>
      </c>
      <c r="W265" s="152"/>
      <c r="X265" s="152"/>
      <c r="Y265" s="152" t="n">
        <v>0.002</v>
      </c>
      <c r="Z265" s="152"/>
      <c r="AA265" s="152"/>
      <c r="AB265" s="152" t="n">
        <f aca="false">N265-V265-Y265</f>
        <v>0.02</v>
      </c>
      <c r="AC265" s="260" t="n">
        <v>0.021</v>
      </c>
      <c r="AD265" s="156" t="n">
        <f aca="false">IF(T265="","",T265)</f>
        <v>0.014082</v>
      </c>
      <c r="AE265" s="153" t="n">
        <v>0.006918</v>
      </c>
      <c r="AF265" s="494" t="n">
        <f aca="false">AD265+AE265</f>
        <v>0.021</v>
      </c>
      <c r="AG265" s="35" t="n">
        <v>1</v>
      </c>
      <c r="AH265" s="19" t="str">
        <f aca="false">IF(AF265="","N","Y")</f>
        <v>Y</v>
      </c>
      <c r="AI265" s="63" t="s">
        <v>103</v>
      </c>
      <c r="AJ265" s="63" t="s">
        <v>216</v>
      </c>
      <c r="AK265" s="63" t="s">
        <v>240</v>
      </c>
      <c r="AL265" s="63" t="s">
        <v>224</v>
      </c>
      <c r="AM265" s="983" t="s">
        <v>242</v>
      </c>
    </row>
    <row r="266" customFormat="false" ht="16.5" hidden="false" customHeight="true" outlineLevel="0" collapsed="false">
      <c r="A266" s="19" t="n">
        <v>72</v>
      </c>
      <c r="B266" s="141" t="n">
        <v>43255</v>
      </c>
      <c r="C266" s="142" t="n">
        <v>43255</v>
      </c>
      <c r="D266" s="142" t="n">
        <v>43347</v>
      </c>
      <c r="E266" s="19" t="n">
        <f aca="false">D266-C266</f>
        <v>92</v>
      </c>
      <c r="F266" s="100" t="n">
        <f aca="false">TRUNC(E266/30,0)</f>
        <v>3</v>
      </c>
      <c r="G266" s="183" t="s">
        <v>95</v>
      </c>
      <c r="H266" s="146" t="n">
        <v>1</v>
      </c>
      <c r="I266" s="147"/>
      <c r="J266" s="197"/>
      <c r="K266" s="151"/>
      <c r="L266" s="152" t="n">
        <v>0.0202457</v>
      </c>
      <c r="M266" s="151"/>
      <c r="N266" s="152" t="n">
        <v>0.021</v>
      </c>
      <c r="O266" s="151"/>
      <c r="P266" s="152" t="n">
        <v>0.025962</v>
      </c>
      <c r="Q266" s="152"/>
      <c r="R266" s="152"/>
      <c r="S266" s="152"/>
      <c r="T266" s="153" t="n">
        <v>0.018589</v>
      </c>
      <c r="U266" s="152"/>
      <c r="V266" s="152" t="n">
        <v>0.002</v>
      </c>
      <c r="W266" s="152"/>
      <c r="X266" s="152"/>
      <c r="Y266" s="152" t="n">
        <v>0.002</v>
      </c>
      <c r="Z266" s="152"/>
      <c r="AA266" s="152"/>
      <c r="AB266" s="152" t="n">
        <f aca="false">N266-V266-Y266</f>
        <v>0.017</v>
      </c>
      <c r="AC266" s="260" t="n">
        <v>0.022</v>
      </c>
      <c r="AD266" s="156" t="n">
        <f aca="false">IF(T266="","",T266)</f>
        <v>0.018589</v>
      </c>
      <c r="AE266" s="153" t="n">
        <v>0.003411</v>
      </c>
      <c r="AF266" s="494" t="n">
        <f aca="false">AD266+AE266</f>
        <v>0.022</v>
      </c>
      <c r="AG266" s="35" t="n">
        <v>1</v>
      </c>
      <c r="AH266" s="19" t="str">
        <f aca="false">IF(AF266="","N","Y")</f>
        <v>Y</v>
      </c>
      <c r="AI266" s="63" t="s">
        <v>189</v>
      </c>
      <c r="AJ266" s="63" t="s">
        <v>243</v>
      </c>
      <c r="AK266" s="63" t="s">
        <v>190</v>
      </c>
      <c r="AL266" s="19" t="s">
        <v>244</v>
      </c>
      <c r="AM266" s="977" t="s">
        <v>245</v>
      </c>
    </row>
    <row r="267" customFormat="false" ht="16.5" hidden="false" customHeight="true" outlineLevel="0" collapsed="false">
      <c r="A267" s="19" t="n">
        <v>73</v>
      </c>
      <c r="B267" s="141" t="n">
        <v>43255</v>
      </c>
      <c r="C267" s="142" t="n">
        <v>43256</v>
      </c>
      <c r="D267" s="142" t="n">
        <v>43286</v>
      </c>
      <c r="E267" s="19" t="n">
        <f aca="false">D267-C267</f>
        <v>30</v>
      </c>
      <c r="F267" s="100" t="n">
        <f aca="false">TRUNC(E267/30,0)</f>
        <v>1</v>
      </c>
      <c r="G267" s="189" t="s">
        <v>99</v>
      </c>
      <c r="H267" s="146" t="n">
        <v>10</v>
      </c>
      <c r="I267" s="147"/>
      <c r="J267" s="197"/>
      <c r="K267" s="151"/>
      <c r="L267" s="152"/>
      <c r="M267" s="151"/>
      <c r="N267" s="152"/>
      <c r="O267" s="151"/>
      <c r="P267" s="152"/>
      <c r="Q267" s="152"/>
      <c r="R267" s="152"/>
      <c r="S267" s="152"/>
      <c r="T267" s="153" t="n">
        <v>0.00825</v>
      </c>
      <c r="U267" s="152"/>
      <c r="V267" s="152" t="n">
        <v>0.0033</v>
      </c>
      <c r="W267" s="152"/>
      <c r="X267" s="152"/>
      <c r="Y267" s="152" t="n">
        <v>0.002</v>
      </c>
      <c r="Z267" s="152"/>
      <c r="AA267" s="152"/>
      <c r="AB267" s="152" t="n">
        <f aca="false">N267-V267-Y267</f>
        <v>-0.0053</v>
      </c>
      <c r="AC267" s="260" t="n">
        <v>0.013</v>
      </c>
      <c r="AD267" s="156" t="n">
        <f aca="false">IF(T267="","",T267)</f>
        <v>0.00825</v>
      </c>
      <c r="AE267" s="153" t="n">
        <v>0.00475</v>
      </c>
      <c r="AF267" s="494" t="n">
        <f aca="false">AD267+AE267</f>
        <v>0.013</v>
      </c>
      <c r="AG267" s="35" t="n">
        <v>2</v>
      </c>
      <c r="AH267" s="19" t="str">
        <f aca="false">IF(AF267="","N","Y")</f>
        <v>Y</v>
      </c>
      <c r="AI267" s="63" t="s">
        <v>103</v>
      </c>
      <c r="AJ267" s="63" t="s">
        <v>216</v>
      </c>
      <c r="AK267" s="63" t="s">
        <v>228</v>
      </c>
      <c r="AL267" s="63" t="s">
        <v>207</v>
      </c>
      <c r="AM267" s="977"/>
    </row>
    <row r="268" customFormat="false" ht="16.5" hidden="false" customHeight="true" outlineLevel="0" collapsed="false">
      <c r="A268" s="19" t="n">
        <v>74</v>
      </c>
      <c r="B268" s="141" t="n">
        <v>43255</v>
      </c>
      <c r="C268" s="142" t="n">
        <v>43256</v>
      </c>
      <c r="D268" s="142" t="n">
        <v>43286</v>
      </c>
      <c r="E268" s="19" t="n">
        <f aca="false">D268-C268</f>
        <v>30</v>
      </c>
      <c r="F268" s="100" t="n">
        <f aca="false">TRUNC(E268/30,0)</f>
        <v>1</v>
      </c>
      <c r="G268" s="189" t="s">
        <v>99</v>
      </c>
      <c r="H268" s="146" t="n">
        <v>7.7</v>
      </c>
      <c r="I268" s="147"/>
      <c r="J268" s="148"/>
      <c r="K268" s="149"/>
      <c r="L268" s="152"/>
      <c r="M268" s="151"/>
      <c r="N268" s="152"/>
      <c r="O268" s="151"/>
      <c r="P268" s="152"/>
      <c r="Q268" s="152"/>
      <c r="R268" s="152"/>
      <c r="S268" s="152"/>
      <c r="T268" s="153" t="n">
        <v>0.00825</v>
      </c>
      <c r="U268" s="152"/>
      <c r="V268" s="152" t="n">
        <v>0.0033</v>
      </c>
      <c r="W268" s="152"/>
      <c r="X268" s="152"/>
      <c r="Y268" s="152" t="n">
        <v>0.002</v>
      </c>
      <c r="Z268" s="152"/>
      <c r="AA268" s="152"/>
      <c r="AB268" s="152" t="n">
        <f aca="false">N268-V268-Y268</f>
        <v>-0.0053</v>
      </c>
      <c r="AC268" s="260" t="n">
        <v>0.0085</v>
      </c>
      <c r="AD268" s="156" t="n">
        <f aca="false">IF(T268="","",T268)</f>
        <v>0.00825</v>
      </c>
      <c r="AE268" s="153" t="n">
        <v>0.00025</v>
      </c>
      <c r="AF268" s="494" t="n">
        <f aca="false">AD268+AE268</f>
        <v>0.0085</v>
      </c>
      <c r="AG268" s="35" t="n">
        <v>3</v>
      </c>
      <c r="AH268" s="19" t="str">
        <f aca="false">IF(AF268="","N","Y")</f>
        <v>Y</v>
      </c>
      <c r="AI268" s="63" t="s">
        <v>103</v>
      </c>
      <c r="AJ268" s="63" t="s">
        <v>216</v>
      </c>
      <c r="AK268" s="63" t="s">
        <v>228</v>
      </c>
      <c r="AL268" s="63" t="s">
        <v>174</v>
      </c>
      <c r="AM268" s="979" t="s">
        <v>247</v>
      </c>
    </row>
    <row r="269" customFormat="false" ht="16.5" hidden="false" customHeight="true" outlineLevel="0" collapsed="false">
      <c r="A269" s="19" t="n">
        <v>75</v>
      </c>
      <c r="B269" s="141" t="n">
        <v>43255</v>
      </c>
      <c r="C269" s="142" t="n">
        <v>43256</v>
      </c>
      <c r="D269" s="142" t="n">
        <v>43286</v>
      </c>
      <c r="E269" s="19" t="n">
        <f aca="false">D269-C269</f>
        <v>30</v>
      </c>
      <c r="F269" s="100" t="n">
        <f aca="false">TRUNC(E269/30,0)</f>
        <v>1</v>
      </c>
      <c r="G269" s="189" t="s">
        <v>99</v>
      </c>
      <c r="H269" s="146" t="n">
        <v>3.4</v>
      </c>
      <c r="I269" s="147"/>
      <c r="J269" s="148"/>
      <c r="K269" s="149"/>
      <c r="L269" s="152"/>
      <c r="M269" s="151"/>
      <c r="N269" s="152"/>
      <c r="O269" s="151"/>
      <c r="P269" s="152"/>
      <c r="Q269" s="152"/>
      <c r="R269" s="152"/>
      <c r="S269" s="152"/>
      <c r="T269" s="153" t="n">
        <v>0.00825</v>
      </c>
      <c r="U269" s="152"/>
      <c r="V269" s="152" t="n">
        <v>0.0033</v>
      </c>
      <c r="W269" s="152"/>
      <c r="X269" s="152"/>
      <c r="Y269" s="152" t="n">
        <v>0.002</v>
      </c>
      <c r="Z269" s="152"/>
      <c r="AA269" s="152"/>
      <c r="AB269" s="152" t="n">
        <f aca="false">N269-V269-Y269</f>
        <v>-0.0053</v>
      </c>
      <c r="AC269" s="260" t="n">
        <v>0.0085</v>
      </c>
      <c r="AD269" s="156" t="n">
        <f aca="false">IF(T269="","",T269)</f>
        <v>0.00825</v>
      </c>
      <c r="AE269" s="153" t="n">
        <v>0.00025</v>
      </c>
      <c r="AF269" s="494" t="n">
        <f aca="false">AD269+AE269</f>
        <v>0.0085</v>
      </c>
      <c r="AG269" s="35" t="n">
        <v>4</v>
      </c>
      <c r="AH269" s="19" t="str">
        <f aca="false">IF(AF269="","N","Y")</f>
        <v>Y</v>
      </c>
      <c r="AI269" s="63" t="s">
        <v>103</v>
      </c>
      <c r="AJ269" s="63" t="s">
        <v>216</v>
      </c>
      <c r="AK269" s="63" t="s">
        <v>228</v>
      </c>
      <c r="AL269" s="63" t="s">
        <v>229</v>
      </c>
      <c r="AM269" s="979" t="s">
        <v>247</v>
      </c>
    </row>
    <row r="270" customFormat="false" ht="16.5" hidden="false" customHeight="true" outlineLevel="0" collapsed="false">
      <c r="A270" s="19" t="n">
        <v>76</v>
      </c>
      <c r="B270" s="141" t="n">
        <v>43256</v>
      </c>
      <c r="C270" s="142" t="n">
        <v>43256</v>
      </c>
      <c r="D270" s="142" t="n">
        <v>43286</v>
      </c>
      <c r="E270" s="19" t="n">
        <f aca="false">D270-C270</f>
        <v>30</v>
      </c>
      <c r="F270" s="100" t="n">
        <f aca="false">TRUNC(E270/30,0)</f>
        <v>1</v>
      </c>
      <c r="G270" s="189" t="s">
        <v>99</v>
      </c>
      <c r="H270" s="146" t="n">
        <v>7.7</v>
      </c>
      <c r="I270" s="147" t="n">
        <v>1.04</v>
      </c>
      <c r="J270" s="148" t="s">
        <v>248</v>
      </c>
      <c r="K270" s="149"/>
      <c r="L270" s="152"/>
      <c r="M270" s="151" t="n">
        <v>1</v>
      </c>
      <c r="N270" s="152" t="n">
        <v>0.0188</v>
      </c>
      <c r="O270" s="151"/>
      <c r="P270" s="152"/>
      <c r="Q270" s="152"/>
      <c r="R270" s="152"/>
      <c r="S270" s="152"/>
      <c r="T270" s="153" t="n">
        <v>0.008229</v>
      </c>
      <c r="U270" s="152"/>
      <c r="V270" s="152" t="n">
        <v>0.0033</v>
      </c>
      <c r="W270" s="152"/>
      <c r="X270" s="152"/>
      <c r="Y270" s="152" t="n">
        <v>0.002</v>
      </c>
      <c r="Z270" s="152"/>
      <c r="AA270" s="152"/>
      <c r="AB270" s="152" t="n">
        <f aca="false">N270-V270-Y270</f>
        <v>0.0135</v>
      </c>
      <c r="AC270" s="260" t="n">
        <v>0.0125</v>
      </c>
      <c r="AD270" s="156" t="n">
        <f aca="false">IF(T270="","",T270)</f>
        <v>0.008229</v>
      </c>
      <c r="AE270" s="153" t="n">
        <v>0.004271</v>
      </c>
      <c r="AF270" s="494" t="n">
        <f aca="false">AD270+AE270</f>
        <v>0.0125</v>
      </c>
      <c r="AG270" s="35" t="n">
        <v>1</v>
      </c>
      <c r="AH270" s="19" t="str">
        <f aca="false">IF(AF270="","N","Y")</f>
        <v>Y</v>
      </c>
      <c r="AI270" s="63" t="s">
        <v>103</v>
      </c>
      <c r="AJ270" s="63" t="s">
        <v>216</v>
      </c>
      <c r="AK270" s="63" t="s">
        <v>228</v>
      </c>
      <c r="AL270" s="63" t="s">
        <v>174</v>
      </c>
      <c r="AM270" s="984" t="s">
        <v>249</v>
      </c>
    </row>
    <row r="271" customFormat="false" ht="16.5" hidden="false" customHeight="true" outlineLevel="0" collapsed="false">
      <c r="A271" s="19" t="n">
        <v>77</v>
      </c>
      <c r="B271" s="141" t="n">
        <v>43256</v>
      </c>
      <c r="C271" s="142" t="n">
        <v>43256</v>
      </c>
      <c r="D271" s="142" t="n">
        <v>43286</v>
      </c>
      <c r="E271" s="19" t="n">
        <f aca="false">D271-C271</f>
        <v>30</v>
      </c>
      <c r="F271" s="100" t="n">
        <f aca="false">TRUNC(E271/30,0)</f>
        <v>1</v>
      </c>
      <c r="G271" s="189" t="s">
        <v>99</v>
      </c>
      <c r="H271" s="146" t="n">
        <v>3.4</v>
      </c>
      <c r="I271" s="147" t="n">
        <v>1.04</v>
      </c>
      <c r="J271" s="148" t="s">
        <v>248</v>
      </c>
      <c r="K271" s="149"/>
      <c r="L271" s="152"/>
      <c r="M271" s="151" t="n">
        <v>1</v>
      </c>
      <c r="N271" s="152" t="n">
        <v>0.0188</v>
      </c>
      <c r="O271" s="151"/>
      <c r="P271" s="152"/>
      <c r="Q271" s="152"/>
      <c r="R271" s="152"/>
      <c r="S271" s="152"/>
      <c r="T271" s="153" t="n">
        <v>0.008229</v>
      </c>
      <c r="U271" s="152"/>
      <c r="V271" s="152" t="n">
        <v>0.0033</v>
      </c>
      <c r="W271" s="152"/>
      <c r="X271" s="152"/>
      <c r="Y271" s="152" t="n">
        <v>0.002</v>
      </c>
      <c r="Z271" s="152"/>
      <c r="AA271" s="152"/>
      <c r="AB271" s="152" t="n">
        <f aca="false">N271-V271-Y271</f>
        <v>0.0135</v>
      </c>
      <c r="AC271" s="260" t="n">
        <v>0.0125</v>
      </c>
      <c r="AD271" s="156" t="n">
        <f aca="false">IF(T271="","",T271)</f>
        <v>0.008229</v>
      </c>
      <c r="AE271" s="153" t="n">
        <v>0.003771</v>
      </c>
      <c r="AF271" s="494" t="n">
        <f aca="false">AD271+AE271</f>
        <v>0.012</v>
      </c>
      <c r="AG271" s="35" t="n">
        <v>2</v>
      </c>
      <c r="AH271" s="19" t="str">
        <f aca="false">IF(AF271="","N","Y")</f>
        <v>Y</v>
      </c>
      <c r="AI271" s="63" t="s">
        <v>103</v>
      </c>
      <c r="AJ271" s="63" t="s">
        <v>216</v>
      </c>
      <c r="AK271" s="63" t="s">
        <v>228</v>
      </c>
      <c r="AL271" s="63" t="s">
        <v>229</v>
      </c>
      <c r="AM271" s="984" t="s">
        <v>250</v>
      </c>
    </row>
    <row r="272" customFormat="false" ht="16.5" hidden="false" customHeight="true" outlineLevel="0" collapsed="false">
      <c r="A272" s="19" t="n">
        <v>78</v>
      </c>
      <c r="B272" s="141" t="n">
        <v>43256</v>
      </c>
      <c r="C272" s="142" t="n">
        <v>43256</v>
      </c>
      <c r="D272" s="142" t="n">
        <v>43286</v>
      </c>
      <c r="E272" s="19" t="n">
        <f aca="false">D272-C272</f>
        <v>30</v>
      </c>
      <c r="F272" s="100" t="n">
        <f aca="false">TRUNC(E272/30,0)</f>
        <v>1</v>
      </c>
      <c r="G272" s="183" t="s">
        <v>95</v>
      </c>
      <c r="H272" s="146" t="n">
        <v>1</v>
      </c>
      <c r="I272" s="147" t="n">
        <v>1.59</v>
      </c>
      <c r="J272" s="148" t="s">
        <v>253</v>
      </c>
      <c r="K272" s="149" t="n">
        <f aca="false">F272</f>
        <v>1</v>
      </c>
      <c r="L272" s="152" t="n">
        <v>0.0201297</v>
      </c>
      <c r="M272" s="151" t="n">
        <v>1</v>
      </c>
      <c r="N272" s="152" t="n">
        <v>0.0206</v>
      </c>
      <c r="O272" s="151" t="n">
        <v>1</v>
      </c>
      <c r="P272" s="152" t="n">
        <v>0.026338</v>
      </c>
      <c r="Q272" s="152" t="n">
        <v>0.022</v>
      </c>
      <c r="R272" s="152" t="n">
        <v>0.00044</v>
      </c>
      <c r="S272" s="152" t="n">
        <v>0.00156</v>
      </c>
      <c r="T272" s="153" t="n">
        <v>0.014402</v>
      </c>
      <c r="U272" s="152"/>
      <c r="V272" s="152" t="n">
        <v>0.002</v>
      </c>
      <c r="W272" s="152"/>
      <c r="X272" s="152"/>
      <c r="Y272" s="152" t="n">
        <v>0.002</v>
      </c>
      <c r="Z272" s="152"/>
      <c r="AA272" s="152" t="n">
        <f aca="false">N272-V272</f>
        <v>0.0186</v>
      </c>
      <c r="AB272" s="490" t="n">
        <f aca="false">P272-V272-Y272</f>
        <v>0.022338</v>
      </c>
      <c r="AC272" s="260" t="n">
        <v>0.02</v>
      </c>
      <c r="AD272" s="156" t="n">
        <f aca="false">IF(T272="","",T272)</f>
        <v>0.014402</v>
      </c>
      <c r="AE272" s="153"/>
      <c r="AF272" s="494"/>
      <c r="AH272" s="19" t="str">
        <f aca="false">IF(AF272="","N","Y")</f>
        <v>N</v>
      </c>
      <c r="AI272" s="63" t="s">
        <v>251</v>
      </c>
      <c r="AJ272" s="19"/>
      <c r="AK272" s="63" t="s">
        <v>252</v>
      </c>
      <c r="AL272" s="19"/>
    </row>
    <row r="273" customFormat="false" ht="16.5" hidden="false" customHeight="true" outlineLevel="0" collapsed="false">
      <c r="A273" s="19" t="n">
        <v>66</v>
      </c>
      <c r="B273" s="141" t="n">
        <v>43262</v>
      </c>
      <c r="C273" s="142" t="n">
        <v>43262</v>
      </c>
      <c r="D273" s="142" t="n">
        <v>43292</v>
      </c>
      <c r="E273" s="19" t="n">
        <f aca="false">D273-C273</f>
        <v>30</v>
      </c>
      <c r="F273" s="100" t="n">
        <f aca="false">TRUNC(E273/30,0)</f>
        <v>1</v>
      </c>
      <c r="G273" s="183" t="s">
        <v>95</v>
      </c>
      <c r="H273" s="223" t="n">
        <v>10</v>
      </c>
      <c r="I273" s="147"/>
      <c r="J273" s="197"/>
      <c r="K273" s="151"/>
      <c r="L273" s="152" t="n">
        <v>0.0196827</v>
      </c>
      <c r="M273" s="151"/>
      <c r="N273" s="152" t="n">
        <v>0.021</v>
      </c>
      <c r="O273" s="151"/>
      <c r="P273" s="152" t="n">
        <v>0.023509</v>
      </c>
      <c r="Q273" s="152" t="n">
        <v>0.025822</v>
      </c>
      <c r="R273" s="152" t="n">
        <v>0.000516</v>
      </c>
      <c r="S273" s="152" t="n">
        <v>0.001806</v>
      </c>
      <c r="T273" s="153" t="n">
        <v>0.013964</v>
      </c>
      <c r="U273" s="152"/>
      <c r="V273" s="152" t="n">
        <v>0.002</v>
      </c>
      <c r="W273" s="152"/>
      <c r="X273" s="152"/>
      <c r="Y273" s="152" t="n">
        <v>0.002</v>
      </c>
      <c r="Z273" s="152"/>
      <c r="AA273" s="152"/>
      <c r="AB273" s="152" t="n">
        <f aca="false">N273-V273-Y273</f>
        <v>0.017</v>
      </c>
      <c r="AC273" s="260" t="n">
        <v>0.019</v>
      </c>
      <c r="AD273" s="156" t="n">
        <f aca="false">IF(T273="","",T273)</f>
        <v>0.013964</v>
      </c>
      <c r="AE273" s="153"/>
      <c r="AF273" s="494" t="n">
        <f aca="false">AD273+AE273</f>
        <v>0.013964</v>
      </c>
      <c r="AG273" s="35" t="n">
        <v>1</v>
      </c>
      <c r="AH273" s="19" t="str">
        <f aca="false">IF(AF273="","N","Y")</f>
        <v>Y</v>
      </c>
      <c r="AI273" s="63" t="s">
        <v>103</v>
      </c>
      <c r="AJ273" s="63" t="s">
        <v>216</v>
      </c>
      <c r="AK273" s="19"/>
      <c r="AL273" s="63" t="s">
        <v>217</v>
      </c>
      <c r="AM273" s="982" t="s">
        <v>3305</v>
      </c>
    </row>
    <row r="274" customFormat="false" ht="16.5" hidden="false" customHeight="true" outlineLevel="0" collapsed="false">
      <c r="B274" s="141"/>
      <c r="C274" s="142"/>
      <c r="D274" s="142"/>
      <c r="E274" s="19"/>
      <c r="F274" s="149"/>
      <c r="G274" s="189"/>
      <c r="H274" s="146"/>
      <c r="I274" s="147"/>
      <c r="J274" s="148"/>
      <c r="K274" s="149"/>
      <c r="L274" s="152"/>
      <c r="M274" s="151"/>
      <c r="N274" s="152"/>
      <c r="O274" s="151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260"/>
      <c r="AD274" s="153"/>
      <c r="AE274" s="153"/>
      <c r="AF274" s="494"/>
      <c r="AH274" s="19"/>
      <c r="AI274" s="19"/>
      <c r="AJ274" s="19"/>
      <c r="AK274" s="19"/>
      <c r="AL274" s="19"/>
    </row>
    <row r="275" customFormat="false" ht="16.5" hidden="false" customHeight="true" outlineLevel="0" collapsed="false">
      <c r="B275" s="141"/>
      <c r="C275" s="142"/>
      <c r="D275" s="142"/>
      <c r="E275" s="19"/>
      <c r="F275" s="149"/>
      <c r="G275" s="189"/>
      <c r="H275" s="146"/>
      <c r="I275" s="147"/>
      <c r="J275" s="148"/>
      <c r="K275" s="149"/>
      <c r="L275" s="152"/>
      <c r="M275" s="151"/>
      <c r="N275" s="152"/>
      <c r="O275" s="151"/>
      <c r="P275" s="152"/>
      <c r="Q275" s="152"/>
      <c r="R275" s="152"/>
      <c r="S275" s="152"/>
      <c r="T275" s="152"/>
      <c r="U275" s="152"/>
      <c r="V275" s="985" t="s">
        <v>3306</v>
      </c>
      <c r="W275" s="152"/>
      <c r="X275" s="152"/>
      <c r="Y275" s="152" t="s">
        <v>3307</v>
      </c>
      <c r="Z275" s="152"/>
      <c r="AA275" s="152"/>
      <c r="AB275" s="152"/>
      <c r="AC275" s="260"/>
      <c r="AD275" s="153"/>
      <c r="AE275" s="153"/>
      <c r="AF275" s="494"/>
      <c r="AH275" s="19"/>
      <c r="AI275" s="19"/>
      <c r="AJ275" s="19"/>
      <c r="AK275" s="19"/>
      <c r="AL275" s="19"/>
    </row>
    <row r="276" customFormat="false" ht="16.5" hidden="false" customHeight="true" outlineLevel="0" collapsed="false">
      <c r="B276" s="141"/>
      <c r="C276" s="142"/>
      <c r="D276" s="142"/>
      <c r="E276" s="19"/>
      <c r="F276" s="149"/>
      <c r="G276" s="189"/>
      <c r="H276" s="146"/>
      <c r="I276" s="147"/>
      <c r="J276" s="148"/>
      <c r="K276" s="149"/>
      <c r="L276" s="152"/>
      <c r="M276" s="151"/>
      <c r="N276" s="152"/>
      <c r="O276" s="151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260"/>
      <c r="AD276" s="153"/>
      <c r="AE276" s="153"/>
      <c r="AF276" s="494"/>
      <c r="AH276" s="19"/>
      <c r="AI276" s="19"/>
      <c r="AJ276" s="19"/>
      <c r="AK276" s="19"/>
      <c r="AL276" s="19"/>
    </row>
    <row r="277" customFormat="false" ht="16.5" hidden="false" customHeight="true" outlineLevel="0" collapsed="false">
      <c r="B277" s="141"/>
      <c r="C277" s="142"/>
      <c r="D277" s="142"/>
      <c r="E277" s="19"/>
      <c r="F277" s="149"/>
      <c r="G277" s="189"/>
      <c r="H277" s="146"/>
      <c r="I277" s="147"/>
      <c r="J277" s="148"/>
      <c r="K277" s="149"/>
      <c r="L277" s="152"/>
      <c r="M277" s="151"/>
      <c r="N277" s="152"/>
      <c r="O277" s="151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260"/>
      <c r="AD277" s="153"/>
      <c r="AE277" s="153"/>
      <c r="AF277" s="494"/>
      <c r="AH277" s="19"/>
      <c r="AI277" s="19"/>
      <c r="AJ277" s="19"/>
      <c r="AK277" s="19"/>
      <c r="AL277" s="19"/>
    </row>
    <row r="278" customFormat="false" ht="16.5" hidden="false" customHeight="true" outlineLevel="0" collapsed="false">
      <c r="B278" s="141"/>
      <c r="C278" s="142"/>
      <c r="D278" s="142"/>
      <c r="E278" s="19"/>
      <c r="F278" s="149"/>
      <c r="G278" s="189"/>
      <c r="H278" s="146"/>
      <c r="I278" s="147"/>
      <c r="J278" s="148"/>
      <c r="K278" s="149"/>
      <c r="L278" s="152"/>
      <c r="M278" s="151"/>
      <c r="N278" s="152"/>
      <c r="O278" s="151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260"/>
      <c r="AD278" s="153"/>
      <c r="AE278" s="153"/>
      <c r="AF278" s="494"/>
      <c r="AH278" s="19"/>
      <c r="AI278" s="19"/>
      <c r="AJ278" s="19"/>
      <c r="AK278" s="19"/>
      <c r="AL278" s="19"/>
    </row>
    <row r="279" customFormat="false" ht="16.5" hidden="false" customHeight="true" outlineLevel="0" collapsed="false">
      <c r="B279" s="141"/>
      <c r="C279" s="142"/>
      <c r="D279" s="142"/>
      <c r="E279" s="19"/>
      <c r="F279" s="149"/>
      <c r="G279" s="189"/>
      <c r="H279" s="146"/>
      <c r="I279" s="147"/>
      <c r="J279" s="148"/>
      <c r="K279" s="149"/>
      <c r="L279" s="152"/>
      <c r="M279" s="151"/>
      <c r="N279" s="152"/>
      <c r="O279" s="151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260"/>
      <c r="AD279" s="153"/>
      <c r="AE279" s="153"/>
      <c r="AF279" s="494"/>
      <c r="AH279" s="19"/>
      <c r="AI279" s="19"/>
      <c r="AJ279" s="19"/>
      <c r="AK279" s="19"/>
      <c r="AL279" s="19"/>
    </row>
    <row r="280" customFormat="false" ht="16.5" hidden="false" customHeight="true" outlineLevel="0" collapsed="false">
      <c r="B280" s="141"/>
      <c r="C280" s="142"/>
      <c r="D280" s="142"/>
      <c r="E280" s="19"/>
      <c r="F280" s="149"/>
      <c r="G280" s="189"/>
      <c r="H280" s="146"/>
      <c r="I280" s="147"/>
      <c r="J280" s="148"/>
      <c r="K280" s="149"/>
      <c r="L280" s="152"/>
      <c r="M280" s="151"/>
      <c r="N280" s="152"/>
      <c r="O280" s="151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260"/>
      <c r="AD280" s="153"/>
      <c r="AE280" s="153"/>
      <c r="AF280" s="494"/>
      <c r="AH280" s="19"/>
      <c r="AI280" s="19"/>
      <c r="AJ280" s="19"/>
      <c r="AK280" s="19"/>
      <c r="AL280" s="19"/>
    </row>
    <row r="281" customFormat="false" ht="16.5" hidden="false" customHeight="true" outlineLevel="0" collapsed="false">
      <c r="B281" s="141"/>
      <c r="C281" s="142"/>
      <c r="D281" s="142"/>
      <c r="E281" s="19"/>
      <c r="F281" s="149"/>
      <c r="G281" s="189"/>
      <c r="H281" s="146"/>
      <c r="I281" s="147"/>
      <c r="J281" s="148"/>
      <c r="K281" s="149"/>
      <c r="L281" s="152"/>
      <c r="M281" s="151"/>
      <c r="N281" s="152"/>
      <c r="O281" s="151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260"/>
      <c r="AD281" s="153"/>
      <c r="AE281" s="153"/>
      <c r="AF281" s="494"/>
      <c r="AH281" s="19"/>
      <c r="AI281" s="19"/>
      <c r="AJ281" s="19"/>
      <c r="AK281" s="19"/>
      <c r="AL281" s="19"/>
    </row>
    <row r="282" customFormat="false" ht="16.5" hidden="false" customHeight="true" outlineLevel="0" collapsed="false">
      <c r="B282" s="141"/>
      <c r="C282" s="142"/>
      <c r="D282" s="142"/>
      <c r="E282" s="19"/>
      <c r="F282" s="149"/>
      <c r="G282" s="189"/>
      <c r="H282" s="146"/>
      <c r="I282" s="147"/>
      <c r="J282" s="148"/>
      <c r="K282" s="149"/>
      <c r="L282" s="152"/>
      <c r="M282" s="151"/>
      <c r="N282" s="152"/>
      <c r="O282" s="151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260"/>
      <c r="AD282" s="153"/>
      <c r="AE282" s="153"/>
      <c r="AF282" s="494"/>
      <c r="AH282" s="19"/>
      <c r="AI282" s="19"/>
      <c r="AJ282" s="19"/>
      <c r="AK282" s="19"/>
      <c r="AL282" s="19"/>
    </row>
    <row r="283" customFormat="false" ht="16.5" hidden="false" customHeight="true" outlineLevel="0" collapsed="false">
      <c r="B283" s="141"/>
      <c r="C283" s="142"/>
      <c r="D283" s="142"/>
      <c r="E283" s="19"/>
      <c r="F283" s="149"/>
      <c r="G283" s="189"/>
      <c r="H283" s="146"/>
      <c r="I283" s="147"/>
      <c r="J283" s="148"/>
      <c r="K283" s="149"/>
      <c r="L283" s="152"/>
      <c r="M283" s="151"/>
      <c r="N283" s="152"/>
      <c r="O283" s="151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260"/>
      <c r="AD283" s="153"/>
      <c r="AE283" s="153"/>
      <c r="AF283" s="494"/>
      <c r="AH283" s="19"/>
      <c r="AI283" s="19"/>
      <c r="AJ283" s="19"/>
      <c r="AK283" s="19"/>
      <c r="AL283" s="19"/>
    </row>
    <row r="284" customFormat="false" ht="16.5" hidden="false" customHeight="true" outlineLevel="0" collapsed="false">
      <c r="B284" s="141"/>
      <c r="C284" s="142"/>
      <c r="D284" s="142"/>
      <c r="E284" s="19"/>
      <c r="F284" s="149"/>
      <c r="G284" s="189"/>
      <c r="H284" s="146"/>
      <c r="I284" s="147"/>
      <c r="J284" s="148"/>
      <c r="K284" s="149"/>
      <c r="L284" s="152"/>
      <c r="M284" s="151"/>
      <c r="N284" s="152"/>
      <c r="O284" s="151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260"/>
      <c r="AD284" s="153"/>
      <c r="AE284" s="153"/>
      <c r="AF284" s="494"/>
      <c r="AH284" s="19"/>
      <c r="AI284" s="19"/>
      <c r="AJ284" s="19"/>
      <c r="AK284" s="19"/>
      <c r="AL284" s="19"/>
    </row>
    <row r="285" customFormat="false" ht="16.5" hidden="false" customHeight="true" outlineLevel="0" collapsed="false">
      <c r="B285" s="141"/>
      <c r="C285" s="142"/>
      <c r="D285" s="142"/>
      <c r="E285" s="19"/>
      <c r="F285" s="149"/>
      <c r="G285" s="189"/>
      <c r="H285" s="146"/>
      <c r="I285" s="147"/>
      <c r="J285" s="148"/>
      <c r="K285" s="149"/>
      <c r="L285" s="152"/>
      <c r="M285" s="151"/>
      <c r="N285" s="152"/>
      <c r="O285" s="151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260"/>
      <c r="AD285" s="153"/>
      <c r="AE285" s="153"/>
      <c r="AF285" s="494"/>
      <c r="AH285" s="19"/>
      <c r="AI285" s="19"/>
      <c r="AJ285" s="19"/>
      <c r="AK285" s="19"/>
      <c r="AL285" s="19"/>
    </row>
    <row r="286" customFormat="false" ht="16.5" hidden="false" customHeight="true" outlineLevel="0" collapsed="false">
      <c r="B286" s="141"/>
      <c r="C286" s="142"/>
      <c r="D286" s="142"/>
      <c r="E286" s="19"/>
      <c r="F286" s="149"/>
      <c r="G286" s="189"/>
      <c r="H286" s="146"/>
      <c r="I286" s="147"/>
      <c r="J286" s="148"/>
      <c r="K286" s="149"/>
      <c r="L286" s="152"/>
      <c r="M286" s="151"/>
      <c r="N286" s="152"/>
      <c r="O286" s="151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260"/>
      <c r="AD286" s="153"/>
      <c r="AE286" s="153"/>
      <c r="AF286" s="494"/>
      <c r="AH286" s="19"/>
      <c r="AI286" s="19"/>
      <c r="AJ286" s="19"/>
      <c r="AK286" s="19"/>
      <c r="AL286" s="19"/>
    </row>
    <row r="287" customFormat="false" ht="16.5" hidden="false" customHeight="true" outlineLevel="0" collapsed="false">
      <c r="B287" s="141"/>
      <c r="C287" s="142"/>
      <c r="D287" s="142"/>
      <c r="E287" s="19"/>
      <c r="F287" s="149"/>
      <c r="G287" s="189"/>
      <c r="H287" s="146"/>
      <c r="I287" s="147"/>
      <c r="J287" s="148"/>
      <c r="K287" s="149"/>
      <c r="L287" s="152"/>
      <c r="M287" s="151"/>
      <c r="N287" s="152"/>
      <c r="O287" s="151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260"/>
      <c r="AD287" s="153"/>
      <c r="AE287" s="153"/>
      <c r="AF287" s="494"/>
      <c r="AH287" s="19"/>
      <c r="AI287" s="19"/>
      <c r="AJ287" s="19"/>
      <c r="AK287" s="19"/>
      <c r="AL287" s="19"/>
    </row>
    <row r="288" customFormat="false" ht="16.5" hidden="false" customHeight="true" outlineLevel="0" collapsed="false">
      <c r="B288" s="141"/>
      <c r="C288" s="142"/>
      <c r="D288" s="142"/>
      <c r="E288" s="19"/>
      <c r="F288" s="149"/>
      <c r="G288" s="189"/>
      <c r="H288" s="146"/>
      <c r="I288" s="147"/>
      <c r="J288" s="148"/>
      <c r="K288" s="149"/>
      <c r="L288" s="152"/>
      <c r="M288" s="151"/>
      <c r="N288" s="152"/>
      <c r="O288" s="151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260"/>
      <c r="AD288" s="153"/>
      <c r="AE288" s="153"/>
      <c r="AF288" s="494"/>
      <c r="AH288" s="19"/>
      <c r="AI288" s="19"/>
      <c r="AJ288" s="19"/>
      <c r="AK288" s="19"/>
      <c r="AL288" s="19"/>
    </row>
    <row r="289" customFormat="false" ht="16.5" hidden="false" customHeight="true" outlineLevel="0" collapsed="false">
      <c r="B289" s="141"/>
      <c r="C289" s="142"/>
      <c r="D289" s="142"/>
      <c r="E289" s="19"/>
      <c r="F289" s="149"/>
      <c r="G289" s="189"/>
      <c r="H289" s="146"/>
      <c r="I289" s="147"/>
      <c r="J289" s="148"/>
      <c r="K289" s="149"/>
      <c r="L289" s="152"/>
      <c r="M289" s="151"/>
      <c r="N289" s="152"/>
      <c r="O289" s="151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260"/>
      <c r="AD289" s="153"/>
      <c r="AE289" s="153"/>
      <c r="AF289" s="494"/>
      <c r="AH289" s="19"/>
      <c r="AI289" s="19"/>
      <c r="AJ289" s="19"/>
      <c r="AK289" s="19"/>
      <c r="AL289" s="19"/>
    </row>
    <row r="290" customFormat="false" ht="16.5" hidden="false" customHeight="true" outlineLevel="0" collapsed="false">
      <c r="B290" s="141"/>
      <c r="C290" s="142"/>
      <c r="D290" s="142"/>
      <c r="E290" s="19"/>
      <c r="F290" s="149"/>
      <c r="G290" s="189"/>
      <c r="H290" s="146"/>
      <c r="I290" s="147"/>
      <c r="J290" s="148"/>
      <c r="K290" s="149"/>
      <c r="L290" s="152"/>
      <c r="M290" s="151"/>
      <c r="N290" s="152"/>
      <c r="O290" s="151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260"/>
      <c r="AD290" s="153"/>
      <c r="AE290" s="153"/>
      <c r="AF290" s="494"/>
      <c r="AH290" s="19"/>
      <c r="AI290" s="19"/>
      <c r="AJ290" s="19"/>
      <c r="AK290" s="19"/>
      <c r="AL290" s="19"/>
    </row>
    <row r="291" customFormat="false" ht="16.5" hidden="false" customHeight="true" outlineLevel="0" collapsed="false">
      <c r="B291" s="141"/>
      <c r="C291" s="142"/>
      <c r="D291" s="142"/>
      <c r="E291" s="19"/>
      <c r="F291" s="149"/>
      <c r="G291" s="189"/>
      <c r="H291" s="146"/>
      <c r="I291" s="147"/>
      <c r="J291" s="148"/>
      <c r="K291" s="149"/>
      <c r="L291" s="152"/>
      <c r="M291" s="151"/>
      <c r="N291" s="152"/>
      <c r="O291" s="151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260"/>
      <c r="AD291" s="153"/>
      <c r="AE291" s="153"/>
      <c r="AF291" s="494"/>
      <c r="AH291" s="19"/>
      <c r="AI291" s="19"/>
      <c r="AJ291" s="19"/>
      <c r="AK291" s="19"/>
      <c r="AL291" s="19"/>
    </row>
    <row r="292" customFormat="false" ht="16.5" hidden="false" customHeight="true" outlineLevel="0" collapsed="false">
      <c r="B292" s="141"/>
      <c r="C292" s="142"/>
      <c r="D292" s="142"/>
      <c r="E292" s="19"/>
      <c r="F292" s="149"/>
      <c r="G292" s="189"/>
      <c r="H292" s="146"/>
      <c r="I292" s="147"/>
      <c r="J292" s="148"/>
      <c r="K292" s="149"/>
      <c r="L292" s="152"/>
      <c r="M292" s="151"/>
      <c r="N292" s="152"/>
      <c r="O292" s="151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260"/>
      <c r="AD292" s="153"/>
      <c r="AE292" s="153"/>
      <c r="AF292" s="494"/>
      <c r="AH292" s="19"/>
      <c r="AI292" s="19"/>
      <c r="AJ292" s="19"/>
      <c r="AK292" s="19"/>
      <c r="AL292" s="19"/>
    </row>
    <row r="293" customFormat="false" ht="16.5" hidden="false" customHeight="true" outlineLevel="0" collapsed="false">
      <c r="B293" s="141"/>
      <c r="C293" s="142"/>
      <c r="D293" s="142"/>
      <c r="E293" s="19"/>
      <c r="F293" s="149"/>
      <c r="G293" s="189"/>
      <c r="H293" s="146"/>
      <c r="I293" s="147"/>
      <c r="J293" s="148"/>
      <c r="K293" s="149"/>
      <c r="L293" s="152"/>
      <c r="M293" s="151"/>
      <c r="N293" s="152"/>
      <c r="O293" s="151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260"/>
      <c r="AD293" s="153"/>
      <c r="AE293" s="153"/>
      <c r="AF293" s="494"/>
      <c r="AH293" s="19"/>
      <c r="AI293" s="19"/>
      <c r="AJ293" s="19"/>
      <c r="AK293" s="19"/>
      <c r="AL293" s="19"/>
    </row>
    <row r="294" customFormat="false" ht="16.5" hidden="false" customHeight="true" outlineLevel="0" collapsed="false">
      <c r="B294" s="141"/>
      <c r="C294" s="142"/>
      <c r="D294" s="142"/>
      <c r="E294" s="19"/>
      <c r="F294" s="149"/>
      <c r="G294" s="189"/>
      <c r="H294" s="146"/>
      <c r="I294" s="147"/>
      <c r="J294" s="148"/>
      <c r="K294" s="149"/>
      <c r="L294" s="152"/>
      <c r="M294" s="151"/>
      <c r="N294" s="152"/>
      <c r="O294" s="151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260"/>
      <c r="AD294" s="153"/>
      <c r="AE294" s="153"/>
      <c r="AF294" s="494"/>
      <c r="AH294" s="19"/>
      <c r="AI294" s="19"/>
      <c r="AJ294" s="19"/>
      <c r="AK294" s="19"/>
      <c r="AL294" s="19"/>
    </row>
    <row r="295" customFormat="false" ht="16.5" hidden="false" customHeight="true" outlineLevel="0" collapsed="false">
      <c r="B295" s="141"/>
      <c r="C295" s="142"/>
      <c r="D295" s="142"/>
      <c r="E295" s="19"/>
      <c r="F295" s="149"/>
      <c r="G295" s="189"/>
      <c r="H295" s="146"/>
      <c r="I295" s="147"/>
      <c r="J295" s="148"/>
      <c r="K295" s="149"/>
      <c r="L295" s="152"/>
      <c r="M295" s="151"/>
      <c r="N295" s="152"/>
      <c r="O295" s="151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260"/>
      <c r="AD295" s="153"/>
      <c r="AE295" s="153"/>
      <c r="AF295" s="494"/>
      <c r="AH295" s="19"/>
      <c r="AI295" s="19"/>
      <c r="AJ295" s="19"/>
      <c r="AK295" s="19"/>
      <c r="AL295" s="19"/>
    </row>
    <row r="296" customFormat="false" ht="16.5" hidden="false" customHeight="true" outlineLevel="0" collapsed="false">
      <c r="B296" s="141"/>
      <c r="C296" s="142"/>
      <c r="D296" s="142"/>
      <c r="E296" s="19"/>
      <c r="F296" s="149"/>
      <c r="G296" s="189"/>
      <c r="H296" s="146"/>
      <c r="I296" s="147"/>
      <c r="J296" s="148"/>
      <c r="K296" s="149"/>
      <c r="L296" s="152"/>
      <c r="M296" s="151"/>
      <c r="N296" s="152"/>
      <c r="O296" s="151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260"/>
      <c r="AD296" s="153"/>
      <c r="AE296" s="153"/>
      <c r="AF296" s="494"/>
      <c r="AH296" s="19"/>
      <c r="AI296" s="19"/>
      <c r="AJ296" s="19"/>
      <c r="AK296" s="19"/>
      <c r="AL296" s="19"/>
    </row>
    <row r="297" customFormat="false" ht="16.5" hidden="false" customHeight="true" outlineLevel="0" collapsed="false">
      <c r="B297" s="141"/>
      <c r="C297" s="142"/>
      <c r="D297" s="142"/>
      <c r="E297" s="19"/>
      <c r="F297" s="149"/>
      <c r="G297" s="189"/>
      <c r="H297" s="146"/>
      <c r="I297" s="147"/>
      <c r="J297" s="148"/>
      <c r="K297" s="149"/>
      <c r="L297" s="152"/>
      <c r="M297" s="151"/>
      <c r="N297" s="152"/>
      <c r="O297" s="151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260"/>
      <c r="AD297" s="153"/>
      <c r="AE297" s="153"/>
      <c r="AF297" s="494"/>
      <c r="AH297" s="19"/>
      <c r="AI297" s="19"/>
      <c r="AJ297" s="19"/>
      <c r="AK297" s="19"/>
      <c r="AL297" s="19"/>
    </row>
    <row r="298" customFormat="false" ht="16.5" hidden="false" customHeight="true" outlineLevel="0" collapsed="false">
      <c r="B298" s="141"/>
      <c r="C298" s="142"/>
      <c r="D298" s="142"/>
      <c r="E298" s="19"/>
      <c r="F298" s="149"/>
      <c r="G298" s="189"/>
      <c r="H298" s="146"/>
      <c r="I298" s="147"/>
      <c r="J298" s="148"/>
      <c r="K298" s="149"/>
      <c r="L298" s="152"/>
      <c r="M298" s="151"/>
      <c r="N298" s="152"/>
      <c r="O298" s="151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260"/>
      <c r="AD298" s="153"/>
      <c r="AE298" s="153"/>
      <c r="AF298" s="494"/>
      <c r="AH298" s="19"/>
      <c r="AI298" s="19"/>
      <c r="AJ298" s="19"/>
      <c r="AK298" s="19"/>
      <c r="AL298" s="19"/>
    </row>
    <row r="299" customFormat="false" ht="16.5" hidden="false" customHeight="true" outlineLevel="0" collapsed="false">
      <c r="B299" s="141"/>
      <c r="C299" s="142"/>
      <c r="D299" s="142"/>
      <c r="E299" s="19"/>
      <c r="F299" s="149"/>
      <c r="G299" s="189"/>
      <c r="H299" s="146"/>
      <c r="I299" s="147"/>
      <c r="J299" s="148"/>
      <c r="K299" s="149"/>
      <c r="L299" s="152"/>
      <c r="M299" s="151"/>
      <c r="N299" s="152"/>
      <c r="O299" s="151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260"/>
      <c r="AD299" s="153"/>
      <c r="AE299" s="153"/>
      <c r="AF299" s="494"/>
      <c r="AH299" s="19"/>
      <c r="AI299" s="19"/>
      <c r="AJ299" s="19"/>
      <c r="AK299" s="19"/>
      <c r="AL299" s="19"/>
    </row>
    <row r="300" customFormat="false" ht="16.5" hidden="false" customHeight="true" outlineLevel="0" collapsed="false">
      <c r="B300" s="141"/>
      <c r="C300" s="142"/>
      <c r="D300" s="142"/>
      <c r="E300" s="19"/>
      <c r="F300" s="149"/>
      <c r="G300" s="189"/>
      <c r="H300" s="146"/>
      <c r="I300" s="147"/>
      <c r="J300" s="148"/>
      <c r="K300" s="149"/>
      <c r="L300" s="152"/>
      <c r="M300" s="151"/>
      <c r="N300" s="152"/>
      <c r="O300" s="151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260"/>
      <c r="AD300" s="153"/>
      <c r="AE300" s="153"/>
      <c r="AF300" s="494"/>
      <c r="AH300" s="19"/>
      <c r="AI300" s="19"/>
      <c r="AJ300" s="19"/>
      <c r="AK300" s="19"/>
      <c r="AL300" s="19"/>
    </row>
    <row r="301" customFormat="false" ht="16.5" hidden="false" customHeight="true" outlineLevel="0" collapsed="false">
      <c r="B301" s="141"/>
      <c r="C301" s="142"/>
      <c r="D301" s="142"/>
      <c r="E301" s="19"/>
      <c r="F301" s="149"/>
      <c r="G301" s="189"/>
      <c r="H301" s="146"/>
      <c r="I301" s="147"/>
      <c r="J301" s="148"/>
      <c r="K301" s="149"/>
      <c r="L301" s="152"/>
      <c r="M301" s="151"/>
      <c r="N301" s="152"/>
      <c r="O301" s="151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260"/>
      <c r="AD301" s="153"/>
      <c r="AE301" s="153"/>
      <c r="AF301" s="494"/>
      <c r="AH301" s="19"/>
      <c r="AI301" s="19"/>
      <c r="AJ301" s="19"/>
      <c r="AK301" s="19"/>
      <c r="AL301" s="19"/>
    </row>
    <row r="302" customFormat="false" ht="16.5" hidden="false" customHeight="true" outlineLevel="0" collapsed="false">
      <c r="B302" s="141"/>
      <c r="C302" s="142"/>
      <c r="D302" s="142"/>
      <c r="E302" s="19"/>
      <c r="F302" s="149"/>
      <c r="G302" s="189"/>
      <c r="H302" s="146"/>
      <c r="I302" s="147"/>
      <c r="J302" s="148"/>
      <c r="K302" s="149"/>
      <c r="L302" s="152"/>
      <c r="M302" s="151"/>
      <c r="N302" s="152"/>
      <c r="O302" s="151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260"/>
      <c r="AD302" s="153"/>
      <c r="AE302" s="153"/>
      <c r="AF302" s="494"/>
      <c r="AH302" s="19"/>
      <c r="AI302" s="19"/>
      <c r="AJ302" s="19"/>
      <c r="AK302" s="19"/>
      <c r="AL302" s="19"/>
    </row>
    <row r="303" customFormat="false" ht="16.5" hidden="false" customHeight="true" outlineLevel="0" collapsed="false">
      <c r="B303" s="141"/>
      <c r="C303" s="142"/>
      <c r="D303" s="142"/>
      <c r="E303" s="19"/>
      <c r="F303" s="149"/>
      <c r="G303" s="189"/>
      <c r="H303" s="146"/>
      <c r="I303" s="147"/>
      <c r="J303" s="148"/>
      <c r="K303" s="149"/>
      <c r="L303" s="152"/>
      <c r="M303" s="151"/>
      <c r="N303" s="152"/>
      <c r="O303" s="151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260"/>
      <c r="AD303" s="153"/>
      <c r="AE303" s="153"/>
      <c r="AF303" s="494"/>
      <c r="AH303" s="19"/>
      <c r="AI303" s="19"/>
      <c r="AJ303" s="19"/>
      <c r="AK303" s="19"/>
      <c r="AL303" s="19"/>
    </row>
    <row r="304" customFormat="false" ht="16.5" hidden="false" customHeight="true" outlineLevel="0" collapsed="false">
      <c r="B304" s="141"/>
      <c r="C304" s="142"/>
      <c r="D304" s="142"/>
      <c r="E304" s="19"/>
      <c r="F304" s="149"/>
      <c r="G304" s="189"/>
      <c r="H304" s="146"/>
      <c r="I304" s="147"/>
      <c r="J304" s="148"/>
      <c r="K304" s="149"/>
      <c r="L304" s="152"/>
      <c r="M304" s="151"/>
      <c r="N304" s="152"/>
      <c r="O304" s="151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260"/>
      <c r="AD304" s="153"/>
      <c r="AE304" s="153"/>
      <c r="AF304" s="494"/>
      <c r="AH304" s="19"/>
      <c r="AI304" s="19"/>
      <c r="AJ304" s="19"/>
      <c r="AK304" s="19"/>
      <c r="AL304" s="19"/>
    </row>
    <row r="305" customFormat="false" ht="16.5" hidden="false" customHeight="true" outlineLevel="0" collapsed="false">
      <c r="B305" s="141"/>
      <c r="C305" s="142"/>
      <c r="D305" s="142"/>
      <c r="E305" s="19"/>
      <c r="F305" s="149"/>
      <c r="G305" s="189"/>
      <c r="H305" s="146"/>
      <c r="I305" s="147"/>
      <c r="J305" s="148"/>
      <c r="K305" s="149"/>
      <c r="L305" s="152"/>
      <c r="M305" s="151"/>
      <c r="N305" s="152"/>
      <c r="O305" s="151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260"/>
      <c r="AD305" s="153"/>
      <c r="AE305" s="153"/>
      <c r="AF305" s="494"/>
      <c r="AH305" s="19"/>
      <c r="AI305" s="19"/>
      <c r="AJ305" s="19"/>
      <c r="AK305" s="19"/>
      <c r="AL305" s="19"/>
    </row>
    <row r="306" customFormat="false" ht="16.5" hidden="false" customHeight="true" outlineLevel="0" collapsed="false">
      <c r="B306" s="141"/>
      <c r="C306" s="142"/>
      <c r="D306" s="142"/>
      <c r="E306" s="19"/>
      <c r="F306" s="149"/>
      <c r="G306" s="189"/>
      <c r="H306" s="146"/>
      <c r="I306" s="147"/>
      <c r="J306" s="148"/>
      <c r="K306" s="149"/>
      <c r="L306" s="152"/>
      <c r="M306" s="151"/>
      <c r="N306" s="152"/>
      <c r="O306" s="151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260"/>
      <c r="AD306" s="153"/>
      <c r="AE306" s="153"/>
      <c r="AF306" s="494"/>
      <c r="AH306" s="19"/>
      <c r="AI306" s="19"/>
      <c r="AJ306" s="19"/>
      <c r="AK306" s="19"/>
      <c r="AL306" s="19"/>
    </row>
    <row r="307" customFormat="false" ht="16.5" hidden="false" customHeight="true" outlineLevel="0" collapsed="false">
      <c r="B307" s="141"/>
      <c r="C307" s="142"/>
      <c r="D307" s="142"/>
      <c r="E307" s="19"/>
      <c r="F307" s="149"/>
      <c r="G307" s="189"/>
      <c r="H307" s="146"/>
      <c r="I307" s="147"/>
      <c r="J307" s="148"/>
      <c r="K307" s="149"/>
      <c r="L307" s="152"/>
      <c r="M307" s="151"/>
      <c r="N307" s="152"/>
      <c r="O307" s="151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260"/>
      <c r="AD307" s="153"/>
      <c r="AE307" s="153"/>
      <c r="AF307" s="494"/>
      <c r="AH307" s="19"/>
      <c r="AI307" s="19"/>
      <c r="AJ307" s="19"/>
      <c r="AK307" s="19"/>
      <c r="AL307" s="19"/>
    </row>
    <row r="308" customFormat="false" ht="16.5" hidden="false" customHeight="true" outlineLevel="0" collapsed="false">
      <c r="B308" s="141"/>
      <c r="C308" s="142"/>
      <c r="D308" s="142"/>
      <c r="E308" s="19"/>
      <c r="F308" s="149"/>
      <c r="G308" s="189"/>
      <c r="H308" s="146"/>
      <c r="I308" s="147"/>
      <c r="J308" s="148"/>
      <c r="K308" s="149"/>
      <c r="L308" s="152"/>
      <c r="M308" s="151"/>
      <c r="N308" s="152"/>
      <c r="O308" s="151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260"/>
      <c r="AD308" s="153"/>
      <c r="AE308" s="153"/>
      <c r="AF308" s="494"/>
      <c r="AH308" s="19"/>
      <c r="AI308" s="19"/>
      <c r="AJ308" s="19"/>
      <c r="AK308" s="19"/>
      <c r="AL308" s="19"/>
    </row>
    <row r="309" customFormat="false" ht="16.5" hidden="false" customHeight="true" outlineLevel="0" collapsed="false">
      <c r="B309" s="141"/>
      <c r="C309" s="142"/>
      <c r="D309" s="142"/>
      <c r="E309" s="19"/>
      <c r="F309" s="149"/>
      <c r="G309" s="189"/>
      <c r="H309" s="146"/>
      <c r="I309" s="147"/>
      <c r="J309" s="148"/>
      <c r="K309" s="149"/>
      <c r="L309" s="152"/>
      <c r="M309" s="151"/>
      <c r="N309" s="152"/>
      <c r="O309" s="151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260"/>
      <c r="AD309" s="153"/>
      <c r="AE309" s="153"/>
      <c r="AF309" s="494"/>
      <c r="AH309" s="19"/>
      <c r="AI309" s="19"/>
      <c r="AJ309" s="19"/>
      <c r="AK309" s="19"/>
      <c r="AL309" s="19"/>
    </row>
    <row r="310" customFormat="false" ht="16.5" hidden="false" customHeight="true" outlineLevel="0" collapsed="false">
      <c r="B310" s="141"/>
      <c r="C310" s="142"/>
      <c r="D310" s="142"/>
      <c r="E310" s="19"/>
      <c r="F310" s="149"/>
      <c r="G310" s="189"/>
      <c r="H310" s="146"/>
      <c r="I310" s="147"/>
      <c r="J310" s="148"/>
      <c r="K310" s="149"/>
      <c r="L310" s="152"/>
      <c r="M310" s="151"/>
      <c r="N310" s="152"/>
      <c r="O310" s="151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260"/>
      <c r="AD310" s="153"/>
      <c r="AE310" s="153"/>
      <c r="AF310" s="494"/>
      <c r="AH310" s="19"/>
      <c r="AI310" s="19"/>
      <c r="AJ310" s="19"/>
      <c r="AK310" s="19"/>
      <c r="AL310" s="19"/>
    </row>
    <row r="311" customFormat="false" ht="16.5" hidden="false" customHeight="true" outlineLevel="0" collapsed="false">
      <c r="B311" s="141"/>
      <c r="C311" s="142"/>
      <c r="D311" s="142"/>
      <c r="E311" s="19"/>
      <c r="F311" s="149"/>
      <c r="G311" s="189"/>
      <c r="H311" s="146"/>
      <c r="I311" s="147"/>
      <c r="J311" s="148"/>
      <c r="K311" s="149"/>
      <c r="L311" s="152"/>
      <c r="M311" s="151"/>
      <c r="N311" s="152"/>
      <c r="O311" s="151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260"/>
      <c r="AD311" s="153"/>
      <c r="AE311" s="153"/>
      <c r="AF311" s="494"/>
      <c r="AH311" s="19"/>
      <c r="AI311" s="19"/>
      <c r="AJ311" s="19"/>
      <c r="AK311" s="19"/>
      <c r="AL311" s="19"/>
    </row>
    <row r="312" customFormat="false" ht="16.5" hidden="false" customHeight="true" outlineLevel="0" collapsed="false">
      <c r="B312" s="141"/>
      <c r="C312" s="142"/>
      <c r="D312" s="142"/>
      <c r="E312" s="19"/>
      <c r="F312" s="149"/>
      <c r="G312" s="189"/>
      <c r="H312" s="146"/>
      <c r="I312" s="147"/>
      <c r="J312" s="148"/>
      <c r="K312" s="149"/>
      <c r="L312" s="152"/>
      <c r="M312" s="151"/>
      <c r="N312" s="152"/>
      <c r="O312" s="151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260"/>
      <c r="AD312" s="153"/>
      <c r="AE312" s="153"/>
      <c r="AF312" s="494"/>
      <c r="AH312" s="19"/>
      <c r="AI312" s="19"/>
      <c r="AJ312" s="19"/>
      <c r="AK312" s="19"/>
      <c r="AL312" s="19"/>
    </row>
    <row r="313" customFormat="false" ht="16.5" hidden="false" customHeight="true" outlineLevel="0" collapsed="false">
      <c r="B313" s="141"/>
      <c r="C313" s="142"/>
      <c r="D313" s="142"/>
      <c r="E313" s="19"/>
      <c r="F313" s="149"/>
      <c r="G313" s="189"/>
      <c r="H313" s="146"/>
      <c r="I313" s="147"/>
      <c r="J313" s="148"/>
      <c r="K313" s="149"/>
      <c r="L313" s="152"/>
      <c r="M313" s="151"/>
      <c r="N313" s="152"/>
      <c r="O313" s="151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260"/>
      <c r="AD313" s="153"/>
      <c r="AE313" s="153"/>
      <c r="AF313" s="494"/>
      <c r="AH313" s="19"/>
      <c r="AI313" s="19"/>
      <c r="AJ313" s="19"/>
      <c r="AK313" s="19"/>
      <c r="AL313" s="19"/>
    </row>
    <row r="314" customFormat="false" ht="16.5" hidden="false" customHeight="true" outlineLevel="0" collapsed="false">
      <c r="B314" s="141"/>
      <c r="C314" s="142"/>
      <c r="D314" s="142"/>
      <c r="E314" s="19"/>
      <c r="F314" s="149"/>
      <c r="G314" s="189"/>
      <c r="H314" s="146"/>
      <c r="I314" s="147"/>
      <c r="J314" s="148"/>
      <c r="K314" s="149"/>
      <c r="L314" s="152"/>
      <c r="M314" s="151"/>
      <c r="N314" s="152"/>
      <c r="O314" s="151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260"/>
      <c r="AD314" s="153"/>
      <c r="AE314" s="153"/>
      <c r="AF314" s="494"/>
      <c r="AH314" s="19"/>
      <c r="AI314" s="19"/>
      <c r="AJ314" s="19"/>
      <c r="AK314" s="19"/>
      <c r="AL314" s="19"/>
    </row>
    <row r="315" customFormat="false" ht="16.5" hidden="false" customHeight="true" outlineLevel="0" collapsed="false">
      <c r="B315" s="141"/>
      <c r="C315" s="142"/>
      <c r="D315" s="142"/>
      <c r="E315" s="19"/>
      <c r="F315" s="149"/>
      <c r="G315" s="189"/>
      <c r="H315" s="146"/>
      <c r="I315" s="147"/>
      <c r="J315" s="148"/>
      <c r="K315" s="149"/>
      <c r="L315" s="152"/>
      <c r="M315" s="151"/>
      <c r="N315" s="152"/>
      <c r="O315" s="151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260"/>
      <c r="AD315" s="153"/>
      <c r="AE315" s="153"/>
      <c r="AF315" s="494"/>
      <c r="AH315" s="19"/>
      <c r="AI315" s="19"/>
      <c r="AJ315" s="19"/>
      <c r="AK315" s="19"/>
      <c r="AL315" s="19"/>
    </row>
    <row r="316" customFormat="false" ht="16.5" hidden="false" customHeight="true" outlineLevel="0" collapsed="false">
      <c r="B316" s="141"/>
      <c r="C316" s="142"/>
      <c r="D316" s="142"/>
      <c r="E316" s="19"/>
      <c r="F316" s="149"/>
      <c r="G316" s="189"/>
      <c r="H316" s="146"/>
      <c r="I316" s="147"/>
      <c r="J316" s="148"/>
      <c r="K316" s="149"/>
      <c r="L316" s="152"/>
      <c r="M316" s="151"/>
      <c r="N316" s="152"/>
      <c r="O316" s="151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260"/>
      <c r="AD316" s="153"/>
      <c r="AE316" s="153"/>
      <c r="AF316" s="494"/>
      <c r="AH316" s="19"/>
      <c r="AI316" s="19"/>
      <c r="AJ316" s="19"/>
      <c r="AK316" s="19"/>
      <c r="AL316" s="19"/>
    </row>
    <row r="317" customFormat="false" ht="16.5" hidden="false" customHeight="true" outlineLevel="0" collapsed="false">
      <c r="B317" s="141"/>
      <c r="C317" s="142"/>
      <c r="D317" s="142"/>
      <c r="E317" s="19"/>
      <c r="F317" s="149"/>
      <c r="G317" s="189"/>
      <c r="H317" s="146"/>
      <c r="I317" s="147"/>
      <c r="J317" s="148"/>
      <c r="K317" s="149"/>
      <c r="L317" s="152"/>
      <c r="M317" s="151"/>
      <c r="N317" s="152"/>
      <c r="O317" s="151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260"/>
      <c r="AD317" s="153"/>
      <c r="AE317" s="153"/>
      <c r="AF317" s="494"/>
      <c r="AH317" s="19"/>
      <c r="AI317" s="19"/>
      <c r="AJ317" s="19"/>
      <c r="AK317" s="19"/>
      <c r="AL317" s="19"/>
    </row>
    <row r="318" customFormat="false" ht="16.5" hidden="false" customHeight="true" outlineLevel="0" collapsed="false">
      <c r="B318" s="141"/>
      <c r="C318" s="142"/>
      <c r="D318" s="142"/>
      <c r="E318" s="19"/>
      <c r="F318" s="149"/>
      <c r="G318" s="189"/>
      <c r="H318" s="146"/>
      <c r="I318" s="147"/>
      <c r="J318" s="148"/>
      <c r="K318" s="149"/>
      <c r="L318" s="152"/>
      <c r="M318" s="151"/>
      <c r="N318" s="152"/>
      <c r="O318" s="151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260"/>
      <c r="AD318" s="153"/>
      <c r="AE318" s="153"/>
      <c r="AF318" s="494"/>
      <c r="AH318" s="19"/>
      <c r="AI318" s="19"/>
      <c r="AJ318" s="19"/>
      <c r="AK318" s="19"/>
      <c r="AL318" s="19"/>
    </row>
    <row r="319" customFormat="false" ht="16.5" hidden="false" customHeight="true" outlineLevel="0" collapsed="false">
      <c r="B319" s="141"/>
      <c r="C319" s="142"/>
      <c r="D319" s="142"/>
      <c r="E319" s="19"/>
      <c r="F319" s="149"/>
      <c r="G319" s="189"/>
      <c r="H319" s="146"/>
      <c r="I319" s="147"/>
      <c r="J319" s="148"/>
      <c r="K319" s="149"/>
      <c r="L319" s="152"/>
      <c r="M319" s="151"/>
      <c r="N319" s="152"/>
      <c r="O319" s="151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260"/>
      <c r="AD319" s="153"/>
      <c r="AE319" s="153"/>
      <c r="AF319" s="494"/>
      <c r="AH319" s="19"/>
      <c r="AI319" s="19"/>
      <c r="AJ319" s="19"/>
      <c r="AK319" s="19"/>
      <c r="AL319" s="19"/>
    </row>
    <row r="320" customFormat="false" ht="16.5" hidden="false" customHeight="true" outlineLevel="0" collapsed="false">
      <c r="B320" s="141"/>
      <c r="C320" s="142"/>
      <c r="D320" s="142"/>
      <c r="E320" s="19"/>
      <c r="F320" s="149"/>
      <c r="G320" s="189"/>
      <c r="H320" s="146"/>
      <c r="I320" s="147"/>
      <c r="J320" s="148"/>
      <c r="K320" s="149"/>
      <c r="L320" s="152"/>
      <c r="M320" s="151"/>
      <c r="N320" s="152"/>
      <c r="O320" s="151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260"/>
      <c r="AD320" s="153"/>
      <c r="AE320" s="153"/>
      <c r="AF320" s="494"/>
      <c r="AH320" s="19"/>
      <c r="AI320" s="19"/>
      <c r="AJ320" s="19"/>
      <c r="AK320" s="19"/>
      <c r="AL320" s="19"/>
    </row>
    <row r="321" customFormat="false" ht="16.5" hidden="false" customHeight="true" outlineLevel="0" collapsed="false">
      <c r="B321" s="141"/>
      <c r="C321" s="142"/>
      <c r="D321" s="142"/>
      <c r="E321" s="19"/>
      <c r="F321" s="149"/>
      <c r="G321" s="189"/>
      <c r="H321" s="146"/>
      <c r="I321" s="147"/>
      <c r="J321" s="148"/>
      <c r="K321" s="149"/>
      <c r="L321" s="152"/>
      <c r="M321" s="151"/>
      <c r="N321" s="152"/>
      <c r="O321" s="151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260"/>
      <c r="AD321" s="153"/>
      <c r="AE321" s="153"/>
      <c r="AF321" s="494"/>
      <c r="AH321" s="19"/>
      <c r="AI321" s="19"/>
      <c r="AJ321" s="19"/>
      <c r="AK321" s="19"/>
      <c r="AL321" s="19"/>
    </row>
    <row r="322" customFormat="false" ht="16.5" hidden="false" customHeight="true" outlineLevel="0" collapsed="false">
      <c r="B322" s="141"/>
      <c r="C322" s="142"/>
      <c r="D322" s="142"/>
      <c r="E322" s="19"/>
      <c r="F322" s="149"/>
      <c r="G322" s="189"/>
      <c r="H322" s="146"/>
      <c r="I322" s="147"/>
      <c r="J322" s="148"/>
      <c r="K322" s="149"/>
      <c r="L322" s="152"/>
      <c r="M322" s="151"/>
      <c r="N322" s="152"/>
      <c r="O322" s="151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260"/>
      <c r="AD322" s="153"/>
      <c r="AE322" s="153"/>
      <c r="AF322" s="494"/>
      <c r="AH322" s="19"/>
      <c r="AI322" s="19"/>
      <c r="AJ322" s="19"/>
      <c r="AK322" s="19"/>
      <c r="AL322" s="19"/>
    </row>
    <row r="323" customFormat="false" ht="16.5" hidden="false" customHeight="true" outlineLevel="0" collapsed="false">
      <c r="B323" s="141"/>
      <c r="C323" s="142"/>
      <c r="D323" s="142"/>
      <c r="E323" s="19"/>
      <c r="F323" s="149"/>
      <c r="G323" s="189"/>
      <c r="H323" s="146"/>
      <c r="I323" s="147"/>
      <c r="J323" s="148"/>
      <c r="K323" s="149"/>
      <c r="L323" s="152"/>
      <c r="M323" s="151"/>
      <c r="N323" s="152"/>
      <c r="O323" s="151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260"/>
      <c r="AD323" s="153"/>
      <c r="AE323" s="153"/>
      <c r="AF323" s="494"/>
      <c r="AH323" s="19"/>
      <c r="AI323" s="19"/>
      <c r="AJ323" s="19"/>
      <c r="AK323" s="19"/>
      <c r="AL323" s="19"/>
    </row>
    <row r="324" customFormat="false" ht="16.5" hidden="false" customHeight="true" outlineLevel="0" collapsed="false">
      <c r="B324" s="141"/>
      <c r="C324" s="142"/>
      <c r="D324" s="142"/>
      <c r="E324" s="19"/>
      <c r="F324" s="149"/>
      <c r="G324" s="189"/>
      <c r="H324" s="146"/>
      <c r="I324" s="147"/>
      <c r="J324" s="148"/>
      <c r="K324" s="149"/>
      <c r="L324" s="152"/>
      <c r="M324" s="151"/>
      <c r="N324" s="152"/>
      <c r="O324" s="151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260"/>
      <c r="AD324" s="153"/>
      <c r="AE324" s="153"/>
      <c r="AF324" s="494"/>
      <c r="AH324" s="19"/>
      <c r="AI324" s="19"/>
      <c r="AJ324" s="19"/>
      <c r="AK324" s="19"/>
      <c r="AL324" s="19"/>
    </row>
    <row r="325" customFormat="false" ht="16.5" hidden="false" customHeight="true" outlineLevel="0" collapsed="false">
      <c r="B325" s="141"/>
      <c r="C325" s="142"/>
      <c r="D325" s="142"/>
      <c r="E325" s="19"/>
      <c r="F325" s="149"/>
      <c r="G325" s="189"/>
      <c r="H325" s="146"/>
      <c r="I325" s="147"/>
      <c r="J325" s="148"/>
      <c r="K325" s="149"/>
      <c r="L325" s="152"/>
      <c r="M325" s="151"/>
      <c r="N325" s="152"/>
      <c r="O325" s="151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260"/>
      <c r="AD325" s="153"/>
      <c r="AE325" s="153"/>
      <c r="AF325" s="494"/>
      <c r="AH325" s="19"/>
      <c r="AI325" s="19"/>
      <c r="AJ325" s="19"/>
      <c r="AK325" s="19"/>
      <c r="AL325" s="19"/>
    </row>
    <row r="326" customFormat="false" ht="16.5" hidden="false" customHeight="true" outlineLevel="0" collapsed="false">
      <c r="B326" s="141"/>
      <c r="C326" s="142"/>
      <c r="D326" s="142"/>
      <c r="E326" s="19"/>
      <c r="F326" s="149"/>
      <c r="G326" s="189"/>
      <c r="H326" s="146"/>
      <c r="I326" s="147"/>
      <c r="J326" s="148"/>
      <c r="K326" s="149"/>
      <c r="L326" s="152"/>
      <c r="M326" s="151"/>
      <c r="N326" s="152"/>
      <c r="O326" s="151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260"/>
      <c r="AD326" s="153"/>
      <c r="AE326" s="153"/>
      <c r="AF326" s="494"/>
      <c r="AH326" s="19"/>
      <c r="AI326" s="19"/>
      <c r="AJ326" s="19"/>
      <c r="AK326" s="19"/>
      <c r="AL326" s="19"/>
    </row>
    <row r="327" customFormat="false" ht="16.5" hidden="false" customHeight="true" outlineLevel="0" collapsed="false">
      <c r="B327" s="141"/>
      <c r="C327" s="142"/>
      <c r="D327" s="142"/>
      <c r="E327" s="19"/>
      <c r="F327" s="149"/>
      <c r="G327" s="189"/>
      <c r="H327" s="146"/>
      <c r="I327" s="147"/>
      <c r="J327" s="148"/>
      <c r="K327" s="149"/>
      <c r="L327" s="152"/>
      <c r="M327" s="151"/>
      <c r="N327" s="152"/>
      <c r="O327" s="151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260"/>
      <c r="AD327" s="153"/>
      <c r="AE327" s="153"/>
      <c r="AF327" s="494"/>
      <c r="AH327" s="19"/>
      <c r="AI327" s="19"/>
      <c r="AJ327" s="19"/>
      <c r="AK327" s="19"/>
      <c r="AL327" s="19"/>
    </row>
    <row r="328" customFormat="false" ht="16.5" hidden="false" customHeight="true" outlineLevel="0" collapsed="false">
      <c r="B328" s="141"/>
      <c r="C328" s="142"/>
      <c r="D328" s="142"/>
      <c r="E328" s="19"/>
      <c r="F328" s="149"/>
      <c r="G328" s="189"/>
      <c r="H328" s="146"/>
      <c r="I328" s="147"/>
      <c r="J328" s="148"/>
      <c r="K328" s="149"/>
      <c r="L328" s="152"/>
      <c r="M328" s="151"/>
      <c r="N328" s="152"/>
      <c r="O328" s="151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260"/>
      <c r="AD328" s="153"/>
      <c r="AE328" s="153"/>
      <c r="AF328" s="494"/>
      <c r="AH328" s="19" t="s">
        <v>3308</v>
      </c>
      <c r="AI328" s="19"/>
      <c r="AJ328" s="19"/>
      <c r="AK328" s="19"/>
      <c r="AL328" s="19"/>
    </row>
  </sheetData>
  <autoFilter ref="A9:AO272"/>
  <mergeCells count="24">
    <mergeCell ref="A6:A8"/>
    <mergeCell ref="B6:B8"/>
    <mergeCell ref="C6:H6"/>
    <mergeCell ref="I6:P6"/>
    <mergeCell ref="Q6:S6"/>
    <mergeCell ref="AD6:AF6"/>
    <mergeCell ref="AG6:AH6"/>
    <mergeCell ref="C7:C8"/>
    <mergeCell ref="D7:D8"/>
    <mergeCell ref="E7:F7"/>
    <mergeCell ref="G7:G8"/>
    <mergeCell ref="H7:H8"/>
    <mergeCell ref="I7:J7"/>
    <mergeCell ref="K7:P7"/>
    <mergeCell ref="Q7:S7"/>
    <mergeCell ref="AA7:AB7"/>
    <mergeCell ref="AD7:AD8"/>
    <mergeCell ref="AE7:AE8"/>
    <mergeCell ref="AF7:AF8"/>
    <mergeCell ref="AG7:AG8"/>
    <mergeCell ref="AH7:AH8"/>
    <mergeCell ref="K8:L8"/>
    <mergeCell ref="M8:N8"/>
    <mergeCell ref="O8:P8"/>
  </mergeCells>
  <conditionalFormatting sqref="AH10:AH1048576">
    <cfRule type="cellIs" priority="2" operator="equal" aboveAverage="0" equalAverage="0" bottom="0" percent="0" rank="0" text="" dxfId="2">
      <formula>"N"</formula>
    </cfRule>
    <cfRule type="containsText" priority="3" operator="containsText" aboveAverage="0" equalAverage="0" bottom="0" percent="0" rank="0" text="Y" dxfId="1">
      <formula>NOT(ISERROR(SEARCH("Y",AH10)))</formula>
    </cfRule>
  </conditionalFormatting>
  <conditionalFormatting sqref="AF10:AF1048576">
    <cfRule type="cellIs" priority="4" operator="greaterThan" aboveAverage="0" equalAverage="0" bottom="0" percent="0" rank="0" text="" dxfId="0">
      <formula>$AC$11</formula>
    </cfRule>
  </conditionalFormatting>
  <conditionalFormatting sqref="AM266:AM271">
    <cfRule type="cellIs" priority="5" operator="equal" aboveAverage="0" equalAverage="0" bottom="0" percent="0" rank="0" text="" dxfId="2">
      <formula>"N"</formula>
    </cfRule>
    <cfRule type="containsText" priority="6" operator="containsText" aboveAverage="0" equalAverage="0" bottom="0" percent="0" rank="0" text="Y" dxfId="1">
      <formula>NOT(ISERROR(SEARCH("Y",AM266)))</formula>
    </cfRule>
  </conditionalFormatting>
  <conditionalFormatting sqref="AM257:AM258">
    <cfRule type="cellIs" priority="7" operator="equal" aboveAverage="0" equalAverage="0" bottom="0" percent="0" rank="0" text="" dxfId="2">
      <formula>"N"</formula>
    </cfRule>
    <cfRule type="containsText" priority="8" operator="containsText" aboveAverage="0" equalAverage="0" bottom="0" percent="0" rank="0" text="Y" dxfId="1">
      <formula>NOT(ISERROR(SEARCH("Y",AM257)))</formula>
    </cfRule>
  </conditionalFormatting>
  <conditionalFormatting sqref="AM250:AM251">
    <cfRule type="cellIs" priority="9" operator="equal" aboveAverage="0" equalAverage="0" bottom="0" percent="0" rank="0" text="" dxfId="2">
      <formula>"N"</formula>
    </cfRule>
    <cfRule type="containsText" priority="10" operator="containsText" aboveAverage="0" equalAverage="0" bottom="0" percent="0" rank="0" text="Y" dxfId="1">
      <formula>NOT(ISERROR(SEARCH("Y",AM250)))</formula>
    </cfRule>
  </conditionalFormatting>
  <conditionalFormatting sqref="AM246">
    <cfRule type="cellIs" priority="11" operator="equal" aboveAverage="0" equalAverage="0" bottom="0" percent="0" rank="0" text="" dxfId="2">
      <formula>"N"</formula>
    </cfRule>
    <cfRule type="containsText" priority="12" operator="containsText" aboveAverage="0" equalAverage="0" bottom="0" percent="0" rank="0" text="Y" dxfId="1">
      <formula>NOT(ISERROR(SEARCH("Y",AM246)))</formula>
    </cfRule>
  </conditionalFormatting>
  <conditionalFormatting sqref="AM243">
    <cfRule type="cellIs" priority="13" operator="equal" aboveAverage="0" equalAverage="0" bottom="0" percent="0" rank="0" text="" dxfId="2">
      <formula>"N"</formula>
    </cfRule>
    <cfRule type="containsText" priority="14" operator="containsText" aboveAverage="0" equalAverage="0" bottom="0" percent="0" rank="0" text="Y" dxfId="1">
      <formula>NOT(ISERROR(SEARCH("Y",AM243)))</formula>
    </cfRule>
  </conditionalFormatting>
  <conditionalFormatting sqref="AM223:AM235">
    <cfRule type="cellIs" priority="15" operator="equal" aboveAverage="0" equalAverage="0" bottom="0" percent="0" rank="0" text="" dxfId="2">
      <formula>"N"</formula>
    </cfRule>
    <cfRule type="containsText" priority="16" operator="containsText" aboveAverage="0" equalAverage="0" bottom="0" percent="0" rank="0" text="Y" dxfId="1">
      <formula>NOT(ISERROR(SEARCH("Y",AM223)))</formula>
    </cfRule>
  </conditionalFormatting>
  <conditionalFormatting sqref="AG6">
    <cfRule type="cellIs" priority="17" operator="equal" aboveAverage="0" equalAverage="0" bottom="0" percent="0" rank="0" text="" dxfId="2">
      <formula>"N"</formula>
    </cfRule>
    <cfRule type="containsText" priority="18" operator="containsText" aboveAverage="0" equalAverage="0" bottom="0" percent="0" rank="0" text="Y" dxfId="1">
      <formula>NOT(ISERROR(SEARCH("Y",AG6)))</formula>
    </cfRule>
  </conditionalFormatting>
  <conditionalFormatting sqref="AM220">
    <cfRule type="cellIs" priority="19" operator="equal" aboveAverage="0" equalAverage="0" bottom="0" percent="0" rank="0" text="" dxfId="2">
      <formula>"N"</formula>
    </cfRule>
    <cfRule type="containsText" priority="20" operator="containsText" aboveAverage="0" equalAverage="0" bottom="0" percent="0" rank="0" text="Y" dxfId="1">
      <formula>NOT(ISERROR(SEARCH("Y",AM220)))</formula>
    </cfRule>
  </conditionalFormatting>
  <conditionalFormatting sqref="AM210:AM218">
    <cfRule type="cellIs" priority="21" operator="equal" aboveAverage="0" equalAverage="0" bottom="0" percent="0" rank="0" text="" dxfId="2">
      <formula>"N"</formula>
    </cfRule>
  </conditionalFormatting>
  <conditionalFormatting sqref="AM208:AM218">
    <cfRule type="containsText" priority="22" operator="containsText" aboveAverage="0" equalAverage="0" bottom="0" percent="0" rank="0" text="Y" dxfId="1">
      <formula>NOT(ISERROR(SEARCH("Y",AM208)))</formula>
    </cfRule>
  </conditionalFormatting>
  <conditionalFormatting sqref="AM204:AM207">
    <cfRule type="cellIs" priority="23" operator="equal" aboveAverage="0" equalAverage="0" bottom="0" percent="0" rank="0" text="" dxfId="2">
      <formula>"N"</formula>
    </cfRule>
  </conditionalFormatting>
  <conditionalFormatting sqref="AM203:AM207">
    <cfRule type="containsText" priority="24" operator="containsText" aboveAverage="0" equalAverage="0" bottom="0" percent="0" rank="0" text="Y" dxfId="1">
      <formula>NOT(ISERROR(SEARCH("Y",AM203)))</formula>
    </cfRule>
  </conditionalFormatting>
  <conditionalFormatting sqref="AM201">
    <cfRule type="containsText" priority="25" operator="containsText" aboveAverage="0" equalAverage="0" bottom="0" percent="0" rank="0" text="Y" dxfId="1">
      <formula>NOT(ISERROR(SEARCH("Y",AM201)))</formula>
    </cfRule>
  </conditionalFormatting>
  <conditionalFormatting sqref="AM96 AM98 AN81">
    <cfRule type="containsText" priority="26" operator="containsText" aboveAverage="0" equalAverage="0" bottom="0" percent="0" rank="0" text="Y" dxfId="1">
      <formula>NOT(ISERROR(SEARCH("Y",AM81)))</formula>
    </cfRule>
  </conditionalFormatting>
  <conditionalFormatting sqref="AF7">
    <cfRule type="cellIs" priority="27" operator="greaterThan" aboveAverage="0" equalAverage="0" bottom="0" percent="0" rank="0" text="" dxfId="0">
      <formula>$AC$11</formula>
    </cfRule>
  </conditionalFormatting>
  <dataValidations count="1">
    <dataValidation allowBlank="true" errorStyle="stop" operator="between" showDropDown="false" showErrorMessage="true" showInputMessage="true" sqref="AN149:AN150" type="list">
      <formula1>금융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2016-08-08T04:45:48Z</dcterms:created>
  <dc:creator>WIN7</dc:creator>
  <dc:description/>
  <dc:language>en-US</dc:language>
  <cp:lastModifiedBy>Administrator</cp:lastModifiedBy>
  <cp:lastPrinted>2026-06-15T07:41:58Z</cp:lastPrinted>
  <dcterms:modified xsi:type="dcterms:W3CDTF">2026-06-16T00:30:57Z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